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江口　直行\Downloads\"/>
    </mc:Choice>
  </mc:AlternateContent>
  <xr:revisionPtr revIDLastSave="0" documentId="8_{5D1929E4-B993-4EC2-8B21-A4F6F63F6F20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基本情報・出品料" sheetId="1" r:id="rId1"/>
    <sheet name="半紙" sheetId="2" r:id="rId2"/>
    <sheet name="条幅" sheetId="3" r:id="rId3"/>
    <sheet name="条幅4分の1" sheetId="4" r:id="rId4"/>
    <sheet name="全部門まとめ" sheetId="5" state="hidden" r:id="rId5"/>
    <sheet name="賞一覧" sheetId="6" state="hidden" r:id="rId6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05" i="5" l="1"/>
  <c r="J905" i="5"/>
  <c r="I905" i="5"/>
  <c r="H905" i="5"/>
  <c r="G905" i="5"/>
  <c r="F905" i="5"/>
  <c r="E905" i="5"/>
  <c r="D905" i="5"/>
  <c r="C905" i="5"/>
  <c r="B905" i="5"/>
  <c r="L905" i="5" s="1"/>
  <c r="A905" i="5"/>
  <c r="K904" i="5"/>
  <c r="J904" i="5"/>
  <c r="I904" i="5"/>
  <c r="H904" i="5"/>
  <c r="G904" i="5"/>
  <c r="F904" i="5"/>
  <c r="E904" i="5"/>
  <c r="D904" i="5"/>
  <c r="C904" i="5"/>
  <c r="B904" i="5"/>
  <c r="L904" i="5" s="1"/>
  <c r="A904" i="5"/>
  <c r="K903" i="5"/>
  <c r="J903" i="5"/>
  <c r="I903" i="5"/>
  <c r="H903" i="5"/>
  <c r="G903" i="5"/>
  <c r="F903" i="5"/>
  <c r="E903" i="5"/>
  <c r="D903" i="5"/>
  <c r="C903" i="5"/>
  <c r="B903" i="5"/>
  <c r="L903" i="5" s="1"/>
  <c r="A903" i="5"/>
  <c r="K902" i="5"/>
  <c r="J902" i="5"/>
  <c r="I902" i="5"/>
  <c r="H902" i="5"/>
  <c r="G902" i="5"/>
  <c r="F902" i="5"/>
  <c r="E902" i="5"/>
  <c r="D902" i="5"/>
  <c r="C902" i="5"/>
  <c r="B902" i="5"/>
  <c r="L902" i="5" s="1"/>
  <c r="A902" i="5"/>
  <c r="K901" i="5"/>
  <c r="J901" i="5"/>
  <c r="I901" i="5"/>
  <c r="H901" i="5"/>
  <c r="G901" i="5"/>
  <c r="F901" i="5"/>
  <c r="E901" i="5"/>
  <c r="D901" i="5"/>
  <c r="C901" i="5"/>
  <c r="B901" i="5"/>
  <c r="L901" i="5" s="1"/>
  <c r="A901" i="5"/>
  <c r="K900" i="5"/>
  <c r="J900" i="5"/>
  <c r="I900" i="5"/>
  <c r="H900" i="5"/>
  <c r="G900" i="5"/>
  <c r="F900" i="5"/>
  <c r="E900" i="5"/>
  <c r="D900" i="5"/>
  <c r="C900" i="5"/>
  <c r="B900" i="5"/>
  <c r="L900" i="5" s="1"/>
  <c r="A900" i="5"/>
  <c r="K899" i="5"/>
  <c r="J899" i="5"/>
  <c r="I899" i="5"/>
  <c r="H899" i="5"/>
  <c r="G899" i="5"/>
  <c r="F899" i="5"/>
  <c r="E899" i="5"/>
  <c r="D899" i="5"/>
  <c r="C899" i="5"/>
  <c r="B899" i="5"/>
  <c r="L899" i="5" s="1"/>
  <c r="A899" i="5"/>
  <c r="K898" i="5"/>
  <c r="J898" i="5"/>
  <c r="I898" i="5"/>
  <c r="H898" i="5"/>
  <c r="G898" i="5"/>
  <c r="F898" i="5"/>
  <c r="E898" i="5"/>
  <c r="D898" i="5"/>
  <c r="C898" i="5"/>
  <c r="B898" i="5"/>
  <c r="L898" i="5" s="1"/>
  <c r="A898" i="5"/>
  <c r="K897" i="5"/>
  <c r="J897" i="5"/>
  <c r="I897" i="5"/>
  <c r="H897" i="5"/>
  <c r="G897" i="5"/>
  <c r="F897" i="5"/>
  <c r="E897" i="5"/>
  <c r="D897" i="5"/>
  <c r="C897" i="5"/>
  <c r="B897" i="5"/>
  <c r="L897" i="5" s="1"/>
  <c r="A897" i="5"/>
  <c r="K896" i="5"/>
  <c r="J896" i="5"/>
  <c r="I896" i="5"/>
  <c r="H896" i="5"/>
  <c r="G896" i="5"/>
  <c r="F896" i="5"/>
  <c r="E896" i="5"/>
  <c r="D896" i="5"/>
  <c r="C896" i="5"/>
  <c r="B896" i="5"/>
  <c r="L896" i="5" s="1"/>
  <c r="A896" i="5"/>
  <c r="K895" i="5"/>
  <c r="J895" i="5"/>
  <c r="I895" i="5"/>
  <c r="H895" i="5"/>
  <c r="G895" i="5"/>
  <c r="F895" i="5"/>
  <c r="E895" i="5"/>
  <c r="D895" i="5"/>
  <c r="C895" i="5"/>
  <c r="B895" i="5"/>
  <c r="L895" i="5" s="1"/>
  <c r="A895" i="5"/>
  <c r="K894" i="5"/>
  <c r="J894" i="5"/>
  <c r="I894" i="5"/>
  <c r="H894" i="5"/>
  <c r="G894" i="5"/>
  <c r="F894" i="5"/>
  <c r="E894" i="5"/>
  <c r="D894" i="5"/>
  <c r="C894" i="5"/>
  <c r="B894" i="5"/>
  <c r="L894" i="5" s="1"/>
  <c r="A894" i="5"/>
  <c r="K893" i="5"/>
  <c r="J893" i="5"/>
  <c r="I893" i="5"/>
  <c r="H893" i="5"/>
  <c r="G893" i="5"/>
  <c r="F893" i="5"/>
  <c r="E893" i="5"/>
  <c r="D893" i="5"/>
  <c r="C893" i="5"/>
  <c r="B893" i="5"/>
  <c r="L893" i="5" s="1"/>
  <c r="A893" i="5"/>
  <c r="K892" i="5"/>
  <c r="J892" i="5"/>
  <c r="I892" i="5"/>
  <c r="H892" i="5"/>
  <c r="G892" i="5"/>
  <c r="F892" i="5"/>
  <c r="E892" i="5"/>
  <c r="D892" i="5"/>
  <c r="C892" i="5"/>
  <c r="B892" i="5"/>
  <c r="L892" i="5" s="1"/>
  <c r="A892" i="5"/>
  <c r="K891" i="5"/>
  <c r="J891" i="5"/>
  <c r="I891" i="5"/>
  <c r="H891" i="5"/>
  <c r="G891" i="5"/>
  <c r="F891" i="5"/>
  <c r="E891" i="5"/>
  <c r="D891" i="5"/>
  <c r="C891" i="5"/>
  <c r="B891" i="5"/>
  <c r="L891" i="5" s="1"/>
  <c r="A891" i="5"/>
  <c r="K890" i="5"/>
  <c r="J890" i="5"/>
  <c r="I890" i="5"/>
  <c r="H890" i="5"/>
  <c r="G890" i="5"/>
  <c r="F890" i="5"/>
  <c r="E890" i="5"/>
  <c r="D890" i="5"/>
  <c r="C890" i="5"/>
  <c r="B890" i="5"/>
  <c r="L890" i="5" s="1"/>
  <c r="A890" i="5"/>
  <c r="K889" i="5"/>
  <c r="J889" i="5"/>
  <c r="I889" i="5"/>
  <c r="H889" i="5"/>
  <c r="G889" i="5"/>
  <c r="F889" i="5"/>
  <c r="E889" i="5"/>
  <c r="D889" i="5"/>
  <c r="C889" i="5"/>
  <c r="B889" i="5"/>
  <c r="L889" i="5" s="1"/>
  <c r="A889" i="5"/>
  <c r="K888" i="5"/>
  <c r="J888" i="5"/>
  <c r="I888" i="5"/>
  <c r="H888" i="5"/>
  <c r="G888" i="5"/>
  <c r="F888" i="5"/>
  <c r="E888" i="5"/>
  <c r="D888" i="5"/>
  <c r="C888" i="5"/>
  <c r="B888" i="5"/>
  <c r="L888" i="5" s="1"/>
  <c r="A888" i="5"/>
  <c r="K887" i="5"/>
  <c r="J887" i="5"/>
  <c r="I887" i="5"/>
  <c r="H887" i="5"/>
  <c r="G887" i="5"/>
  <c r="F887" i="5"/>
  <c r="E887" i="5"/>
  <c r="D887" i="5"/>
  <c r="C887" i="5"/>
  <c r="B887" i="5"/>
  <c r="L887" i="5" s="1"/>
  <c r="A887" i="5"/>
  <c r="K886" i="5"/>
  <c r="J886" i="5"/>
  <c r="I886" i="5"/>
  <c r="H886" i="5"/>
  <c r="G886" i="5"/>
  <c r="F886" i="5"/>
  <c r="E886" i="5"/>
  <c r="D886" i="5"/>
  <c r="C886" i="5"/>
  <c r="B886" i="5"/>
  <c r="L886" i="5" s="1"/>
  <c r="A886" i="5"/>
  <c r="K885" i="5"/>
  <c r="J885" i="5"/>
  <c r="I885" i="5"/>
  <c r="H885" i="5"/>
  <c r="G885" i="5"/>
  <c r="F885" i="5"/>
  <c r="E885" i="5"/>
  <c r="D885" i="5"/>
  <c r="C885" i="5"/>
  <c r="B885" i="5"/>
  <c r="L885" i="5" s="1"/>
  <c r="A885" i="5"/>
  <c r="K884" i="5"/>
  <c r="J884" i="5"/>
  <c r="I884" i="5"/>
  <c r="H884" i="5"/>
  <c r="G884" i="5"/>
  <c r="F884" i="5"/>
  <c r="E884" i="5"/>
  <c r="D884" i="5"/>
  <c r="C884" i="5"/>
  <c r="B884" i="5"/>
  <c r="L884" i="5" s="1"/>
  <c r="A884" i="5"/>
  <c r="K883" i="5"/>
  <c r="J883" i="5"/>
  <c r="I883" i="5"/>
  <c r="H883" i="5"/>
  <c r="G883" i="5"/>
  <c r="F883" i="5"/>
  <c r="E883" i="5"/>
  <c r="D883" i="5"/>
  <c r="C883" i="5"/>
  <c r="B883" i="5"/>
  <c r="L883" i="5" s="1"/>
  <c r="A883" i="5"/>
  <c r="K882" i="5"/>
  <c r="J882" i="5"/>
  <c r="I882" i="5"/>
  <c r="H882" i="5"/>
  <c r="G882" i="5"/>
  <c r="F882" i="5"/>
  <c r="E882" i="5"/>
  <c r="D882" i="5"/>
  <c r="C882" i="5"/>
  <c r="B882" i="5"/>
  <c r="L882" i="5" s="1"/>
  <c r="A882" i="5"/>
  <c r="K881" i="5"/>
  <c r="J881" i="5"/>
  <c r="I881" i="5"/>
  <c r="H881" i="5"/>
  <c r="G881" i="5"/>
  <c r="F881" i="5"/>
  <c r="E881" i="5"/>
  <c r="D881" i="5"/>
  <c r="C881" i="5"/>
  <c r="B881" i="5"/>
  <c r="L881" i="5" s="1"/>
  <c r="A881" i="5"/>
  <c r="K880" i="5"/>
  <c r="J880" i="5"/>
  <c r="I880" i="5"/>
  <c r="H880" i="5"/>
  <c r="G880" i="5"/>
  <c r="F880" i="5"/>
  <c r="E880" i="5"/>
  <c r="D880" i="5"/>
  <c r="C880" i="5"/>
  <c r="B880" i="5"/>
  <c r="L880" i="5" s="1"/>
  <c r="A880" i="5"/>
  <c r="K879" i="5"/>
  <c r="J879" i="5"/>
  <c r="I879" i="5"/>
  <c r="H879" i="5"/>
  <c r="G879" i="5"/>
  <c r="F879" i="5"/>
  <c r="E879" i="5"/>
  <c r="D879" i="5"/>
  <c r="C879" i="5"/>
  <c r="B879" i="5"/>
  <c r="L879" i="5" s="1"/>
  <c r="A879" i="5"/>
  <c r="K878" i="5"/>
  <c r="J878" i="5"/>
  <c r="I878" i="5"/>
  <c r="H878" i="5"/>
  <c r="G878" i="5"/>
  <c r="F878" i="5"/>
  <c r="E878" i="5"/>
  <c r="D878" i="5"/>
  <c r="C878" i="5"/>
  <c r="B878" i="5"/>
  <c r="L878" i="5" s="1"/>
  <c r="A878" i="5"/>
  <c r="K877" i="5"/>
  <c r="J877" i="5"/>
  <c r="I877" i="5"/>
  <c r="H877" i="5"/>
  <c r="G877" i="5"/>
  <c r="F877" i="5"/>
  <c r="E877" i="5"/>
  <c r="D877" i="5"/>
  <c r="C877" i="5"/>
  <c r="B877" i="5"/>
  <c r="L877" i="5" s="1"/>
  <c r="A877" i="5"/>
  <c r="K876" i="5"/>
  <c r="J876" i="5"/>
  <c r="I876" i="5"/>
  <c r="H876" i="5"/>
  <c r="G876" i="5"/>
  <c r="F876" i="5"/>
  <c r="E876" i="5"/>
  <c r="D876" i="5"/>
  <c r="C876" i="5"/>
  <c r="B876" i="5"/>
  <c r="L876" i="5" s="1"/>
  <c r="A876" i="5"/>
  <c r="K875" i="5"/>
  <c r="J875" i="5"/>
  <c r="I875" i="5"/>
  <c r="H875" i="5"/>
  <c r="G875" i="5"/>
  <c r="F875" i="5"/>
  <c r="E875" i="5"/>
  <c r="D875" i="5"/>
  <c r="C875" i="5"/>
  <c r="B875" i="5"/>
  <c r="L875" i="5" s="1"/>
  <c r="A875" i="5"/>
  <c r="K874" i="5"/>
  <c r="J874" i="5"/>
  <c r="I874" i="5"/>
  <c r="H874" i="5"/>
  <c r="G874" i="5"/>
  <c r="F874" i="5"/>
  <c r="E874" i="5"/>
  <c r="D874" i="5"/>
  <c r="C874" i="5"/>
  <c r="B874" i="5"/>
  <c r="L874" i="5" s="1"/>
  <c r="A874" i="5"/>
  <c r="K873" i="5"/>
  <c r="J873" i="5"/>
  <c r="I873" i="5"/>
  <c r="H873" i="5"/>
  <c r="G873" i="5"/>
  <c r="F873" i="5"/>
  <c r="E873" i="5"/>
  <c r="D873" i="5"/>
  <c r="C873" i="5"/>
  <c r="B873" i="5"/>
  <c r="L873" i="5" s="1"/>
  <c r="A873" i="5"/>
  <c r="K872" i="5"/>
  <c r="J872" i="5"/>
  <c r="I872" i="5"/>
  <c r="H872" i="5"/>
  <c r="G872" i="5"/>
  <c r="F872" i="5"/>
  <c r="E872" i="5"/>
  <c r="D872" i="5"/>
  <c r="C872" i="5"/>
  <c r="B872" i="5"/>
  <c r="L872" i="5" s="1"/>
  <c r="A872" i="5"/>
  <c r="K871" i="5"/>
  <c r="J871" i="5"/>
  <c r="I871" i="5"/>
  <c r="H871" i="5"/>
  <c r="G871" i="5"/>
  <c r="F871" i="5"/>
  <c r="E871" i="5"/>
  <c r="D871" i="5"/>
  <c r="C871" i="5"/>
  <c r="B871" i="5"/>
  <c r="L871" i="5" s="1"/>
  <c r="A871" i="5"/>
  <c r="K870" i="5"/>
  <c r="J870" i="5"/>
  <c r="I870" i="5"/>
  <c r="H870" i="5"/>
  <c r="G870" i="5"/>
  <c r="F870" i="5"/>
  <c r="E870" i="5"/>
  <c r="D870" i="5"/>
  <c r="C870" i="5"/>
  <c r="B870" i="5"/>
  <c r="L870" i="5" s="1"/>
  <c r="A870" i="5"/>
  <c r="K869" i="5"/>
  <c r="J869" i="5"/>
  <c r="I869" i="5"/>
  <c r="H869" i="5"/>
  <c r="G869" i="5"/>
  <c r="F869" i="5"/>
  <c r="E869" i="5"/>
  <c r="D869" i="5"/>
  <c r="C869" i="5"/>
  <c r="B869" i="5"/>
  <c r="L869" i="5" s="1"/>
  <c r="A869" i="5"/>
  <c r="K868" i="5"/>
  <c r="J868" i="5"/>
  <c r="I868" i="5"/>
  <c r="H868" i="5"/>
  <c r="G868" i="5"/>
  <c r="F868" i="5"/>
  <c r="E868" i="5"/>
  <c r="D868" i="5"/>
  <c r="C868" i="5"/>
  <c r="B868" i="5"/>
  <c r="L868" i="5" s="1"/>
  <c r="A868" i="5"/>
  <c r="K867" i="5"/>
  <c r="J867" i="5"/>
  <c r="I867" i="5"/>
  <c r="H867" i="5"/>
  <c r="G867" i="5"/>
  <c r="F867" i="5"/>
  <c r="E867" i="5"/>
  <c r="D867" i="5"/>
  <c r="C867" i="5"/>
  <c r="B867" i="5"/>
  <c r="L867" i="5" s="1"/>
  <c r="A867" i="5"/>
  <c r="K866" i="5"/>
  <c r="J866" i="5"/>
  <c r="I866" i="5"/>
  <c r="H866" i="5"/>
  <c r="G866" i="5"/>
  <c r="F866" i="5"/>
  <c r="E866" i="5"/>
  <c r="D866" i="5"/>
  <c r="C866" i="5"/>
  <c r="B866" i="5"/>
  <c r="L866" i="5" s="1"/>
  <c r="A866" i="5"/>
  <c r="K865" i="5"/>
  <c r="J865" i="5"/>
  <c r="I865" i="5"/>
  <c r="H865" i="5"/>
  <c r="G865" i="5"/>
  <c r="F865" i="5"/>
  <c r="E865" i="5"/>
  <c r="D865" i="5"/>
  <c r="C865" i="5"/>
  <c r="B865" i="5"/>
  <c r="L865" i="5" s="1"/>
  <c r="A865" i="5"/>
  <c r="K864" i="5"/>
  <c r="J864" i="5"/>
  <c r="I864" i="5"/>
  <c r="H864" i="5"/>
  <c r="G864" i="5"/>
  <c r="F864" i="5"/>
  <c r="E864" i="5"/>
  <c r="D864" i="5"/>
  <c r="C864" i="5"/>
  <c r="B864" i="5"/>
  <c r="L864" i="5" s="1"/>
  <c r="A864" i="5"/>
  <c r="K863" i="5"/>
  <c r="J863" i="5"/>
  <c r="I863" i="5"/>
  <c r="H863" i="5"/>
  <c r="G863" i="5"/>
  <c r="F863" i="5"/>
  <c r="E863" i="5"/>
  <c r="D863" i="5"/>
  <c r="C863" i="5"/>
  <c r="B863" i="5"/>
  <c r="L863" i="5" s="1"/>
  <c r="A863" i="5"/>
  <c r="K862" i="5"/>
  <c r="J862" i="5"/>
  <c r="I862" i="5"/>
  <c r="H862" i="5"/>
  <c r="G862" i="5"/>
  <c r="F862" i="5"/>
  <c r="E862" i="5"/>
  <c r="D862" i="5"/>
  <c r="C862" i="5"/>
  <c r="B862" i="5"/>
  <c r="L862" i="5" s="1"/>
  <c r="A862" i="5"/>
  <c r="K861" i="5"/>
  <c r="J861" i="5"/>
  <c r="I861" i="5"/>
  <c r="H861" i="5"/>
  <c r="G861" i="5"/>
  <c r="F861" i="5"/>
  <c r="E861" i="5"/>
  <c r="D861" i="5"/>
  <c r="C861" i="5"/>
  <c r="B861" i="5"/>
  <c r="L861" i="5" s="1"/>
  <c r="A861" i="5"/>
  <c r="K860" i="5"/>
  <c r="J860" i="5"/>
  <c r="I860" i="5"/>
  <c r="H860" i="5"/>
  <c r="G860" i="5"/>
  <c r="F860" i="5"/>
  <c r="E860" i="5"/>
  <c r="D860" i="5"/>
  <c r="C860" i="5"/>
  <c r="B860" i="5"/>
  <c r="L860" i="5" s="1"/>
  <c r="A860" i="5"/>
  <c r="K859" i="5"/>
  <c r="J859" i="5"/>
  <c r="I859" i="5"/>
  <c r="H859" i="5"/>
  <c r="G859" i="5"/>
  <c r="F859" i="5"/>
  <c r="E859" i="5"/>
  <c r="D859" i="5"/>
  <c r="C859" i="5"/>
  <c r="B859" i="5"/>
  <c r="L859" i="5" s="1"/>
  <c r="A859" i="5"/>
  <c r="K858" i="5"/>
  <c r="J858" i="5"/>
  <c r="I858" i="5"/>
  <c r="H858" i="5"/>
  <c r="G858" i="5"/>
  <c r="F858" i="5"/>
  <c r="E858" i="5"/>
  <c r="D858" i="5"/>
  <c r="C858" i="5"/>
  <c r="B858" i="5"/>
  <c r="L858" i="5" s="1"/>
  <c r="A858" i="5"/>
  <c r="K857" i="5"/>
  <c r="J857" i="5"/>
  <c r="I857" i="5"/>
  <c r="H857" i="5"/>
  <c r="G857" i="5"/>
  <c r="F857" i="5"/>
  <c r="E857" i="5"/>
  <c r="D857" i="5"/>
  <c r="C857" i="5"/>
  <c r="B857" i="5"/>
  <c r="L857" i="5" s="1"/>
  <c r="A857" i="5"/>
  <c r="K856" i="5"/>
  <c r="J856" i="5"/>
  <c r="I856" i="5"/>
  <c r="H856" i="5"/>
  <c r="G856" i="5"/>
  <c r="F856" i="5"/>
  <c r="E856" i="5"/>
  <c r="D856" i="5"/>
  <c r="C856" i="5"/>
  <c r="B856" i="5"/>
  <c r="L856" i="5" s="1"/>
  <c r="A856" i="5"/>
  <c r="K855" i="5"/>
  <c r="J855" i="5"/>
  <c r="I855" i="5"/>
  <c r="H855" i="5"/>
  <c r="G855" i="5"/>
  <c r="F855" i="5"/>
  <c r="E855" i="5"/>
  <c r="D855" i="5"/>
  <c r="C855" i="5"/>
  <c r="B855" i="5"/>
  <c r="L855" i="5" s="1"/>
  <c r="A855" i="5"/>
  <c r="K854" i="5"/>
  <c r="J854" i="5"/>
  <c r="I854" i="5"/>
  <c r="H854" i="5"/>
  <c r="G854" i="5"/>
  <c r="F854" i="5"/>
  <c r="E854" i="5"/>
  <c r="D854" i="5"/>
  <c r="C854" i="5"/>
  <c r="B854" i="5"/>
  <c r="L854" i="5" s="1"/>
  <c r="A854" i="5"/>
  <c r="K853" i="5"/>
  <c r="J853" i="5"/>
  <c r="I853" i="5"/>
  <c r="H853" i="5"/>
  <c r="G853" i="5"/>
  <c r="F853" i="5"/>
  <c r="E853" i="5"/>
  <c r="D853" i="5"/>
  <c r="C853" i="5"/>
  <c r="B853" i="5"/>
  <c r="L853" i="5" s="1"/>
  <c r="A853" i="5"/>
  <c r="K852" i="5"/>
  <c r="J852" i="5"/>
  <c r="I852" i="5"/>
  <c r="H852" i="5"/>
  <c r="G852" i="5"/>
  <c r="F852" i="5"/>
  <c r="E852" i="5"/>
  <c r="D852" i="5"/>
  <c r="C852" i="5"/>
  <c r="B852" i="5"/>
  <c r="L852" i="5" s="1"/>
  <c r="A852" i="5"/>
  <c r="K851" i="5"/>
  <c r="J851" i="5"/>
  <c r="I851" i="5"/>
  <c r="H851" i="5"/>
  <c r="G851" i="5"/>
  <c r="F851" i="5"/>
  <c r="E851" i="5"/>
  <c r="D851" i="5"/>
  <c r="C851" i="5"/>
  <c r="B851" i="5"/>
  <c r="L851" i="5" s="1"/>
  <c r="A851" i="5"/>
  <c r="K850" i="5"/>
  <c r="J850" i="5"/>
  <c r="I850" i="5"/>
  <c r="H850" i="5"/>
  <c r="G850" i="5"/>
  <c r="F850" i="5"/>
  <c r="E850" i="5"/>
  <c r="D850" i="5"/>
  <c r="C850" i="5"/>
  <c r="B850" i="5"/>
  <c r="L850" i="5" s="1"/>
  <c r="A850" i="5"/>
  <c r="K849" i="5"/>
  <c r="J849" i="5"/>
  <c r="I849" i="5"/>
  <c r="H849" i="5"/>
  <c r="G849" i="5"/>
  <c r="F849" i="5"/>
  <c r="E849" i="5"/>
  <c r="D849" i="5"/>
  <c r="C849" i="5"/>
  <c r="B849" i="5"/>
  <c r="L849" i="5" s="1"/>
  <c r="A849" i="5"/>
  <c r="K848" i="5"/>
  <c r="J848" i="5"/>
  <c r="I848" i="5"/>
  <c r="H848" i="5"/>
  <c r="G848" i="5"/>
  <c r="F848" i="5"/>
  <c r="E848" i="5"/>
  <c r="D848" i="5"/>
  <c r="C848" i="5"/>
  <c r="B848" i="5"/>
  <c r="L848" i="5" s="1"/>
  <c r="A848" i="5"/>
  <c r="K847" i="5"/>
  <c r="J847" i="5"/>
  <c r="I847" i="5"/>
  <c r="H847" i="5"/>
  <c r="G847" i="5"/>
  <c r="F847" i="5"/>
  <c r="E847" i="5"/>
  <c r="D847" i="5"/>
  <c r="C847" i="5"/>
  <c r="B847" i="5"/>
  <c r="L847" i="5" s="1"/>
  <c r="A847" i="5"/>
  <c r="K846" i="5"/>
  <c r="J846" i="5"/>
  <c r="I846" i="5"/>
  <c r="H846" i="5"/>
  <c r="G846" i="5"/>
  <c r="F846" i="5"/>
  <c r="E846" i="5"/>
  <c r="D846" i="5"/>
  <c r="C846" i="5"/>
  <c r="B846" i="5"/>
  <c r="L846" i="5" s="1"/>
  <c r="A846" i="5"/>
  <c r="K845" i="5"/>
  <c r="J845" i="5"/>
  <c r="I845" i="5"/>
  <c r="H845" i="5"/>
  <c r="G845" i="5"/>
  <c r="F845" i="5"/>
  <c r="E845" i="5"/>
  <c r="D845" i="5"/>
  <c r="C845" i="5"/>
  <c r="B845" i="5"/>
  <c r="L845" i="5" s="1"/>
  <c r="A845" i="5"/>
  <c r="K844" i="5"/>
  <c r="J844" i="5"/>
  <c r="I844" i="5"/>
  <c r="H844" i="5"/>
  <c r="G844" i="5"/>
  <c r="F844" i="5"/>
  <c r="E844" i="5"/>
  <c r="D844" i="5"/>
  <c r="C844" i="5"/>
  <c r="B844" i="5"/>
  <c r="L844" i="5" s="1"/>
  <c r="A844" i="5"/>
  <c r="K843" i="5"/>
  <c r="J843" i="5"/>
  <c r="I843" i="5"/>
  <c r="H843" i="5"/>
  <c r="G843" i="5"/>
  <c r="F843" i="5"/>
  <c r="E843" i="5"/>
  <c r="D843" i="5"/>
  <c r="C843" i="5"/>
  <c r="B843" i="5"/>
  <c r="L843" i="5" s="1"/>
  <c r="A843" i="5"/>
  <c r="K842" i="5"/>
  <c r="J842" i="5"/>
  <c r="I842" i="5"/>
  <c r="H842" i="5"/>
  <c r="G842" i="5"/>
  <c r="F842" i="5"/>
  <c r="E842" i="5"/>
  <c r="D842" i="5"/>
  <c r="C842" i="5"/>
  <c r="B842" i="5"/>
  <c r="L842" i="5" s="1"/>
  <c r="A842" i="5"/>
  <c r="K841" i="5"/>
  <c r="J841" i="5"/>
  <c r="I841" i="5"/>
  <c r="H841" i="5"/>
  <c r="G841" i="5"/>
  <c r="F841" i="5"/>
  <c r="E841" i="5"/>
  <c r="D841" i="5"/>
  <c r="C841" i="5"/>
  <c r="B841" i="5"/>
  <c r="L841" i="5" s="1"/>
  <c r="A841" i="5"/>
  <c r="K840" i="5"/>
  <c r="J840" i="5"/>
  <c r="I840" i="5"/>
  <c r="H840" i="5"/>
  <c r="G840" i="5"/>
  <c r="F840" i="5"/>
  <c r="E840" i="5"/>
  <c r="D840" i="5"/>
  <c r="C840" i="5"/>
  <c r="B840" i="5"/>
  <c r="L840" i="5" s="1"/>
  <c r="A840" i="5"/>
  <c r="K839" i="5"/>
  <c r="J839" i="5"/>
  <c r="I839" i="5"/>
  <c r="H839" i="5"/>
  <c r="G839" i="5"/>
  <c r="F839" i="5"/>
  <c r="E839" i="5"/>
  <c r="D839" i="5"/>
  <c r="C839" i="5"/>
  <c r="B839" i="5"/>
  <c r="L839" i="5" s="1"/>
  <c r="A839" i="5"/>
  <c r="K838" i="5"/>
  <c r="J838" i="5"/>
  <c r="I838" i="5"/>
  <c r="H838" i="5"/>
  <c r="G838" i="5"/>
  <c r="F838" i="5"/>
  <c r="E838" i="5"/>
  <c r="D838" i="5"/>
  <c r="C838" i="5"/>
  <c r="B838" i="5"/>
  <c r="L838" i="5" s="1"/>
  <c r="A838" i="5"/>
  <c r="K837" i="5"/>
  <c r="J837" i="5"/>
  <c r="I837" i="5"/>
  <c r="H837" i="5"/>
  <c r="G837" i="5"/>
  <c r="F837" i="5"/>
  <c r="E837" i="5"/>
  <c r="D837" i="5"/>
  <c r="C837" i="5"/>
  <c r="B837" i="5"/>
  <c r="L837" i="5" s="1"/>
  <c r="A837" i="5"/>
  <c r="K836" i="5"/>
  <c r="J836" i="5"/>
  <c r="I836" i="5"/>
  <c r="H836" i="5"/>
  <c r="G836" i="5"/>
  <c r="F836" i="5"/>
  <c r="E836" i="5"/>
  <c r="D836" i="5"/>
  <c r="C836" i="5"/>
  <c r="B836" i="5"/>
  <c r="L836" i="5" s="1"/>
  <c r="A836" i="5"/>
  <c r="K835" i="5"/>
  <c r="J835" i="5"/>
  <c r="I835" i="5"/>
  <c r="H835" i="5"/>
  <c r="G835" i="5"/>
  <c r="F835" i="5"/>
  <c r="E835" i="5"/>
  <c r="D835" i="5"/>
  <c r="C835" i="5"/>
  <c r="B835" i="5"/>
  <c r="L835" i="5" s="1"/>
  <c r="A835" i="5"/>
  <c r="K834" i="5"/>
  <c r="J834" i="5"/>
  <c r="I834" i="5"/>
  <c r="H834" i="5"/>
  <c r="G834" i="5"/>
  <c r="F834" i="5"/>
  <c r="E834" i="5"/>
  <c r="D834" i="5"/>
  <c r="C834" i="5"/>
  <c r="B834" i="5"/>
  <c r="L834" i="5" s="1"/>
  <c r="A834" i="5"/>
  <c r="K833" i="5"/>
  <c r="J833" i="5"/>
  <c r="I833" i="5"/>
  <c r="H833" i="5"/>
  <c r="G833" i="5"/>
  <c r="F833" i="5"/>
  <c r="E833" i="5"/>
  <c r="D833" i="5"/>
  <c r="C833" i="5"/>
  <c r="B833" i="5"/>
  <c r="L833" i="5" s="1"/>
  <c r="A833" i="5"/>
  <c r="K832" i="5"/>
  <c r="J832" i="5"/>
  <c r="I832" i="5"/>
  <c r="H832" i="5"/>
  <c r="G832" i="5"/>
  <c r="F832" i="5"/>
  <c r="E832" i="5"/>
  <c r="D832" i="5"/>
  <c r="C832" i="5"/>
  <c r="B832" i="5"/>
  <c r="L832" i="5" s="1"/>
  <c r="A832" i="5"/>
  <c r="K831" i="5"/>
  <c r="J831" i="5"/>
  <c r="I831" i="5"/>
  <c r="H831" i="5"/>
  <c r="G831" i="5"/>
  <c r="F831" i="5"/>
  <c r="E831" i="5"/>
  <c r="D831" i="5"/>
  <c r="C831" i="5"/>
  <c r="B831" i="5"/>
  <c r="L831" i="5" s="1"/>
  <c r="A831" i="5"/>
  <c r="K830" i="5"/>
  <c r="J830" i="5"/>
  <c r="I830" i="5"/>
  <c r="H830" i="5"/>
  <c r="G830" i="5"/>
  <c r="F830" i="5"/>
  <c r="E830" i="5"/>
  <c r="D830" i="5"/>
  <c r="C830" i="5"/>
  <c r="B830" i="5"/>
  <c r="L830" i="5" s="1"/>
  <c r="A830" i="5"/>
  <c r="K829" i="5"/>
  <c r="J829" i="5"/>
  <c r="I829" i="5"/>
  <c r="H829" i="5"/>
  <c r="G829" i="5"/>
  <c r="F829" i="5"/>
  <c r="E829" i="5"/>
  <c r="D829" i="5"/>
  <c r="C829" i="5"/>
  <c r="B829" i="5"/>
  <c r="L829" i="5" s="1"/>
  <c r="A829" i="5"/>
  <c r="K828" i="5"/>
  <c r="J828" i="5"/>
  <c r="I828" i="5"/>
  <c r="H828" i="5"/>
  <c r="G828" i="5"/>
  <c r="F828" i="5"/>
  <c r="E828" i="5"/>
  <c r="D828" i="5"/>
  <c r="C828" i="5"/>
  <c r="B828" i="5"/>
  <c r="L828" i="5" s="1"/>
  <c r="A828" i="5"/>
  <c r="K827" i="5"/>
  <c r="J827" i="5"/>
  <c r="I827" i="5"/>
  <c r="H827" i="5"/>
  <c r="G827" i="5"/>
  <c r="F827" i="5"/>
  <c r="E827" i="5"/>
  <c r="D827" i="5"/>
  <c r="C827" i="5"/>
  <c r="B827" i="5"/>
  <c r="L827" i="5" s="1"/>
  <c r="A827" i="5"/>
  <c r="K826" i="5"/>
  <c r="J826" i="5"/>
  <c r="I826" i="5"/>
  <c r="H826" i="5"/>
  <c r="G826" i="5"/>
  <c r="F826" i="5"/>
  <c r="E826" i="5"/>
  <c r="D826" i="5"/>
  <c r="C826" i="5"/>
  <c r="B826" i="5"/>
  <c r="L826" i="5" s="1"/>
  <c r="A826" i="5"/>
  <c r="K825" i="5"/>
  <c r="J825" i="5"/>
  <c r="I825" i="5"/>
  <c r="H825" i="5"/>
  <c r="G825" i="5"/>
  <c r="F825" i="5"/>
  <c r="E825" i="5"/>
  <c r="D825" i="5"/>
  <c r="C825" i="5"/>
  <c r="B825" i="5"/>
  <c r="L825" i="5" s="1"/>
  <c r="A825" i="5"/>
  <c r="K824" i="5"/>
  <c r="J824" i="5"/>
  <c r="I824" i="5"/>
  <c r="H824" i="5"/>
  <c r="G824" i="5"/>
  <c r="F824" i="5"/>
  <c r="E824" i="5"/>
  <c r="D824" i="5"/>
  <c r="C824" i="5"/>
  <c r="B824" i="5"/>
  <c r="L824" i="5" s="1"/>
  <c r="A824" i="5"/>
  <c r="K823" i="5"/>
  <c r="J823" i="5"/>
  <c r="I823" i="5"/>
  <c r="H823" i="5"/>
  <c r="G823" i="5"/>
  <c r="F823" i="5"/>
  <c r="E823" i="5"/>
  <c r="D823" i="5"/>
  <c r="C823" i="5"/>
  <c r="B823" i="5"/>
  <c r="L823" i="5" s="1"/>
  <c r="A823" i="5"/>
  <c r="K822" i="5"/>
  <c r="J822" i="5"/>
  <c r="I822" i="5"/>
  <c r="H822" i="5"/>
  <c r="G822" i="5"/>
  <c r="F822" i="5"/>
  <c r="E822" i="5"/>
  <c r="D822" i="5"/>
  <c r="C822" i="5"/>
  <c r="B822" i="5"/>
  <c r="L822" i="5" s="1"/>
  <c r="A822" i="5"/>
  <c r="K821" i="5"/>
  <c r="J821" i="5"/>
  <c r="I821" i="5"/>
  <c r="H821" i="5"/>
  <c r="G821" i="5"/>
  <c r="F821" i="5"/>
  <c r="E821" i="5"/>
  <c r="D821" i="5"/>
  <c r="C821" i="5"/>
  <c r="B821" i="5"/>
  <c r="L821" i="5" s="1"/>
  <c r="A821" i="5"/>
  <c r="K820" i="5"/>
  <c r="J820" i="5"/>
  <c r="I820" i="5"/>
  <c r="H820" i="5"/>
  <c r="G820" i="5"/>
  <c r="F820" i="5"/>
  <c r="E820" i="5"/>
  <c r="D820" i="5"/>
  <c r="C820" i="5"/>
  <c r="B820" i="5"/>
  <c r="L820" i="5" s="1"/>
  <c r="A820" i="5"/>
  <c r="K819" i="5"/>
  <c r="J819" i="5"/>
  <c r="I819" i="5"/>
  <c r="H819" i="5"/>
  <c r="G819" i="5"/>
  <c r="F819" i="5"/>
  <c r="E819" i="5"/>
  <c r="D819" i="5"/>
  <c r="C819" i="5"/>
  <c r="B819" i="5"/>
  <c r="L819" i="5" s="1"/>
  <c r="A819" i="5"/>
  <c r="K818" i="5"/>
  <c r="J818" i="5"/>
  <c r="I818" i="5"/>
  <c r="H818" i="5"/>
  <c r="G818" i="5"/>
  <c r="F818" i="5"/>
  <c r="E818" i="5"/>
  <c r="D818" i="5"/>
  <c r="C818" i="5"/>
  <c r="B818" i="5"/>
  <c r="L818" i="5" s="1"/>
  <c r="A818" i="5"/>
  <c r="K817" i="5"/>
  <c r="J817" i="5"/>
  <c r="I817" i="5"/>
  <c r="H817" i="5"/>
  <c r="G817" i="5"/>
  <c r="F817" i="5"/>
  <c r="E817" i="5"/>
  <c r="D817" i="5"/>
  <c r="C817" i="5"/>
  <c r="B817" i="5"/>
  <c r="L817" i="5" s="1"/>
  <c r="A817" i="5"/>
  <c r="K816" i="5"/>
  <c r="J816" i="5"/>
  <c r="I816" i="5"/>
  <c r="H816" i="5"/>
  <c r="G816" i="5"/>
  <c r="F816" i="5"/>
  <c r="E816" i="5"/>
  <c r="D816" i="5"/>
  <c r="C816" i="5"/>
  <c r="B816" i="5"/>
  <c r="L816" i="5" s="1"/>
  <c r="A816" i="5"/>
  <c r="K815" i="5"/>
  <c r="J815" i="5"/>
  <c r="I815" i="5"/>
  <c r="H815" i="5"/>
  <c r="G815" i="5"/>
  <c r="F815" i="5"/>
  <c r="E815" i="5"/>
  <c r="D815" i="5"/>
  <c r="C815" i="5"/>
  <c r="B815" i="5"/>
  <c r="L815" i="5" s="1"/>
  <c r="A815" i="5"/>
  <c r="K814" i="5"/>
  <c r="J814" i="5"/>
  <c r="I814" i="5"/>
  <c r="H814" i="5"/>
  <c r="G814" i="5"/>
  <c r="F814" i="5"/>
  <c r="E814" i="5"/>
  <c r="D814" i="5"/>
  <c r="C814" i="5"/>
  <c r="B814" i="5"/>
  <c r="L814" i="5" s="1"/>
  <c r="A814" i="5"/>
  <c r="K813" i="5"/>
  <c r="J813" i="5"/>
  <c r="I813" i="5"/>
  <c r="H813" i="5"/>
  <c r="G813" i="5"/>
  <c r="F813" i="5"/>
  <c r="E813" i="5"/>
  <c r="D813" i="5"/>
  <c r="C813" i="5"/>
  <c r="B813" i="5"/>
  <c r="L813" i="5" s="1"/>
  <c r="A813" i="5"/>
  <c r="K812" i="5"/>
  <c r="J812" i="5"/>
  <c r="I812" i="5"/>
  <c r="H812" i="5"/>
  <c r="G812" i="5"/>
  <c r="F812" i="5"/>
  <c r="E812" i="5"/>
  <c r="D812" i="5"/>
  <c r="C812" i="5"/>
  <c r="B812" i="5"/>
  <c r="L812" i="5" s="1"/>
  <c r="A812" i="5"/>
  <c r="K811" i="5"/>
  <c r="J811" i="5"/>
  <c r="I811" i="5"/>
  <c r="H811" i="5"/>
  <c r="G811" i="5"/>
  <c r="F811" i="5"/>
  <c r="E811" i="5"/>
  <c r="D811" i="5"/>
  <c r="C811" i="5"/>
  <c r="B811" i="5"/>
  <c r="L811" i="5" s="1"/>
  <c r="A811" i="5"/>
  <c r="K810" i="5"/>
  <c r="J810" i="5"/>
  <c r="I810" i="5"/>
  <c r="H810" i="5"/>
  <c r="G810" i="5"/>
  <c r="F810" i="5"/>
  <c r="E810" i="5"/>
  <c r="D810" i="5"/>
  <c r="C810" i="5"/>
  <c r="B810" i="5"/>
  <c r="L810" i="5" s="1"/>
  <c r="A810" i="5"/>
  <c r="K809" i="5"/>
  <c r="J809" i="5"/>
  <c r="I809" i="5"/>
  <c r="H809" i="5"/>
  <c r="G809" i="5"/>
  <c r="F809" i="5"/>
  <c r="E809" i="5"/>
  <c r="D809" i="5"/>
  <c r="C809" i="5"/>
  <c r="B809" i="5"/>
  <c r="L809" i="5" s="1"/>
  <c r="A809" i="5"/>
  <c r="K808" i="5"/>
  <c r="J808" i="5"/>
  <c r="I808" i="5"/>
  <c r="H808" i="5"/>
  <c r="G808" i="5"/>
  <c r="F808" i="5"/>
  <c r="E808" i="5"/>
  <c r="D808" i="5"/>
  <c r="C808" i="5"/>
  <c r="B808" i="5"/>
  <c r="L808" i="5" s="1"/>
  <c r="A808" i="5"/>
  <c r="K807" i="5"/>
  <c r="J807" i="5"/>
  <c r="I807" i="5"/>
  <c r="H807" i="5"/>
  <c r="G807" i="5"/>
  <c r="F807" i="5"/>
  <c r="E807" i="5"/>
  <c r="D807" i="5"/>
  <c r="C807" i="5"/>
  <c r="B807" i="5"/>
  <c r="L807" i="5" s="1"/>
  <c r="A807" i="5"/>
  <c r="K806" i="5"/>
  <c r="J806" i="5"/>
  <c r="I806" i="5"/>
  <c r="H806" i="5"/>
  <c r="G806" i="5"/>
  <c r="F806" i="5"/>
  <c r="E806" i="5"/>
  <c r="D806" i="5"/>
  <c r="C806" i="5"/>
  <c r="B806" i="5"/>
  <c r="L806" i="5" s="1"/>
  <c r="A806" i="5"/>
  <c r="K805" i="5"/>
  <c r="J805" i="5"/>
  <c r="I805" i="5"/>
  <c r="H805" i="5"/>
  <c r="G805" i="5"/>
  <c r="F805" i="5"/>
  <c r="E805" i="5"/>
  <c r="D805" i="5"/>
  <c r="C805" i="5"/>
  <c r="B805" i="5"/>
  <c r="L805" i="5" s="1"/>
  <c r="A805" i="5"/>
  <c r="K804" i="5"/>
  <c r="J804" i="5"/>
  <c r="I804" i="5"/>
  <c r="H804" i="5"/>
  <c r="G804" i="5"/>
  <c r="F804" i="5"/>
  <c r="E804" i="5"/>
  <c r="D804" i="5"/>
  <c r="C804" i="5"/>
  <c r="B804" i="5"/>
  <c r="L804" i="5" s="1"/>
  <c r="A804" i="5"/>
  <c r="K803" i="5"/>
  <c r="J803" i="5"/>
  <c r="I803" i="5"/>
  <c r="H803" i="5"/>
  <c r="G803" i="5"/>
  <c r="F803" i="5"/>
  <c r="E803" i="5"/>
  <c r="D803" i="5"/>
  <c r="C803" i="5"/>
  <c r="B803" i="5"/>
  <c r="L803" i="5" s="1"/>
  <c r="A803" i="5"/>
  <c r="K802" i="5"/>
  <c r="J802" i="5"/>
  <c r="I802" i="5"/>
  <c r="H802" i="5"/>
  <c r="G802" i="5"/>
  <c r="F802" i="5"/>
  <c r="E802" i="5"/>
  <c r="D802" i="5"/>
  <c r="C802" i="5"/>
  <c r="B802" i="5"/>
  <c r="L802" i="5" s="1"/>
  <c r="A802" i="5"/>
  <c r="K801" i="5"/>
  <c r="J801" i="5"/>
  <c r="I801" i="5"/>
  <c r="H801" i="5"/>
  <c r="G801" i="5"/>
  <c r="F801" i="5"/>
  <c r="E801" i="5"/>
  <c r="D801" i="5"/>
  <c r="C801" i="5"/>
  <c r="B801" i="5"/>
  <c r="L801" i="5" s="1"/>
  <c r="A801" i="5"/>
  <c r="K800" i="5"/>
  <c r="J800" i="5"/>
  <c r="I800" i="5"/>
  <c r="H800" i="5"/>
  <c r="G800" i="5"/>
  <c r="F800" i="5"/>
  <c r="E800" i="5"/>
  <c r="D800" i="5"/>
  <c r="C800" i="5"/>
  <c r="B800" i="5"/>
  <c r="L800" i="5" s="1"/>
  <c r="A800" i="5"/>
  <c r="K799" i="5"/>
  <c r="J799" i="5"/>
  <c r="I799" i="5"/>
  <c r="H799" i="5"/>
  <c r="G799" i="5"/>
  <c r="F799" i="5"/>
  <c r="E799" i="5"/>
  <c r="D799" i="5"/>
  <c r="C799" i="5"/>
  <c r="B799" i="5"/>
  <c r="L799" i="5" s="1"/>
  <c r="A799" i="5"/>
  <c r="K798" i="5"/>
  <c r="J798" i="5"/>
  <c r="I798" i="5"/>
  <c r="H798" i="5"/>
  <c r="G798" i="5"/>
  <c r="F798" i="5"/>
  <c r="E798" i="5"/>
  <c r="D798" i="5"/>
  <c r="C798" i="5"/>
  <c r="B798" i="5"/>
  <c r="L798" i="5" s="1"/>
  <c r="A798" i="5"/>
  <c r="K797" i="5"/>
  <c r="J797" i="5"/>
  <c r="I797" i="5"/>
  <c r="H797" i="5"/>
  <c r="G797" i="5"/>
  <c r="F797" i="5"/>
  <c r="E797" i="5"/>
  <c r="D797" i="5"/>
  <c r="C797" i="5"/>
  <c r="B797" i="5"/>
  <c r="L797" i="5" s="1"/>
  <c r="A797" i="5"/>
  <c r="K796" i="5"/>
  <c r="J796" i="5"/>
  <c r="I796" i="5"/>
  <c r="H796" i="5"/>
  <c r="G796" i="5"/>
  <c r="F796" i="5"/>
  <c r="E796" i="5"/>
  <c r="D796" i="5"/>
  <c r="C796" i="5"/>
  <c r="B796" i="5"/>
  <c r="L796" i="5" s="1"/>
  <c r="A796" i="5"/>
  <c r="K795" i="5"/>
  <c r="J795" i="5"/>
  <c r="I795" i="5"/>
  <c r="H795" i="5"/>
  <c r="G795" i="5"/>
  <c r="F795" i="5"/>
  <c r="E795" i="5"/>
  <c r="D795" i="5"/>
  <c r="C795" i="5"/>
  <c r="B795" i="5"/>
  <c r="L795" i="5" s="1"/>
  <c r="A795" i="5"/>
  <c r="K794" i="5"/>
  <c r="J794" i="5"/>
  <c r="I794" i="5"/>
  <c r="H794" i="5"/>
  <c r="G794" i="5"/>
  <c r="F794" i="5"/>
  <c r="E794" i="5"/>
  <c r="D794" i="5"/>
  <c r="C794" i="5"/>
  <c r="B794" i="5"/>
  <c r="L794" i="5" s="1"/>
  <c r="A794" i="5"/>
  <c r="K793" i="5"/>
  <c r="J793" i="5"/>
  <c r="I793" i="5"/>
  <c r="H793" i="5"/>
  <c r="G793" i="5"/>
  <c r="F793" i="5"/>
  <c r="E793" i="5"/>
  <c r="D793" i="5"/>
  <c r="C793" i="5"/>
  <c r="B793" i="5"/>
  <c r="L793" i="5" s="1"/>
  <c r="A793" i="5"/>
  <c r="K792" i="5"/>
  <c r="J792" i="5"/>
  <c r="I792" i="5"/>
  <c r="H792" i="5"/>
  <c r="G792" i="5"/>
  <c r="F792" i="5"/>
  <c r="E792" i="5"/>
  <c r="D792" i="5"/>
  <c r="C792" i="5"/>
  <c r="B792" i="5"/>
  <c r="L792" i="5" s="1"/>
  <c r="A792" i="5"/>
  <c r="K791" i="5"/>
  <c r="J791" i="5"/>
  <c r="I791" i="5"/>
  <c r="H791" i="5"/>
  <c r="G791" i="5"/>
  <c r="F791" i="5"/>
  <c r="E791" i="5"/>
  <c r="D791" i="5"/>
  <c r="C791" i="5"/>
  <c r="B791" i="5"/>
  <c r="L791" i="5" s="1"/>
  <c r="A791" i="5"/>
  <c r="K790" i="5"/>
  <c r="J790" i="5"/>
  <c r="I790" i="5"/>
  <c r="H790" i="5"/>
  <c r="G790" i="5"/>
  <c r="F790" i="5"/>
  <c r="E790" i="5"/>
  <c r="D790" i="5"/>
  <c r="C790" i="5"/>
  <c r="B790" i="5"/>
  <c r="L790" i="5" s="1"/>
  <c r="A790" i="5"/>
  <c r="K789" i="5"/>
  <c r="J789" i="5"/>
  <c r="I789" i="5"/>
  <c r="H789" i="5"/>
  <c r="G789" i="5"/>
  <c r="F789" i="5"/>
  <c r="E789" i="5"/>
  <c r="D789" i="5"/>
  <c r="C789" i="5"/>
  <c r="B789" i="5"/>
  <c r="L789" i="5" s="1"/>
  <c r="A789" i="5"/>
  <c r="K788" i="5"/>
  <c r="J788" i="5"/>
  <c r="I788" i="5"/>
  <c r="H788" i="5"/>
  <c r="G788" i="5"/>
  <c r="F788" i="5"/>
  <c r="E788" i="5"/>
  <c r="D788" i="5"/>
  <c r="C788" i="5"/>
  <c r="B788" i="5"/>
  <c r="L788" i="5" s="1"/>
  <c r="A788" i="5"/>
  <c r="K787" i="5"/>
  <c r="J787" i="5"/>
  <c r="I787" i="5"/>
  <c r="H787" i="5"/>
  <c r="G787" i="5"/>
  <c r="F787" i="5"/>
  <c r="E787" i="5"/>
  <c r="D787" i="5"/>
  <c r="C787" i="5"/>
  <c r="B787" i="5"/>
  <c r="L787" i="5" s="1"/>
  <c r="A787" i="5"/>
  <c r="K786" i="5"/>
  <c r="J786" i="5"/>
  <c r="I786" i="5"/>
  <c r="H786" i="5"/>
  <c r="G786" i="5"/>
  <c r="F786" i="5"/>
  <c r="E786" i="5"/>
  <c r="D786" i="5"/>
  <c r="C786" i="5"/>
  <c r="B786" i="5"/>
  <c r="L786" i="5" s="1"/>
  <c r="A786" i="5"/>
  <c r="K785" i="5"/>
  <c r="J785" i="5"/>
  <c r="I785" i="5"/>
  <c r="H785" i="5"/>
  <c r="G785" i="5"/>
  <c r="F785" i="5"/>
  <c r="E785" i="5"/>
  <c r="D785" i="5"/>
  <c r="C785" i="5"/>
  <c r="B785" i="5"/>
  <c r="L785" i="5" s="1"/>
  <c r="A785" i="5"/>
  <c r="K784" i="5"/>
  <c r="J784" i="5"/>
  <c r="I784" i="5"/>
  <c r="H784" i="5"/>
  <c r="G784" i="5"/>
  <c r="F784" i="5"/>
  <c r="E784" i="5"/>
  <c r="D784" i="5"/>
  <c r="C784" i="5"/>
  <c r="B784" i="5"/>
  <c r="L784" i="5" s="1"/>
  <c r="A784" i="5"/>
  <c r="K783" i="5"/>
  <c r="J783" i="5"/>
  <c r="I783" i="5"/>
  <c r="H783" i="5"/>
  <c r="G783" i="5"/>
  <c r="F783" i="5"/>
  <c r="E783" i="5"/>
  <c r="D783" i="5"/>
  <c r="C783" i="5"/>
  <c r="B783" i="5"/>
  <c r="L783" i="5" s="1"/>
  <c r="A783" i="5"/>
  <c r="K782" i="5"/>
  <c r="J782" i="5"/>
  <c r="I782" i="5"/>
  <c r="H782" i="5"/>
  <c r="G782" i="5"/>
  <c r="F782" i="5"/>
  <c r="E782" i="5"/>
  <c r="D782" i="5"/>
  <c r="C782" i="5"/>
  <c r="B782" i="5"/>
  <c r="L782" i="5" s="1"/>
  <c r="A782" i="5"/>
  <c r="K781" i="5"/>
  <c r="J781" i="5"/>
  <c r="I781" i="5"/>
  <c r="H781" i="5"/>
  <c r="G781" i="5"/>
  <c r="F781" i="5"/>
  <c r="E781" i="5"/>
  <c r="D781" i="5"/>
  <c r="C781" i="5"/>
  <c r="B781" i="5"/>
  <c r="L781" i="5" s="1"/>
  <c r="A781" i="5"/>
  <c r="K780" i="5"/>
  <c r="J780" i="5"/>
  <c r="I780" i="5"/>
  <c r="H780" i="5"/>
  <c r="G780" i="5"/>
  <c r="F780" i="5"/>
  <c r="E780" i="5"/>
  <c r="D780" i="5"/>
  <c r="C780" i="5"/>
  <c r="B780" i="5"/>
  <c r="L780" i="5" s="1"/>
  <c r="A780" i="5"/>
  <c r="K779" i="5"/>
  <c r="J779" i="5"/>
  <c r="I779" i="5"/>
  <c r="H779" i="5"/>
  <c r="G779" i="5"/>
  <c r="F779" i="5"/>
  <c r="E779" i="5"/>
  <c r="D779" i="5"/>
  <c r="C779" i="5"/>
  <c r="B779" i="5"/>
  <c r="L779" i="5" s="1"/>
  <c r="A779" i="5"/>
  <c r="K778" i="5"/>
  <c r="J778" i="5"/>
  <c r="I778" i="5"/>
  <c r="H778" i="5"/>
  <c r="G778" i="5"/>
  <c r="F778" i="5"/>
  <c r="E778" i="5"/>
  <c r="D778" i="5"/>
  <c r="C778" i="5"/>
  <c r="B778" i="5"/>
  <c r="L778" i="5" s="1"/>
  <c r="A778" i="5"/>
  <c r="K777" i="5"/>
  <c r="J777" i="5"/>
  <c r="I777" i="5"/>
  <c r="H777" i="5"/>
  <c r="G777" i="5"/>
  <c r="F777" i="5"/>
  <c r="E777" i="5"/>
  <c r="D777" i="5"/>
  <c r="C777" i="5"/>
  <c r="B777" i="5"/>
  <c r="L777" i="5" s="1"/>
  <c r="A777" i="5"/>
  <c r="K776" i="5"/>
  <c r="J776" i="5"/>
  <c r="I776" i="5"/>
  <c r="H776" i="5"/>
  <c r="G776" i="5"/>
  <c r="F776" i="5"/>
  <c r="E776" i="5"/>
  <c r="D776" i="5"/>
  <c r="C776" i="5"/>
  <c r="B776" i="5"/>
  <c r="L776" i="5" s="1"/>
  <c r="A776" i="5"/>
  <c r="K775" i="5"/>
  <c r="J775" i="5"/>
  <c r="I775" i="5"/>
  <c r="H775" i="5"/>
  <c r="G775" i="5"/>
  <c r="F775" i="5"/>
  <c r="E775" i="5"/>
  <c r="D775" i="5"/>
  <c r="C775" i="5"/>
  <c r="B775" i="5"/>
  <c r="L775" i="5" s="1"/>
  <c r="A775" i="5"/>
  <c r="K774" i="5"/>
  <c r="J774" i="5"/>
  <c r="I774" i="5"/>
  <c r="H774" i="5"/>
  <c r="G774" i="5"/>
  <c r="F774" i="5"/>
  <c r="E774" i="5"/>
  <c r="D774" i="5"/>
  <c r="C774" i="5"/>
  <c r="B774" i="5"/>
  <c r="L774" i="5" s="1"/>
  <c r="A774" i="5"/>
  <c r="K773" i="5"/>
  <c r="J773" i="5"/>
  <c r="I773" i="5"/>
  <c r="H773" i="5"/>
  <c r="G773" i="5"/>
  <c r="F773" i="5"/>
  <c r="E773" i="5"/>
  <c r="D773" i="5"/>
  <c r="C773" i="5"/>
  <c r="B773" i="5"/>
  <c r="L773" i="5" s="1"/>
  <c r="A773" i="5"/>
  <c r="K772" i="5"/>
  <c r="J772" i="5"/>
  <c r="I772" i="5"/>
  <c r="H772" i="5"/>
  <c r="G772" i="5"/>
  <c r="F772" i="5"/>
  <c r="E772" i="5"/>
  <c r="D772" i="5"/>
  <c r="C772" i="5"/>
  <c r="B772" i="5"/>
  <c r="L772" i="5" s="1"/>
  <c r="A772" i="5"/>
  <c r="K771" i="5"/>
  <c r="J771" i="5"/>
  <c r="I771" i="5"/>
  <c r="H771" i="5"/>
  <c r="G771" i="5"/>
  <c r="F771" i="5"/>
  <c r="E771" i="5"/>
  <c r="D771" i="5"/>
  <c r="C771" i="5"/>
  <c r="B771" i="5"/>
  <c r="L771" i="5" s="1"/>
  <c r="A771" i="5"/>
  <c r="K770" i="5"/>
  <c r="J770" i="5"/>
  <c r="I770" i="5"/>
  <c r="H770" i="5"/>
  <c r="G770" i="5"/>
  <c r="F770" i="5"/>
  <c r="E770" i="5"/>
  <c r="D770" i="5"/>
  <c r="C770" i="5"/>
  <c r="B770" i="5"/>
  <c r="L770" i="5" s="1"/>
  <c r="A770" i="5"/>
  <c r="K769" i="5"/>
  <c r="J769" i="5"/>
  <c r="I769" i="5"/>
  <c r="H769" i="5"/>
  <c r="G769" i="5"/>
  <c r="F769" i="5"/>
  <c r="E769" i="5"/>
  <c r="D769" i="5"/>
  <c r="C769" i="5"/>
  <c r="B769" i="5"/>
  <c r="L769" i="5" s="1"/>
  <c r="A769" i="5"/>
  <c r="K768" i="5"/>
  <c r="J768" i="5"/>
  <c r="I768" i="5"/>
  <c r="H768" i="5"/>
  <c r="G768" i="5"/>
  <c r="F768" i="5"/>
  <c r="E768" i="5"/>
  <c r="D768" i="5"/>
  <c r="C768" i="5"/>
  <c r="B768" i="5"/>
  <c r="L768" i="5" s="1"/>
  <c r="A768" i="5"/>
  <c r="K767" i="5"/>
  <c r="J767" i="5"/>
  <c r="I767" i="5"/>
  <c r="H767" i="5"/>
  <c r="G767" i="5"/>
  <c r="F767" i="5"/>
  <c r="E767" i="5"/>
  <c r="D767" i="5"/>
  <c r="C767" i="5"/>
  <c r="B767" i="5"/>
  <c r="L767" i="5" s="1"/>
  <c r="A767" i="5"/>
  <c r="K766" i="5"/>
  <c r="J766" i="5"/>
  <c r="I766" i="5"/>
  <c r="H766" i="5"/>
  <c r="G766" i="5"/>
  <c r="F766" i="5"/>
  <c r="E766" i="5"/>
  <c r="D766" i="5"/>
  <c r="C766" i="5"/>
  <c r="B766" i="5"/>
  <c r="L766" i="5" s="1"/>
  <c r="A766" i="5"/>
  <c r="K765" i="5"/>
  <c r="J765" i="5"/>
  <c r="I765" i="5"/>
  <c r="H765" i="5"/>
  <c r="G765" i="5"/>
  <c r="F765" i="5"/>
  <c r="E765" i="5"/>
  <c r="D765" i="5"/>
  <c r="C765" i="5"/>
  <c r="B765" i="5"/>
  <c r="L765" i="5" s="1"/>
  <c r="A765" i="5"/>
  <c r="K764" i="5"/>
  <c r="J764" i="5"/>
  <c r="I764" i="5"/>
  <c r="H764" i="5"/>
  <c r="G764" i="5"/>
  <c r="F764" i="5"/>
  <c r="E764" i="5"/>
  <c r="D764" i="5"/>
  <c r="C764" i="5"/>
  <c r="B764" i="5"/>
  <c r="L764" i="5" s="1"/>
  <c r="A764" i="5"/>
  <c r="K763" i="5"/>
  <c r="J763" i="5"/>
  <c r="I763" i="5"/>
  <c r="H763" i="5"/>
  <c r="G763" i="5"/>
  <c r="F763" i="5"/>
  <c r="E763" i="5"/>
  <c r="D763" i="5"/>
  <c r="C763" i="5"/>
  <c r="B763" i="5"/>
  <c r="L763" i="5" s="1"/>
  <c r="A763" i="5"/>
  <c r="K762" i="5"/>
  <c r="J762" i="5"/>
  <c r="I762" i="5"/>
  <c r="H762" i="5"/>
  <c r="G762" i="5"/>
  <c r="F762" i="5"/>
  <c r="E762" i="5"/>
  <c r="D762" i="5"/>
  <c r="C762" i="5"/>
  <c r="B762" i="5"/>
  <c r="L762" i="5" s="1"/>
  <c r="A762" i="5"/>
  <c r="K761" i="5"/>
  <c r="J761" i="5"/>
  <c r="I761" i="5"/>
  <c r="H761" i="5"/>
  <c r="G761" i="5"/>
  <c r="F761" i="5"/>
  <c r="E761" i="5"/>
  <c r="D761" i="5"/>
  <c r="C761" i="5"/>
  <c r="B761" i="5"/>
  <c r="L761" i="5" s="1"/>
  <c r="A761" i="5"/>
  <c r="K760" i="5"/>
  <c r="J760" i="5"/>
  <c r="I760" i="5"/>
  <c r="H760" i="5"/>
  <c r="G760" i="5"/>
  <c r="F760" i="5"/>
  <c r="E760" i="5"/>
  <c r="D760" i="5"/>
  <c r="C760" i="5"/>
  <c r="B760" i="5"/>
  <c r="L760" i="5" s="1"/>
  <c r="A760" i="5"/>
  <c r="K759" i="5"/>
  <c r="J759" i="5"/>
  <c r="I759" i="5"/>
  <c r="H759" i="5"/>
  <c r="G759" i="5"/>
  <c r="F759" i="5"/>
  <c r="E759" i="5"/>
  <c r="D759" i="5"/>
  <c r="C759" i="5"/>
  <c r="B759" i="5"/>
  <c r="L759" i="5" s="1"/>
  <c r="A759" i="5"/>
  <c r="K758" i="5"/>
  <c r="J758" i="5"/>
  <c r="I758" i="5"/>
  <c r="H758" i="5"/>
  <c r="G758" i="5"/>
  <c r="F758" i="5"/>
  <c r="E758" i="5"/>
  <c r="D758" i="5"/>
  <c r="C758" i="5"/>
  <c r="B758" i="5"/>
  <c r="L758" i="5" s="1"/>
  <c r="A758" i="5"/>
  <c r="K757" i="5"/>
  <c r="J757" i="5"/>
  <c r="I757" i="5"/>
  <c r="H757" i="5"/>
  <c r="G757" i="5"/>
  <c r="F757" i="5"/>
  <c r="E757" i="5"/>
  <c r="D757" i="5"/>
  <c r="C757" i="5"/>
  <c r="B757" i="5"/>
  <c r="L757" i="5" s="1"/>
  <c r="A757" i="5"/>
  <c r="K756" i="5"/>
  <c r="J756" i="5"/>
  <c r="I756" i="5"/>
  <c r="H756" i="5"/>
  <c r="G756" i="5"/>
  <c r="F756" i="5"/>
  <c r="E756" i="5"/>
  <c r="D756" i="5"/>
  <c r="C756" i="5"/>
  <c r="B756" i="5"/>
  <c r="L756" i="5" s="1"/>
  <c r="A756" i="5"/>
  <c r="K755" i="5"/>
  <c r="J755" i="5"/>
  <c r="I755" i="5"/>
  <c r="H755" i="5"/>
  <c r="G755" i="5"/>
  <c r="F755" i="5"/>
  <c r="E755" i="5"/>
  <c r="D755" i="5"/>
  <c r="C755" i="5"/>
  <c r="B755" i="5"/>
  <c r="L755" i="5" s="1"/>
  <c r="A755" i="5"/>
  <c r="K754" i="5"/>
  <c r="J754" i="5"/>
  <c r="I754" i="5"/>
  <c r="H754" i="5"/>
  <c r="G754" i="5"/>
  <c r="F754" i="5"/>
  <c r="E754" i="5"/>
  <c r="D754" i="5"/>
  <c r="C754" i="5"/>
  <c r="B754" i="5"/>
  <c r="L754" i="5" s="1"/>
  <c r="A754" i="5"/>
  <c r="K753" i="5"/>
  <c r="J753" i="5"/>
  <c r="I753" i="5"/>
  <c r="H753" i="5"/>
  <c r="G753" i="5"/>
  <c r="F753" i="5"/>
  <c r="E753" i="5"/>
  <c r="D753" i="5"/>
  <c r="C753" i="5"/>
  <c r="B753" i="5"/>
  <c r="L753" i="5" s="1"/>
  <c r="A753" i="5"/>
  <c r="K752" i="5"/>
  <c r="J752" i="5"/>
  <c r="I752" i="5"/>
  <c r="H752" i="5"/>
  <c r="G752" i="5"/>
  <c r="F752" i="5"/>
  <c r="E752" i="5"/>
  <c r="D752" i="5"/>
  <c r="C752" i="5"/>
  <c r="B752" i="5"/>
  <c r="L752" i="5" s="1"/>
  <c r="A752" i="5"/>
  <c r="K751" i="5"/>
  <c r="J751" i="5"/>
  <c r="I751" i="5"/>
  <c r="H751" i="5"/>
  <c r="G751" i="5"/>
  <c r="F751" i="5"/>
  <c r="E751" i="5"/>
  <c r="D751" i="5"/>
  <c r="C751" i="5"/>
  <c r="B751" i="5"/>
  <c r="L751" i="5" s="1"/>
  <c r="A751" i="5"/>
  <c r="K750" i="5"/>
  <c r="J750" i="5"/>
  <c r="I750" i="5"/>
  <c r="H750" i="5"/>
  <c r="G750" i="5"/>
  <c r="F750" i="5"/>
  <c r="E750" i="5"/>
  <c r="D750" i="5"/>
  <c r="C750" i="5"/>
  <c r="B750" i="5"/>
  <c r="L750" i="5" s="1"/>
  <c r="A750" i="5"/>
  <c r="K749" i="5"/>
  <c r="J749" i="5"/>
  <c r="I749" i="5"/>
  <c r="H749" i="5"/>
  <c r="G749" i="5"/>
  <c r="F749" i="5"/>
  <c r="E749" i="5"/>
  <c r="D749" i="5"/>
  <c r="C749" i="5"/>
  <c r="B749" i="5"/>
  <c r="L749" i="5" s="1"/>
  <c r="A749" i="5"/>
  <c r="K748" i="5"/>
  <c r="J748" i="5"/>
  <c r="I748" i="5"/>
  <c r="H748" i="5"/>
  <c r="G748" i="5"/>
  <c r="F748" i="5"/>
  <c r="E748" i="5"/>
  <c r="D748" i="5"/>
  <c r="C748" i="5"/>
  <c r="B748" i="5"/>
  <c r="L748" i="5" s="1"/>
  <c r="A748" i="5"/>
  <c r="K747" i="5"/>
  <c r="J747" i="5"/>
  <c r="I747" i="5"/>
  <c r="H747" i="5"/>
  <c r="G747" i="5"/>
  <c r="F747" i="5"/>
  <c r="E747" i="5"/>
  <c r="D747" i="5"/>
  <c r="C747" i="5"/>
  <c r="B747" i="5"/>
  <c r="L747" i="5" s="1"/>
  <c r="A747" i="5"/>
  <c r="K746" i="5"/>
  <c r="J746" i="5"/>
  <c r="I746" i="5"/>
  <c r="H746" i="5"/>
  <c r="G746" i="5"/>
  <c r="F746" i="5"/>
  <c r="E746" i="5"/>
  <c r="D746" i="5"/>
  <c r="C746" i="5"/>
  <c r="B746" i="5"/>
  <c r="L746" i="5" s="1"/>
  <c r="A746" i="5"/>
  <c r="K745" i="5"/>
  <c r="J745" i="5"/>
  <c r="I745" i="5"/>
  <c r="H745" i="5"/>
  <c r="G745" i="5"/>
  <c r="F745" i="5"/>
  <c r="E745" i="5"/>
  <c r="D745" i="5"/>
  <c r="C745" i="5"/>
  <c r="B745" i="5"/>
  <c r="L745" i="5" s="1"/>
  <c r="A745" i="5"/>
  <c r="K744" i="5"/>
  <c r="J744" i="5"/>
  <c r="I744" i="5"/>
  <c r="H744" i="5"/>
  <c r="G744" i="5"/>
  <c r="F744" i="5"/>
  <c r="E744" i="5"/>
  <c r="D744" i="5"/>
  <c r="C744" i="5"/>
  <c r="B744" i="5"/>
  <c r="L744" i="5" s="1"/>
  <c r="A744" i="5"/>
  <c r="K743" i="5"/>
  <c r="J743" i="5"/>
  <c r="I743" i="5"/>
  <c r="H743" i="5"/>
  <c r="G743" i="5"/>
  <c r="F743" i="5"/>
  <c r="E743" i="5"/>
  <c r="D743" i="5"/>
  <c r="C743" i="5"/>
  <c r="B743" i="5"/>
  <c r="L743" i="5" s="1"/>
  <c r="A743" i="5"/>
  <c r="K742" i="5"/>
  <c r="J742" i="5"/>
  <c r="I742" i="5"/>
  <c r="H742" i="5"/>
  <c r="G742" i="5"/>
  <c r="F742" i="5"/>
  <c r="E742" i="5"/>
  <c r="D742" i="5"/>
  <c r="C742" i="5"/>
  <c r="B742" i="5"/>
  <c r="L742" i="5" s="1"/>
  <c r="A742" i="5"/>
  <c r="K741" i="5"/>
  <c r="J741" i="5"/>
  <c r="I741" i="5"/>
  <c r="H741" i="5"/>
  <c r="G741" i="5"/>
  <c r="F741" i="5"/>
  <c r="E741" i="5"/>
  <c r="D741" i="5"/>
  <c r="C741" i="5"/>
  <c r="B741" i="5"/>
  <c r="L741" i="5" s="1"/>
  <c r="A741" i="5"/>
  <c r="K740" i="5"/>
  <c r="J740" i="5"/>
  <c r="I740" i="5"/>
  <c r="H740" i="5"/>
  <c r="G740" i="5"/>
  <c r="F740" i="5"/>
  <c r="E740" i="5"/>
  <c r="D740" i="5"/>
  <c r="C740" i="5"/>
  <c r="B740" i="5"/>
  <c r="L740" i="5" s="1"/>
  <c r="A740" i="5"/>
  <c r="K739" i="5"/>
  <c r="J739" i="5"/>
  <c r="I739" i="5"/>
  <c r="H739" i="5"/>
  <c r="G739" i="5"/>
  <c r="F739" i="5"/>
  <c r="E739" i="5"/>
  <c r="D739" i="5"/>
  <c r="C739" i="5"/>
  <c r="B739" i="5"/>
  <c r="L739" i="5" s="1"/>
  <c r="A739" i="5"/>
  <c r="K738" i="5"/>
  <c r="J738" i="5"/>
  <c r="I738" i="5"/>
  <c r="H738" i="5"/>
  <c r="G738" i="5"/>
  <c r="F738" i="5"/>
  <c r="E738" i="5"/>
  <c r="D738" i="5"/>
  <c r="C738" i="5"/>
  <c r="B738" i="5"/>
  <c r="L738" i="5" s="1"/>
  <c r="A738" i="5"/>
  <c r="K737" i="5"/>
  <c r="J737" i="5"/>
  <c r="I737" i="5"/>
  <c r="H737" i="5"/>
  <c r="G737" i="5"/>
  <c r="F737" i="5"/>
  <c r="E737" i="5"/>
  <c r="D737" i="5"/>
  <c r="C737" i="5"/>
  <c r="B737" i="5"/>
  <c r="L737" i="5" s="1"/>
  <c r="A737" i="5"/>
  <c r="K736" i="5"/>
  <c r="J736" i="5"/>
  <c r="I736" i="5"/>
  <c r="H736" i="5"/>
  <c r="G736" i="5"/>
  <c r="F736" i="5"/>
  <c r="E736" i="5"/>
  <c r="D736" i="5"/>
  <c r="C736" i="5"/>
  <c r="B736" i="5"/>
  <c r="L736" i="5" s="1"/>
  <c r="A736" i="5"/>
  <c r="K735" i="5"/>
  <c r="J735" i="5"/>
  <c r="I735" i="5"/>
  <c r="H735" i="5"/>
  <c r="G735" i="5"/>
  <c r="F735" i="5"/>
  <c r="E735" i="5"/>
  <c r="D735" i="5"/>
  <c r="C735" i="5"/>
  <c r="B735" i="5"/>
  <c r="L735" i="5" s="1"/>
  <c r="A735" i="5"/>
  <c r="K734" i="5"/>
  <c r="J734" i="5"/>
  <c r="I734" i="5"/>
  <c r="H734" i="5"/>
  <c r="G734" i="5"/>
  <c r="F734" i="5"/>
  <c r="E734" i="5"/>
  <c r="D734" i="5"/>
  <c r="C734" i="5"/>
  <c r="B734" i="5"/>
  <c r="L734" i="5" s="1"/>
  <c r="A734" i="5"/>
  <c r="K733" i="5"/>
  <c r="J733" i="5"/>
  <c r="I733" i="5"/>
  <c r="H733" i="5"/>
  <c r="G733" i="5"/>
  <c r="F733" i="5"/>
  <c r="E733" i="5"/>
  <c r="D733" i="5"/>
  <c r="C733" i="5"/>
  <c r="B733" i="5"/>
  <c r="L733" i="5" s="1"/>
  <c r="A733" i="5"/>
  <c r="K732" i="5"/>
  <c r="J732" i="5"/>
  <c r="I732" i="5"/>
  <c r="H732" i="5"/>
  <c r="G732" i="5"/>
  <c r="F732" i="5"/>
  <c r="E732" i="5"/>
  <c r="D732" i="5"/>
  <c r="C732" i="5"/>
  <c r="B732" i="5"/>
  <c r="L732" i="5" s="1"/>
  <c r="A732" i="5"/>
  <c r="K731" i="5"/>
  <c r="J731" i="5"/>
  <c r="I731" i="5"/>
  <c r="H731" i="5"/>
  <c r="G731" i="5"/>
  <c r="F731" i="5"/>
  <c r="E731" i="5"/>
  <c r="D731" i="5"/>
  <c r="C731" i="5"/>
  <c r="B731" i="5"/>
  <c r="L731" i="5" s="1"/>
  <c r="A731" i="5"/>
  <c r="K730" i="5"/>
  <c r="J730" i="5"/>
  <c r="I730" i="5"/>
  <c r="H730" i="5"/>
  <c r="G730" i="5"/>
  <c r="F730" i="5"/>
  <c r="E730" i="5"/>
  <c r="D730" i="5"/>
  <c r="C730" i="5"/>
  <c r="B730" i="5"/>
  <c r="L730" i="5" s="1"/>
  <c r="A730" i="5"/>
  <c r="K729" i="5"/>
  <c r="J729" i="5"/>
  <c r="I729" i="5"/>
  <c r="H729" i="5"/>
  <c r="G729" i="5"/>
  <c r="F729" i="5"/>
  <c r="E729" i="5"/>
  <c r="D729" i="5"/>
  <c r="C729" i="5"/>
  <c r="B729" i="5"/>
  <c r="L729" i="5" s="1"/>
  <c r="A729" i="5"/>
  <c r="K728" i="5"/>
  <c r="J728" i="5"/>
  <c r="I728" i="5"/>
  <c r="H728" i="5"/>
  <c r="G728" i="5"/>
  <c r="F728" i="5"/>
  <c r="E728" i="5"/>
  <c r="D728" i="5"/>
  <c r="C728" i="5"/>
  <c r="B728" i="5"/>
  <c r="L728" i="5" s="1"/>
  <c r="A728" i="5"/>
  <c r="K727" i="5"/>
  <c r="J727" i="5"/>
  <c r="I727" i="5"/>
  <c r="H727" i="5"/>
  <c r="G727" i="5"/>
  <c r="F727" i="5"/>
  <c r="E727" i="5"/>
  <c r="D727" i="5"/>
  <c r="C727" i="5"/>
  <c r="B727" i="5"/>
  <c r="L727" i="5" s="1"/>
  <c r="A727" i="5"/>
  <c r="K726" i="5"/>
  <c r="J726" i="5"/>
  <c r="I726" i="5"/>
  <c r="H726" i="5"/>
  <c r="G726" i="5"/>
  <c r="F726" i="5"/>
  <c r="E726" i="5"/>
  <c r="D726" i="5"/>
  <c r="C726" i="5"/>
  <c r="B726" i="5"/>
  <c r="L726" i="5" s="1"/>
  <c r="A726" i="5"/>
  <c r="K725" i="5"/>
  <c r="J725" i="5"/>
  <c r="I725" i="5"/>
  <c r="H725" i="5"/>
  <c r="G725" i="5"/>
  <c r="F725" i="5"/>
  <c r="E725" i="5"/>
  <c r="D725" i="5"/>
  <c r="C725" i="5"/>
  <c r="B725" i="5"/>
  <c r="L725" i="5" s="1"/>
  <c r="A725" i="5"/>
  <c r="K724" i="5"/>
  <c r="J724" i="5"/>
  <c r="I724" i="5"/>
  <c r="H724" i="5"/>
  <c r="G724" i="5"/>
  <c r="F724" i="5"/>
  <c r="E724" i="5"/>
  <c r="D724" i="5"/>
  <c r="C724" i="5"/>
  <c r="B724" i="5"/>
  <c r="L724" i="5" s="1"/>
  <c r="A724" i="5"/>
  <c r="K723" i="5"/>
  <c r="J723" i="5"/>
  <c r="I723" i="5"/>
  <c r="H723" i="5"/>
  <c r="G723" i="5"/>
  <c r="F723" i="5"/>
  <c r="E723" i="5"/>
  <c r="D723" i="5"/>
  <c r="C723" i="5"/>
  <c r="B723" i="5"/>
  <c r="L723" i="5" s="1"/>
  <c r="A723" i="5"/>
  <c r="K722" i="5"/>
  <c r="J722" i="5"/>
  <c r="I722" i="5"/>
  <c r="H722" i="5"/>
  <c r="G722" i="5"/>
  <c r="F722" i="5"/>
  <c r="E722" i="5"/>
  <c r="D722" i="5"/>
  <c r="C722" i="5"/>
  <c r="B722" i="5"/>
  <c r="L722" i="5" s="1"/>
  <c r="A722" i="5"/>
  <c r="K721" i="5"/>
  <c r="J721" i="5"/>
  <c r="I721" i="5"/>
  <c r="H721" i="5"/>
  <c r="G721" i="5"/>
  <c r="F721" i="5"/>
  <c r="E721" i="5"/>
  <c r="D721" i="5"/>
  <c r="C721" i="5"/>
  <c r="B721" i="5"/>
  <c r="L721" i="5" s="1"/>
  <c r="A721" i="5"/>
  <c r="K720" i="5"/>
  <c r="J720" i="5"/>
  <c r="I720" i="5"/>
  <c r="H720" i="5"/>
  <c r="G720" i="5"/>
  <c r="F720" i="5"/>
  <c r="E720" i="5"/>
  <c r="D720" i="5"/>
  <c r="C720" i="5"/>
  <c r="B720" i="5"/>
  <c r="L720" i="5" s="1"/>
  <c r="A720" i="5"/>
  <c r="K719" i="5"/>
  <c r="J719" i="5"/>
  <c r="I719" i="5"/>
  <c r="H719" i="5"/>
  <c r="G719" i="5"/>
  <c r="F719" i="5"/>
  <c r="E719" i="5"/>
  <c r="D719" i="5"/>
  <c r="C719" i="5"/>
  <c r="B719" i="5"/>
  <c r="L719" i="5" s="1"/>
  <c r="A719" i="5"/>
  <c r="K718" i="5"/>
  <c r="J718" i="5"/>
  <c r="I718" i="5"/>
  <c r="H718" i="5"/>
  <c r="G718" i="5"/>
  <c r="F718" i="5"/>
  <c r="E718" i="5"/>
  <c r="D718" i="5"/>
  <c r="C718" i="5"/>
  <c r="B718" i="5"/>
  <c r="L718" i="5" s="1"/>
  <c r="A718" i="5"/>
  <c r="K717" i="5"/>
  <c r="J717" i="5"/>
  <c r="I717" i="5"/>
  <c r="H717" i="5"/>
  <c r="G717" i="5"/>
  <c r="F717" i="5"/>
  <c r="E717" i="5"/>
  <c r="D717" i="5"/>
  <c r="C717" i="5"/>
  <c r="B717" i="5"/>
  <c r="L717" i="5" s="1"/>
  <c r="A717" i="5"/>
  <c r="K716" i="5"/>
  <c r="J716" i="5"/>
  <c r="I716" i="5"/>
  <c r="H716" i="5"/>
  <c r="G716" i="5"/>
  <c r="F716" i="5"/>
  <c r="E716" i="5"/>
  <c r="D716" i="5"/>
  <c r="C716" i="5"/>
  <c r="B716" i="5"/>
  <c r="L716" i="5" s="1"/>
  <c r="A716" i="5"/>
  <c r="K715" i="5"/>
  <c r="J715" i="5"/>
  <c r="I715" i="5"/>
  <c r="H715" i="5"/>
  <c r="G715" i="5"/>
  <c r="F715" i="5"/>
  <c r="E715" i="5"/>
  <c r="D715" i="5"/>
  <c r="C715" i="5"/>
  <c r="B715" i="5"/>
  <c r="L715" i="5" s="1"/>
  <c r="A715" i="5"/>
  <c r="K714" i="5"/>
  <c r="J714" i="5"/>
  <c r="I714" i="5"/>
  <c r="H714" i="5"/>
  <c r="G714" i="5"/>
  <c r="F714" i="5"/>
  <c r="E714" i="5"/>
  <c r="D714" i="5"/>
  <c r="C714" i="5"/>
  <c r="B714" i="5"/>
  <c r="L714" i="5" s="1"/>
  <c r="A714" i="5"/>
  <c r="K713" i="5"/>
  <c r="J713" i="5"/>
  <c r="I713" i="5"/>
  <c r="H713" i="5"/>
  <c r="G713" i="5"/>
  <c r="F713" i="5"/>
  <c r="E713" i="5"/>
  <c r="D713" i="5"/>
  <c r="C713" i="5"/>
  <c r="B713" i="5"/>
  <c r="L713" i="5" s="1"/>
  <c r="A713" i="5"/>
  <c r="K712" i="5"/>
  <c r="J712" i="5"/>
  <c r="I712" i="5"/>
  <c r="H712" i="5"/>
  <c r="G712" i="5"/>
  <c r="F712" i="5"/>
  <c r="E712" i="5"/>
  <c r="D712" i="5"/>
  <c r="C712" i="5"/>
  <c r="B712" i="5"/>
  <c r="L712" i="5" s="1"/>
  <c r="A712" i="5"/>
  <c r="K711" i="5"/>
  <c r="J711" i="5"/>
  <c r="I711" i="5"/>
  <c r="H711" i="5"/>
  <c r="G711" i="5"/>
  <c r="F711" i="5"/>
  <c r="E711" i="5"/>
  <c r="D711" i="5"/>
  <c r="C711" i="5"/>
  <c r="B711" i="5"/>
  <c r="L711" i="5" s="1"/>
  <c r="A711" i="5"/>
  <c r="K710" i="5"/>
  <c r="J710" i="5"/>
  <c r="I710" i="5"/>
  <c r="H710" i="5"/>
  <c r="G710" i="5"/>
  <c r="F710" i="5"/>
  <c r="E710" i="5"/>
  <c r="D710" i="5"/>
  <c r="C710" i="5"/>
  <c r="B710" i="5"/>
  <c r="L710" i="5" s="1"/>
  <c r="A710" i="5"/>
  <c r="K709" i="5"/>
  <c r="J709" i="5"/>
  <c r="I709" i="5"/>
  <c r="H709" i="5"/>
  <c r="G709" i="5"/>
  <c r="F709" i="5"/>
  <c r="E709" i="5"/>
  <c r="D709" i="5"/>
  <c r="C709" i="5"/>
  <c r="B709" i="5"/>
  <c r="L709" i="5" s="1"/>
  <c r="A709" i="5"/>
  <c r="K708" i="5"/>
  <c r="J708" i="5"/>
  <c r="I708" i="5"/>
  <c r="H708" i="5"/>
  <c r="G708" i="5"/>
  <c r="F708" i="5"/>
  <c r="E708" i="5"/>
  <c r="D708" i="5"/>
  <c r="C708" i="5"/>
  <c r="B708" i="5"/>
  <c r="L708" i="5" s="1"/>
  <c r="A708" i="5"/>
  <c r="K707" i="5"/>
  <c r="J707" i="5"/>
  <c r="I707" i="5"/>
  <c r="H707" i="5"/>
  <c r="G707" i="5"/>
  <c r="F707" i="5"/>
  <c r="E707" i="5"/>
  <c r="D707" i="5"/>
  <c r="C707" i="5"/>
  <c r="B707" i="5"/>
  <c r="L707" i="5" s="1"/>
  <c r="A707" i="5"/>
  <c r="K706" i="5"/>
  <c r="J706" i="5"/>
  <c r="I706" i="5"/>
  <c r="H706" i="5"/>
  <c r="G706" i="5"/>
  <c r="F706" i="5"/>
  <c r="E706" i="5"/>
  <c r="D706" i="5"/>
  <c r="C706" i="5"/>
  <c r="B706" i="5"/>
  <c r="L706" i="5" s="1"/>
  <c r="A706" i="5"/>
  <c r="K705" i="5"/>
  <c r="J705" i="5"/>
  <c r="I705" i="5"/>
  <c r="H705" i="5"/>
  <c r="G705" i="5"/>
  <c r="F705" i="5"/>
  <c r="E705" i="5"/>
  <c r="D705" i="5"/>
  <c r="C705" i="5"/>
  <c r="B705" i="5"/>
  <c r="L705" i="5" s="1"/>
  <c r="A705" i="5"/>
  <c r="K704" i="5"/>
  <c r="J704" i="5"/>
  <c r="I704" i="5"/>
  <c r="H704" i="5"/>
  <c r="G704" i="5"/>
  <c r="F704" i="5"/>
  <c r="E704" i="5"/>
  <c r="D704" i="5"/>
  <c r="C704" i="5"/>
  <c r="B704" i="5"/>
  <c r="L704" i="5" s="1"/>
  <c r="A704" i="5"/>
  <c r="K703" i="5"/>
  <c r="J703" i="5"/>
  <c r="I703" i="5"/>
  <c r="H703" i="5"/>
  <c r="G703" i="5"/>
  <c r="F703" i="5"/>
  <c r="E703" i="5"/>
  <c r="D703" i="5"/>
  <c r="C703" i="5"/>
  <c r="B703" i="5"/>
  <c r="L703" i="5" s="1"/>
  <c r="A703" i="5"/>
  <c r="K702" i="5"/>
  <c r="J702" i="5"/>
  <c r="I702" i="5"/>
  <c r="H702" i="5"/>
  <c r="G702" i="5"/>
  <c r="F702" i="5"/>
  <c r="E702" i="5"/>
  <c r="D702" i="5"/>
  <c r="C702" i="5"/>
  <c r="B702" i="5"/>
  <c r="L702" i="5" s="1"/>
  <c r="A702" i="5"/>
  <c r="K701" i="5"/>
  <c r="J701" i="5"/>
  <c r="I701" i="5"/>
  <c r="H701" i="5"/>
  <c r="G701" i="5"/>
  <c r="F701" i="5"/>
  <c r="E701" i="5"/>
  <c r="D701" i="5"/>
  <c r="C701" i="5"/>
  <c r="B701" i="5"/>
  <c r="L701" i="5" s="1"/>
  <c r="A701" i="5"/>
  <c r="K700" i="5"/>
  <c r="J700" i="5"/>
  <c r="I700" i="5"/>
  <c r="H700" i="5"/>
  <c r="G700" i="5"/>
  <c r="F700" i="5"/>
  <c r="E700" i="5"/>
  <c r="D700" i="5"/>
  <c r="C700" i="5"/>
  <c r="B700" i="5"/>
  <c r="L700" i="5" s="1"/>
  <c r="A700" i="5"/>
  <c r="K699" i="5"/>
  <c r="J699" i="5"/>
  <c r="I699" i="5"/>
  <c r="H699" i="5"/>
  <c r="G699" i="5"/>
  <c r="F699" i="5"/>
  <c r="E699" i="5"/>
  <c r="D699" i="5"/>
  <c r="C699" i="5"/>
  <c r="B699" i="5"/>
  <c r="L699" i="5" s="1"/>
  <c r="A699" i="5"/>
  <c r="K698" i="5"/>
  <c r="J698" i="5"/>
  <c r="I698" i="5"/>
  <c r="H698" i="5"/>
  <c r="G698" i="5"/>
  <c r="F698" i="5"/>
  <c r="E698" i="5"/>
  <c r="D698" i="5"/>
  <c r="C698" i="5"/>
  <c r="B698" i="5"/>
  <c r="L698" i="5" s="1"/>
  <c r="A698" i="5"/>
  <c r="K697" i="5"/>
  <c r="J697" i="5"/>
  <c r="I697" i="5"/>
  <c r="H697" i="5"/>
  <c r="G697" i="5"/>
  <c r="F697" i="5"/>
  <c r="E697" i="5"/>
  <c r="D697" i="5"/>
  <c r="C697" i="5"/>
  <c r="B697" i="5"/>
  <c r="L697" i="5" s="1"/>
  <c r="A697" i="5"/>
  <c r="K696" i="5"/>
  <c r="J696" i="5"/>
  <c r="I696" i="5"/>
  <c r="H696" i="5"/>
  <c r="G696" i="5"/>
  <c r="F696" i="5"/>
  <c r="E696" i="5"/>
  <c r="D696" i="5"/>
  <c r="C696" i="5"/>
  <c r="B696" i="5"/>
  <c r="L696" i="5" s="1"/>
  <c r="A696" i="5"/>
  <c r="K695" i="5"/>
  <c r="J695" i="5"/>
  <c r="I695" i="5"/>
  <c r="H695" i="5"/>
  <c r="G695" i="5"/>
  <c r="F695" i="5"/>
  <c r="E695" i="5"/>
  <c r="D695" i="5"/>
  <c r="C695" i="5"/>
  <c r="B695" i="5"/>
  <c r="L695" i="5" s="1"/>
  <c r="A695" i="5"/>
  <c r="K694" i="5"/>
  <c r="J694" i="5"/>
  <c r="I694" i="5"/>
  <c r="H694" i="5"/>
  <c r="G694" i="5"/>
  <c r="F694" i="5"/>
  <c r="E694" i="5"/>
  <c r="D694" i="5"/>
  <c r="C694" i="5"/>
  <c r="B694" i="5"/>
  <c r="L694" i="5" s="1"/>
  <c r="A694" i="5"/>
  <c r="K693" i="5"/>
  <c r="J693" i="5"/>
  <c r="I693" i="5"/>
  <c r="H693" i="5"/>
  <c r="G693" i="5"/>
  <c r="F693" i="5"/>
  <c r="E693" i="5"/>
  <c r="D693" i="5"/>
  <c r="C693" i="5"/>
  <c r="B693" i="5"/>
  <c r="L693" i="5" s="1"/>
  <c r="A693" i="5"/>
  <c r="K692" i="5"/>
  <c r="J692" i="5"/>
  <c r="I692" i="5"/>
  <c r="H692" i="5"/>
  <c r="G692" i="5"/>
  <c r="F692" i="5"/>
  <c r="E692" i="5"/>
  <c r="D692" i="5"/>
  <c r="C692" i="5"/>
  <c r="B692" i="5"/>
  <c r="L692" i="5" s="1"/>
  <c r="A692" i="5"/>
  <c r="K691" i="5"/>
  <c r="J691" i="5"/>
  <c r="I691" i="5"/>
  <c r="H691" i="5"/>
  <c r="G691" i="5"/>
  <c r="F691" i="5"/>
  <c r="E691" i="5"/>
  <c r="D691" i="5"/>
  <c r="C691" i="5"/>
  <c r="B691" i="5"/>
  <c r="L691" i="5" s="1"/>
  <c r="A691" i="5"/>
  <c r="K690" i="5"/>
  <c r="J690" i="5"/>
  <c r="I690" i="5"/>
  <c r="H690" i="5"/>
  <c r="G690" i="5"/>
  <c r="F690" i="5"/>
  <c r="E690" i="5"/>
  <c r="D690" i="5"/>
  <c r="C690" i="5"/>
  <c r="B690" i="5"/>
  <c r="L690" i="5" s="1"/>
  <c r="A690" i="5"/>
  <c r="K689" i="5"/>
  <c r="J689" i="5"/>
  <c r="I689" i="5"/>
  <c r="H689" i="5"/>
  <c r="G689" i="5"/>
  <c r="F689" i="5"/>
  <c r="E689" i="5"/>
  <c r="D689" i="5"/>
  <c r="C689" i="5"/>
  <c r="B689" i="5"/>
  <c r="L689" i="5" s="1"/>
  <c r="A689" i="5"/>
  <c r="K688" i="5"/>
  <c r="J688" i="5"/>
  <c r="I688" i="5"/>
  <c r="H688" i="5"/>
  <c r="G688" i="5"/>
  <c r="F688" i="5"/>
  <c r="E688" i="5"/>
  <c r="D688" i="5"/>
  <c r="C688" i="5"/>
  <c r="B688" i="5"/>
  <c r="L688" i="5" s="1"/>
  <c r="A688" i="5"/>
  <c r="K687" i="5"/>
  <c r="J687" i="5"/>
  <c r="I687" i="5"/>
  <c r="H687" i="5"/>
  <c r="G687" i="5"/>
  <c r="F687" i="5"/>
  <c r="E687" i="5"/>
  <c r="D687" i="5"/>
  <c r="C687" i="5"/>
  <c r="B687" i="5"/>
  <c r="L687" i="5" s="1"/>
  <c r="A687" i="5"/>
  <c r="K686" i="5"/>
  <c r="J686" i="5"/>
  <c r="I686" i="5"/>
  <c r="H686" i="5"/>
  <c r="G686" i="5"/>
  <c r="F686" i="5"/>
  <c r="E686" i="5"/>
  <c r="D686" i="5"/>
  <c r="C686" i="5"/>
  <c r="B686" i="5"/>
  <c r="L686" i="5" s="1"/>
  <c r="A686" i="5"/>
  <c r="K685" i="5"/>
  <c r="J685" i="5"/>
  <c r="I685" i="5"/>
  <c r="H685" i="5"/>
  <c r="G685" i="5"/>
  <c r="F685" i="5"/>
  <c r="E685" i="5"/>
  <c r="D685" i="5"/>
  <c r="C685" i="5"/>
  <c r="B685" i="5"/>
  <c r="L685" i="5" s="1"/>
  <c r="A685" i="5"/>
  <c r="K684" i="5"/>
  <c r="J684" i="5"/>
  <c r="I684" i="5"/>
  <c r="H684" i="5"/>
  <c r="G684" i="5"/>
  <c r="F684" i="5"/>
  <c r="E684" i="5"/>
  <c r="D684" i="5"/>
  <c r="C684" i="5"/>
  <c r="B684" i="5"/>
  <c r="L684" i="5" s="1"/>
  <c r="A684" i="5"/>
  <c r="K683" i="5"/>
  <c r="J683" i="5"/>
  <c r="I683" i="5"/>
  <c r="H683" i="5"/>
  <c r="G683" i="5"/>
  <c r="F683" i="5"/>
  <c r="E683" i="5"/>
  <c r="D683" i="5"/>
  <c r="C683" i="5"/>
  <c r="B683" i="5"/>
  <c r="L683" i="5" s="1"/>
  <c r="A683" i="5"/>
  <c r="K682" i="5"/>
  <c r="J682" i="5"/>
  <c r="I682" i="5"/>
  <c r="H682" i="5"/>
  <c r="G682" i="5"/>
  <c r="F682" i="5"/>
  <c r="E682" i="5"/>
  <c r="D682" i="5"/>
  <c r="C682" i="5"/>
  <c r="B682" i="5"/>
  <c r="L682" i="5" s="1"/>
  <c r="A682" i="5"/>
  <c r="K681" i="5"/>
  <c r="J681" i="5"/>
  <c r="I681" i="5"/>
  <c r="H681" i="5"/>
  <c r="G681" i="5"/>
  <c r="F681" i="5"/>
  <c r="E681" i="5"/>
  <c r="D681" i="5"/>
  <c r="C681" i="5"/>
  <c r="B681" i="5"/>
  <c r="L681" i="5" s="1"/>
  <c r="A681" i="5"/>
  <c r="K680" i="5"/>
  <c r="J680" i="5"/>
  <c r="I680" i="5"/>
  <c r="H680" i="5"/>
  <c r="G680" i="5"/>
  <c r="F680" i="5"/>
  <c r="E680" i="5"/>
  <c r="D680" i="5"/>
  <c r="C680" i="5"/>
  <c r="B680" i="5"/>
  <c r="L680" i="5" s="1"/>
  <c r="A680" i="5"/>
  <c r="K679" i="5"/>
  <c r="J679" i="5"/>
  <c r="I679" i="5"/>
  <c r="H679" i="5"/>
  <c r="G679" i="5"/>
  <c r="F679" i="5"/>
  <c r="E679" i="5"/>
  <c r="D679" i="5"/>
  <c r="C679" i="5"/>
  <c r="B679" i="5"/>
  <c r="L679" i="5" s="1"/>
  <c r="A679" i="5"/>
  <c r="K678" i="5"/>
  <c r="J678" i="5"/>
  <c r="I678" i="5"/>
  <c r="H678" i="5"/>
  <c r="G678" i="5"/>
  <c r="F678" i="5"/>
  <c r="E678" i="5"/>
  <c r="D678" i="5"/>
  <c r="C678" i="5"/>
  <c r="B678" i="5"/>
  <c r="L678" i="5" s="1"/>
  <c r="A678" i="5"/>
  <c r="K677" i="5"/>
  <c r="J677" i="5"/>
  <c r="I677" i="5"/>
  <c r="H677" i="5"/>
  <c r="G677" i="5"/>
  <c r="F677" i="5"/>
  <c r="E677" i="5"/>
  <c r="D677" i="5"/>
  <c r="C677" i="5"/>
  <c r="B677" i="5"/>
  <c r="L677" i="5" s="1"/>
  <c r="A677" i="5"/>
  <c r="K676" i="5"/>
  <c r="J676" i="5"/>
  <c r="I676" i="5"/>
  <c r="H676" i="5"/>
  <c r="G676" i="5"/>
  <c r="F676" i="5"/>
  <c r="E676" i="5"/>
  <c r="D676" i="5"/>
  <c r="C676" i="5"/>
  <c r="B676" i="5"/>
  <c r="L676" i="5" s="1"/>
  <c r="A676" i="5"/>
  <c r="K675" i="5"/>
  <c r="J675" i="5"/>
  <c r="I675" i="5"/>
  <c r="H675" i="5"/>
  <c r="G675" i="5"/>
  <c r="F675" i="5"/>
  <c r="E675" i="5"/>
  <c r="D675" i="5"/>
  <c r="C675" i="5"/>
  <c r="B675" i="5"/>
  <c r="L675" i="5" s="1"/>
  <c r="A675" i="5"/>
  <c r="K674" i="5"/>
  <c r="J674" i="5"/>
  <c r="I674" i="5"/>
  <c r="H674" i="5"/>
  <c r="G674" i="5"/>
  <c r="F674" i="5"/>
  <c r="E674" i="5"/>
  <c r="D674" i="5"/>
  <c r="C674" i="5"/>
  <c r="B674" i="5"/>
  <c r="L674" i="5" s="1"/>
  <c r="A674" i="5"/>
  <c r="K673" i="5"/>
  <c r="J673" i="5"/>
  <c r="I673" i="5"/>
  <c r="H673" i="5"/>
  <c r="G673" i="5"/>
  <c r="F673" i="5"/>
  <c r="E673" i="5"/>
  <c r="D673" i="5"/>
  <c r="C673" i="5"/>
  <c r="B673" i="5"/>
  <c r="L673" i="5" s="1"/>
  <c r="A673" i="5"/>
  <c r="K672" i="5"/>
  <c r="J672" i="5"/>
  <c r="I672" i="5"/>
  <c r="H672" i="5"/>
  <c r="G672" i="5"/>
  <c r="F672" i="5"/>
  <c r="E672" i="5"/>
  <c r="D672" i="5"/>
  <c r="C672" i="5"/>
  <c r="B672" i="5"/>
  <c r="L672" i="5" s="1"/>
  <c r="A672" i="5"/>
  <c r="K671" i="5"/>
  <c r="J671" i="5"/>
  <c r="I671" i="5"/>
  <c r="H671" i="5"/>
  <c r="G671" i="5"/>
  <c r="F671" i="5"/>
  <c r="E671" i="5"/>
  <c r="D671" i="5"/>
  <c r="C671" i="5"/>
  <c r="B671" i="5"/>
  <c r="L671" i="5" s="1"/>
  <c r="A671" i="5"/>
  <c r="K670" i="5"/>
  <c r="J670" i="5"/>
  <c r="I670" i="5"/>
  <c r="H670" i="5"/>
  <c r="G670" i="5"/>
  <c r="F670" i="5"/>
  <c r="E670" i="5"/>
  <c r="D670" i="5"/>
  <c r="C670" i="5"/>
  <c r="B670" i="5"/>
  <c r="L670" i="5" s="1"/>
  <c r="A670" i="5"/>
  <c r="K669" i="5"/>
  <c r="J669" i="5"/>
  <c r="I669" i="5"/>
  <c r="H669" i="5"/>
  <c r="G669" i="5"/>
  <c r="F669" i="5"/>
  <c r="E669" i="5"/>
  <c r="D669" i="5"/>
  <c r="C669" i="5"/>
  <c r="B669" i="5"/>
  <c r="L669" i="5" s="1"/>
  <c r="A669" i="5"/>
  <c r="K668" i="5"/>
  <c r="J668" i="5"/>
  <c r="I668" i="5"/>
  <c r="H668" i="5"/>
  <c r="G668" i="5"/>
  <c r="F668" i="5"/>
  <c r="E668" i="5"/>
  <c r="D668" i="5"/>
  <c r="C668" i="5"/>
  <c r="B668" i="5"/>
  <c r="L668" i="5" s="1"/>
  <c r="A668" i="5"/>
  <c r="K667" i="5"/>
  <c r="J667" i="5"/>
  <c r="I667" i="5"/>
  <c r="H667" i="5"/>
  <c r="G667" i="5"/>
  <c r="F667" i="5"/>
  <c r="E667" i="5"/>
  <c r="D667" i="5"/>
  <c r="C667" i="5"/>
  <c r="B667" i="5"/>
  <c r="L667" i="5" s="1"/>
  <c r="A667" i="5"/>
  <c r="K666" i="5"/>
  <c r="J666" i="5"/>
  <c r="I666" i="5"/>
  <c r="H666" i="5"/>
  <c r="G666" i="5"/>
  <c r="F666" i="5"/>
  <c r="E666" i="5"/>
  <c r="D666" i="5"/>
  <c r="C666" i="5"/>
  <c r="B666" i="5"/>
  <c r="L666" i="5" s="1"/>
  <c r="A666" i="5"/>
  <c r="K665" i="5"/>
  <c r="J665" i="5"/>
  <c r="I665" i="5"/>
  <c r="H665" i="5"/>
  <c r="G665" i="5"/>
  <c r="F665" i="5"/>
  <c r="E665" i="5"/>
  <c r="D665" i="5"/>
  <c r="C665" i="5"/>
  <c r="B665" i="5"/>
  <c r="L665" i="5" s="1"/>
  <c r="A665" i="5"/>
  <c r="K664" i="5"/>
  <c r="J664" i="5"/>
  <c r="I664" i="5"/>
  <c r="H664" i="5"/>
  <c r="G664" i="5"/>
  <c r="F664" i="5"/>
  <c r="E664" i="5"/>
  <c r="D664" i="5"/>
  <c r="C664" i="5"/>
  <c r="B664" i="5"/>
  <c r="L664" i="5" s="1"/>
  <c r="A664" i="5"/>
  <c r="K663" i="5"/>
  <c r="J663" i="5"/>
  <c r="I663" i="5"/>
  <c r="H663" i="5"/>
  <c r="G663" i="5"/>
  <c r="F663" i="5"/>
  <c r="E663" i="5"/>
  <c r="D663" i="5"/>
  <c r="C663" i="5"/>
  <c r="B663" i="5"/>
  <c r="L663" i="5" s="1"/>
  <c r="A663" i="5"/>
  <c r="K662" i="5"/>
  <c r="J662" i="5"/>
  <c r="I662" i="5"/>
  <c r="H662" i="5"/>
  <c r="G662" i="5"/>
  <c r="F662" i="5"/>
  <c r="E662" i="5"/>
  <c r="D662" i="5"/>
  <c r="C662" i="5"/>
  <c r="B662" i="5"/>
  <c r="L662" i="5" s="1"/>
  <c r="A662" i="5"/>
  <c r="K661" i="5"/>
  <c r="J661" i="5"/>
  <c r="I661" i="5"/>
  <c r="H661" i="5"/>
  <c r="G661" i="5"/>
  <c r="F661" i="5"/>
  <c r="E661" i="5"/>
  <c r="D661" i="5"/>
  <c r="C661" i="5"/>
  <c r="B661" i="5"/>
  <c r="L661" i="5" s="1"/>
  <c r="A661" i="5"/>
  <c r="K660" i="5"/>
  <c r="J660" i="5"/>
  <c r="I660" i="5"/>
  <c r="H660" i="5"/>
  <c r="G660" i="5"/>
  <c r="F660" i="5"/>
  <c r="E660" i="5"/>
  <c r="D660" i="5"/>
  <c r="C660" i="5"/>
  <c r="B660" i="5"/>
  <c r="L660" i="5" s="1"/>
  <c r="A660" i="5"/>
  <c r="K659" i="5"/>
  <c r="J659" i="5"/>
  <c r="I659" i="5"/>
  <c r="H659" i="5"/>
  <c r="G659" i="5"/>
  <c r="F659" i="5"/>
  <c r="E659" i="5"/>
  <c r="D659" i="5"/>
  <c r="C659" i="5"/>
  <c r="B659" i="5"/>
  <c r="L659" i="5" s="1"/>
  <c r="A659" i="5"/>
  <c r="K658" i="5"/>
  <c r="J658" i="5"/>
  <c r="I658" i="5"/>
  <c r="H658" i="5"/>
  <c r="G658" i="5"/>
  <c r="F658" i="5"/>
  <c r="E658" i="5"/>
  <c r="D658" i="5"/>
  <c r="C658" i="5"/>
  <c r="B658" i="5"/>
  <c r="L658" i="5" s="1"/>
  <c r="A658" i="5"/>
  <c r="K657" i="5"/>
  <c r="J657" i="5"/>
  <c r="I657" i="5"/>
  <c r="H657" i="5"/>
  <c r="G657" i="5"/>
  <c r="F657" i="5"/>
  <c r="E657" i="5"/>
  <c r="D657" i="5"/>
  <c r="C657" i="5"/>
  <c r="B657" i="5"/>
  <c r="L657" i="5" s="1"/>
  <c r="A657" i="5"/>
  <c r="K656" i="5"/>
  <c r="J656" i="5"/>
  <c r="I656" i="5"/>
  <c r="H656" i="5"/>
  <c r="G656" i="5"/>
  <c r="F656" i="5"/>
  <c r="E656" i="5"/>
  <c r="D656" i="5"/>
  <c r="C656" i="5"/>
  <c r="B656" i="5"/>
  <c r="L656" i="5" s="1"/>
  <c r="A656" i="5"/>
  <c r="K655" i="5"/>
  <c r="J655" i="5"/>
  <c r="I655" i="5"/>
  <c r="H655" i="5"/>
  <c r="G655" i="5"/>
  <c r="F655" i="5"/>
  <c r="E655" i="5"/>
  <c r="D655" i="5"/>
  <c r="C655" i="5"/>
  <c r="B655" i="5"/>
  <c r="L655" i="5" s="1"/>
  <c r="A655" i="5"/>
  <c r="K654" i="5"/>
  <c r="J654" i="5"/>
  <c r="I654" i="5"/>
  <c r="H654" i="5"/>
  <c r="G654" i="5"/>
  <c r="F654" i="5"/>
  <c r="E654" i="5"/>
  <c r="D654" i="5"/>
  <c r="C654" i="5"/>
  <c r="B654" i="5"/>
  <c r="L654" i="5" s="1"/>
  <c r="A654" i="5"/>
  <c r="K653" i="5"/>
  <c r="J653" i="5"/>
  <c r="I653" i="5"/>
  <c r="H653" i="5"/>
  <c r="G653" i="5"/>
  <c r="F653" i="5"/>
  <c r="E653" i="5"/>
  <c r="D653" i="5"/>
  <c r="C653" i="5"/>
  <c r="B653" i="5"/>
  <c r="L653" i="5" s="1"/>
  <c r="A653" i="5"/>
  <c r="K652" i="5"/>
  <c r="J652" i="5"/>
  <c r="I652" i="5"/>
  <c r="H652" i="5"/>
  <c r="G652" i="5"/>
  <c r="F652" i="5"/>
  <c r="E652" i="5"/>
  <c r="D652" i="5"/>
  <c r="C652" i="5"/>
  <c r="B652" i="5"/>
  <c r="L652" i="5" s="1"/>
  <c r="A652" i="5"/>
  <c r="K651" i="5"/>
  <c r="J651" i="5"/>
  <c r="I651" i="5"/>
  <c r="H651" i="5"/>
  <c r="G651" i="5"/>
  <c r="F651" i="5"/>
  <c r="E651" i="5"/>
  <c r="D651" i="5"/>
  <c r="C651" i="5"/>
  <c r="B651" i="5"/>
  <c r="L651" i="5" s="1"/>
  <c r="A651" i="5"/>
  <c r="K650" i="5"/>
  <c r="J650" i="5"/>
  <c r="I650" i="5"/>
  <c r="H650" i="5"/>
  <c r="G650" i="5"/>
  <c r="F650" i="5"/>
  <c r="E650" i="5"/>
  <c r="D650" i="5"/>
  <c r="C650" i="5"/>
  <c r="B650" i="5"/>
  <c r="L650" i="5" s="1"/>
  <c r="A650" i="5"/>
  <c r="K649" i="5"/>
  <c r="J649" i="5"/>
  <c r="I649" i="5"/>
  <c r="H649" i="5"/>
  <c r="G649" i="5"/>
  <c r="F649" i="5"/>
  <c r="E649" i="5"/>
  <c r="D649" i="5"/>
  <c r="C649" i="5"/>
  <c r="B649" i="5"/>
  <c r="L649" i="5" s="1"/>
  <c r="A649" i="5"/>
  <c r="K648" i="5"/>
  <c r="J648" i="5"/>
  <c r="I648" i="5"/>
  <c r="H648" i="5"/>
  <c r="G648" i="5"/>
  <c r="F648" i="5"/>
  <c r="E648" i="5"/>
  <c r="D648" i="5"/>
  <c r="C648" i="5"/>
  <c r="B648" i="5"/>
  <c r="L648" i="5" s="1"/>
  <c r="A648" i="5"/>
  <c r="K647" i="5"/>
  <c r="J647" i="5"/>
  <c r="I647" i="5"/>
  <c r="H647" i="5"/>
  <c r="G647" i="5"/>
  <c r="F647" i="5"/>
  <c r="E647" i="5"/>
  <c r="D647" i="5"/>
  <c r="C647" i="5"/>
  <c r="B647" i="5"/>
  <c r="L647" i="5" s="1"/>
  <c r="A647" i="5"/>
  <c r="K646" i="5"/>
  <c r="J646" i="5"/>
  <c r="I646" i="5"/>
  <c r="H646" i="5"/>
  <c r="G646" i="5"/>
  <c r="F646" i="5"/>
  <c r="E646" i="5"/>
  <c r="D646" i="5"/>
  <c r="C646" i="5"/>
  <c r="B646" i="5"/>
  <c r="L646" i="5" s="1"/>
  <c r="A646" i="5"/>
  <c r="K645" i="5"/>
  <c r="J645" i="5"/>
  <c r="I645" i="5"/>
  <c r="H645" i="5"/>
  <c r="G645" i="5"/>
  <c r="F645" i="5"/>
  <c r="E645" i="5"/>
  <c r="D645" i="5"/>
  <c r="C645" i="5"/>
  <c r="B645" i="5"/>
  <c r="L645" i="5" s="1"/>
  <c r="A645" i="5"/>
  <c r="K644" i="5"/>
  <c r="J644" i="5"/>
  <c r="I644" i="5"/>
  <c r="H644" i="5"/>
  <c r="G644" i="5"/>
  <c r="F644" i="5"/>
  <c r="E644" i="5"/>
  <c r="D644" i="5"/>
  <c r="C644" i="5"/>
  <c r="B644" i="5"/>
  <c r="L644" i="5" s="1"/>
  <c r="A644" i="5"/>
  <c r="K643" i="5"/>
  <c r="J643" i="5"/>
  <c r="I643" i="5"/>
  <c r="H643" i="5"/>
  <c r="G643" i="5"/>
  <c r="F643" i="5"/>
  <c r="E643" i="5"/>
  <c r="D643" i="5"/>
  <c r="C643" i="5"/>
  <c r="B643" i="5"/>
  <c r="L643" i="5" s="1"/>
  <c r="A643" i="5"/>
  <c r="K642" i="5"/>
  <c r="J642" i="5"/>
  <c r="I642" i="5"/>
  <c r="H642" i="5"/>
  <c r="G642" i="5"/>
  <c r="F642" i="5"/>
  <c r="E642" i="5"/>
  <c r="D642" i="5"/>
  <c r="C642" i="5"/>
  <c r="B642" i="5"/>
  <c r="L642" i="5" s="1"/>
  <c r="A642" i="5"/>
  <c r="K641" i="5"/>
  <c r="J641" i="5"/>
  <c r="I641" i="5"/>
  <c r="H641" i="5"/>
  <c r="G641" i="5"/>
  <c r="F641" i="5"/>
  <c r="E641" i="5"/>
  <c r="D641" i="5"/>
  <c r="C641" i="5"/>
  <c r="B641" i="5"/>
  <c r="L641" i="5" s="1"/>
  <c r="A641" i="5"/>
  <c r="K640" i="5"/>
  <c r="J640" i="5"/>
  <c r="I640" i="5"/>
  <c r="H640" i="5"/>
  <c r="G640" i="5"/>
  <c r="F640" i="5"/>
  <c r="E640" i="5"/>
  <c r="D640" i="5"/>
  <c r="C640" i="5"/>
  <c r="B640" i="5"/>
  <c r="L640" i="5" s="1"/>
  <c r="A640" i="5"/>
  <c r="K639" i="5"/>
  <c r="J639" i="5"/>
  <c r="I639" i="5"/>
  <c r="H639" i="5"/>
  <c r="G639" i="5"/>
  <c r="F639" i="5"/>
  <c r="E639" i="5"/>
  <c r="D639" i="5"/>
  <c r="C639" i="5"/>
  <c r="B639" i="5"/>
  <c r="L639" i="5" s="1"/>
  <c r="A639" i="5"/>
  <c r="K638" i="5"/>
  <c r="J638" i="5"/>
  <c r="I638" i="5"/>
  <c r="H638" i="5"/>
  <c r="G638" i="5"/>
  <c r="F638" i="5"/>
  <c r="E638" i="5"/>
  <c r="D638" i="5"/>
  <c r="C638" i="5"/>
  <c r="B638" i="5"/>
  <c r="L638" i="5" s="1"/>
  <c r="A638" i="5"/>
  <c r="K637" i="5"/>
  <c r="J637" i="5"/>
  <c r="I637" i="5"/>
  <c r="H637" i="5"/>
  <c r="G637" i="5"/>
  <c r="F637" i="5"/>
  <c r="E637" i="5"/>
  <c r="D637" i="5"/>
  <c r="C637" i="5"/>
  <c r="B637" i="5"/>
  <c r="L637" i="5" s="1"/>
  <c r="A637" i="5"/>
  <c r="K636" i="5"/>
  <c r="J636" i="5"/>
  <c r="I636" i="5"/>
  <c r="H636" i="5"/>
  <c r="G636" i="5"/>
  <c r="F636" i="5"/>
  <c r="E636" i="5"/>
  <c r="D636" i="5"/>
  <c r="C636" i="5"/>
  <c r="B636" i="5"/>
  <c r="L636" i="5" s="1"/>
  <c r="A636" i="5"/>
  <c r="K635" i="5"/>
  <c r="J635" i="5"/>
  <c r="I635" i="5"/>
  <c r="H635" i="5"/>
  <c r="G635" i="5"/>
  <c r="F635" i="5"/>
  <c r="E635" i="5"/>
  <c r="D635" i="5"/>
  <c r="C635" i="5"/>
  <c r="B635" i="5"/>
  <c r="L635" i="5" s="1"/>
  <c r="A635" i="5"/>
  <c r="K634" i="5"/>
  <c r="J634" i="5"/>
  <c r="I634" i="5"/>
  <c r="H634" i="5"/>
  <c r="G634" i="5"/>
  <c r="F634" i="5"/>
  <c r="E634" i="5"/>
  <c r="D634" i="5"/>
  <c r="C634" i="5"/>
  <c r="B634" i="5"/>
  <c r="L634" i="5" s="1"/>
  <c r="A634" i="5"/>
  <c r="K633" i="5"/>
  <c r="J633" i="5"/>
  <c r="I633" i="5"/>
  <c r="H633" i="5"/>
  <c r="G633" i="5"/>
  <c r="F633" i="5"/>
  <c r="E633" i="5"/>
  <c r="D633" i="5"/>
  <c r="C633" i="5"/>
  <c r="B633" i="5"/>
  <c r="L633" i="5" s="1"/>
  <c r="A633" i="5"/>
  <c r="K632" i="5"/>
  <c r="J632" i="5"/>
  <c r="I632" i="5"/>
  <c r="H632" i="5"/>
  <c r="G632" i="5"/>
  <c r="F632" i="5"/>
  <c r="E632" i="5"/>
  <c r="D632" i="5"/>
  <c r="C632" i="5"/>
  <c r="B632" i="5"/>
  <c r="L632" i="5" s="1"/>
  <c r="A632" i="5"/>
  <c r="K631" i="5"/>
  <c r="J631" i="5"/>
  <c r="I631" i="5"/>
  <c r="H631" i="5"/>
  <c r="G631" i="5"/>
  <c r="F631" i="5"/>
  <c r="E631" i="5"/>
  <c r="D631" i="5"/>
  <c r="C631" i="5"/>
  <c r="B631" i="5"/>
  <c r="L631" i="5" s="1"/>
  <c r="A631" i="5"/>
  <c r="K630" i="5"/>
  <c r="J630" i="5"/>
  <c r="I630" i="5"/>
  <c r="H630" i="5"/>
  <c r="G630" i="5"/>
  <c r="F630" i="5"/>
  <c r="E630" i="5"/>
  <c r="D630" i="5"/>
  <c r="C630" i="5"/>
  <c r="B630" i="5"/>
  <c r="L630" i="5" s="1"/>
  <c r="A630" i="5"/>
  <c r="K629" i="5"/>
  <c r="J629" i="5"/>
  <c r="I629" i="5"/>
  <c r="H629" i="5"/>
  <c r="G629" i="5"/>
  <c r="F629" i="5"/>
  <c r="E629" i="5"/>
  <c r="D629" i="5"/>
  <c r="C629" i="5"/>
  <c r="B629" i="5"/>
  <c r="L629" i="5" s="1"/>
  <c r="A629" i="5"/>
  <c r="K628" i="5"/>
  <c r="J628" i="5"/>
  <c r="I628" i="5"/>
  <c r="H628" i="5"/>
  <c r="G628" i="5"/>
  <c r="F628" i="5"/>
  <c r="E628" i="5"/>
  <c r="D628" i="5"/>
  <c r="C628" i="5"/>
  <c r="B628" i="5"/>
  <c r="L628" i="5" s="1"/>
  <c r="A628" i="5"/>
  <c r="K627" i="5"/>
  <c r="J627" i="5"/>
  <c r="I627" i="5"/>
  <c r="H627" i="5"/>
  <c r="G627" i="5"/>
  <c r="F627" i="5"/>
  <c r="E627" i="5"/>
  <c r="D627" i="5"/>
  <c r="C627" i="5"/>
  <c r="B627" i="5"/>
  <c r="L627" i="5" s="1"/>
  <c r="A627" i="5"/>
  <c r="K626" i="5"/>
  <c r="J626" i="5"/>
  <c r="I626" i="5"/>
  <c r="H626" i="5"/>
  <c r="G626" i="5"/>
  <c r="F626" i="5"/>
  <c r="E626" i="5"/>
  <c r="D626" i="5"/>
  <c r="C626" i="5"/>
  <c r="B626" i="5"/>
  <c r="L626" i="5" s="1"/>
  <c r="A626" i="5"/>
  <c r="K625" i="5"/>
  <c r="J625" i="5"/>
  <c r="I625" i="5"/>
  <c r="H625" i="5"/>
  <c r="G625" i="5"/>
  <c r="F625" i="5"/>
  <c r="E625" i="5"/>
  <c r="D625" i="5"/>
  <c r="C625" i="5"/>
  <c r="B625" i="5"/>
  <c r="L625" i="5" s="1"/>
  <c r="A625" i="5"/>
  <c r="K624" i="5"/>
  <c r="J624" i="5"/>
  <c r="I624" i="5"/>
  <c r="H624" i="5"/>
  <c r="G624" i="5"/>
  <c r="F624" i="5"/>
  <c r="E624" i="5"/>
  <c r="D624" i="5"/>
  <c r="C624" i="5"/>
  <c r="B624" i="5"/>
  <c r="L624" i="5" s="1"/>
  <c r="A624" i="5"/>
  <c r="K623" i="5"/>
  <c r="J623" i="5"/>
  <c r="I623" i="5"/>
  <c r="H623" i="5"/>
  <c r="G623" i="5"/>
  <c r="F623" i="5"/>
  <c r="E623" i="5"/>
  <c r="D623" i="5"/>
  <c r="C623" i="5"/>
  <c r="B623" i="5"/>
  <c r="L623" i="5" s="1"/>
  <c r="A623" i="5"/>
  <c r="K622" i="5"/>
  <c r="J622" i="5"/>
  <c r="I622" i="5"/>
  <c r="H622" i="5"/>
  <c r="G622" i="5"/>
  <c r="F622" i="5"/>
  <c r="E622" i="5"/>
  <c r="D622" i="5"/>
  <c r="C622" i="5"/>
  <c r="B622" i="5"/>
  <c r="L622" i="5" s="1"/>
  <c r="A622" i="5"/>
  <c r="K621" i="5"/>
  <c r="J621" i="5"/>
  <c r="I621" i="5"/>
  <c r="H621" i="5"/>
  <c r="G621" i="5"/>
  <c r="F621" i="5"/>
  <c r="E621" i="5"/>
  <c r="D621" i="5"/>
  <c r="C621" i="5"/>
  <c r="B621" i="5"/>
  <c r="L621" i="5" s="1"/>
  <c r="A621" i="5"/>
  <c r="K620" i="5"/>
  <c r="J620" i="5"/>
  <c r="I620" i="5"/>
  <c r="H620" i="5"/>
  <c r="G620" i="5"/>
  <c r="F620" i="5"/>
  <c r="E620" i="5"/>
  <c r="D620" i="5"/>
  <c r="C620" i="5"/>
  <c r="B620" i="5"/>
  <c r="L620" i="5" s="1"/>
  <c r="A620" i="5"/>
  <c r="K619" i="5"/>
  <c r="J619" i="5"/>
  <c r="I619" i="5"/>
  <c r="H619" i="5"/>
  <c r="G619" i="5"/>
  <c r="F619" i="5"/>
  <c r="E619" i="5"/>
  <c r="D619" i="5"/>
  <c r="C619" i="5"/>
  <c r="B619" i="5"/>
  <c r="L619" i="5" s="1"/>
  <c r="A619" i="5"/>
  <c r="K618" i="5"/>
  <c r="J618" i="5"/>
  <c r="I618" i="5"/>
  <c r="H618" i="5"/>
  <c r="G618" i="5"/>
  <c r="F618" i="5"/>
  <c r="E618" i="5"/>
  <c r="D618" i="5"/>
  <c r="C618" i="5"/>
  <c r="B618" i="5"/>
  <c r="L618" i="5" s="1"/>
  <c r="A618" i="5"/>
  <c r="K617" i="5"/>
  <c r="J617" i="5"/>
  <c r="I617" i="5"/>
  <c r="H617" i="5"/>
  <c r="G617" i="5"/>
  <c r="F617" i="5"/>
  <c r="E617" i="5"/>
  <c r="D617" i="5"/>
  <c r="C617" i="5"/>
  <c r="B617" i="5"/>
  <c r="L617" i="5" s="1"/>
  <c r="A617" i="5"/>
  <c r="K616" i="5"/>
  <c r="J616" i="5"/>
  <c r="I616" i="5"/>
  <c r="H616" i="5"/>
  <c r="G616" i="5"/>
  <c r="F616" i="5"/>
  <c r="E616" i="5"/>
  <c r="D616" i="5"/>
  <c r="C616" i="5"/>
  <c r="B616" i="5"/>
  <c r="L616" i="5" s="1"/>
  <c r="A616" i="5"/>
  <c r="K615" i="5"/>
  <c r="J615" i="5"/>
  <c r="I615" i="5"/>
  <c r="H615" i="5"/>
  <c r="G615" i="5"/>
  <c r="F615" i="5"/>
  <c r="E615" i="5"/>
  <c r="D615" i="5"/>
  <c r="C615" i="5"/>
  <c r="B615" i="5"/>
  <c r="L615" i="5" s="1"/>
  <c r="A615" i="5"/>
  <c r="K614" i="5"/>
  <c r="J614" i="5"/>
  <c r="I614" i="5"/>
  <c r="H614" i="5"/>
  <c r="G614" i="5"/>
  <c r="F614" i="5"/>
  <c r="E614" i="5"/>
  <c r="D614" i="5"/>
  <c r="C614" i="5"/>
  <c r="B614" i="5"/>
  <c r="L614" i="5" s="1"/>
  <c r="A614" i="5"/>
  <c r="K613" i="5"/>
  <c r="J613" i="5"/>
  <c r="I613" i="5"/>
  <c r="H613" i="5"/>
  <c r="G613" i="5"/>
  <c r="F613" i="5"/>
  <c r="E613" i="5"/>
  <c r="D613" i="5"/>
  <c r="C613" i="5"/>
  <c r="B613" i="5"/>
  <c r="L613" i="5" s="1"/>
  <c r="A613" i="5"/>
  <c r="K612" i="5"/>
  <c r="J612" i="5"/>
  <c r="I612" i="5"/>
  <c r="H612" i="5"/>
  <c r="G612" i="5"/>
  <c r="F612" i="5"/>
  <c r="E612" i="5"/>
  <c r="D612" i="5"/>
  <c r="C612" i="5"/>
  <c r="B612" i="5"/>
  <c r="L612" i="5" s="1"/>
  <c r="A612" i="5"/>
  <c r="K611" i="5"/>
  <c r="J611" i="5"/>
  <c r="I611" i="5"/>
  <c r="H611" i="5"/>
  <c r="G611" i="5"/>
  <c r="F611" i="5"/>
  <c r="E611" i="5"/>
  <c r="D611" i="5"/>
  <c r="C611" i="5"/>
  <c r="B611" i="5"/>
  <c r="L611" i="5" s="1"/>
  <c r="A611" i="5"/>
  <c r="K610" i="5"/>
  <c r="J610" i="5"/>
  <c r="I610" i="5"/>
  <c r="H610" i="5"/>
  <c r="G610" i="5"/>
  <c r="F610" i="5"/>
  <c r="E610" i="5"/>
  <c r="D610" i="5"/>
  <c r="C610" i="5"/>
  <c r="B610" i="5"/>
  <c r="L610" i="5" s="1"/>
  <c r="A610" i="5"/>
  <c r="K609" i="5"/>
  <c r="J609" i="5"/>
  <c r="I609" i="5"/>
  <c r="H609" i="5"/>
  <c r="G609" i="5"/>
  <c r="F609" i="5"/>
  <c r="E609" i="5"/>
  <c r="D609" i="5"/>
  <c r="C609" i="5"/>
  <c r="B609" i="5"/>
  <c r="L609" i="5" s="1"/>
  <c r="A609" i="5"/>
  <c r="K608" i="5"/>
  <c r="J608" i="5"/>
  <c r="I608" i="5"/>
  <c r="H608" i="5"/>
  <c r="G608" i="5"/>
  <c r="F608" i="5"/>
  <c r="E608" i="5"/>
  <c r="D608" i="5"/>
  <c r="C608" i="5"/>
  <c r="B608" i="5"/>
  <c r="L608" i="5" s="1"/>
  <c r="A608" i="5"/>
  <c r="K607" i="5"/>
  <c r="J607" i="5"/>
  <c r="I607" i="5"/>
  <c r="H607" i="5"/>
  <c r="G607" i="5"/>
  <c r="F607" i="5"/>
  <c r="E607" i="5"/>
  <c r="D607" i="5"/>
  <c r="C607" i="5"/>
  <c r="B607" i="5"/>
  <c r="L607" i="5" s="1"/>
  <c r="A607" i="5"/>
  <c r="K606" i="5"/>
  <c r="J606" i="5"/>
  <c r="I606" i="5"/>
  <c r="H606" i="5"/>
  <c r="G606" i="5"/>
  <c r="F606" i="5"/>
  <c r="E606" i="5"/>
  <c r="D606" i="5"/>
  <c r="C606" i="5"/>
  <c r="B606" i="5"/>
  <c r="L606" i="5" s="1"/>
  <c r="A606" i="5"/>
  <c r="K605" i="5"/>
  <c r="J605" i="5"/>
  <c r="I605" i="5"/>
  <c r="H605" i="5"/>
  <c r="G605" i="5"/>
  <c r="F605" i="5"/>
  <c r="E605" i="5"/>
  <c r="D605" i="5"/>
  <c r="C605" i="5"/>
  <c r="B605" i="5"/>
  <c r="L605" i="5" s="1"/>
  <c r="A605" i="5"/>
  <c r="K604" i="5"/>
  <c r="J604" i="5"/>
  <c r="I604" i="5"/>
  <c r="H604" i="5"/>
  <c r="G604" i="5"/>
  <c r="F604" i="5"/>
  <c r="E604" i="5"/>
  <c r="D604" i="5"/>
  <c r="C604" i="5"/>
  <c r="B604" i="5"/>
  <c r="L604" i="5" s="1"/>
  <c r="A604" i="5"/>
  <c r="K603" i="5"/>
  <c r="J603" i="5"/>
  <c r="I603" i="5"/>
  <c r="H603" i="5"/>
  <c r="G603" i="5"/>
  <c r="F603" i="5"/>
  <c r="E603" i="5"/>
  <c r="D603" i="5"/>
  <c r="C603" i="5"/>
  <c r="B603" i="5"/>
  <c r="L603" i="5" s="1"/>
  <c r="A603" i="5"/>
  <c r="K602" i="5"/>
  <c r="J602" i="5"/>
  <c r="I602" i="5"/>
  <c r="H602" i="5"/>
  <c r="G602" i="5"/>
  <c r="F602" i="5"/>
  <c r="E602" i="5"/>
  <c r="D602" i="5"/>
  <c r="C602" i="5"/>
  <c r="B602" i="5"/>
  <c r="L602" i="5" s="1"/>
  <c r="A602" i="5"/>
  <c r="K601" i="5"/>
  <c r="J601" i="5"/>
  <c r="I601" i="5"/>
  <c r="H601" i="5"/>
  <c r="G601" i="5"/>
  <c r="F601" i="5"/>
  <c r="E601" i="5"/>
  <c r="D601" i="5"/>
  <c r="C601" i="5"/>
  <c r="B601" i="5"/>
  <c r="L601" i="5" s="1"/>
  <c r="A601" i="5"/>
  <c r="K600" i="5"/>
  <c r="J600" i="5"/>
  <c r="I600" i="5"/>
  <c r="H600" i="5"/>
  <c r="G600" i="5"/>
  <c r="F600" i="5"/>
  <c r="E600" i="5"/>
  <c r="D600" i="5"/>
  <c r="C600" i="5"/>
  <c r="B600" i="5"/>
  <c r="L600" i="5" s="1"/>
  <c r="A600" i="5"/>
  <c r="K599" i="5"/>
  <c r="J599" i="5"/>
  <c r="I599" i="5"/>
  <c r="H599" i="5"/>
  <c r="G599" i="5"/>
  <c r="F599" i="5"/>
  <c r="E599" i="5"/>
  <c r="D599" i="5"/>
  <c r="C599" i="5"/>
  <c r="B599" i="5"/>
  <c r="L599" i="5" s="1"/>
  <c r="A599" i="5"/>
  <c r="K598" i="5"/>
  <c r="J598" i="5"/>
  <c r="I598" i="5"/>
  <c r="H598" i="5"/>
  <c r="G598" i="5"/>
  <c r="F598" i="5"/>
  <c r="E598" i="5"/>
  <c r="D598" i="5"/>
  <c r="C598" i="5"/>
  <c r="B598" i="5"/>
  <c r="L598" i="5" s="1"/>
  <c r="A598" i="5"/>
  <c r="K597" i="5"/>
  <c r="J597" i="5"/>
  <c r="I597" i="5"/>
  <c r="H597" i="5"/>
  <c r="G597" i="5"/>
  <c r="F597" i="5"/>
  <c r="E597" i="5"/>
  <c r="D597" i="5"/>
  <c r="C597" i="5"/>
  <c r="B597" i="5"/>
  <c r="L597" i="5" s="1"/>
  <c r="A597" i="5"/>
  <c r="K596" i="5"/>
  <c r="J596" i="5"/>
  <c r="I596" i="5"/>
  <c r="H596" i="5"/>
  <c r="G596" i="5"/>
  <c r="F596" i="5"/>
  <c r="E596" i="5"/>
  <c r="D596" i="5"/>
  <c r="C596" i="5"/>
  <c r="B596" i="5"/>
  <c r="L596" i="5" s="1"/>
  <c r="A596" i="5"/>
  <c r="K595" i="5"/>
  <c r="J595" i="5"/>
  <c r="I595" i="5"/>
  <c r="H595" i="5"/>
  <c r="G595" i="5"/>
  <c r="F595" i="5"/>
  <c r="E595" i="5"/>
  <c r="D595" i="5"/>
  <c r="C595" i="5"/>
  <c r="B595" i="5"/>
  <c r="L595" i="5" s="1"/>
  <c r="A595" i="5"/>
  <c r="K594" i="5"/>
  <c r="J594" i="5"/>
  <c r="I594" i="5"/>
  <c r="H594" i="5"/>
  <c r="G594" i="5"/>
  <c r="F594" i="5"/>
  <c r="E594" i="5"/>
  <c r="D594" i="5"/>
  <c r="C594" i="5"/>
  <c r="B594" i="5"/>
  <c r="L594" i="5" s="1"/>
  <c r="A594" i="5"/>
  <c r="K593" i="5"/>
  <c r="J593" i="5"/>
  <c r="I593" i="5"/>
  <c r="H593" i="5"/>
  <c r="G593" i="5"/>
  <c r="F593" i="5"/>
  <c r="E593" i="5"/>
  <c r="D593" i="5"/>
  <c r="C593" i="5"/>
  <c r="B593" i="5"/>
  <c r="L593" i="5" s="1"/>
  <c r="A593" i="5"/>
  <c r="K592" i="5"/>
  <c r="J592" i="5"/>
  <c r="I592" i="5"/>
  <c r="H592" i="5"/>
  <c r="G592" i="5"/>
  <c r="F592" i="5"/>
  <c r="E592" i="5"/>
  <c r="D592" i="5"/>
  <c r="C592" i="5"/>
  <c r="B592" i="5"/>
  <c r="L592" i="5" s="1"/>
  <c r="A592" i="5"/>
  <c r="K591" i="5"/>
  <c r="J591" i="5"/>
  <c r="I591" i="5"/>
  <c r="H591" i="5"/>
  <c r="G591" i="5"/>
  <c r="F591" i="5"/>
  <c r="E591" i="5"/>
  <c r="D591" i="5"/>
  <c r="C591" i="5"/>
  <c r="B591" i="5"/>
  <c r="L591" i="5" s="1"/>
  <c r="A591" i="5"/>
  <c r="K590" i="5"/>
  <c r="J590" i="5"/>
  <c r="I590" i="5"/>
  <c r="H590" i="5"/>
  <c r="G590" i="5"/>
  <c r="F590" i="5"/>
  <c r="E590" i="5"/>
  <c r="D590" i="5"/>
  <c r="C590" i="5"/>
  <c r="B590" i="5"/>
  <c r="L590" i="5" s="1"/>
  <c r="A590" i="5"/>
  <c r="K589" i="5"/>
  <c r="J589" i="5"/>
  <c r="I589" i="5"/>
  <c r="H589" i="5"/>
  <c r="G589" i="5"/>
  <c r="F589" i="5"/>
  <c r="E589" i="5"/>
  <c r="D589" i="5"/>
  <c r="C589" i="5"/>
  <c r="B589" i="5"/>
  <c r="L589" i="5" s="1"/>
  <c r="A589" i="5"/>
  <c r="K588" i="5"/>
  <c r="J588" i="5"/>
  <c r="I588" i="5"/>
  <c r="H588" i="5"/>
  <c r="G588" i="5"/>
  <c r="F588" i="5"/>
  <c r="E588" i="5"/>
  <c r="D588" i="5"/>
  <c r="C588" i="5"/>
  <c r="B588" i="5"/>
  <c r="L588" i="5" s="1"/>
  <c r="A588" i="5"/>
  <c r="K587" i="5"/>
  <c r="J587" i="5"/>
  <c r="I587" i="5"/>
  <c r="H587" i="5"/>
  <c r="G587" i="5"/>
  <c r="F587" i="5"/>
  <c r="E587" i="5"/>
  <c r="D587" i="5"/>
  <c r="C587" i="5"/>
  <c r="B587" i="5"/>
  <c r="L587" i="5" s="1"/>
  <c r="A587" i="5"/>
  <c r="K586" i="5"/>
  <c r="J586" i="5"/>
  <c r="I586" i="5"/>
  <c r="H586" i="5"/>
  <c r="G586" i="5"/>
  <c r="F586" i="5"/>
  <c r="E586" i="5"/>
  <c r="D586" i="5"/>
  <c r="C586" i="5"/>
  <c r="B586" i="5"/>
  <c r="L586" i="5" s="1"/>
  <c r="A586" i="5"/>
  <c r="K585" i="5"/>
  <c r="J585" i="5"/>
  <c r="I585" i="5"/>
  <c r="H585" i="5"/>
  <c r="G585" i="5"/>
  <c r="F585" i="5"/>
  <c r="E585" i="5"/>
  <c r="D585" i="5"/>
  <c r="C585" i="5"/>
  <c r="B585" i="5"/>
  <c r="L585" i="5" s="1"/>
  <c r="A585" i="5"/>
  <c r="K584" i="5"/>
  <c r="J584" i="5"/>
  <c r="I584" i="5"/>
  <c r="H584" i="5"/>
  <c r="G584" i="5"/>
  <c r="F584" i="5"/>
  <c r="E584" i="5"/>
  <c r="D584" i="5"/>
  <c r="C584" i="5"/>
  <c r="B584" i="5"/>
  <c r="L584" i="5" s="1"/>
  <c r="A584" i="5"/>
  <c r="K583" i="5"/>
  <c r="J583" i="5"/>
  <c r="I583" i="5"/>
  <c r="H583" i="5"/>
  <c r="G583" i="5"/>
  <c r="F583" i="5"/>
  <c r="E583" i="5"/>
  <c r="D583" i="5"/>
  <c r="C583" i="5"/>
  <c r="B583" i="5"/>
  <c r="L583" i="5" s="1"/>
  <c r="A583" i="5"/>
  <c r="K582" i="5"/>
  <c r="J582" i="5"/>
  <c r="I582" i="5"/>
  <c r="H582" i="5"/>
  <c r="G582" i="5"/>
  <c r="F582" i="5"/>
  <c r="E582" i="5"/>
  <c r="D582" i="5"/>
  <c r="C582" i="5"/>
  <c r="B582" i="5"/>
  <c r="L582" i="5" s="1"/>
  <c r="A582" i="5"/>
  <c r="K581" i="5"/>
  <c r="J581" i="5"/>
  <c r="I581" i="5"/>
  <c r="H581" i="5"/>
  <c r="G581" i="5"/>
  <c r="F581" i="5"/>
  <c r="E581" i="5"/>
  <c r="D581" i="5"/>
  <c r="C581" i="5"/>
  <c r="B581" i="5"/>
  <c r="L581" i="5" s="1"/>
  <c r="A581" i="5"/>
  <c r="K580" i="5"/>
  <c r="J580" i="5"/>
  <c r="I580" i="5"/>
  <c r="H580" i="5"/>
  <c r="G580" i="5"/>
  <c r="F580" i="5"/>
  <c r="E580" i="5"/>
  <c r="D580" i="5"/>
  <c r="C580" i="5"/>
  <c r="B580" i="5"/>
  <c r="L580" i="5" s="1"/>
  <c r="A580" i="5"/>
  <c r="K579" i="5"/>
  <c r="J579" i="5"/>
  <c r="I579" i="5"/>
  <c r="H579" i="5"/>
  <c r="G579" i="5"/>
  <c r="F579" i="5"/>
  <c r="E579" i="5"/>
  <c r="D579" i="5"/>
  <c r="C579" i="5"/>
  <c r="B579" i="5"/>
  <c r="L579" i="5" s="1"/>
  <c r="A579" i="5"/>
  <c r="K578" i="5"/>
  <c r="J578" i="5"/>
  <c r="I578" i="5"/>
  <c r="H578" i="5"/>
  <c r="G578" i="5"/>
  <c r="F578" i="5"/>
  <c r="E578" i="5"/>
  <c r="D578" i="5"/>
  <c r="C578" i="5"/>
  <c r="B578" i="5"/>
  <c r="L578" i="5" s="1"/>
  <c r="A578" i="5"/>
  <c r="K577" i="5"/>
  <c r="J577" i="5"/>
  <c r="I577" i="5"/>
  <c r="H577" i="5"/>
  <c r="G577" i="5"/>
  <c r="F577" i="5"/>
  <c r="E577" i="5"/>
  <c r="D577" i="5"/>
  <c r="C577" i="5"/>
  <c r="B577" i="5"/>
  <c r="L577" i="5" s="1"/>
  <c r="A577" i="5"/>
  <c r="K576" i="5"/>
  <c r="J576" i="5"/>
  <c r="I576" i="5"/>
  <c r="H576" i="5"/>
  <c r="G576" i="5"/>
  <c r="F576" i="5"/>
  <c r="E576" i="5"/>
  <c r="D576" i="5"/>
  <c r="C576" i="5"/>
  <c r="B576" i="5"/>
  <c r="L576" i="5" s="1"/>
  <c r="A576" i="5"/>
  <c r="K575" i="5"/>
  <c r="J575" i="5"/>
  <c r="I575" i="5"/>
  <c r="H575" i="5"/>
  <c r="G575" i="5"/>
  <c r="F575" i="5"/>
  <c r="E575" i="5"/>
  <c r="D575" i="5"/>
  <c r="C575" i="5"/>
  <c r="B575" i="5"/>
  <c r="L575" i="5" s="1"/>
  <c r="A575" i="5"/>
  <c r="K574" i="5"/>
  <c r="J574" i="5"/>
  <c r="I574" i="5"/>
  <c r="H574" i="5"/>
  <c r="G574" i="5"/>
  <c r="F574" i="5"/>
  <c r="E574" i="5"/>
  <c r="D574" i="5"/>
  <c r="C574" i="5"/>
  <c r="B574" i="5"/>
  <c r="L574" i="5" s="1"/>
  <c r="A574" i="5"/>
  <c r="K573" i="5"/>
  <c r="J573" i="5"/>
  <c r="I573" i="5"/>
  <c r="H573" i="5"/>
  <c r="G573" i="5"/>
  <c r="F573" i="5"/>
  <c r="E573" i="5"/>
  <c r="D573" i="5"/>
  <c r="C573" i="5"/>
  <c r="B573" i="5"/>
  <c r="L573" i="5" s="1"/>
  <c r="A573" i="5"/>
  <c r="K572" i="5"/>
  <c r="J572" i="5"/>
  <c r="I572" i="5"/>
  <c r="H572" i="5"/>
  <c r="G572" i="5"/>
  <c r="F572" i="5"/>
  <c r="E572" i="5"/>
  <c r="D572" i="5"/>
  <c r="C572" i="5"/>
  <c r="B572" i="5"/>
  <c r="L572" i="5" s="1"/>
  <c r="A572" i="5"/>
  <c r="K571" i="5"/>
  <c r="J571" i="5"/>
  <c r="I571" i="5"/>
  <c r="H571" i="5"/>
  <c r="G571" i="5"/>
  <c r="F571" i="5"/>
  <c r="E571" i="5"/>
  <c r="D571" i="5"/>
  <c r="C571" i="5"/>
  <c r="B571" i="5"/>
  <c r="L571" i="5" s="1"/>
  <c r="A571" i="5"/>
  <c r="K570" i="5"/>
  <c r="J570" i="5"/>
  <c r="I570" i="5"/>
  <c r="H570" i="5"/>
  <c r="G570" i="5"/>
  <c r="F570" i="5"/>
  <c r="E570" i="5"/>
  <c r="D570" i="5"/>
  <c r="C570" i="5"/>
  <c r="B570" i="5"/>
  <c r="L570" i="5" s="1"/>
  <c r="A570" i="5"/>
  <c r="K569" i="5"/>
  <c r="J569" i="5"/>
  <c r="I569" i="5"/>
  <c r="H569" i="5"/>
  <c r="G569" i="5"/>
  <c r="F569" i="5"/>
  <c r="E569" i="5"/>
  <c r="D569" i="5"/>
  <c r="C569" i="5"/>
  <c r="B569" i="5"/>
  <c r="L569" i="5" s="1"/>
  <c r="A569" i="5"/>
  <c r="K568" i="5"/>
  <c r="J568" i="5"/>
  <c r="I568" i="5"/>
  <c r="H568" i="5"/>
  <c r="G568" i="5"/>
  <c r="F568" i="5"/>
  <c r="E568" i="5"/>
  <c r="D568" i="5"/>
  <c r="C568" i="5"/>
  <c r="B568" i="5"/>
  <c r="L568" i="5" s="1"/>
  <c r="A568" i="5"/>
  <c r="K567" i="5"/>
  <c r="J567" i="5"/>
  <c r="I567" i="5"/>
  <c r="H567" i="5"/>
  <c r="G567" i="5"/>
  <c r="F567" i="5"/>
  <c r="E567" i="5"/>
  <c r="D567" i="5"/>
  <c r="C567" i="5"/>
  <c r="B567" i="5"/>
  <c r="L567" i="5" s="1"/>
  <c r="A567" i="5"/>
  <c r="K566" i="5"/>
  <c r="J566" i="5"/>
  <c r="I566" i="5"/>
  <c r="H566" i="5"/>
  <c r="G566" i="5"/>
  <c r="F566" i="5"/>
  <c r="E566" i="5"/>
  <c r="D566" i="5"/>
  <c r="C566" i="5"/>
  <c r="B566" i="5"/>
  <c r="L566" i="5" s="1"/>
  <c r="A566" i="5"/>
  <c r="K565" i="5"/>
  <c r="J565" i="5"/>
  <c r="I565" i="5"/>
  <c r="H565" i="5"/>
  <c r="G565" i="5"/>
  <c r="F565" i="5"/>
  <c r="E565" i="5"/>
  <c r="D565" i="5"/>
  <c r="C565" i="5"/>
  <c r="B565" i="5"/>
  <c r="L565" i="5" s="1"/>
  <c r="A565" i="5"/>
  <c r="K564" i="5"/>
  <c r="J564" i="5"/>
  <c r="I564" i="5"/>
  <c r="H564" i="5"/>
  <c r="G564" i="5"/>
  <c r="F564" i="5"/>
  <c r="E564" i="5"/>
  <c r="D564" i="5"/>
  <c r="C564" i="5"/>
  <c r="B564" i="5"/>
  <c r="L564" i="5" s="1"/>
  <c r="A564" i="5"/>
  <c r="K563" i="5"/>
  <c r="J563" i="5"/>
  <c r="I563" i="5"/>
  <c r="H563" i="5"/>
  <c r="G563" i="5"/>
  <c r="F563" i="5"/>
  <c r="E563" i="5"/>
  <c r="D563" i="5"/>
  <c r="C563" i="5"/>
  <c r="B563" i="5"/>
  <c r="L563" i="5" s="1"/>
  <c r="A563" i="5"/>
  <c r="K562" i="5"/>
  <c r="J562" i="5"/>
  <c r="I562" i="5"/>
  <c r="H562" i="5"/>
  <c r="G562" i="5"/>
  <c r="F562" i="5"/>
  <c r="E562" i="5"/>
  <c r="D562" i="5"/>
  <c r="C562" i="5"/>
  <c r="B562" i="5"/>
  <c r="L562" i="5" s="1"/>
  <c r="A562" i="5"/>
  <c r="K561" i="5"/>
  <c r="J561" i="5"/>
  <c r="I561" i="5"/>
  <c r="H561" i="5"/>
  <c r="G561" i="5"/>
  <c r="F561" i="5"/>
  <c r="E561" i="5"/>
  <c r="D561" i="5"/>
  <c r="C561" i="5"/>
  <c r="B561" i="5"/>
  <c r="L561" i="5" s="1"/>
  <c r="A561" i="5"/>
  <c r="K560" i="5"/>
  <c r="J560" i="5"/>
  <c r="I560" i="5"/>
  <c r="H560" i="5"/>
  <c r="G560" i="5"/>
  <c r="F560" i="5"/>
  <c r="E560" i="5"/>
  <c r="D560" i="5"/>
  <c r="C560" i="5"/>
  <c r="B560" i="5"/>
  <c r="L560" i="5" s="1"/>
  <c r="A560" i="5"/>
  <c r="K559" i="5"/>
  <c r="J559" i="5"/>
  <c r="I559" i="5"/>
  <c r="H559" i="5"/>
  <c r="G559" i="5"/>
  <c r="F559" i="5"/>
  <c r="E559" i="5"/>
  <c r="D559" i="5"/>
  <c r="C559" i="5"/>
  <c r="B559" i="5"/>
  <c r="L559" i="5" s="1"/>
  <c r="A559" i="5"/>
  <c r="K558" i="5"/>
  <c r="J558" i="5"/>
  <c r="I558" i="5"/>
  <c r="H558" i="5"/>
  <c r="G558" i="5"/>
  <c r="F558" i="5"/>
  <c r="E558" i="5"/>
  <c r="D558" i="5"/>
  <c r="C558" i="5"/>
  <c r="B558" i="5"/>
  <c r="L558" i="5" s="1"/>
  <c r="A558" i="5"/>
  <c r="K557" i="5"/>
  <c r="J557" i="5"/>
  <c r="I557" i="5"/>
  <c r="H557" i="5"/>
  <c r="G557" i="5"/>
  <c r="F557" i="5"/>
  <c r="E557" i="5"/>
  <c r="D557" i="5"/>
  <c r="C557" i="5"/>
  <c r="B557" i="5"/>
  <c r="L557" i="5" s="1"/>
  <c r="A557" i="5"/>
  <c r="K556" i="5"/>
  <c r="J556" i="5"/>
  <c r="I556" i="5"/>
  <c r="H556" i="5"/>
  <c r="G556" i="5"/>
  <c r="F556" i="5"/>
  <c r="E556" i="5"/>
  <c r="D556" i="5"/>
  <c r="C556" i="5"/>
  <c r="B556" i="5"/>
  <c r="L556" i="5" s="1"/>
  <c r="A556" i="5"/>
  <c r="K555" i="5"/>
  <c r="J555" i="5"/>
  <c r="I555" i="5"/>
  <c r="H555" i="5"/>
  <c r="G555" i="5"/>
  <c r="F555" i="5"/>
  <c r="E555" i="5"/>
  <c r="D555" i="5"/>
  <c r="C555" i="5"/>
  <c r="B555" i="5"/>
  <c r="L555" i="5" s="1"/>
  <c r="A555" i="5"/>
  <c r="K554" i="5"/>
  <c r="J554" i="5"/>
  <c r="I554" i="5"/>
  <c r="H554" i="5"/>
  <c r="G554" i="5"/>
  <c r="F554" i="5"/>
  <c r="E554" i="5"/>
  <c r="D554" i="5"/>
  <c r="C554" i="5"/>
  <c r="B554" i="5"/>
  <c r="L554" i="5" s="1"/>
  <c r="A554" i="5"/>
  <c r="K553" i="5"/>
  <c r="J553" i="5"/>
  <c r="I553" i="5"/>
  <c r="H553" i="5"/>
  <c r="G553" i="5"/>
  <c r="F553" i="5"/>
  <c r="E553" i="5"/>
  <c r="D553" i="5"/>
  <c r="C553" i="5"/>
  <c r="B553" i="5"/>
  <c r="L553" i="5" s="1"/>
  <c r="A553" i="5"/>
  <c r="K552" i="5"/>
  <c r="J552" i="5"/>
  <c r="I552" i="5"/>
  <c r="H552" i="5"/>
  <c r="G552" i="5"/>
  <c r="F552" i="5"/>
  <c r="E552" i="5"/>
  <c r="D552" i="5"/>
  <c r="C552" i="5"/>
  <c r="B552" i="5"/>
  <c r="L552" i="5" s="1"/>
  <c r="A552" i="5"/>
  <c r="K551" i="5"/>
  <c r="J551" i="5"/>
  <c r="I551" i="5"/>
  <c r="H551" i="5"/>
  <c r="G551" i="5"/>
  <c r="F551" i="5"/>
  <c r="E551" i="5"/>
  <c r="D551" i="5"/>
  <c r="C551" i="5"/>
  <c r="B551" i="5"/>
  <c r="L551" i="5" s="1"/>
  <c r="A551" i="5"/>
  <c r="K550" i="5"/>
  <c r="J550" i="5"/>
  <c r="I550" i="5"/>
  <c r="H550" i="5"/>
  <c r="G550" i="5"/>
  <c r="F550" i="5"/>
  <c r="E550" i="5"/>
  <c r="D550" i="5"/>
  <c r="C550" i="5"/>
  <c r="B550" i="5"/>
  <c r="L550" i="5" s="1"/>
  <c r="A550" i="5"/>
  <c r="K549" i="5"/>
  <c r="J549" i="5"/>
  <c r="I549" i="5"/>
  <c r="H549" i="5"/>
  <c r="G549" i="5"/>
  <c r="F549" i="5"/>
  <c r="E549" i="5"/>
  <c r="D549" i="5"/>
  <c r="C549" i="5"/>
  <c r="B549" i="5"/>
  <c r="L549" i="5" s="1"/>
  <c r="A549" i="5"/>
  <c r="K548" i="5"/>
  <c r="J548" i="5"/>
  <c r="I548" i="5"/>
  <c r="H548" i="5"/>
  <c r="G548" i="5"/>
  <c r="F548" i="5"/>
  <c r="E548" i="5"/>
  <c r="D548" i="5"/>
  <c r="C548" i="5"/>
  <c r="B548" i="5"/>
  <c r="L548" i="5" s="1"/>
  <c r="A548" i="5"/>
  <c r="K547" i="5"/>
  <c r="J547" i="5"/>
  <c r="I547" i="5"/>
  <c r="H547" i="5"/>
  <c r="G547" i="5"/>
  <c r="F547" i="5"/>
  <c r="E547" i="5"/>
  <c r="D547" i="5"/>
  <c r="C547" i="5"/>
  <c r="B547" i="5"/>
  <c r="L547" i="5" s="1"/>
  <c r="A547" i="5"/>
  <c r="K546" i="5"/>
  <c r="J546" i="5"/>
  <c r="I546" i="5"/>
  <c r="H546" i="5"/>
  <c r="G546" i="5"/>
  <c r="F546" i="5"/>
  <c r="E546" i="5"/>
  <c r="D546" i="5"/>
  <c r="C546" i="5"/>
  <c r="B546" i="5"/>
  <c r="L546" i="5" s="1"/>
  <c r="A546" i="5"/>
  <c r="K545" i="5"/>
  <c r="J545" i="5"/>
  <c r="I545" i="5"/>
  <c r="H545" i="5"/>
  <c r="G545" i="5"/>
  <c r="F545" i="5"/>
  <c r="E545" i="5"/>
  <c r="D545" i="5"/>
  <c r="C545" i="5"/>
  <c r="B545" i="5"/>
  <c r="L545" i="5" s="1"/>
  <c r="A545" i="5"/>
  <c r="K544" i="5"/>
  <c r="J544" i="5"/>
  <c r="I544" i="5"/>
  <c r="H544" i="5"/>
  <c r="G544" i="5"/>
  <c r="F544" i="5"/>
  <c r="E544" i="5"/>
  <c r="D544" i="5"/>
  <c r="C544" i="5"/>
  <c r="B544" i="5"/>
  <c r="L544" i="5" s="1"/>
  <c r="A544" i="5"/>
  <c r="K543" i="5"/>
  <c r="J543" i="5"/>
  <c r="I543" i="5"/>
  <c r="H543" i="5"/>
  <c r="G543" i="5"/>
  <c r="F543" i="5"/>
  <c r="E543" i="5"/>
  <c r="D543" i="5"/>
  <c r="C543" i="5"/>
  <c r="B543" i="5"/>
  <c r="L543" i="5" s="1"/>
  <c r="A543" i="5"/>
  <c r="K542" i="5"/>
  <c r="J542" i="5"/>
  <c r="I542" i="5"/>
  <c r="H542" i="5"/>
  <c r="G542" i="5"/>
  <c r="F542" i="5"/>
  <c r="E542" i="5"/>
  <c r="D542" i="5"/>
  <c r="C542" i="5"/>
  <c r="B542" i="5"/>
  <c r="L542" i="5" s="1"/>
  <c r="A542" i="5"/>
  <c r="K541" i="5"/>
  <c r="J541" i="5"/>
  <c r="I541" i="5"/>
  <c r="H541" i="5"/>
  <c r="G541" i="5"/>
  <c r="F541" i="5"/>
  <c r="E541" i="5"/>
  <c r="D541" i="5"/>
  <c r="C541" i="5"/>
  <c r="B541" i="5"/>
  <c r="L541" i="5" s="1"/>
  <c r="A541" i="5"/>
  <c r="K540" i="5"/>
  <c r="J540" i="5"/>
  <c r="I540" i="5"/>
  <c r="H540" i="5"/>
  <c r="G540" i="5"/>
  <c r="F540" i="5"/>
  <c r="E540" i="5"/>
  <c r="D540" i="5"/>
  <c r="C540" i="5"/>
  <c r="B540" i="5"/>
  <c r="L540" i="5" s="1"/>
  <c r="A540" i="5"/>
  <c r="K539" i="5"/>
  <c r="J539" i="5"/>
  <c r="I539" i="5"/>
  <c r="H539" i="5"/>
  <c r="G539" i="5"/>
  <c r="F539" i="5"/>
  <c r="E539" i="5"/>
  <c r="D539" i="5"/>
  <c r="C539" i="5"/>
  <c r="B539" i="5"/>
  <c r="L539" i="5" s="1"/>
  <c r="A539" i="5"/>
  <c r="K538" i="5"/>
  <c r="J538" i="5"/>
  <c r="I538" i="5"/>
  <c r="H538" i="5"/>
  <c r="G538" i="5"/>
  <c r="F538" i="5"/>
  <c r="E538" i="5"/>
  <c r="D538" i="5"/>
  <c r="C538" i="5"/>
  <c r="B538" i="5"/>
  <c r="L538" i="5" s="1"/>
  <c r="A538" i="5"/>
  <c r="K537" i="5"/>
  <c r="J537" i="5"/>
  <c r="I537" i="5"/>
  <c r="H537" i="5"/>
  <c r="G537" i="5"/>
  <c r="F537" i="5"/>
  <c r="E537" i="5"/>
  <c r="D537" i="5"/>
  <c r="C537" i="5"/>
  <c r="B537" i="5"/>
  <c r="L537" i="5" s="1"/>
  <c r="A537" i="5"/>
  <c r="K536" i="5"/>
  <c r="J536" i="5"/>
  <c r="I536" i="5"/>
  <c r="H536" i="5"/>
  <c r="G536" i="5"/>
  <c r="F536" i="5"/>
  <c r="E536" i="5"/>
  <c r="D536" i="5"/>
  <c r="C536" i="5"/>
  <c r="B536" i="5"/>
  <c r="L536" i="5" s="1"/>
  <c r="A536" i="5"/>
  <c r="K535" i="5"/>
  <c r="J535" i="5"/>
  <c r="I535" i="5"/>
  <c r="H535" i="5"/>
  <c r="G535" i="5"/>
  <c r="F535" i="5"/>
  <c r="E535" i="5"/>
  <c r="D535" i="5"/>
  <c r="C535" i="5"/>
  <c r="B535" i="5"/>
  <c r="L535" i="5" s="1"/>
  <c r="A535" i="5"/>
  <c r="K534" i="5"/>
  <c r="J534" i="5"/>
  <c r="I534" i="5"/>
  <c r="H534" i="5"/>
  <c r="G534" i="5"/>
  <c r="F534" i="5"/>
  <c r="E534" i="5"/>
  <c r="D534" i="5"/>
  <c r="C534" i="5"/>
  <c r="B534" i="5"/>
  <c r="L534" i="5" s="1"/>
  <c r="A534" i="5"/>
  <c r="K533" i="5"/>
  <c r="J533" i="5"/>
  <c r="I533" i="5"/>
  <c r="H533" i="5"/>
  <c r="G533" i="5"/>
  <c r="F533" i="5"/>
  <c r="E533" i="5"/>
  <c r="D533" i="5"/>
  <c r="C533" i="5"/>
  <c r="B533" i="5"/>
  <c r="L533" i="5" s="1"/>
  <c r="A533" i="5"/>
  <c r="K532" i="5"/>
  <c r="J532" i="5"/>
  <c r="I532" i="5"/>
  <c r="H532" i="5"/>
  <c r="G532" i="5"/>
  <c r="F532" i="5"/>
  <c r="E532" i="5"/>
  <c r="D532" i="5"/>
  <c r="C532" i="5"/>
  <c r="B532" i="5"/>
  <c r="L532" i="5" s="1"/>
  <c r="A532" i="5"/>
  <c r="K531" i="5"/>
  <c r="J531" i="5"/>
  <c r="I531" i="5"/>
  <c r="H531" i="5"/>
  <c r="G531" i="5"/>
  <c r="F531" i="5"/>
  <c r="E531" i="5"/>
  <c r="D531" i="5"/>
  <c r="C531" i="5"/>
  <c r="B531" i="5"/>
  <c r="L531" i="5" s="1"/>
  <c r="A531" i="5"/>
  <c r="K530" i="5"/>
  <c r="J530" i="5"/>
  <c r="I530" i="5"/>
  <c r="H530" i="5"/>
  <c r="G530" i="5"/>
  <c r="F530" i="5"/>
  <c r="E530" i="5"/>
  <c r="D530" i="5"/>
  <c r="C530" i="5"/>
  <c r="B530" i="5"/>
  <c r="L530" i="5" s="1"/>
  <c r="A530" i="5"/>
  <c r="K529" i="5"/>
  <c r="J529" i="5"/>
  <c r="I529" i="5"/>
  <c r="H529" i="5"/>
  <c r="G529" i="5"/>
  <c r="F529" i="5"/>
  <c r="E529" i="5"/>
  <c r="D529" i="5"/>
  <c r="C529" i="5"/>
  <c r="B529" i="5"/>
  <c r="L529" i="5" s="1"/>
  <c r="A529" i="5"/>
  <c r="K528" i="5"/>
  <c r="J528" i="5"/>
  <c r="I528" i="5"/>
  <c r="H528" i="5"/>
  <c r="G528" i="5"/>
  <c r="F528" i="5"/>
  <c r="E528" i="5"/>
  <c r="D528" i="5"/>
  <c r="C528" i="5"/>
  <c r="B528" i="5"/>
  <c r="L528" i="5" s="1"/>
  <c r="A528" i="5"/>
  <c r="K527" i="5"/>
  <c r="J527" i="5"/>
  <c r="I527" i="5"/>
  <c r="H527" i="5"/>
  <c r="G527" i="5"/>
  <c r="F527" i="5"/>
  <c r="E527" i="5"/>
  <c r="D527" i="5"/>
  <c r="C527" i="5"/>
  <c r="B527" i="5"/>
  <c r="L527" i="5" s="1"/>
  <c r="A527" i="5"/>
  <c r="K526" i="5"/>
  <c r="J526" i="5"/>
  <c r="I526" i="5"/>
  <c r="H526" i="5"/>
  <c r="G526" i="5"/>
  <c r="F526" i="5"/>
  <c r="E526" i="5"/>
  <c r="D526" i="5"/>
  <c r="C526" i="5"/>
  <c r="B526" i="5"/>
  <c r="L526" i="5" s="1"/>
  <c r="A526" i="5"/>
  <c r="K525" i="5"/>
  <c r="J525" i="5"/>
  <c r="I525" i="5"/>
  <c r="H525" i="5"/>
  <c r="G525" i="5"/>
  <c r="F525" i="5"/>
  <c r="E525" i="5"/>
  <c r="D525" i="5"/>
  <c r="C525" i="5"/>
  <c r="B525" i="5"/>
  <c r="L525" i="5" s="1"/>
  <c r="A525" i="5"/>
  <c r="K524" i="5"/>
  <c r="J524" i="5"/>
  <c r="I524" i="5"/>
  <c r="H524" i="5"/>
  <c r="G524" i="5"/>
  <c r="F524" i="5"/>
  <c r="E524" i="5"/>
  <c r="D524" i="5"/>
  <c r="C524" i="5"/>
  <c r="B524" i="5"/>
  <c r="L524" i="5" s="1"/>
  <c r="A524" i="5"/>
  <c r="K523" i="5"/>
  <c r="J523" i="5"/>
  <c r="I523" i="5"/>
  <c r="H523" i="5"/>
  <c r="G523" i="5"/>
  <c r="F523" i="5"/>
  <c r="E523" i="5"/>
  <c r="D523" i="5"/>
  <c r="C523" i="5"/>
  <c r="B523" i="5"/>
  <c r="L523" i="5" s="1"/>
  <c r="A523" i="5"/>
  <c r="K522" i="5"/>
  <c r="J522" i="5"/>
  <c r="I522" i="5"/>
  <c r="H522" i="5"/>
  <c r="G522" i="5"/>
  <c r="F522" i="5"/>
  <c r="E522" i="5"/>
  <c r="D522" i="5"/>
  <c r="C522" i="5"/>
  <c r="B522" i="5"/>
  <c r="L522" i="5" s="1"/>
  <c r="A522" i="5"/>
  <c r="K521" i="5"/>
  <c r="J521" i="5"/>
  <c r="I521" i="5"/>
  <c r="H521" i="5"/>
  <c r="G521" i="5"/>
  <c r="F521" i="5"/>
  <c r="E521" i="5"/>
  <c r="D521" i="5"/>
  <c r="C521" i="5"/>
  <c r="B521" i="5"/>
  <c r="L521" i="5" s="1"/>
  <c r="A521" i="5"/>
  <c r="K520" i="5"/>
  <c r="J520" i="5"/>
  <c r="I520" i="5"/>
  <c r="H520" i="5"/>
  <c r="G520" i="5"/>
  <c r="F520" i="5"/>
  <c r="E520" i="5"/>
  <c r="D520" i="5"/>
  <c r="C520" i="5"/>
  <c r="B520" i="5"/>
  <c r="L520" i="5" s="1"/>
  <c r="A520" i="5"/>
  <c r="K519" i="5"/>
  <c r="J519" i="5"/>
  <c r="I519" i="5"/>
  <c r="H519" i="5"/>
  <c r="G519" i="5"/>
  <c r="F519" i="5"/>
  <c r="E519" i="5"/>
  <c r="D519" i="5"/>
  <c r="C519" i="5"/>
  <c r="B519" i="5"/>
  <c r="L519" i="5" s="1"/>
  <c r="A519" i="5"/>
  <c r="K518" i="5"/>
  <c r="J518" i="5"/>
  <c r="I518" i="5"/>
  <c r="H518" i="5"/>
  <c r="G518" i="5"/>
  <c r="F518" i="5"/>
  <c r="E518" i="5"/>
  <c r="D518" i="5"/>
  <c r="C518" i="5"/>
  <c r="B518" i="5"/>
  <c r="L518" i="5" s="1"/>
  <c r="A518" i="5"/>
  <c r="K517" i="5"/>
  <c r="J517" i="5"/>
  <c r="I517" i="5"/>
  <c r="H517" i="5"/>
  <c r="G517" i="5"/>
  <c r="F517" i="5"/>
  <c r="E517" i="5"/>
  <c r="D517" i="5"/>
  <c r="C517" i="5"/>
  <c r="B517" i="5"/>
  <c r="L517" i="5" s="1"/>
  <c r="A517" i="5"/>
  <c r="K516" i="5"/>
  <c r="J516" i="5"/>
  <c r="I516" i="5"/>
  <c r="H516" i="5"/>
  <c r="G516" i="5"/>
  <c r="F516" i="5"/>
  <c r="E516" i="5"/>
  <c r="D516" i="5"/>
  <c r="C516" i="5"/>
  <c r="B516" i="5"/>
  <c r="L516" i="5" s="1"/>
  <c r="A516" i="5"/>
  <c r="K515" i="5"/>
  <c r="J515" i="5"/>
  <c r="I515" i="5"/>
  <c r="H515" i="5"/>
  <c r="G515" i="5"/>
  <c r="F515" i="5"/>
  <c r="E515" i="5"/>
  <c r="D515" i="5"/>
  <c r="C515" i="5"/>
  <c r="B515" i="5"/>
  <c r="L515" i="5" s="1"/>
  <c r="A515" i="5"/>
  <c r="K514" i="5"/>
  <c r="J514" i="5"/>
  <c r="I514" i="5"/>
  <c r="H514" i="5"/>
  <c r="G514" i="5"/>
  <c r="F514" i="5"/>
  <c r="E514" i="5"/>
  <c r="D514" i="5"/>
  <c r="C514" i="5"/>
  <c r="B514" i="5"/>
  <c r="L514" i="5" s="1"/>
  <c r="A514" i="5"/>
  <c r="K513" i="5"/>
  <c r="J513" i="5"/>
  <c r="I513" i="5"/>
  <c r="H513" i="5"/>
  <c r="G513" i="5"/>
  <c r="F513" i="5"/>
  <c r="E513" i="5"/>
  <c r="D513" i="5"/>
  <c r="C513" i="5"/>
  <c r="B513" i="5"/>
  <c r="L513" i="5" s="1"/>
  <c r="A513" i="5"/>
  <c r="K512" i="5"/>
  <c r="J512" i="5"/>
  <c r="I512" i="5"/>
  <c r="H512" i="5"/>
  <c r="G512" i="5"/>
  <c r="F512" i="5"/>
  <c r="E512" i="5"/>
  <c r="D512" i="5"/>
  <c r="C512" i="5"/>
  <c r="B512" i="5"/>
  <c r="L512" i="5" s="1"/>
  <c r="A512" i="5"/>
  <c r="K511" i="5"/>
  <c r="J511" i="5"/>
  <c r="I511" i="5"/>
  <c r="H511" i="5"/>
  <c r="G511" i="5"/>
  <c r="F511" i="5"/>
  <c r="E511" i="5"/>
  <c r="D511" i="5"/>
  <c r="C511" i="5"/>
  <c r="B511" i="5"/>
  <c r="L511" i="5" s="1"/>
  <c r="A511" i="5"/>
  <c r="K510" i="5"/>
  <c r="J510" i="5"/>
  <c r="I510" i="5"/>
  <c r="H510" i="5"/>
  <c r="G510" i="5"/>
  <c r="F510" i="5"/>
  <c r="E510" i="5"/>
  <c r="D510" i="5"/>
  <c r="C510" i="5"/>
  <c r="B510" i="5"/>
  <c r="L510" i="5" s="1"/>
  <c r="A510" i="5"/>
  <c r="K509" i="5"/>
  <c r="J509" i="5"/>
  <c r="I509" i="5"/>
  <c r="H509" i="5"/>
  <c r="G509" i="5"/>
  <c r="F509" i="5"/>
  <c r="E509" i="5"/>
  <c r="D509" i="5"/>
  <c r="C509" i="5"/>
  <c r="B509" i="5"/>
  <c r="L509" i="5" s="1"/>
  <c r="A509" i="5"/>
  <c r="K508" i="5"/>
  <c r="J508" i="5"/>
  <c r="I508" i="5"/>
  <c r="H508" i="5"/>
  <c r="G508" i="5"/>
  <c r="F508" i="5"/>
  <c r="E508" i="5"/>
  <c r="D508" i="5"/>
  <c r="C508" i="5"/>
  <c r="B508" i="5"/>
  <c r="L508" i="5" s="1"/>
  <c r="A508" i="5"/>
  <c r="K507" i="5"/>
  <c r="J507" i="5"/>
  <c r="I507" i="5"/>
  <c r="H507" i="5"/>
  <c r="G507" i="5"/>
  <c r="F507" i="5"/>
  <c r="E507" i="5"/>
  <c r="D507" i="5"/>
  <c r="C507" i="5"/>
  <c r="B507" i="5"/>
  <c r="L507" i="5" s="1"/>
  <c r="A507" i="5"/>
  <c r="K506" i="5"/>
  <c r="J506" i="5"/>
  <c r="I506" i="5"/>
  <c r="H506" i="5"/>
  <c r="G506" i="5"/>
  <c r="F506" i="5"/>
  <c r="E506" i="5"/>
  <c r="D506" i="5"/>
  <c r="C506" i="5"/>
  <c r="B506" i="5"/>
  <c r="L506" i="5" s="1"/>
  <c r="A506" i="5"/>
  <c r="K505" i="5"/>
  <c r="J505" i="5"/>
  <c r="I505" i="5"/>
  <c r="H505" i="5"/>
  <c r="G505" i="5"/>
  <c r="F505" i="5"/>
  <c r="E505" i="5"/>
  <c r="D505" i="5"/>
  <c r="C505" i="5"/>
  <c r="B505" i="5"/>
  <c r="L505" i="5" s="1"/>
  <c r="A505" i="5"/>
  <c r="K504" i="5"/>
  <c r="J504" i="5"/>
  <c r="I504" i="5"/>
  <c r="H504" i="5"/>
  <c r="G504" i="5"/>
  <c r="F504" i="5"/>
  <c r="E504" i="5"/>
  <c r="D504" i="5"/>
  <c r="C504" i="5"/>
  <c r="B504" i="5"/>
  <c r="L504" i="5" s="1"/>
  <c r="A504" i="5"/>
  <c r="K503" i="5"/>
  <c r="J503" i="5"/>
  <c r="I503" i="5"/>
  <c r="H503" i="5"/>
  <c r="G503" i="5"/>
  <c r="F503" i="5"/>
  <c r="E503" i="5"/>
  <c r="D503" i="5"/>
  <c r="C503" i="5"/>
  <c r="B503" i="5"/>
  <c r="L503" i="5" s="1"/>
  <c r="A503" i="5"/>
  <c r="K502" i="5"/>
  <c r="J502" i="5"/>
  <c r="I502" i="5"/>
  <c r="H502" i="5"/>
  <c r="G502" i="5"/>
  <c r="F502" i="5"/>
  <c r="E502" i="5"/>
  <c r="D502" i="5"/>
  <c r="C502" i="5"/>
  <c r="B502" i="5"/>
  <c r="L502" i="5" s="1"/>
  <c r="A502" i="5"/>
  <c r="K501" i="5"/>
  <c r="J501" i="5"/>
  <c r="I501" i="5"/>
  <c r="H501" i="5"/>
  <c r="G501" i="5"/>
  <c r="F501" i="5"/>
  <c r="E501" i="5"/>
  <c r="D501" i="5"/>
  <c r="C501" i="5"/>
  <c r="B501" i="5"/>
  <c r="L501" i="5" s="1"/>
  <c r="A501" i="5"/>
  <c r="K500" i="5"/>
  <c r="J500" i="5"/>
  <c r="I500" i="5"/>
  <c r="H500" i="5"/>
  <c r="G500" i="5"/>
  <c r="F500" i="5"/>
  <c r="E500" i="5"/>
  <c r="D500" i="5"/>
  <c r="C500" i="5"/>
  <c r="B500" i="5"/>
  <c r="L500" i="5" s="1"/>
  <c r="A500" i="5"/>
  <c r="K499" i="5"/>
  <c r="J499" i="5"/>
  <c r="I499" i="5"/>
  <c r="H499" i="5"/>
  <c r="G499" i="5"/>
  <c r="F499" i="5"/>
  <c r="E499" i="5"/>
  <c r="D499" i="5"/>
  <c r="C499" i="5"/>
  <c r="B499" i="5"/>
  <c r="L499" i="5" s="1"/>
  <c r="A499" i="5"/>
  <c r="K498" i="5"/>
  <c r="J498" i="5"/>
  <c r="I498" i="5"/>
  <c r="H498" i="5"/>
  <c r="G498" i="5"/>
  <c r="F498" i="5"/>
  <c r="E498" i="5"/>
  <c r="D498" i="5"/>
  <c r="C498" i="5"/>
  <c r="B498" i="5"/>
  <c r="L498" i="5" s="1"/>
  <c r="A498" i="5"/>
  <c r="K497" i="5"/>
  <c r="J497" i="5"/>
  <c r="I497" i="5"/>
  <c r="H497" i="5"/>
  <c r="G497" i="5"/>
  <c r="F497" i="5"/>
  <c r="E497" i="5"/>
  <c r="D497" i="5"/>
  <c r="C497" i="5"/>
  <c r="B497" i="5"/>
  <c r="L497" i="5" s="1"/>
  <c r="A497" i="5"/>
  <c r="K496" i="5"/>
  <c r="J496" i="5"/>
  <c r="I496" i="5"/>
  <c r="H496" i="5"/>
  <c r="G496" i="5"/>
  <c r="F496" i="5"/>
  <c r="E496" i="5"/>
  <c r="D496" i="5"/>
  <c r="C496" i="5"/>
  <c r="B496" i="5"/>
  <c r="L496" i="5" s="1"/>
  <c r="A496" i="5"/>
  <c r="K495" i="5"/>
  <c r="J495" i="5"/>
  <c r="I495" i="5"/>
  <c r="H495" i="5"/>
  <c r="G495" i="5"/>
  <c r="F495" i="5"/>
  <c r="E495" i="5"/>
  <c r="D495" i="5"/>
  <c r="C495" i="5"/>
  <c r="B495" i="5"/>
  <c r="L495" i="5" s="1"/>
  <c r="A495" i="5"/>
  <c r="K494" i="5"/>
  <c r="J494" i="5"/>
  <c r="I494" i="5"/>
  <c r="H494" i="5"/>
  <c r="G494" i="5"/>
  <c r="F494" i="5"/>
  <c r="E494" i="5"/>
  <c r="D494" i="5"/>
  <c r="C494" i="5"/>
  <c r="B494" i="5"/>
  <c r="L494" i="5" s="1"/>
  <c r="A494" i="5"/>
  <c r="K493" i="5"/>
  <c r="J493" i="5"/>
  <c r="I493" i="5"/>
  <c r="H493" i="5"/>
  <c r="G493" i="5"/>
  <c r="F493" i="5"/>
  <c r="E493" i="5"/>
  <c r="D493" i="5"/>
  <c r="C493" i="5"/>
  <c r="B493" i="5"/>
  <c r="L493" i="5" s="1"/>
  <c r="A493" i="5"/>
  <c r="K492" i="5"/>
  <c r="J492" i="5"/>
  <c r="I492" i="5"/>
  <c r="H492" i="5"/>
  <c r="G492" i="5"/>
  <c r="F492" i="5"/>
  <c r="E492" i="5"/>
  <c r="D492" i="5"/>
  <c r="C492" i="5"/>
  <c r="B492" i="5"/>
  <c r="L492" i="5" s="1"/>
  <c r="A492" i="5"/>
  <c r="K491" i="5"/>
  <c r="J491" i="5"/>
  <c r="I491" i="5"/>
  <c r="H491" i="5"/>
  <c r="G491" i="5"/>
  <c r="F491" i="5"/>
  <c r="E491" i="5"/>
  <c r="D491" i="5"/>
  <c r="C491" i="5"/>
  <c r="B491" i="5"/>
  <c r="L491" i="5" s="1"/>
  <c r="A491" i="5"/>
  <c r="K490" i="5"/>
  <c r="J490" i="5"/>
  <c r="I490" i="5"/>
  <c r="H490" i="5"/>
  <c r="G490" i="5"/>
  <c r="F490" i="5"/>
  <c r="E490" i="5"/>
  <c r="D490" i="5"/>
  <c r="C490" i="5"/>
  <c r="B490" i="5"/>
  <c r="L490" i="5" s="1"/>
  <c r="A490" i="5"/>
  <c r="K489" i="5"/>
  <c r="J489" i="5"/>
  <c r="I489" i="5"/>
  <c r="H489" i="5"/>
  <c r="G489" i="5"/>
  <c r="F489" i="5"/>
  <c r="E489" i="5"/>
  <c r="D489" i="5"/>
  <c r="C489" i="5"/>
  <c r="B489" i="5"/>
  <c r="L489" i="5" s="1"/>
  <c r="A489" i="5"/>
  <c r="K488" i="5"/>
  <c r="J488" i="5"/>
  <c r="I488" i="5"/>
  <c r="H488" i="5"/>
  <c r="G488" i="5"/>
  <c r="F488" i="5"/>
  <c r="E488" i="5"/>
  <c r="D488" i="5"/>
  <c r="C488" i="5"/>
  <c r="B488" i="5"/>
  <c r="L488" i="5" s="1"/>
  <c r="A488" i="5"/>
  <c r="K487" i="5"/>
  <c r="J487" i="5"/>
  <c r="I487" i="5"/>
  <c r="H487" i="5"/>
  <c r="G487" i="5"/>
  <c r="F487" i="5"/>
  <c r="E487" i="5"/>
  <c r="D487" i="5"/>
  <c r="C487" i="5"/>
  <c r="B487" i="5"/>
  <c r="L487" i="5" s="1"/>
  <c r="A487" i="5"/>
  <c r="K486" i="5"/>
  <c r="J486" i="5"/>
  <c r="I486" i="5"/>
  <c r="H486" i="5"/>
  <c r="G486" i="5"/>
  <c r="F486" i="5"/>
  <c r="E486" i="5"/>
  <c r="D486" i="5"/>
  <c r="C486" i="5"/>
  <c r="B486" i="5"/>
  <c r="L486" i="5" s="1"/>
  <c r="A486" i="5"/>
  <c r="K485" i="5"/>
  <c r="J485" i="5"/>
  <c r="I485" i="5"/>
  <c r="H485" i="5"/>
  <c r="G485" i="5"/>
  <c r="F485" i="5"/>
  <c r="E485" i="5"/>
  <c r="D485" i="5"/>
  <c r="C485" i="5"/>
  <c r="B485" i="5"/>
  <c r="L485" i="5" s="1"/>
  <c r="A485" i="5"/>
  <c r="K484" i="5"/>
  <c r="J484" i="5"/>
  <c r="I484" i="5"/>
  <c r="H484" i="5"/>
  <c r="G484" i="5"/>
  <c r="F484" i="5"/>
  <c r="E484" i="5"/>
  <c r="D484" i="5"/>
  <c r="C484" i="5"/>
  <c r="B484" i="5"/>
  <c r="L484" i="5" s="1"/>
  <c r="A484" i="5"/>
  <c r="K483" i="5"/>
  <c r="J483" i="5"/>
  <c r="I483" i="5"/>
  <c r="H483" i="5"/>
  <c r="G483" i="5"/>
  <c r="F483" i="5"/>
  <c r="E483" i="5"/>
  <c r="D483" i="5"/>
  <c r="C483" i="5"/>
  <c r="B483" i="5"/>
  <c r="L483" i="5" s="1"/>
  <c r="A483" i="5"/>
  <c r="K482" i="5"/>
  <c r="J482" i="5"/>
  <c r="I482" i="5"/>
  <c r="H482" i="5"/>
  <c r="G482" i="5"/>
  <c r="F482" i="5"/>
  <c r="E482" i="5"/>
  <c r="D482" i="5"/>
  <c r="C482" i="5"/>
  <c r="B482" i="5"/>
  <c r="L482" i="5" s="1"/>
  <c r="A482" i="5"/>
  <c r="K481" i="5"/>
  <c r="J481" i="5"/>
  <c r="I481" i="5"/>
  <c r="H481" i="5"/>
  <c r="G481" i="5"/>
  <c r="F481" i="5"/>
  <c r="E481" i="5"/>
  <c r="D481" i="5"/>
  <c r="C481" i="5"/>
  <c r="B481" i="5"/>
  <c r="L481" i="5" s="1"/>
  <c r="A481" i="5"/>
  <c r="K480" i="5"/>
  <c r="J480" i="5"/>
  <c r="I480" i="5"/>
  <c r="H480" i="5"/>
  <c r="G480" i="5"/>
  <c r="F480" i="5"/>
  <c r="E480" i="5"/>
  <c r="D480" i="5"/>
  <c r="C480" i="5"/>
  <c r="B480" i="5"/>
  <c r="L480" i="5" s="1"/>
  <c r="A480" i="5"/>
  <c r="K479" i="5"/>
  <c r="J479" i="5"/>
  <c r="I479" i="5"/>
  <c r="H479" i="5"/>
  <c r="G479" i="5"/>
  <c r="F479" i="5"/>
  <c r="E479" i="5"/>
  <c r="D479" i="5"/>
  <c r="C479" i="5"/>
  <c r="B479" i="5"/>
  <c r="L479" i="5" s="1"/>
  <c r="A479" i="5"/>
  <c r="K478" i="5"/>
  <c r="J478" i="5"/>
  <c r="I478" i="5"/>
  <c r="H478" i="5"/>
  <c r="G478" i="5"/>
  <c r="F478" i="5"/>
  <c r="E478" i="5"/>
  <c r="D478" i="5"/>
  <c r="C478" i="5"/>
  <c r="B478" i="5"/>
  <c r="L478" i="5" s="1"/>
  <c r="A478" i="5"/>
  <c r="K477" i="5"/>
  <c r="J477" i="5"/>
  <c r="I477" i="5"/>
  <c r="H477" i="5"/>
  <c r="G477" i="5"/>
  <c r="F477" i="5"/>
  <c r="E477" i="5"/>
  <c r="D477" i="5"/>
  <c r="C477" i="5"/>
  <c r="B477" i="5"/>
  <c r="L477" i="5" s="1"/>
  <c r="A477" i="5"/>
  <c r="K476" i="5"/>
  <c r="J476" i="5"/>
  <c r="I476" i="5"/>
  <c r="H476" i="5"/>
  <c r="G476" i="5"/>
  <c r="F476" i="5"/>
  <c r="E476" i="5"/>
  <c r="D476" i="5"/>
  <c r="C476" i="5"/>
  <c r="B476" i="5"/>
  <c r="L476" i="5" s="1"/>
  <c r="A476" i="5"/>
  <c r="K475" i="5"/>
  <c r="J475" i="5"/>
  <c r="I475" i="5"/>
  <c r="H475" i="5"/>
  <c r="G475" i="5"/>
  <c r="F475" i="5"/>
  <c r="E475" i="5"/>
  <c r="D475" i="5"/>
  <c r="C475" i="5"/>
  <c r="B475" i="5"/>
  <c r="L475" i="5" s="1"/>
  <c r="A475" i="5"/>
  <c r="K474" i="5"/>
  <c r="J474" i="5"/>
  <c r="I474" i="5"/>
  <c r="H474" i="5"/>
  <c r="G474" i="5"/>
  <c r="F474" i="5"/>
  <c r="E474" i="5"/>
  <c r="D474" i="5"/>
  <c r="C474" i="5"/>
  <c r="B474" i="5"/>
  <c r="L474" i="5" s="1"/>
  <c r="A474" i="5"/>
  <c r="K473" i="5"/>
  <c r="J473" i="5"/>
  <c r="I473" i="5"/>
  <c r="H473" i="5"/>
  <c r="G473" i="5"/>
  <c r="F473" i="5"/>
  <c r="E473" i="5"/>
  <c r="D473" i="5"/>
  <c r="C473" i="5"/>
  <c r="B473" i="5"/>
  <c r="L473" i="5" s="1"/>
  <c r="A473" i="5"/>
  <c r="K472" i="5"/>
  <c r="J472" i="5"/>
  <c r="I472" i="5"/>
  <c r="H472" i="5"/>
  <c r="G472" i="5"/>
  <c r="F472" i="5"/>
  <c r="E472" i="5"/>
  <c r="D472" i="5"/>
  <c r="C472" i="5"/>
  <c r="B472" i="5"/>
  <c r="L472" i="5" s="1"/>
  <c r="A472" i="5"/>
  <c r="K471" i="5"/>
  <c r="J471" i="5"/>
  <c r="I471" i="5"/>
  <c r="H471" i="5"/>
  <c r="G471" i="5"/>
  <c r="F471" i="5"/>
  <c r="E471" i="5"/>
  <c r="D471" i="5"/>
  <c r="C471" i="5"/>
  <c r="B471" i="5"/>
  <c r="L471" i="5" s="1"/>
  <c r="A471" i="5"/>
  <c r="K470" i="5"/>
  <c r="J470" i="5"/>
  <c r="I470" i="5"/>
  <c r="H470" i="5"/>
  <c r="G470" i="5"/>
  <c r="F470" i="5"/>
  <c r="E470" i="5"/>
  <c r="D470" i="5"/>
  <c r="C470" i="5"/>
  <c r="B470" i="5"/>
  <c r="L470" i="5" s="1"/>
  <c r="A470" i="5"/>
  <c r="K469" i="5"/>
  <c r="J469" i="5"/>
  <c r="I469" i="5"/>
  <c r="H469" i="5"/>
  <c r="G469" i="5"/>
  <c r="F469" i="5"/>
  <c r="E469" i="5"/>
  <c r="D469" i="5"/>
  <c r="C469" i="5"/>
  <c r="B469" i="5"/>
  <c r="L469" i="5" s="1"/>
  <c r="A469" i="5"/>
  <c r="K468" i="5"/>
  <c r="J468" i="5"/>
  <c r="I468" i="5"/>
  <c r="H468" i="5"/>
  <c r="G468" i="5"/>
  <c r="F468" i="5"/>
  <c r="E468" i="5"/>
  <c r="D468" i="5"/>
  <c r="C468" i="5"/>
  <c r="B468" i="5"/>
  <c r="L468" i="5" s="1"/>
  <c r="A468" i="5"/>
  <c r="K467" i="5"/>
  <c r="J467" i="5"/>
  <c r="I467" i="5"/>
  <c r="H467" i="5"/>
  <c r="G467" i="5"/>
  <c r="F467" i="5"/>
  <c r="E467" i="5"/>
  <c r="D467" i="5"/>
  <c r="C467" i="5"/>
  <c r="B467" i="5"/>
  <c r="L467" i="5" s="1"/>
  <c r="A467" i="5"/>
  <c r="K466" i="5"/>
  <c r="J466" i="5"/>
  <c r="I466" i="5"/>
  <c r="H466" i="5"/>
  <c r="G466" i="5"/>
  <c r="F466" i="5"/>
  <c r="E466" i="5"/>
  <c r="D466" i="5"/>
  <c r="C466" i="5"/>
  <c r="B466" i="5"/>
  <c r="L466" i="5" s="1"/>
  <c r="A466" i="5"/>
  <c r="K465" i="5"/>
  <c r="J465" i="5"/>
  <c r="I465" i="5"/>
  <c r="H465" i="5"/>
  <c r="G465" i="5"/>
  <c r="F465" i="5"/>
  <c r="E465" i="5"/>
  <c r="D465" i="5"/>
  <c r="C465" i="5"/>
  <c r="B465" i="5"/>
  <c r="L465" i="5" s="1"/>
  <c r="A465" i="5"/>
  <c r="K464" i="5"/>
  <c r="J464" i="5"/>
  <c r="I464" i="5"/>
  <c r="H464" i="5"/>
  <c r="G464" i="5"/>
  <c r="F464" i="5"/>
  <c r="E464" i="5"/>
  <c r="D464" i="5"/>
  <c r="C464" i="5"/>
  <c r="B464" i="5"/>
  <c r="L464" i="5" s="1"/>
  <c r="A464" i="5"/>
  <c r="K463" i="5"/>
  <c r="J463" i="5"/>
  <c r="I463" i="5"/>
  <c r="H463" i="5"/>
  <c r="G463" i="5"/>
  <c r="F463" i="5"/>
  <c r="E463" i="5"/>
  <c r="D463" i="5"/>
  <c r="C463" i="5"/>
  <c r="B463" i="5"/>
  <c r="L463" i="5" s="1"/>
  <c r="A463" i="5"/>
  <c r="K462" i="5"/>
  <c r="J462" i="5"/>
  <c r="I462" i="5"/>
  <c r="H462" i="5"/>
  <c r="G462" i="5"/>
  <c r="F462" i="5"/>
  <c r="E462" i="5"/>
  <c r="D462" i="5"/>
  <c r="C462" i="5"/>
  <c r="B462" i="5"/>
  <c r="L462" i="5" s="1"/>
  <c r="A462" i="5"/>
  <c r="K461" i="5"/>
  <c r="J461" i="5"/>
  <c r="I461" i="5"/>
  <c r="H461" i="5"/>
  <c r="G461" i="5"/>
  <c r="F461" i="5"/>
  <c r="E461" i="5"/>
  <c r="D461" i="5"/>
  <c r="C461" i="5"/>
  <c r="B461" i="5"/>
  <c r="L461" i="5" s="1"/>
  <c r="A461" i="5"/>
  <c r="K460" i="5"/>
  <c r="J460" i="5"/>
  <c r="I460" i="5"/>
  <c r="H460" i="5"/>
  <c r="G460" i="5"/>
  <c r="F460" i="5"/>
  <c r="E460" i="5"/>
  <c r="D460" i="5"/>
  <c r="C460" i="5"/>
  <c r="B460" i="5"/>
  <c r="L460" i="5" s="1"/>
  <c r="A460" i="5"/>
  <c r="K459" i="5"/>
  <c r="J459" i="5"/>
  <c r="I459" i="5"/>
  <c r="H459" i="5"/>
  <c r="G459" i="5"/>
  <c r="F459" i="5"/>
  <c r="E459" i="5"/>
  <c r="D459" i="5"/>
  <c r="C459" i="5"/>
  <c r="B459" i="5"/>
  <c r="L459" i="5" s="1"/>
  <c r="A459" i="5"/>
  <c r="K458" i="5"/>
  <c r="J458" i="5"/>
  <c r="I458" i="5"/>
  <c r="H458" i="5"/>
  <c r="G458" i="5"/>
  <c r="F458" i="5"/>
  <c r="E458" i="5"/>
  <c r="D458" i="5"/>
  <c r="C458" i="5"/>
  <c r="B458" i="5"/>
  <c r="L458" i="5" s="1"/>
  <c r="A458" i="5"/>
  <c r="K457" i="5"/>
  <c r="J457" i="5"/>
  <c r="I457" i="5"/>
  <c r="H457" i="5"/>
  <c r="G457" i="5"/>
  <c r="F457" i="5"/>
  <c r="E457" i="5"/>
  <c r="D457" i="5"/>
  <c r="C457" i="5"/>
  <c r="B457" i="5"/>
  <c r="L457" i="5" s="1"/>
  <c r="A457" i="5"/>
  <c r="K456" i="5"/>
  <c r="J456" i="5"/>
  <c r="I456" i="5"/>
  <c r="H456" i="5"/>
  <c r="G456" i="5"/>
  <c r="F456" i="5"/>
  <c r="E456" i="5"/>
  <c r="D456" i="5"/>
  <c r="C456" i="5"/>
  <c r="B456" i="5"/>
  <c r="L456" i="5" s="1"/>
  <c r="A456" i="5"/>
  <c r="K455" i="5"/>
  <c r="J455" i="5"/>
  <c r="I455" i="5"/>
  <c r="H455" i="5"/>
  <c r="G455" i="5"/>
  <c r="F455" i="5"/>
  <c r="E455" i="5"/>
  <c r="D455" i="5"/>
  <c r="C455" i="5"/>
  <c r="B455" i="5"/>
  <c r="L455" i="5" s="1"/>
  <c r="A455" i="5"/>
  <c r="K454" i="5"/>
  <c r="J454" i="5"/>
  <c r="I454" i="5"/>
  <c r="H454" i="5"/>
  <c r="G454" i="5"/>
  <c r="F454" i="5"/>
  <c r="E454" i="5"/>
  <c r="D454" i="5"/>
  <c r="C454" i="5"/>
  <c r="B454" i="5"/>
  <c r="L454" i="5" s="1"/>
  <c r="A454" i="5"/>
  <c r="K453" i="5"/>
  <c r="J453" i="5"/>
  <c r="I453" i="5"/>
  <c r="H453" i="5"/>
  <c r="G453" i="5"/>
  <c r="F453" i="5"/>
  <c r="E453" i="5"/>
  <c r="D453" i="5"/>
  <c r="C453" i="5"/>
  <c r="B453" i="5"/>
  <c r="L453" i="5" s="1"/>
  <c r="A453" i="5"/>
  <c r="K452" i="5"/>
  <c r="J452" i="5"/>
  <c r="I452" i="5"/>
  <c r="H452" i="5"/>
  <c r="G452" i="5"/>
  <c r="F452" i="5"/>
  <c r="E452" i="5"/>
  <c r="D452" i="5"/>
  <c r="C452" i="5"/>
  <c r="B452" i="5"/>
  <c r="L452" i="5" s="1"/>
  <c r="A452" i="5"/>
  <c r="K451" i="5"/>
  <c r="J451" i="5"/>
  <c r="I451" i="5"/>
  <c r="H451" i="5"/>
  <c r="G451" i="5"/>
  <c r="F451" i="5"/>
  <c r="E451" i="5"/>
  <c r="D451" i="5"/>
  <c r="C451" i="5"/>
  <c r="B451" i="5"/>
  <c r="L451" i="5" s="1"/>
  <c r="A451" i="5"/>
  <c r="K450" i="5"/>
  <c r="J450" i="5"/>
  <c r="I450" i="5"/>
  <c r="H450" i="5"/>
  <c r="G450" i="5"/>
  <c r="F450" i="5"/>
  <c r="E450" i="5"/>
  <c r="D450" i="5"/>
  <c r="C450" i="5"/>
  <c r="B450" i="5"/>
  <c r="L450" i="5" s="1"/>
  <c r="A450" i="5"/>
  <c r="K449" i="5"/>
  <c r="J449" i="5"/>
  <c r="I449" i="5"/>
  <c r="H449" i="5"/>
  <c r="G449" i="5"/>
  <c r="F449" i="5"/>
  <c r="E449" i="5"/>
  <c r="D449" i="5"/>
  <c r="C449" i="5"/>
  <c r="B449" i="5"/>
  <c r="L449" i="5" s="1"/>
  <c r="A449" i="5"/>
  <c r="K448" i="5"/>
  <c r="J448" i="5"/>
  <c r="I448" i="5"/>
  <c r="H448" i="5"/>
  <c r="G448" i="5"/>
  <c r="F448" i="5"/>
  <c r="E448" i="5"/>
  <c r="D448" i="5"/>
  <c r="C448" i="5"/>
  <c r="B448" i="5"/>
  <c r="L448" i="5" s="1"/>
  <c r="A448" i="5"/>
  <c r="K447" i="5"/>
  <c r="J447" i="5"/>
  <c r="I447" i="5"/>
  <c r="H447" i="5"/>
  <c r="G447" i="5"/>
  <c r="F447" i="5"/>
  <c r="E447" i="5"/>
  <c r="D447" i="5"/>
  <c r="C447" i="5"/>
  <c r="B447" i="5"/>
  <c r="L447" i="5" s="1"/>
  <c r="A447" i="5"/>
  <c r="K446" i="5"/>
  <c r="J446" i="5"/>
  <c r="I446" i="5"/>
  <c r="H446" i="5"/>
  <c r="G446" i="5"/>
  <c r="F446" i="5"/>
  <c r="E446" i="5"/>
  <c r="D446" i="5"/>
  <c r="C446" i="5"/>
  <c r="B446" i="5"/>
  <c r="L446" i="5" s="1"/>
  <c r="A446" i="5"/>
  <c r="K445" i="5"/>
  <c r="J445" i="5"/>
  <c r="I445" i="5"/>
  <c r="H445" i="5"/>
  <c r="G445" i="5"/>
  <c r="F445" i="5"/>
  <c r="E445" i="5"/>
  <c r="D445" i="5"/>
  <c r="C445" i="5"/>
  <c r="B445" i="5"/>
  <c r="L445" i="5" s="1"/>
  <c r="A445" i="5"/>
  <c r="K444" i="5"/>
  <c r="J444" i="5"/>
  <c r="I444" i="5"/>
  <c r="H444" i="5"/>
  <c r="G444" i="5"/>
  <c r="F444" i="5"/>
  <c r="E444" i="5"/>
  <c r="D444" i="5"/>
  <c r="C444" i="5"/>
  <c r="B444" i="5"/>
  <c r="L444" i="5" s="1"/>
  <c r="A444" i="5"/>
  <c r="K443" i="5"/>
  <c r="J443" i="5"/>
  <c r="I443" i="5"/>
  <c r="H443" i="5"/>
  <c r="G443" i="5"/>
  <c r="F443" i="5"/>
  <c r="E443" i="5"/>
  <c r="D443" i="5"/>
  <c r="C443" i="5"/>
  <c r="B443" i="5"/>
  <c r="L443" i="5" s="1"/>
  <c r="A443" i="5"/>
  <c r="K442" i="5"/>
  <c r="J442" i="5"/>
  <c r="I442" i="5"/>
  <c r="H442" i="5"/>
  <c r="G442" i="5"/>
  <c r="F442" i="5"/>
  <c r="E442" i="5"/>
  <c r="D442" i="5"/>
  <c r="C442" i="5"/>
  <c r="B442" i="5"/>
  <c r="L442" i="5" s="1"/>
  <c r="A442" i="5"/>
  <c r="K441" i="5"/>
  <c r="J441" i="5"/>
  <c r="I441" i="5"/>
  <c r="H441" i="5"/>
  <c r="G441" i="5"/>
  <c r="F441" i="5"/>
  <c r="E441" i="5"/>
  <c r="D441" i="5"/>
  <c r="C441" i="5"/>
  <c r="B441" i="5"/>
  <c r="L441" i="5" s="1"/>
  <c r="A441" i="5"/>
  <c r="K440" i="5"/>
  <c r="J440" i="5"/>
  <c r="I440" i="5"/>
  <c r="H440" i="5"/>
  <c r="G440" i="5"/>
  <c r="F440" i="5"/>
  <c r="E440" i="5"/>
  <c r="D440" i="5"/>
  <c r="C440" i="5"/>
  <c r="B440" i="5"/>
  <c r="L440" i="5" s="1"/>
  <c r="A440" i="5"/>
  <c r="K439" i="5"/>
  <c r="J439" i="5"/>
  <c r="I439" i="5"/>
  <c r="H439" i="5"/>
  <c r="G439" i="5"/>
  <c r="F439" i="5"/>
  <c r="E439" i="5"/>
  <c r="D439" i="5"/>
  <c r="C439" i="5"/>
  <c r="B439" i="5"/>
  <c r="L439" i="5" s="1"/>
  <c r="A439" i="5"/>
  <c r="K438" i="5"/>
  <c r="J438" i="5"/>
  <c r="I438" i="5"/>
  <c r="H438" i="5"/>
  <c r="G438" i="5"/>
  <c r="F438" i="5"/>
  <c r="E438" i="5"/>
  <c r="D438" i="5"/>
  <c r="C438" i="5"/>
  <c r="B438" i="5"/>
  <c r="L438" i="5" s="1"/>
  <c r="A438" i="5"/>
  <c r="K437" i="5"/>
  <c r="J437" i="5"/>
  <c r="I437" i="5"/>
  <c r="H437" i="5"/>
  <c r="G437" i="5"/>
  <c r="F437" i="5"/>
  <c r="E437" i="5"/>
  <c r="D437" i="5"/>
  <c r="C437" i="5"/>
  <c r="B437" i="5"/>
  <c r="L437" i="5" s="1"/>
  <c r="A437" i="5"/>
  <c r="K436" i="5"/>
  <c r="J436" i="5"/>
  <c r="I436" i="5"/>
  <c r="H436" i="5"/>
  <c r="G436" i="5"/>
  <c r="F436" i="5"/>
  <c r="E436" i="5"/>
  <c r="D436" i="5"/>
  <c r="C436" i="5"/>
  <c r="B436" i="5"/>
  <c r="L436" i="5" s="1"/>
  <c r="A436" i="5"/>
  <c r="K435" i="5"/>
  <c r="J435" i="5"/>
  <c r="I435" i="5"/>
  <c r="H435" i="5"/>
  <c r="G435" i="5"/>
  <c r="F435" i="5"/>
  <c r="E435" i="5"/>
  <c r="D435" i="5"/>
  <c r="C435" i="5"/>
  <c r="B435" i="5"/>
  <c r="L435" i="5" s="1"/>
  <c r="A435" i="5"/>
  <c r="K434" i="5"/>
  <c r="J434" i="5"/>
  <c r="I434" i="5"/>
  <c r="H434" i="5"/>
  <c r="G434" i="5"/>
  <c r="F434" i="5"/>
  <c r="E434" i="5"/>
  <c r="D434" i="5"/>
  <c r="C434" i="5"/>
  <c r="B434" i="5"/>
  <c r="L434" i="5" s="1"/>
  <c r="A434" i="5"/>
  <c r="K433" i="5"/>
  <c r="J433" i="5"/>
  <c r="I433" i="5"/>
  <c r="H433" i="5"/>
  <c r="G433" i="5"/>
  <c r="F433" i="5"/>
  <c r="E433" i="5"/>
  <c r="D433" i="5"/>
  <c r="C433" i="5"/>
  <c r="B433" i="5"/>
  <c r="L433" i="5" s="1"/>
  <c r="A433" i="5"/>
  <c r="K432" i="5"/>
  <c r="J432" i="5"/>
  <c r="I432" i="5"/>
  <c r="H432" i="5"/>
  <c r="G432" i="5"/>
  <c r="F432" i="5"/>
  <c r="E432" i="5"/>
  <c r="D432" i="5"/>
  <c r="C432" i="5"/>
  <c r="B432" i="5"/>
  <c r="L432" i="5" s="1"/>
  <c r="A432" i="5"/>
  <c r="K431" i="5"/>
  <c r="J431" i="5"/>
  <c r="I431" i="5"/>
  <c r="H431" i="5"/>
  <c r="G431" i="5"/>
  <c r="F431" i="5"/>
  <c r="E431" i="5"/>
  <c r="D431" i="5"/>
  <c r="C431" i="5"/>
  <c r="B431" i="5"/>
  <c r="L431" i="5" s="1"/>
  <c r="A431" i="5"/>
  <c r="K430" i="5"/>
  <c r="J430" i="5"/>
  <c r="I430" i="5"/>
  <c r="H430" i="5"/>
  <c r="G430" i="5"/>
  <c r="F430" i="5"/>
  <c r="E430" i="5"/>
  <c r="D430" i="5"/>
  <c r="C430" i="5"/>
  <c r="B430" i="5"/>
  <c r="L430" i="5" s="1"/>
  <c r="A430" i="5"/>
  <c r="K429" i="5"/>
  <c r="J429" i="5"/>
  <c r="I429" i="5"/>
  <c r="H429" i="5"/>
  <c r="G429" i="5"/>
  <c r="F429" i="5"/>
  <c r="E429" i="5"/>
  <c r="D429" i="5"/>
  <c r="C429" i="5"/>
  <c r="B429" i="5"/>
  <c r="L429" i="5" s="1"/>
  <c r="A429" i="5"/>
  <c r="K428" i="5"/>
  <c r="J428" i="5"/>
  <c r="I428" i="5"/>
  <c r="H428" i="5"/>
  <c r="G428" i="5"/>
  <c r="F428" i="5"/>
  <c r="E428" i="5"/>
  <c r="D428" i="5"/>
  <c r="C428" i="5"/>
  <c r="B428" i="5"/>
  <c r="L428" i="5" s="1"/>
  <c r="A428" i="5"/>
  <c r="K427" i="5"/>
  <c r="J427" i="5"/>
  <c r="I427" i="5"/>
  <c r="H427" i="5"/>
  <c r="G427" i="5"/>
  <c r="F427" i="5"/>
  <c r="E427" i="5"/>
  <c r="D427" i="5"/>
  <c r="C427" i="5"/>
  <c r="B427" i="5"/>
  <c r="L427" i="5" s="1"/>
  <c r="A427" i="5"/>
  <c r="K426" i="5"/>
  <c r="J426" i="5"/>
  <c r="I426" i="5"/>
  <c r="H426" i="5"/>
  <c r="G426" i="5"/>
  <c r="F426" i="5"/>
  <c r="E426" i="5"/>
  <c r="D426" i="5"/>
  <c r="C426" i="5"/>
  <c r="B426" i="5"/>
  <c r="L426" i="5" s="1"/>
  <c r="A426" i="5"/>
  <c r="K425" i="5"/>
  <c r="J425" i="5"/>
  <c r="I425" i="5"/>
  <c r="H425" i="5"/>
  <c r="G425" i="5"/>
  <c r="F425" i="5"/>
  <c r="E425" i="5"/>
  <c r="D425" i="5"/>
  <c r="C425" i="5"/>
  <c r="B425" i="5"/>
  <c r="L425" i="5" s="1"/>
  <c r="A425" i="5"/>
  <c r="K424" i="5"/>
  <c r="J424" i="5"/>
  <c r="I424" i="5"/>
  <c r="H424" i="5"/>
  <c r="G424" i="5"/>
  <c r="F424" i="5"/>
  <c r="E424" i="5"/>
  <c r="D424" i="5"/>
  <c r="C424" i="5"/>
  <c r="B424" i="5"/>
  <c r="L424" i="5" s="1"/>
  <c r="A424" i="5"/>
  <c r="K423" i="5"/>
  <c r="J423" i="5"/>
  <c r="I423" i="5"/>
  <c r="H423" i="5"/>
  <c r="G423" i="5"/>
  <c r="F423" i="5"/>
  <c r="E423" i="5"/>
  <c r="D423" i="5"/>
  <c r="C423" i="5"/>
  <c r="B423" i="5"/>
  <c r="L423" i="5" s="1"/>
  <c r="A423" i="5"/>
  <c r="K422" i="5"/>
  <c r="J422" i="5"/>
  <c r="I422" i="5"/>
  <c r="H422" i="5"/>
  <c r="G422" i="5"/>
  <c r="F422" i="5"/>
  <c r="E422" i="5"/>
  <c r="D422" i="5"/>
  <c r="C422" i="5"/>
  <c r="B422" i="5"/>
  <c r="L422" i="5" s="1"/>
  <c r="A422" i="5"/>
  <c r="K421" i="5"/>
  <c r="J421" i="5"/>
  <c r="I421" i="5"/>
  <c r="H421" i="5"/>
  <c r="G421" i="5"/>
  <c r="F421" i="5"/>
  <c r="E421" i="5"/>
  <c r="D421" i="5"/>
  <c r="C421" i="5"/>
  <c r="B421" i="5"/>
  <c r="L421" i="5" s="1"/>
  <c r="A421" i="5"/>
  <c r="K420" i="5"/>
  <c r="J420" i="5"/>
  <c r="I420" i="5"/>
  <c r="H420" i="5"/>
  <c r="G420" i="5"/>
  <c r="F420" i="5"/>
  <c r="E420" i="5"/>
  <c r="D420" i="5"/>
  <c r="C420" i="5"/>
  <c r="B420" i="5"/>
  <c r="L420" i="5" s="1"/>
  <c r="A420" i="5"/>
  <c r="K419" i="5"/>
  <c r="J419" i="5"/>
  <c r="I419" i="5"/>
  <c r="H419" i="5"/>
  <c r="G419" i="5"/>
  <c r="F419" i="5"/>
  <c r="E419" i="5"/>
  <c r="D419" i="5"/>
  <c r="C419" i="5"/>
  <c r="B419" i="5"/>
  <c r="L419" i="5" s="1"/>
  <c r="A419" i="5"/>
  <c r="K418" i="5"/>
  <c r="J418" i="5"/>
  <c r="I418" i="5"/>
  <c r="H418" i="5"/>
  <c r="G418" i="5"/>
  <c r="F418" i="5"/>
  <c r="E418" i="5"/>
  <c r="D418" i="5"/>
  <c r="C418" i="5"/>
  <c r="B418" i="5"/>
  <c r="L418" i="5" s="1"/>
  <c r="A418" i="5"/>
  <c r="K417" i="5"/>
  <c r="J417" i="5"/>
  <c r="I417" i="5"/>
  <c r="H417" i="5"/>
  <c r="G417" i="5"/>
  <c r="F417" i="5"/>
  <c r="E417" i="5"/>
  <c r="D417" i="5"/>
  <c r="C417" i="5"/>
  <c r="B417" i="5"/>
  <c r="L417" i="5" s="1"/>
  <c r="A417" i="5"/>
  <c r="K416" i="5"/>
  <c r="J416" i="5"/>
  <c r="I416" i="5"/>
  <c r="H416" i="5"/>
  <c r="G416" i="5"/>
  <c r="F416" i="5"/>
  <c r="E416" i="5"/>
  <c r="D416" i="5"/>
  <c r="C416" i="5"/>
  <c r="B416" i="5"/>
  <c r="L416" i="5" s="1"/>
  <c r="A416" i="5"/>
  <c r="K415" i="5"/>
  <c r="J415" i="5"/>
  <c r="I415" i="5"/>
  <c r="H415" i="5"/>
  <c r="G415" i="5"/>
  <c r="F415" i="5"/>
  <c r="E415" i="5"/>
  <c r="D415" i="5"/>
  <c r="C415" i="5"/>
  <c r="B415" i="5"/>
  <c r="L415" i="5" s="1"/>
  <c r="A415" i="5"/>
  <c r="K414" i="5"/>
  <c r="J414" i="5"/>
  <c r="I414" i="5"/>
  <c r="H414" i="5"/>
  <c r="G414" i="5"/>
  <c r="F414" i="5"/>
  <c r="E414" i="5"/>
  <c r="D414" i="5"/>
  <c r="C414" i="5"/>
  <c r="B414" i="5"/>
  <c r="L414" i="5" s="1"/>
  <c r="A414" i="5"/>
  <c r="K413" i="5"/>
  <c r="J413" i="5"/>
  <c r="I413" i="5"/>
  <c r="H413" i="5"/>
  <c r="G413" i="5"/>
  <c r="F413" i="5"/>
  <c r="E413" i="5"/>
  <c r="D413" i="5"/>
  <c r="C413" i="5"/>
  <c r="B413" i="5"/>
  <c r="L413" i="5" s="1"/>
  <c r="A413" i="5"/>
  <c r="K412" i="5"/>
  <c r="J412" i="5"/>
  <c r="I412" i="5"/>
  <c r="H412" i="5"/>
  <c r="G412" i="5"/>
  <c r="F412" i="5"/>
  <c r="E412" i="5"/>
  <c r="D412" i="5"/>
  <c r="C412" i="5"/>
  <c r="B412" i="5"/>
  <c r="L412" i="5" s="1"/>
  <c r="A412" i="5"/>
  <c r="K411" i="5"/>
  <c r="J411" i="5"/>
  <c r="I411" i="5"/>
  <c r="H411" i="5"/>
  <c r="G411" i="5"/>
  <c r="F411" i="5"/>
  <c r="E411" i="5"/>
  <c r="D411" i="5"/>
  <c r="C411" i="5"/>
  <c r="B411" i="5"/>
  <c r="L411" i="5" s="1"/>
  <c r="A411" i="5"/>
  <c r="K410" i="5"/>
  <c r="J410" i="5"/>
  <c r="I410" i="5"/>
  <c r="H410" i="5"/>
  <c r="G410" i="5"/>
  <c r="F410" i="5"/>
  <c r="E410" i="5"/>
  <c r="D410" i="5"/>
  <c r="C410" i="5"/>
  <c r="B410" i="5"/>
  <c r="L410" i="5" s="1"/>
  <c r="A410" i="5"/>
  <c r="K409" i="5"/>
  <c r="J409" i="5"/>
  <c r="I409" i="5"/>
  <c r="H409" i="5"/>
  <c r="G409" i="5"/>
  <c r="F409" i="5"/>
  <c r="E409" i="5"/>
  <c r="D409" i="5"/>
  <c r="C409" i="5"/>
  <c r="B409" i="5"/>
  <c r="L409" i="5" s="1"/>
  <c r="A409" i="5"/>
  <c r="K408" i="5"/>
  <c r="J408" i="5"/>
  <c r="I408" i="5"/>
  <c r="H408" i="5"/>
  <c r="G408" i="5"/>
  <c r="F408" i="5"/>
  <c r="E408" i="5"/>
  <c r="D408" i="5"/>
  <c r="C408" i="5"/>
  <c r="B408" i="5"/>
  <c r="L408" i="5" s="1"/>
  <c r="A408" i="5"/>
  <c r="K407" i="5"/>
  <c r="J407" i="5"/>
  <c r="I407" i="5"/>
  <c r="H407" i="5"/>
  <c r="G407" i="5"/>
  <c r="F407" i="5"/>
  <c r="E407" i="5"/>
  <c r="D407" i="5"/>
  <c r="C407" i="5"/>
  <c r="B407" i="5"/>
  <c r="L407" i="5" s="1"/>
  <c r="A407" i="5"/>
  <c r="K406" i="5"/>
  <c r="J406" i="5"/>
  <c r="I406" i="5"/>
  <c r="H406" i="5"/>
  <c r="G406" i="5"/>
  <c r="F406" i="5"/>
  <c r="E406" i="5"/>
  <c r="D406" i="5"/>
  <c r="C406" i="5"/>
  <c r="B406" i="5"/>
  <c r="L406" i="5" s="1"/>
  <c r="A406" i="5"/>
  <c r="K405" i="5"/>
  <c r="J405" i="5"/>
  <c r="I405" i="5"/>
  <c r="H405" i="5"/>
  <c r="G405" i="5"/>
  <c r="F405" i="5"/>
  <c r="E405" i="5"/>
  <c r="D405" i="5"/>
  <c r="C405" i="5"/>
  <c r="B405" i="5"/>
  <c r="L405" i="5" s="1"/>
  <c r="A405" i="5"/>
  <c r="K404" i="5"/>
  <c r="J404" i="5"/>
  <c r="I404" i="5"/>
  <c r="H404" i="5"/>
  <c r="G404" i="5"/>
  <c r="F404" i="5"/>
  <c r="E404" i="5"/>
  <c r="D404" i="5"/>
  <c r="C404" i="5"/>
  <c r="B404" i="5"/>
  <c r="L404" i="5" s="1"/>
  <c r="A404" i="5"/>
  <c r="K403" i="5"/>
  <c r="J403" i="5"/>
  <c r="I403" i="5"/>
  <c r="H403" i="5"/>
  <c r="G403" i="5"/>
  <c r="F403" i="5"/>
  <c r="E403" i="5"/>
  <c r="D403" i="5"/>
  <c r="C403" i="5"/>
  <c r="B403" i="5"/>
  <c r="L403" i="5" s="1"/>
  <c r="A403" i="5"/>
  <c r="K402" i="5"/>
  <c r="J402" i="5"/>
  <c r="I402" i="5"/>
  <c r="H402" i="5"/>
  <c r="G402" i="5"/>
  <c r="F402" i="5"/>
  <c r="E402" i="5"/>
  <c r="D402" i="5"/>
  <c r="C402" i="5"/>
  <c r="B402" i="5"/>
  <c r="L402" i="5" s="1"/>
  <c r="A402" i="5"/>
  <c r="K401" i="5"/>
  <c r="J401" i="5"/>
  <c r="I401" i="5"/>
  <c r="H401" i="5"/>
  <c r="G401" i="5"/>
  <c r="F401" i="5"/>
  <c r="E401" i="5"/>
  <c r="D401" i="5"/>
  <c r="C401" i="5"/>
  <c r="B401" i="5"/>
  <c r="L401" i="5" s="1"/>
  <c r="A401" i="5"/>
  <c r="K400" i="5"/>
  <c r="J400" i="5"/>
  <c r="I400" i="5"/>
  <c r="H400" i="5"/>
  <c r="G400" i="5"/>
  <c r="F400" i="5"/>
  <c r="E400" i="5"/>
  <c r="D400" i="5"/>
  <c r="C400" i="5"/>
  <c r="B400" i="5"/>
  <c r="L400" i="5" s="1"/>
  <c r="A400" i="5"/>
  <c r="K399" i="5"/>
  <c r="J399" i="5"/>
  <c r="I399" i="5"/>
  <c r="H399" i="5"/>
  <c r="G399" i="5"/>
  <c r="F399" i="5"/>
  <c r="E399" i="5"/>
  <c r="D399" i="5"/>
  <c r="C399" i="5"/>
  <c r="B399" i="5"/>
  <c r="L399" i="5" s="1"/>
  <c r="A399" i="5"/>
  <c r="K398" i="5"/>
  <c r="J398" i="5"/>
  <c r="I398" i="5"/>
  <c r="H398" i="5"/>
  <c r="G398" i="5"/>
  <c r="F398" i="5"/>
  <c r="E398" i="5"/>
  <c r="D398" i="5"/>
  <c r="C398" i="5"/>
  <c r="B398" i="5"/>
  <c r="L398" i="5" s="1"/>
  <c r="A398" i="5"/>
  <c r="K397" i="5"/>
  <c r="J397" i="5"/>
  <c r="I397" i="5"/>
  <c r="H397" i="5"/>
  <c r="G397" i="5"/>
  <c r="F397" i="5"/>
  <c r="E397" i="5"/>
  <c r="D397" i="5"/>
  <c r="C397" i="5"/>
  <c r="B397" i="5"/>
  <c r="L397" i="5" s="1"/>
  <c r="A397" i="5"/>
  <c r="K396" i="5"/>
  <c r="J396" i="5"/>
  <c r="I396" i="5"/>
  <c r="H396" i="5"/>
  <c r="G396" i="5"/>
  <c r="F396" i="5"/>
  <c r="E396" i="5"/>
  <c r="D396" i="5"/>
  <c r="C396" i="5"/>
  <c r="B396" i="5"/>
  <c r="L396" i="5" s="1"/>
  <c r="A396" i="5"/>
  <c r="K395" i="5"/>
  <c r="J395" i="5"/>
  <c r="I395" i="5"/>
  <c r="H395" i="5"/>
  <c r="G395" i="5"/>
  <c r="F395" i="5"/>
  <c r="E395" i="5"/>
  <c r="D395" i="5"/>
  <c r="C395" i="5"/>
  <c r="B395" i="5"/>
  <c r="L395" i="5" s="1"/>
  <c r="A395" i="5"/>
  <c r="K394" i="5"/>
  <c r="J394" i="5"/>
  <c r="I394" i="5"/>
  <c r="H394" i="5"/>
  <c r="G394" i="5"/>
  <c r="F394" i="5"/>
  <c r="E394" i="5"/>
  <c r="D394" i="5"/>
  <c r="C394" i="5"/>
  <c r="B394" i="5"/>
  <c r="L394" i="5" s="1"/>
  <c r="A394" i="5"/>
  <c r="K393" i="5"/>
  <c r="J393" i="5"/>
  <c r="I393" i="5"/>
  <c r="H393" i="5"/>
  <c r="G393" i="5"/>
  <c r="F393" i="5"/>
  <c r="E393" i="5"/>
  <c r="D393" i="5"/>
  <c r="C393" i="5"/>
  <c r="B393" i="5"/>
  <c r="L393" i="5" s="1"/>
  <c r="A393" i="5"/>
  <c r="K392" i="5"/>
  <c r="J392" i="5"/>
  <c r="I392" i="5"/>
  <c r="H392" i="5"/>
  <c r="G392" i="5"/>
  <c r="F392" i="5"/>
  <c r="E392" i="5"/>
  <c r="D392" i="5"/>
  <c r="C392" i="5"/>
  <c r="B392" i="5"/>
  <c r="L392" i="5" s="1"/>
  <c r="A392" i="5"/>
  <c r="K391" i="5"/>
  <c r="J391" i="5"/>
  <c r="I391" i="5"/>
  <c r="H391" i="5"/>
  <c r="G391" i="5"/>
  <c r="F391" i="5"/>
  <c r="E391" i="5"/>
  <c r="D391" i="5"/>
  <c r="C391" i="5"/>
  <c r="B391" i="5"/>
  <c r="L391" i="5" s="1"/>
  <c r="A391" i="5"/>
  <c r="K390" i="5"/>
  <c r="J390" i="5"/>
  <c r="I390" i="5"/>
  <c r="H390" i="5"/>
  <c r="G390" i="5"/>
  <c r="F390" i="5"/>
  <c r="E390" i="5"/>
  <c r="D390" i="5"/>
  <c r="C390" i="5"/>
  <c r="B390" i="5"/>
  <c r="L390" i="5" s="1"/>
  <c r="A390" i="5"/>
  <c r="K389" i="5"/>
  <c r="J389" i="5"/>
  <c r="I389" i="5"/>
  <c r="H389" i="5"/>
  <c r="G389" i="5"/>
  <c r="F389" i="5"/>
  <c r="E389" i="5"/>
  <c r="D389" i="5"/>
  <c r="C389" i="5"/>
  <c r="B389" i="5"/>
  <c r="L389" i="5" s="1"/>
  <c r="A389" i="5"/>
  <c r="K388" i="5"/>
  <c r="J388" i="5"/>
  <c r="I388" i="5"/>
  <c r="H388" i="5"/>
  <c r="G388" i="5"/>
  <c r="F388" i="5"/>
  <c r="E388" i="5"/>
  <c r="D388" i="5"/>
  <c r="C388" i="5"/>
  <c r="B388" i="5"/>
  <c r="L388" i="5" s="1"/>
  <c r="A388" i="5"/>
  <c r="K387" i="5"/>
  <c r="J387" i="5"/>
  <c r="I387" i="5"/>
  <c r="H387" i="5"/>
  <c r="G387" i="5"/>
  <c r="F387" i="5"/>
  <c r="E387" i="5"/>
  <c r="D387" i="5"/>
  <c r="C387" i="5"/>
  <c r="B387" i="5"/>
  <c r="L387" i="5" s="1"/>
  <c r="A387" i="5"/>
  <c r="K386" i="5"/>
  <c r="J386" i="5"/>
  <c r="I386" i="5"/>
  <c r="H386" i="5"/>
  <c r="G386" i="5"/>
  <c r="F386" i="5"/>
  <c r="E386" i="5"/>
  <c r="D386" i="5"/>
  <c r="C386" i="5"/>
  <c r="B386" i="5"/>
  <c r="L386" i="5" s="1"/>
  <c r="A386" i="5"/>
  <c r="K385" i="5"/>
  <c r="J385" i="5"/>
  <c r="I385" i="5"/>
  <c r="H385" i="5"/>
  <c r="G385" i="5"/>
  <c r="F385" i="5"/>
  <c r="E385" i="5"/>
  <c r="D385" i="5"/>
  <c r="C385" i="5"/>
  <c r="B385" i="5"/>
  <c r="L385" i="5" s="1"/>
  <c r="A385" i="5"/>
  <c r="K384" i="5"/>
  <c r="J384" i="5"/>
  <c r="I384" i="5"/>
  <c r="H384" i="5"/>
  <c r="G384" i="5"/>
  <c r="F384" i="5"/>
  <c r="E384" i="5"/>
  <c r="D384" i="5"/>
  <c r="C384" i="5"/>
  <c r="B384" i="5"/>
  <c r="L384" i="5" s="1"/>
  <c r="A384" i="5"/>
  <c r="K383" i="5"/>
  <c r="J383" i="5"/>
  <c r="I383" i="5"/>
  <c r="H383" i="5"/>
  <c r="G383" i="5"/>
  <c r="F383" i="5"/>
  <c r="E383" i="5"/>
  <c r="D383" i="5"/>
  <c r="C383" i="5"/>
  <c r="B383" i="5"/>
  <c r="L383" i="5" s="1"/>
  <c r="A383" i="5"/>
  <c r="K382" i="5"/>
  <c r="J382" i="5"/>
  <c r="I382" i="5"/>
  <c r="H382" i="5"/>
  <c r="G382" i="5"/>
  <c r="F382" i="5"/>
  <c r="E382" i="5"/>
  <c r="D382" i="5"/>
  <c r="C382" i="5"/>
  <c r="B382" i="5"/>
  <c r="L382" i="5" s="1"/>
  <c r="A382" i="5"/>
  <c r="K381" i="5"/>
  <c r="J381" i="5"/>
  <c r="I381" i="5"/>
  <c r="H381" i="5"/>
  <c r="G381" i="5"/>
  <c r="F381" i="5"/>
  <c r="E381" i="5"/>
  <c r="D381" i="5"/>
  <c r="C381" i="5"/>
  <c r="B381" i="5"/>
  <c r="L381" i="5" s="1"/>
  <c r="A381" i="5"/>
  <c r="K380" i="5"/>
  <c r="J380" i="5"/>
  <c r="I380" i="5"/>
  <c r="H380" i="5"/>
  <c r="G380" i="5"/>
  <c r="F380" i="5"/>
  <c r="E380" i="5"/>
  <c r="D380" i="5"/>
  <c r="C380" i="5"/>
  <c r="B380" i="5"/>
  <c r="L380" i="5" s="1"/>
  <c r="A380" i="5"/>
  <c r="K379" i="5"/>
  <c r="J379" i="5"/>
  <c r="I379" i="5"/>
  <c r="H379" i="5"/>
  <c r="G379" i="5"/>
  <c r="F379" i="5"/>
  <c r="E379" i="5"/>
  <c r="D379" i="5"/>
  <c r="C379" i="5"/>
  <c r="B379" i="5"/>
  <c r="L379" i="5" s="1"/>
  <c r="A379" i="5"/>
  <c r="K378" i="5"/>
  <c r="J378" i="5"/>
  <c r="I378" i="5"/>
  <c r="H378" i="5"/>
  <c r="G378" i="5"/>
  <c r="F378" i="5"/>
  <c r="E378" i="5"/>
  <c r="D378" i="5"/>
  <c r="C378" i="5"/>
  <c r="B378" i="5"/>
  <c r="L378" i="5" s="1"/>
  <c r="A378" i="5"/>
  <c r="K377" i="5"/>
  <c r="J377" i="5"/>
  <c r="I377" i="5"/>
  <c r="H377" i="5"/>
  <c r="G377" i="5"/>
  <c r="F377" i="5"/>
  <c r="E377" i="5"/>
  <c r="D377" i="5"/>
  <c r="C377" i="5"/>
  <c r="B377" i="5"/>
  <c r="L377" i="5" s="1"/>
  <c r="A377" i="5"/>
  <c r="K376" i="5"/>
  <c r="J376" i="5"/>
  <c r="I376" i="5"/>
  <c r="H376" i="5"/>
  <c r="G376" i="5"/>
  <c r="F376" i="5"/>
  <c r="E376" i="5"/>
  <c r="D376" i="5"/>
  <c r="C376" i="5"/>
  <c r="B376" i="5"/>
  <c r="L376" i="5" s="1"/>
  <c r="A376" i="5"/>
  <c r="K375" i="5"/>
  <c r="J375" i="5"/>
  <c r="I375" i="5"/>
  <c r="H375" i="5"/>
  <c r="G375" i="5"/>
  <c r="F375" i="5"/>
  <c r="E375" i="5"/>
  <c r="D375" i="5"/>
  <c r="C375" i="5"/>
  <c r="B375" i="5"/>
  <c r="L375" i="5" s="1"/>
  <c r="A375" i="5"/>
  <c r="K374" i="5"/>
  <c r="J374" i="5"/>
  <c r="I374" i="5"/>
  <c r="H374" i="5"/>
  <c r="G374" i="5"/>
  <c r="F374" i="5"/>
  <c r="E374" i="5"/>
  <c r="D374" i="5"/>
  <c r="C374" i="5"/>
  <c r="B374" i="5"/>
  <c r="L374" i="5" s="1"/>
  <c r="A374" i="5"/>
  <c r="K373" i="5"/>
  <c r="J373" i="5"/>
  <c r="I373" i="5"/>
  <c r="H373" i="5"/>
  <c r="G373" i="5"/>
  <c r="F373" i="5"/>
  <c r="E373" i="5"/>
  <c r="D373" i="5"/>
  <c r="C373" i="5"/>
  <c r="B373" i="5"/>
  <c r="L373" i="5" s="1"/>
  <c r="A373" i="5"/>
  <c r="K372" i="5"/>
  <c r="J372" i="5"/>
  <c r="I372" i="5"/>
  <c r="H372" i="5"/>
  <c r="G372" i="5"/>
  <c r="F372" i="5"/>
  <c r="E372" i="5"/>
  <c r="D372" i="5"/>
  <c r="C372" i="5"/>
  <c r="B372" i="5"/>
  <c r="L372" i="5" s="1"/>
  <c r="A372" i="5"/>
  <c r="K371" i="5"/>
  <c r="J371" i="5"/>
  <c r="I371" i="5"/>
  <c r="H371" i="5"/>
  <c r="G371" i="5"/>
  <c r="F371" i="5"/>
  <c r="E371" i="5"/>
  <c r="D371" i="5"/>
  <c r="C371" i="5"/>
  <c r="B371" i="5"/>
  <c r="L371" i="5" s="1"/>
  <c r="A371" i="5"/>
  <c r="K370" i="5"/>
  <c r="J370" i="5"/>
  <c r="I370" i="5"/>
  <c r="H370" i="5"/>
  <c r="G370" i="5"/>
  <c r="F370" i="5"/>
  <c r="E370" i="5"/>
  <c r="D370" i="5"/>
  <c r="C370" i="5"/>
  <c r="B370" i="5"/>
  <c r="L370" i="5" s="1"/>
  <c r="A370" i="5"/>
  <c r="K369" i="5"/>
  <c r="J369" i="5"/>
  <c r="I369" i="5"/>
  <c r="H369" i="5"/>
  <c r="G369" i="5"/>
  <c r="F369" i="5"/>
  <c r="E369" i="5"/>
  <c r="D369" i="5"/>
  <c r="C369" i="5"/>
  <c r="B369" i="5"/>
  <c r="L369" i="5" s="1"/>
  <c r="A369" i="5"/>
  <c r="K368" i="5"/>
  <c r="J368" i="5"/>
  <c r="I368" i="5"/>
  <c r="H368" i="5"/>
  <c r="G368" i="5"/>
  <c r="F368" i="5"/>
  <c r="E368" i="5"/>
  <c r="D368" i="5"/>
  <c r="C368" i="5"/>
  <c r="B368" i="5"/>
  <c r="L368" i="5" s="1"/>
  <c r="A368" i="5"/>
  <c r="K367" i="5"/>
  <c r="J367" i="5"/>
  <c r="I367" i="5"/>
  <c r="H367" i="5"/>
  <c r="G367" i="5"/>
  <c r="F367" i="5"/>
  <c r="E367" i="5"/>
  <c r="D367" i="5"/>
  <c r="C367" i="5"/>
  <c r="B367" i="5"/>
  <c r="L367" i="5" s="1"/>
  <c r="A367" i="5"/>
  <c r="K366" i="5"/>
  <c r="J366" i="5"/>
  <c r="I366" i="5"/>
  <c r="H366" i="5"/>
  <c r="G366" i="5"/>
  <c r="F366" i="5"/>
  <c r="E366" i="5"/>
  <c r="D366" i="5"/>
  <c r="C366" i="5"/>
  <c r="B366" i="5"/>
  <c r="L366" i="5" s="1"/>
  <c r="A366" i="5"/>
  <c r="K365" i="5"/>
  <c r="J365" i="5"/>
  <c r="I365" i="5"/>
  <c r="H365" i="5"/>
  <c r="G365" i="5"/>
  <c r="F365" i="5"/>
  <c r="E365" i="5"/>
  <c r="D365" i="5"/>
  <c r="C365" i="5"/>
  <c r="B365" i="5"/>
  <c r="L365" i="5" s="1"/>
  <c r="A365" i="5"/>
  <c r="K364" i="5"/>
  <c r="J364" i="5"/>
  <c r="I364" i="5"/>
  <c r="H364" i="5"/>
  <c r="G364" i="5"/>
  <c r="F364" i="5"/>
  <c r="E364" i="5"/>
  <c r="D364" i="5"/>
  <c r="C364" i="5"/>
  <c r="B364" i="5"/>
  <c r="L364" i="5" s="1"/>
  <c r="A364" i="5"/>
  <c r="K363" i="5"/>
  <c r="J363" i="5"/>
  <c r="I363" i="5"/>
  <c r="H363" i="5"/>
  <c r="G363" i="5"/>
  <c r="F363" i="5"/>
  <c r="E363" i="5"/>
  <c r="D363" i="5"/>
  <c r="C363" i="5"/>
  <c r="B363" i="5"/>
  <c r="L363" i="5" s="1"/>
  <c r="A363" i="5"/>
  <c r="K362" i="5"/>
  <c r="J362" i="5"/>
  <c r="I362" i="5"/>
  <c r="H362" i="5"/>
  <c r="G362" i="5"/>
  <c r="F362" i="5"/>
  <c r="E362" i="5"/>
  <c r="D362" i="5"/>
  <c r="C362" i="5"/>
  <c r="B362" i="5"/>
  <c r="L362" i="5" s="1"/>
  <c r="A362" i="5"/>
  <c r="K361" i="5"/>
  <c r="J361" i="5"/>
  <c r="I361" i="5"/>
  <c r="H361" i="5"/>
  <c r="G361" i="5"/>
  <c r="F361" i="5"/>
  <c r="E361" i="5"/>
  <c r="D361" i="5"/>
  <c r="C361" i="5"/>
  <c r="B361" i="5"/>
  <c r="L361" i="5" s="1"/>
  <c r="A361" i="5"/>
  <c r="K360" i="5"/>
  <c r="J360" i="5"/>
  <c r="I360" i="5"/>
  <c r="H360" i="5"/>
  <c r="G360" i="5"/>
  <c r="F360" i="5"/>
  <c r="E360" i="5"/>
  <c r="D360" i="5"/>
  <c r="C360" i="5"/>
  <c r="B360" i="5"/>
  <c r="L360" i="5" s="1"/>
  <c r="A360" i="5"/>
  <c r="K359" i="5"/>
  <c r="J359" i="5"/>
  <c r="I359" i="5"/>
  <c r="H359" i="5"/>
  <c r="G359" i="5"/>
  <c r="F359" i="5"/>
  <c r="E359" i="5"/>
  <c r="D359" i="5"/>
  <c r="C359" i="5"/>
  <c r="B359" i="5"/>
  <c r="L359" i="5" s="1"/>
  <c r="A359" i="5"/>
  <c r="K358" i="5"/>
  <c r="J358" i="5"/>
  <c r="I358" i="5"/>
  <c r="H358" i="5"/>
  <c r="G358" i="5"/>
  <c r="F358" i="5"/>
  <c r="E358" i="5"/>
  <c r="D358" i="5"/>
  <c r="C358" i="5"/>
  <c r="B358" i="5"/>
  <c r="L358" i="5" s="1"/>
  <c r="A358" i="5"/>
  <c r="K357" i="5"/>
  <c r="J357" i="5"/>
  <c r="I357" i="5"/>
  <c r="H357" i="5"/>
  <c r="G357" i="5"/>
  <c r="F357" i="5"/>
  <c r="E357" i="5"/>
  <c r="D357" i="5"/>
  <c r="C357" i="5"/>
  <c r="B357" i="5"/>
  <c r="L357" i="5" s="1"/>
  <c r="A357" i="5"/>
  <c r="K356" i="5"/>
  <c r="J356" i="5"/>
  <c r="I356" i="5"/>
  <c r="H356" i="5"/>
  <c r="G356" i="5"/>
  <c r="F356" i="5"/>
  <c r="E356" i="5"/>
  <c r="D356" i="5"/>
  <c r="C356" i="5"/>
  <c r="B356" i="5"/>
  <c r="L356" i="5" s="1"/>
  <c r="A356" i="5"/>
  <c r="K355" i="5"/>
  <c r="J355" i="5"/>
  <c r="I355" i="5"/>
  <c r="H355" i="5"/>
  <c r="G355" i="5"/>
  <c r="F355" i="5"/>
  <c r="E355" i="5"/>
  <c r="D355" i="5"/>
  <c r="C355" i="5"/>
  <c r="B355" i="5"/>
  <c r="L355" i="5" s="1"/>
  <c r="A355" i="5"/>
  <c r="K354" i="5"/>
  <c r="J354" i="5"/>
  <c r="I354" i="5"/>
  <c r="H354" i="5"/>
  <c r="G354" i="5"/>
  <c r="F354" i="5"/>
  <c r="E354" i="5"/>
  <c r="D354" i="5"/>
  <c r="C354" i="5"/>
  <c r="B354" i="5"/>
  <c r="L354" i="5" s="1"/>
  <c r="A354" i="5"/>
  <c r="K353" i="5"/>
  <c r="J353" i="5"/>
  <c r="I353" i="5"/>
  <c r="H353" i="5"/>
  <c r="G353" i="5"/>
  <c r="F353" i="5"/>
  <c r="E353" i="5"/>
  <c r="D353" i="5"/>
  <c r="C353" i="5"/>
  <c r="B353" i="5"/>
  <c r="L353" i="5" s="1"/>
  <c r="A353" i="5"/>
  <c r="K352" i="5"/>
  <c r="J352" i="5"/>
  <c r="I352" i="5"/>
  <c r="H352" i="5"/>
  <c r="G352" i="5"/>
  <c r="F352" i="5"/>
  <c r="E352" i="5"/>
  <c r="D352" i="5"/>
  <c r="C352" i="5"/>
  <c r="B352" i="5"/>
  <c r="L352" i="5" s="1"/>
  <c r="A352" i="5"/>
  <c r="K351" i="5"/>
  <c r="J351" i="5"/>
  <c r="I351" i="5"/>
  <c r="H351" i="5"/>
  <c r="G351" i="5"/>
  <c r="F351" i="5"/>
  <c r="E351" i="5"/>
  <c r="D351" i="5"/>
  <c r="C351" i="5"/>
  <c r="B351" i="5"/>
  <c r="L351" i="5" s="1"/>
  <c r="A351" i="5"/>
  <c r="K350" i="5"/>
  <c r="J350" i="5"/>
  <c r="I350" i="5"/>
  <c r="H350" i="5"/>
  <c r="G350" i="5"/>
  <c r="F350" i="5"/>
  <c r="E350" i="5"/>
  <c r="D350" i="5"/>
  <c r="C350" i="5"/>
  <c r="B350" i="5"/>
  <c r="L350" i="5" s="1"/>
  <c r="A350" i="5"/>
  <c r="K349" i="5"/>
  <c r="J349" i="5"/>
  <c r="I349" i="5"/>
  <c r="H349" i="5"/>
  <c r="G349" i="5"/>
  <c r="F349" i="5"/>
  <c r="E349" i="5"/>
  <c r="D349" i="5"/>
  <c r="C349" i="5"/>
  <c r="B349" i="5"/>
  <c r="L349" i="5" s="1"/>
  <c r="A349" i="5"/>
  <c r="K348" i="5"/>
  <c r="J348" i="5"/>
  <c r="I348" i="5"/>
  <c r="H348" i="5"/>
  <c r="G348" i="5"/>
  <c r="F348" i="5"/>
  <c r="E348" i="5"/>
  <c r="D348" i="5"/>
  <c r="C348" i="5"/>
  <c r="B348" i="5"/>
  <c r="L348" i="5" s="1"/>
  <c r="A348" i="5"/>
  <c r="K347" i="5"/>
  <c r="J347" i="5"/>
  <c r="I347" i="5"/>
  <c r="H347" i="5"/>
  <c r="G347" i="5"/>
  <c r="F347" i="5"/>
  <c r="E347" i="5"/>
  <c r="D347" i="5"/>
  <c r="C347" i="5"/>
  <c r="B347" i="5"/>
  <c r="L347" i="5" s="1"/>
  <c r="A347" i="5"/>
  <c r="K346" i="5"/>
  <c r="J346" i="5"/>
  <c r="I346" i="5"/>
  <c r="H346" i="5"/>
  <c r="G346" i="5"/>
  <c r="F346" i="5"/>
  <c r="E346" i="5"/>
  <c r="D346" i="5"/>
  <c r="C346" i="5"/>
  <c r="B346" i="5"/>
  <c r="L346" i="5" s="1"/>
  <c r="A346" i="5"/>
  <c r="K345" i="5"/>
  <c r="J345" i="5"/>
  <c r="I345" i="5"/>
  <c r="H345" i="5"/>
  <c r="G345" i="5"/>
  <c r="F345" i="5"/>
  <c r="E345" i="5"/>
  <c r="D345" i="5"/>
  <c r="C345" i="5"/>
  <c r="B345" i="5"/>
  <c r="L345" i="5" s="1"/>
  <c r="A345" i="5"/>
  <c r="K344" i="5"/>
  <c r="J344" i="5"/>
  <c r="I344" i="5"/>
  <c r="H344" i="5"/>
  <c r="G344" i="5"/>
  <c r="F344" i="5"/>
  <c r="E344" i="5"/>
  <c r="D344" i="5"/>
  <c r="C344" i="5"/>
  <c r="B344" i="5"/>
  <c r="L344" i="5" s="1"/>
  <c r="A344" i="5"/>
  <c r="K343" i="5"/>
  <c r="J343" i="5"/>
  <c r="I343" i="5"/>
  <c r="H343" i="5"/>
  <c r="G343" i="5"/>
  <c r="F343" i="5"/>
  <c r="E343" i="5"/>
  <c r="D343" i="5"/>
  <c r="C343" i="5"/>
  <c r="B343" i="5"/>
  <c r="L343" i="5" s="1"/>
  <c r="A343" i="5"/>
  <c r="K342" i="5"/>
  <c r="J342" i="5"/>
  <c r="I342" i="5"/>
  <c r="H342" i="5"/>
  <c r="G342" i="5"/>
  <c r="F342" i="5"/>
  <c r="E342" i="5"/>
  <c r="D342" i="5"/>
  <c r="C342" i="5"/>
  <c r="B342" i="5"/>
  <c r="L342" i="5" s="1"/>
  <c r="A342" i="5"/>
  <c r="K341" i="5"/>
  <c r="J341" i="5"/>
  <c r="I341" i="5"/>
  <c r="H341" i="5"/>
  <c r="G341" i="5"/>
  <c r="F341" i="5"/>
  <c r="E341" i="5"/>
  <c r="D341" i="5"/>
  <c r="C341" i="5"/>
  <c r="B341" i="5"/>
  <c r="L341" i="5" s="1"/>
  <c r="A341" i="5"/>
  <c r="K340" i="5"/>
  <c r="J340" i="5"/>
  <c r="I340" i="5"/>
  <c r="H340" i="5"/>
  <c r="G340" i="5"/>
  <c r="F340" i="5"/>
  <c r="E340" i="5"/>
  <c r="D340" i="5"/>
  <c r="C340" i="5"/>
  <c r="B340" i="5"/>
  <c r="L340" i="5" s="1"/>
  <c r="A340" i="5"/>
  <c r="K339" i="5"/>
  <c r="J339" i="5"/>
  <c r="I339" i="5"/>
  <c r="H339" i="5"/>
  <c r="G339" i="5"/>
  <c r="F339" i="5"/>
  <c r="E339" i="5"/>
  <c r="D339" i="5"/>
  <c r="C339" i="5"/>
  <c r="B339" i="5"/>
  <c r="L339" i="5" s="1"/>
  <c r="A339" i="5"/>
  <c r="K338" i="5"/>
  <c r="J338" i="5"/>
  <c r="I338" i="5"/>
  <c r="H338" i="5"/>
  <c r="G338" i="5"/>
  <c r="F338" i="5"/>
  <c r="E338" i="5"/>
  <c r="D338" i="5"/>
  <c r="C338" i="5"/>
  <c r="B338" i="5"/>
  <c r="L338" i="5" s="1"/>
  <c r="A338" i="5"/>
  <c r="K337" i="5"/>
  <c r="J337" i="5"/>
  <c r="I337" i="5"/>
  <c r="H337" i="5"/>
  <c r="G337" i="5"/>
  <c r="F337" i="5"/>
  <c r="E337" i="5"/>
  <c r="D337" i="5"/>
  <c r="C337" i="5"/>
  <c r="B337" i="5"/>
  <c r="L337" i="5" s="1"/>
  <c r="A337" i="5"/>
  <c r="K336" i="5"/>
  <c r="J336" i="5"/>
  <c r="I336" i="5"/>
  <c r="H336" i="5"/>
  <c r="G336" i="5"/>
  <c r="F336" i="5"/>
  <c r="E336" i="5"/>
  <c r="D336" i="5"/>
  <c r="C336" i="5"/>
  <c r="B336" i="5"/>
  <c r="L336" i="5" s="1"/>
  <c r="A336" i="5"/>
  <c r="K335" i="5"/>
  <c r="J335" i="5"/>
  <c r="I335" i="5"/>
  <c r="H335" i="5"/>
  <c r="G335" i="5"/>
  <c r="F335" i="5"/>
  <c r="E335" i="5"/>
  <c r="D335" i="5"/>
  <c r="C335" i="5"/>
  <c r="B335" i="5"/>
  <c r="L335" i="5" s="1"/>
  <c r="A335" i="5"/>
  <c r="K334" i="5"/>
  <c r="J334" i="5"/>
  <c r="I334" i="5"/>
  <c r="H334" i="5"/>
  <c r="G334" i="5"/>
  <c r="F334" i="5"/>
  <c r="E334" i="5"/>
  <c r="D334" i="5"/>
  <c r="C334" i="5"/>
  <c r="B334" i="5"/>
  <c r="L334" i="5" s="1"/>
  <c r="A334" i="5"/>
  <c r="K333" i="5"/>
  <c r="J333" i="5"/>
  <c r="I333" i="5"/>
  <c r="H333" i="5"/>
  <c r="G333" i="5"/>
  <c r="F333" i="5"/>
  <c r="E333" i="5"/>
  <c r="D333" i="5"/>
  <c r="C333" i="5"/>
  <c r="B333" i="5"/>
  <c r="L333" i="5" s="1"/>
  <c r="A333" i="5"/>
  <c r="K332" i="5"/>
  <c r="J332" i="5"/>
  <c r="I332" i="5"/>
  <c r="H332" i="5"/>
  <c r="G332" i="5"/>
  <c r="F332" i="5"/>
  <c r="E332" i="5"/>
  <c r="D332" i="5"/>
  <c r="C332" i="5"/>
  <c r="B332" i="5"/>
  <c r="L332" i="5" s="1"/>
  <c r="A332" i="5"/>
  <c r="K331" i="5"/>
  <c r="J331" i="5"/>
  <c r="I331" i="5"/>
  <c r="H331" i="5"/>
  <c r="G331" i="5"/>
  <c r="F331" i="5"/>
  <c r="E331" i="5"/>
  <c r="D331" i="5"/>
  <c r="C331" i="5"/>
  <c r="B331" i="5"/>
  <c r="L331" i="5" s="1"/>
  <c r="A331" i="5"/>
  <c r="K330" i="5"/>
  <c r="J330" i="5"/>
  <c r="I330" i="5"/>
  <c r="H330" i="5"/>
  <c r="G330" i="5"/>
  <c r="F330" i="5"/>
  <c r="E330" i="5"/>
  <c r="D330" i="5"/>
  <c r="C330" i="5"/>
  <c r="B330" i="5"/>
  <c r="L330" i="5" s="1"/>
  <c r="A330" i="5"/>
  <c r="K329" i="5"/>
  <c r="J329" i="5"/>
  <c r="I329" i="5"/>
  <c r="H329" i="5"/>
  <c r="G329" i="5"/>
  <c r="F329" i="5"/>
  <c r="E329" i="5"/>
  <c r="D329" i="5"/>
  <c r="C329" i="5"/>
  <c r="B329" i="5"/>
  <c r="L329" i="5" s="1"/>
  <c r="A329" i="5"/>
  <c r="K328" i="5"/>
  <c r="J328" i="5"/>
  <c r="I328" i="5"/>
  <c r="H328" i="5"/>
  <c r="G328" i="5"/>
  <c r="F328" i="5"/>
  <c r="E328" i="5"/>
  <c r="D328" i="5"/>
  <c r="C328" i="5"/>
  <c r="B328" i="5"/>
  <c r="L328" i="5" s="1"/>
  <c r="A328" i="5"/>
  <c r="K327" i="5"/>
  <c r="J327" i="5"/>
  <c r="I327" i="5"/>
  <c r="H327" i="5"/>
  <c r="G327" i="5"/>
  <c r="F327" i="5"/>
  <c r="E327" i="5"/>
  <c r="D327" i="5"/>
  <c r="C327" i="5"/>
  <c r="B327" i="5"/>
  <c r="L327" i="5" s="1"/>
  <c r="A327" i="5"/>
  <c r="K326" i="5"/>
  <c r="J326" i="5"/>
  <c r="I326" i="5"/>
  <c r="H326" i="5"/>
  <c r="G326" i="5"/>
  <c r="F326" i="5"/>
  <c r="E326" i="5"/>
  <c r="D326" i="5"/>
  <c r="C326" i="5"/>
  <c r="B326" i="5"/>
  <c r="L326" i="5" s="1"/>
  <c r="A326" i="5"/>
  <c r="K325" i="5"/>
  <c r="J325" i="5"/>
  <c r="I325" i="5"/>
  <c r="H325" i="5"/>
  <c r="G325" i="5"/>
  <c r="F325" i="5"/>
  <c r="E325" i="5"/>
  <c r="D325" i="5"/>
  <c r="C325" i="5"/>
  <c r="B325" i="5"/>
  <c r="L325" i="5" s="1"/>
  <c r="A325" i="5"/>
  <c r="K324" i="5"/>
  <c r="J324" i="5"/>
  <c r="I324" i="5"/>
  <c r="H324" i="5"/>
  <c r="G324" i="5"/>
  <c r="F324" i="5"/>
  <c r="E324" i="5"/>
  <c r="D324" i="5"/>
  <c r="C324" i="5"/>
  <c r="B324" i="5"/>
  <c r="L324" i="5" s="1"/>
  <c r="A324" i="5"/>
  <c r="K323" i="5"/>
  <c r="J323" i="5"/>
  <c r="I323" i="5"/>
  <c r="H323" i="5"/>
  <c r="G323" i="5"/>
  <c r="F323" i="5"/>
  <c r="E323" i="5"/>
  <c r="D323" i="5"/>
  <c r="C323" i="5"/>
  <c r="B323" i="5"/>
  <c r="L323" i="5" s="1"/>
  <c r="A323" i="5"/>
  <c r="K322" i="5"/>
  <c r="J322" i="5"/>
  <c r="I322" i="5"/>
  <c r="H322" i="5"/>
  <c r="G322" i="5"/>
  <c r="F322" i="5"/>
  <c r="E322" i="5"/>
  <c r="D322" i="5"/>
  <c r="C322" i="5"/>
  <c r="B322" i="5"/>
  <c r="L322" i="5" s="1"/>
  <c r="A322" i="5"/>
  <c r="K321" i="5"/>
  <c r="J321" i="5"/>
  <c r="I321" i="5"/>
  <c r="H321" i="5"/>
  <c r="G321" i="5"/>
  <c r="F321" i="5"/>
  <c r="E321" i="5"/>
  <c r="D321" i="5"/>
  <c r="C321" i="5"/>
  <c r="B321" i="5"/>
  <c r="L321" i="5" s="1"/>
  <c r="A321" i="5"/>
  <c r="K320" i="5"/>
  <c r="J320" i="5"/>
  <c r="I320" i="5"/>
  <c r="H320" i="5"/>
  <c r="G320" i="5"/>
  <c r="F320" i="5"/>
  <c r="E320" i="5"/>
  <c r="D320" i="5"/>
  <c r="C320" i="5"/>
  <c r="B320" i="5"/>
  <c r="L320" i="5" s="1"/>
  <c r="A320" i="5"/>
  <c r="K319" i="5"/>
  <c r="J319" i="5"/>
  <c r="I319" i="5"/>
  <c r="H319" i="5"/>
  <c r="G319" i="5"/>
  <c r="F319" i="5"/>
  <c r="E319" i="5"/>
  <c r="D319" i="5"/>
  <c r="C319" i="5"/>
  <c r="B319" i="5"/>
  <c r="L319" i="5" s="1"/>
  <c r="A319" i="5"/>
  <c r="K318" i="5"/>
  <c r="J318" i="5"/>
  <c r="I318" i="5"/>
  <c r="H318" i="5"/>
  <c r="G318" i="5"/>
  <c r="F318" i="5"/>
  <c r="E318" i="5"/>
  <c r="D318" i="5"/>
  <c r="C318" i="5"/>
  <c r="B318" i="5"/>
  <c r="L318" i="5" s="1"/>
  <c r="A318" i="5"/>
  <c r="K317" i="5"/>
  <c r="J317" i="5"/>
  <c r="I317" i="5"/>
  <c r="H317" i="5"/>
  <c r="G317" i="5"/>
  <c r="F317" i="5"/>
  <c r="E317" i="5"/>
  <c r="D317" i="5"/>
  <c r="C317" i="5"/>
  <c r="B317" i="5"/>
  <c r="L317" i="5" s="1"/>
  <c r="A317" i="5"/>
  <c r="K316" i="5"/>
  <c r="J316" i="5"/>
  <c r="I316" i="5"/>
  <c r="H316" i="5"/>
  <c r="G316" i="5"/>
  <c r="F316" i="5"/>
  <c r="E316" i="5"/>
  <c r="D316" i="5"/>
  <c r="C316" i="5"/>
  <c r="B316" i="5"/>
  <c r="L316" i="5" s="1"/>
  <c r="A316" i="5"/>
  <c r="K315" i="5"/>
  <c r="J315" i="5"/>
  <c r="I315" i="5"/>
  <c r="H315" i="5"/>
  <c r="G315" i="5"/>
  <c r="F315" i="5"/>
  <c r="E315" i="5"/>
  <c r="D315" i="5"/>
  <c r="C315" i="5"/>
  <c r="B315" i="5"/>
  <c r="L315" i="5" s="1"/>
  <c r="A315" i="5"/>
  <c r="K314" i="5"/>
  <c r="J314" i="5"/>
  <c r="I314" i="5"/>
  <c r="H314" i="5"/>
  <c r="G314" i="5"/>
  <c r="F314" i="5"/>
  <c r="E314" i="5"/>
  <c r="D314" i="5"/>
  <c r="C314" i="5"/>
  <c r="B314" i="5"/>
  <c r="L314" i="5" s="1"/>
  <c r="A314" i="5"/>
  <c r="K313" i="5"/>
  <c r="J313" i="5"/>
  <c r="I313" i="5"/>
  <c r="H313" i="5"/>
  <c r="G313" i="5"/>
  <c r="F313" i="5"/>
  <c r="E313" i="5"/>
  <c r="D313" i="5"/>
  <c r="C313" i="5"/>
  <c r="B313" i="5"/>
  <c r="L313" i="5" s="1"/>
  <c r="A313" i="5"/>
  <c r="K312" i="5"/>
  <c r="J312" i="5"/>
  <c r="I312" i="5"/>
  <c r="H312" i="5"/>
  <c r="G312" i="5"/>
  <c r="F312" i="5"/>
  <c r="E312" i="5"/>
  <c r="D312" i="5"/>
  <c r="C312" i="5"/>
  <c r="B312" i="5"/>
  <c r="L312" i="5" s="1"/>
  <c r="A312" i="5"/>
  <c r="K311" i="5"/>
  <c r="J311" i="5"/>
  <c r="I311" i="5"/>
  <c r="H311" i="5"/>
  <c r="G311" i="5"/>
  <c r="F311" i="5"/>
  <c r="E311" i="5"/>
  <c r="D311" i="5"/>
  <c r="C311" i="5"/>
  <c r="B311" i="5"/>
  <c r="L311" i="5" s="1"/>
  <c r="A311" i="5"/>
  <c r="K310" i="5"/>
  <c r="J310" i="5"/>
  <c r="I310" i="5"/>
  <c r="H310" i="5"/>
  <c r="G310" i="5"/>
  <c r="F310" i="5"/>
  <c r="E310" i="5"/>
  <c r="D310" i="5"/>
  <c r="C310" i="5"/>
  <c r="B310" i="5"/>
  <c r="L310" i="5" s="1"/>
  <c r="A310" i="5"/>
  <c r="K309" i="5"/>
  <c r="J309" i="5"/>
  <c r="I309" i="5"/>
  <c r="H309" i="5"/>
  <c r="G309" i="5"/>
  <c r="F309" i="5"/>
  <c r="E309" i="5"/>
  <c r="D309" i="5"/>
  <c r="C309" i="5"/>
  <c r="B309" i="5"/>
  <c r="L309" i="5" s="1"/>
  <c r="A309" i="5"/>
  <c r="K308" i="5"/>
  <c r="J308" i="5"/>
  <c r="I308" i="5"/>
  <c r="H308" i="5"/>
  <c r="G308" i="5"/>
  <c r="F308" i="5"/>
  <c r="E308" i="5"/>
  <c r="D308" i="5"/>
  <c r="C308" i="5"/>
  <c r="B308" i="5"/>
  <c r="L308" i="5" s="1"/>
  <c r="A308" i="5"/>
  <c r="K307" i="5"/>
  <c r="J307" i="5"/>
  <c r="I307" i="5"/>
  <c r="H307" i="5"/>
  <c r="G307" i="5"/>
  <c r="F307" i="5"/>
  <c r="E307" i="5"/>
  <c r="D307" i="5"/>
  <c r="C307" i="5"/>
  <c r="B307" i="5"/>
  <c r="L307" i="5" s="1"/>
  <c r="A307" i="5"/>
  <c r="K306" i="5"/>
  <c r="J306" i="5"/>
  <c r="I306" i="5"/>
  <c r="H306" i="5"/>
  <c r="G306" i="5"/>
  <c r="F306" i="5"/>
  <c r="E306" i="5"/>
  <c r="D306" i="5"/>
  <c r="C306" i="5"/>
  <c r="B306" i="5"/>
  <c r="L306" i="5" s="1"/>
  <c r="A306" i="5"/>
  <c r="K305" i="5"/>
  <c r="J305" i="5"/>
  <c r="I305" i="5"/>
  <c r="H305" i="5"/>
  <c r="G305" i="5"/>
  <c r="F305" i="5"/>
  <c r="E305" i="5"/>
  <c r="D305" i="5"/>
  <c r="C305" i="5"/>
  <c r="B305" i="5"/>
  <c r="L305" i="5" s="1"/>
  <c r="A305" i="5"/>
  <c r="K304" i="5"/>
  <c r="J304" i="5"/>
  <c r="I304" i="5"/>
  <c r="H304" i="5"/>
  <c r="G304" i="5"/>
  <c r="F304" i="5"/>
  <c r="E304" i="5"/>
  <c r="D304" i="5"/>
  <c r="C304" i="5"/>
  <c r="B304" i="5"/>
  <c r="L304" i="5" s="1"/>
  <c r="A304" i="5"/>
  <c r="K303" i="5"/>
  <c r="J303" i="5"/>
  <c r="I303" i="5"/>
  <c r="H303" i="5"/>
  <c r="G303" i="5"/>
  <c r="F303" i="5"/>
  <c r="E303" i="5"/>
  <c r="D303" i="5"/>
  <c r="C303" i="5"/>
  <c r="B303" i="5"/>
  <c r="L303" i="5" s="1"/>
  <c r="A303" i="5"/>
  <c r="K302" i="5"/>
  <c r="J302" i="5"/>
  <c r="I302" i="5"/>
  <c r="H302" i="5"/>
  <c r="G302" i="5"/>
  <c r="F302" i="5"/>
  <c r="E302" i="5"/>
  <c r="D302" i="5"/>
  <c r="C302" i="5"/>
  <c r="B302" i="5"/>
  <c r="L302" i="5" s="1"/>
  <c r="A302" i="5"/>
  <c r="K301" i="5"/>
  <c r="J301" i="5"/>
  <c r="I301" i="5"/>
  <c r="H301" i="5"/>
  <c r="G301" i="5"/>
  <c r="F301" i="5"/>
  <c r="E301" i="5"/>
  <c r="D301" i="5"/>
  <c r="C301" i="5"/>
  <c r="B301" i="5"/>
  <c r="L301" i="5" s="1"/>
  <c r="A301" i="5"/>
  <c r="K300" i="5"/>
  <c r="J300" i="5"/>
  <c r="I300" i="5"/>
  <c r="H300" i="5"/>
  <c r="G300" i="5"/>
  <c r="F300" i="5"/>
  <c r="E300" i="5"/>
  <c r="D300" i="5"/>
  <c r="C300" i="5"/>
  <c r="B300" i="5"/>
  <c r="L300" i="5" s="1"/>
  <c r="A300" i="5"/>
  <c r="K299" i="5"/>
  <c r="J299" i="5"/>
  <c r="I299" i="5"/>
  <c r="H299" i="5"/>
  <c r="G299" i="5"/>
  <c r="F299" i="5"/>
  <c r="E299" i="5"/>
  <c r="D299" i="5"/>
  <c r="C299" i="5"/>
  <c r="B299" i="5"/>
  <c r="L299" i="5" s="1"/>
  <c r="A299" i="5"/>
  <c r="K298" i="5"/>
  <c r="J298" i="5"/>
  <c r="I298" i="5"/>
  <c r="H298" i="5"/>
  <c r="G298" i="5"/>
  <c r="F298" i="5"/>
  <c r="E298" i="5"/>
  <c r="D298" i="5"/>
  <c r="C298" i="5"/>
  <c r="B298" i="5"/>
  <c r="L298" i="5" s="1"/>
  <c r="A298" i="5"/>
  <c r="K297" i="5"/>
  <c r="J297" i="5"/>
  <c r="I297" i="5"/>
  <c r="H297" i="5"/>
  <c r="G297" i="5"/>
  <c r="F297" i="5"/>
  <c r="E297" i="5"/>
  <c r="D297" i="5"/>
  <c r="C297" i="5"/>
  <c r="B297" i="5"/>
  <c r="L297" i="5" s="1"/>
  <c r="A297" i="5"/>
  <c r="K296" i="5"/>
  <c r="J296" i="5"/>
  <c r="I296" i="5"/>
  <c r="H296" i="5"/>
  <c r="G296" i="5"/>
  <c r="F296" i="5"/>
  <c r="E296" i="5"/>
  <c r="D296" i="5"/>
  <c r="C296" i="5"/>
  <c r="B296" i="5"/>
  <c r="L296" i="5" s="1"/>
  <c r="A296" i="5"/>
  <c r="K295" i="5"/>
  <c r="J295" i="5"/>
  <c r="I295" i="5"/>
  <c r="H295" i="5"/>
  <c r="G295" i="5"/>
  <c r="F295" i="5"/>
  <c r="E295" i="5"/>
  <c r="D295" i="5"/>
  <c r="C295" i="5"/>
  <c r="B295" i="5"/>
  <c r="L295" i="5" s="1"/>
  <c r="A295" i="5"/>
  <c r="K294" i="5"/>
  <c r="J294" i="5"/>
  <c r="I294" i="5"/>
  <c r="H294" i="5"/>
  <c r="G294" i="5"/>
  <c r="F294" i="5"/>
  <c r="E294" i="5"/>
  <c r="D294" i="5"/>
  <c r="C294" i="5"/>
  <c r="B294" i="5"/>
  <c r="L294" i="5" s="1"/>
  <c r="A294" i="5"/>
  <c r="K293" i="5"/>
  <c r="J293" i="5"/>
  <c r="I293" i="5"/>
  <c r="H293" i="5"/>
  <c r="G293" i="5"/>
  <c r="F293" i="5"/>
  <c r="E293" i="5"/>
  <c r="D293" i="5"/>
  <c r="C293" i="5"/>
  <c r="B293" i="5"/>
  <c r="L293" i="5" s="1"/>
  <c r="A293" i="5"/>
  <c r="K292" i="5"/>
  <c r="J292" i="5"/>
  <c r="I292" i="5"/>
  <c r="H292" i="5"/>
  <c r="G292" i="5"/>
  <c r="F292" i="5"/>
  <c r="E292" i="5"/>
  <c r="D292" i="5"/>
  <c r="C292" i="5"/>
  <c r="B292" i="5"/>
  <c r="L292" i="5" s="1"/>
  <c r="A292" i="5"/>
  <c r="K291" i="5"/>
  <c r="J291" i="5"/>
  <c r="I291" i="5"/>
  <c r="H291" i="5"/>
  <c r="G291" i="5"/>
  <c r="F291" i="5"/>
  <c r="E291" i="5"/>
  <c r="D291" i="5"/>
  <c r="C291" i="5"/>
  <c r="B291" i="5"/>
  <c r="L291" i="5" s="1"/>
  <c r="A291" i="5"/>
  <c r="K290" i="5"/>
  <c r="J290" i="5"/>
  <c r="I290" i="5"/>
  <c r="H290" i="5"/>
  <c r="G290" i="5"/>
  <c r="F290" i="5"/>
  <c r="E290" i="5"/>
  <c r="D290" i="5"/>
  <c r="C290" i="5"/>
  <c r="B290" i="5"/>
  <c r="L290" i="5" s="1"/>
  <c r="A290" i="5"/>
  <c r="K289" i="5"/>
  <c r="J289" i="5"/>
  <c r="I289" i="5"/>
  <c r="H289" i="5"/>
  <c r="G289" i="5"/>
  <c r="F289" i="5"/>
  <c r="E289" i="5"/>
  <c r="D289" i="5"/>
  <c r="C289" i="5"/>
  <c r="B289" i="5"/>
  <c r="L289" i="5" s="1"/>
  <c r="A289" i="5"/>
  <c r="K288" i="5"/>
  <c r="J288" i="5"/>
  <c r="I288" i="5"/>
  <c r="H288" i="5"/>
  <c r="G288" i="5"/>
  <c r="F288" i="5"/>
  <c r="E288" i="5"/>
  <c r="D288" i="5"/>
  <c r="C288" i="5"/>
  <c r="B288" i="5"/>
  <c r="L288" i="5" s="1"/>
  <c r="A288" i="5"/>
  <c r="K287" i="5"/>
  <c r="J287" i="5"/>
  <c r="I287" i="5"/>
  <c r="H287" i="5"/>
  <c r="G287" i="5"/>
  <c r="F287" i="5"/>
  <c r="E287" i="5"/>
  <c r="D287" i="5"/>
  <c r="C287" i="5"/>
  <c r="B287" i="5"/>
  <c r="L287" i="5" s="1"/>
  <c r="A287" i="5"/>
  <c r="K286" i="5"/>
  <c r="J286" i="5"/>
  <c r="I286" i="5"/>
  <c r="H286" i="5"/>
  <c r="G286" i="5"/>
  <c r="F286" i="5"/>
  <c r="E286" i="5"/>
  <c r="D286" i="5"/>
  <c r="C286" i="5"/>
  <c r="B286" i="5"/>
  <c r="L286" i="5" s="1"/>
  <c r="A286" i="5"/>
  <c r="K285" i="5"/>
  <c r="J285" i="5"/>
  <c r="I285" i="5"/>
  <c r="H285" i="5"/>
  <c r="G285" i="5"/>
  <c r="F285" i="5"/>
  <c r="E285" i="5"/>
  <c r="D285" i="5"/>
  <c r="C285" i="5"/>
  <c r="B285" i="5"/>
  <c r="L285" i="5" s="1"/>
  <c r="A285" i="5"/>
  <c r="K284" i="5"/>
  <c r="J284" i="5"/>
  <c r="I284" i="5"/>
  <c r="H284" i="5"/>
  <c r="G284" i="5"/>
  <c r="F284" i="5"/>
  <c r="E284" i="5"/>
  <c r="D284" i="5"/>
  <c r="C284" i="5"/>
  <c r="B284" i="5"/>
  <c r="L284" i="5" s="1"/>
  <c r="A284" i="5"/>
  <c r="K283" i="5"/>
  <c r="J283" i="5"/>
  <c r="I283" i="5"/>
  <c r="H283" i="5"/>
  <c r="G283" i="5"/>
  <c r="F283" i="5"/>
  <c r="E283" i="5"/>
  <c r="D283" i="5"/>
  <c r="C283" i="5"/>
  <c r="B283" i="5"/>
  <c r="L283" i="5" s="1"/>
  <c r="A283" i="5"/>
  <c r="K282" i="5"/>
  <c r="J282" i="5"/>
  <c r="I282" i="5"/>
  <c r="H282" i="5"/>
  <c r="G282" i="5"/>
  <c r="F282" i="5"/>
  <c r="E282" i="5"/>
  <c r="D282" i="5"/>
  <c r="C282" i="5"/>
  <c r="B282" i="5"/>
  <c r="L282" i="5" s="1"/>
  <c r="A282" i="5"/>
  <c r="K281" i="5"/>
  <c r="J281" i="5"/>
  <c r="I281" i="5"/>
  <c r="H281" i="5"/>
  <c r="G281" i="5"/>
  <c r="F281" i="5"/>
  <c r="E281" i="5"/>
  <c r="D281" i="5"/>
  <c r="C281" i="5"/>
  <c r="B281" i="5"/>
  <c r="L281" i="5" s="1"/>
  <c r="A281" i="5"/>
  <c r="K280" i="5"/>
  <c r="J280" i="5"/>
  <c r="I280" i="5"/>
  <c r="H280" i="5"/>
  <c r="G280" i="5"/>
  <c r="F280" i="5"/>
  <c r="E280" i="5"/>
  <c r="D280" i="5"/>
  <c r="C280" i="5"/>
  <c r="B280" i="5"/>
  <c r="L280" i="5" s="1"/>
  <c r="A280" i="5"/>
  <c r="K279" i="5"/>
  <c r="J279" i="5"/>
  <c r="I279" i="5"/>
  <c r="H279" i="5"/>
  <c r="G279" i="5"/>
  <c r="F279" i="5"/>
  <c r="E279" i="5"/>
  <c r="D279" i="5"/>
  <c r="C279" i="5"/>
  <c r="B279" i="5"/>
  <c r="L279" i="5" s="1"/>
  <c r="A279" i="5"/>
  <c r="K278" i="5"/>
  <c r="J278" i="5"/>
  <c r="I278" i="5"/>
  <c r="H278" i="5"/>
  <c r="G278" i="5"/>
  <c r="F278" i="5"/>
  <c r="E278" i="5"/>
  <c r="D278" i="5"/>
  <c r="C278" i="5"/>
  <c r="B278" i="5"/>
  <c r="L278" i="5" s="1"/>
  <c r="A278" i="5"/>
  <c r="K277" i="5"/>
  <c r="J277" i="5"/>
  <c r="I277" i="5"/>
  <c r="H277" i="5"/>
  <c r="G277" i="5"/>
  <c r="F277" i="5"/>
  <c r="E277" i="5"/>
  <c r="D277" i="5"/>
  <c r="C277" i="5"/>
  <c r="B277" i="5"/>
  <c r="L277" i="5" s="1"/>
  <c r="A277" i="5"/>
  <c r="K276" i="5"/>
  <c r="J276" i="5"/>
  <c r="I276" i="5"/>
  <c r="H276" i="5"/>
  <c r="G276" i="5"/>
  <c r="F276" i="5"/>
  <c r="E276" i="5"/>
  <c r="D276" i="5"/>
  <c r="C276" i="5"/>
  <c r="B276" i="5"/>
  <c r="L276" i="5" s="1"/>
  <c r="A276" i="5"/>
  <c r="K275" i="5"/>
  <c r="J275" i="5"/>
  <c r="I275" i="5"/>
  <c r="H275" i="5"/>
  <c r="G275" i="5"/>
  <c r="F275" i="5"/>
  <c r="E275" i="5"/>
  <c r="D275" i="5"/>
  <c r="C275" i="5"/>
  <c r="B275" i="5"/>
  <c r="L275" i="5" s="1"/>
  <c r="A275" i="5"/>
  <c r="K274" i="5"/>
  <c r="J274" i="5"/>
  <c r="I274" i="5"/>
  <c r="H274" i="5"/>
  <c r="G274" i="5"/>
  <c r="F274" i="5"/>
  <c r="E274" i="5"/>
  <c r="D274" i="5"/>
  <c r="C274" i="5"/>
  <c r="B274" i="5"/>
  <c r="L274" i="5" s="1"/>
  <c r="A274" i="5"/>
  <c r="K273" i="5"/>
  <c r="J273" i="5"/>
  <c r="I273" i="5"/>
  <c r="H273" i="5"/>
  <c r="G273" i="5"/>
  <c r="F273" i="5"/>
  <c r="E273" i="5"/>
  <c r="D273" i="5"/>
  <c r="C273" i="5"/>
  <c r="B273" i="5"/>
  <c r="L273" i="5" s="1"/>
  <c r="A273" i="5"/>
  <c r="K272" i="5"/>
  <c r="J272" i="5"/>
  <c r="I272" i="5"/>
  <c r="H272" i="5"/>
  <c r="G272" i="5"/>
  <c r="F272" i="5"/>
  <c r="E272" i="5"/>
  <c r="D272" i="5"/>
  <c r="C272" i="5"/>
  <c r="B272" i="5"/>
  <c r="L272" i="5" s="1"/>
  <c r="A272" i="5"/>
  <c r="K271" i="5"/>
  <c r="J271" i="5"/>
  <c r="I271" i="5"/>
  <c r="H271" i="5"/>
  <c r="G271" i="5"/>
  <c r="F271" i="5"/>
  <c r="E271" i="5"/>
  <c r="D271" i="5"/>
  <c r="C271" i="5"/>
  <c r="B271" i="5"/>
  <c r="L271" i="5" s="1"/>
  <c r="A271" i="5"/>
  <c r="K270" i="5"/>
  <c r="J270" i="5"/>
  <c r="I270" i="5"/>
  <c r="H270" i="5"/>
  <c r="G270" i="5"/>
  <c r="F270" i="5"/>
  <c r="E270" i="5"/>
  <c r="D270" i="5"/>
  <c r="C270" i="5"/>
  <c r="B270" i="5"/>
  <c r="L270" i="5" s="1"/>
  <c r="A270" i="5"/>
  <c r="K269" i="5"/>
  <c r="J269" i="5"/>
  <c r="I269" i="5"/>
  <c r="H269" i="5"/>
  <c r="G269" i="5"/>
  <c r="F269" i="5"/>
  <c r="E269" i="5"/>
  <c r="D269" i="5"/>
  <c r="C269" i="5"/>
  <c r="B269" i="5"/>
  <c r="L269" i="5" s="1"/>
  <c r="A269" i="5"/>
  <c r="K268" i="5"/>
  <c r="J268" i="5"/>
  <c r="I268" i="5"/>
  <c r="H268" i="5"/>
  <c r="G268" i="5"/>
  <c r="F268" i="5"/>
  <c r="E268" i="5"/>
  <c r="D268" i="5"/>
  <c r="C268" i="5"/>
  <c r="B268" i="5"/>
  <c r="L268" i="5" s="1"/>
  <c r="A268" i="5"/>
  <c r="K267" i="5"/>
  <c r="J267" i="5"/>
  <c r="I267" i="5"/>
  <c r="H267" i="5"/>
  <c r="G267" i="5"/>
  <c r="F267" i="5"/>
  <c r="E267" i="5"/>
  <c r="D267" i="5"/>
  <c r="C267" i="5"/>
  <c r="B267" i="5"/>
  <c r="L267" i="5" s="1"/>
  <c r="A267" i="5"/>
  <c r="K266" i="5"/>
  <c r="J266" i="5"/>
  <c r="I266" i="5"/>
  <c r="H266" i="5"/>
  <c r="G266" i="5"/>
  <c r="F266" i="5"/>
  <c r="E266" i="5"/>
  <c r="D266" i="5"/>
  <c r="C266" i="5"/>
  <c r="B266" i="5"/>
  <c r="L266" i="5" s="1"/>
  <c r="A266" i="5"/>
  <c r="K265" i="5"/>
  <c r="J265" i="5"/>
  <c r="I265" i="5"/>
  <c r="H265" i="5"/>
  <c r="G265" i="5"/>
  <c r="F265" i="5"/>
  <c r="E265" i="5"/>
  <c r="D265" i="5"/>
  <c r="C265" i="5"/>
  <c r="B265" i="5"/>
  <c r="L265" i="5" s="1"/>
  <c r="A265" i="5"/>
  <c r="K264" i="5"/>
  <c r="J264" i="5"/>
  <c r="I264" i="5"/>
  <c r="H264" i="5"/>
  <c r="G264" i="5"/>
  <c r="F264" i="5"/>
  <c r="E264" i="5"/>
  <c r="D264" i="5"/>
  <c r="C264" i="5"/>
  <c r="B264" i="5"/>
  <c r="L264" i="5" s="1"/>
  <c r="A264" i="5"/>
  <c r="K263" i="5"/>
  <c r="J263" i="5"/>
  <c r="I263" i="5"/>
  <c r="H263" i="5"/>
  <c r="G263" i="5"/>
  <c r="F263" i="5"/>
  <c r="E263" i="5"/>
  <c r="D263" i="5"/>
  <c r="C263" i="5"/>
  <c r="B263" i="5"/>
  <c r="L263" i="5" s="1"/>
  <c r="A263" i="5"/>
  <c r="K262" i="5"/>
  <c r="J262" i="5"/>
  <c r="I262" i="5"/>
  <c r="H262" i="5"/>
  <c r="G262" i="5"/>
  <c r="F262" i="5"/>
  <c r="E262" i="5"/>
  <c r="D262" i="5"/>
  <c r="C262" i="5"/>
  <c r="B262" i="5"/>
  <c r="L262" i="5" s="1"/>
  <c r="A262" i="5"/>
  <c r="K261" i="5"/>
  <c r="J261" i="5"/>
  <c r="I261" i="5"/>
  <c r="H261" i="5"/>
  <c r="G261" i="5"/>
  <c r="F261" i="5"/>
  <c r="E261" i="5"/>
  <c r="D261" i="5"/>
  <c r="C261" i="5"/>
  <c r="B261" i="5"/>
  <c r="L261" i="5" s="1"/>
  <c r="A261" i="5"/>
  <c r="K260" i="5"/>
  <c r="J260" i="5"/>
  <c r="I260" i="5"/>
  <c r="H260" i="5"/>
  <c r="G260" i="5"/>
  <c r="F260" i="5"/>
  <c r="E260" i="5"/>
  <c r="D260" i="5"/>
  <c r="C260" i="5"/>
  <c r="B260" i="5"/>
  <c r="L260" i="5" s="1"/>
  <c r="A260" i="5"/>
  <c r="K259" i="5"/>
  <c r="J259" i="5"/>
  <c r="I259" i="5"/>
  <c r="H259" i="5"/>
  <c r="G259" i="5"/>
  <c r="F259" i="5"/>
  <c r="E259" i="5"/>
  <c r="D259" i="5"/>
  <c r="C259" i="5"/>
  <c r="B259" i="5"/>
  <c r="L259" i="5" s="1"/>
  <c r="A259" i="5"/>
  <c r="K258" i="5"/>
  <c r="J258" i="5"/>
  <c r="I258" i="5"/>
  <c r="H258" i="5"/>
  <c r="G258" i="5"/>
  <c r="F258" i="5"/>
  <c r="E258" i="5"/>
  <c r="D258" i="5"/>
  <c r="C258" i="5"/>
  <c r="B258" i="5"/>
  <c r="L258" i="5" s="1"/>
  <c r="A258" i="5"/>
  <c r="K257" i="5"/>
  <c r="J257" i="5"/>
  <c r="I257" i="5"/>
  <c r="H257" i="5"/>
  <c r="G257" i="5"/>
  <c r="F257" i="5"/>
  <c r="E257" i="5"/>
  <c r="D257" i="5"/>
  <c r="C257" i="5"/>
  <c r="B257" i="5"/>
  <c r="L257" i="5" s="1"/>
  <c r="A257" i="5"/>
  <c r="K256" i="5"/>
  <c r="J256" i="5"/>
  <c r="I256" i="5"/>
  <c r="H256" i="5"/>
  <c r="G256" i="5"/>
  <c r="F256" i="5"/>
  <c r="E256" i="5"/>
  <c r="D256" i="5"/>
  <c r="C256" i="5"/>
  <c r="B256" i="5"/>
  <c r="L256" i="5" s="1"/>
  <c r="A256" i="5"/>
  <c r="K255" i="5"/>
  <c r="J255" i="5"/>
  <c r="I255" i="5"/>
  <c r="H255" i="5"/>
  <c r="G255" i="5"/>
  <c r="F255" i="5"/>
  <c r="E255" i="5"/>
  <c r="D255" i="5"/>
  <c r="C255" i="5"/>
  <c r="B255" i="5"/>
  <c r="L255" i="5" s="1"/>
  <c r="A255" i="5"/>
  <c r="K254" i="5"/>
  <c r="J254" i="5"/>
  <c r="I254" i="5"/>
  <c r="H254" i="5"/>
  <c r="G254" i="5"/>
  <c r="F254" i="5"/>
  <c r="E254" i="5"/>
  <c r="D254" i="5"/>
  <c r="C254" i="5"/>
  <c r="B254" i="5"/>
  <c r="L254" i="5" s="1"/>
  <c r="A254" i="5"/>
  <c r="K253" i="5"/>
  <c r="J253" i="5"/>
  <c r="I253" i="5"/>
  <c r="H253" i="5"/>
  <c r="G253" i="5"/>
  <c r="F253" i="5"/>
  <c r="E253" i="5"/>
  <c r="D253" i="5"/>
  <c r="C253" i="5"/>
  <c r="B253" i="5"/>
  <c r="L253" i="5" s="1"/>
  <c r="A253" i="5"/>
  <c r="K252" i="5"/>
  <c r="J252" i="5"/>
  <c r="I252" i="5"/>
  <c r="H252" i="5"/>
  <c r="G252" i="5"/>
  <c r="F252" i="5"/>
  <c r="E252" i="5"/>
  <c r="D252" i="5"/>
  <c r="C252" i="5"/>
  <c r="B252" i="5"/>
  <c r="L252" i="5" s="1"/>
  <c r="A252" i="5"/>
  <c r="K251" i="5"/>
  <c r="J251" i="5"/>
  <c r="I251" i="5"/>
  <c r="H251" i="5"/>
  <c r="G251" i="5"/>
  <c r="F251" i="5"/>
  <c r="E251" i="5"/>
  <c r="D251" i="5"/>
  <c r="C251" i="5"/>
  <c r="B251" i="5"/>
  <c r="L251" i="5" s="1"/>
  <c r="A251" i="5"/>
  <c r="K250" i="5"/>
  <c r="J250" i="5"/>
  <c r="I250" i="5"/>
  <c r="H250" i="5"/>
  <c r="G250" i="5"/>
  <c r="F250" i="5"/>
  <c r="E250" i="5"/>
  <c r="D250" i="5"/>
  <c r="C250" i="5"/>
  <c r="B250" i="5"/>
  <c r="L250" i="5" s="1"/>
  <c r="A250" i="5"/>
  <c r="K249" i="5"/>
  <c r="J249" i="5"/>
  <c r="I249" i="5"/>
  <c r="H249" i="5"/>
  <c r="G249" i="5"/>
  <c r="F249" i="5"/>
  <c r="E249" i="5"/>
  <c r="D249" i="5"/>
  <c r="C249" i="5"/>
  <c r="B249" i="5"/>
  <c r="L249" i="5" s="1"/>
  <c r="A249" i="5"/>
  <c r="K248" i="5"/>
  <c r="J248" i="5"/>
  <c r="I248" i="5"/>
  <c r="H248" i="5"/>
  <c r="G248" i="5"/>
  <c r="F248" i="5"/>
  <c r="E248" i="5"/>
  <c r="D248" i="5"/>
  <c r="C248" i="5"/>
  <c r="B248" i="5"/>
  <c r="L248" i="5" s="1"/>
  <c r="A248" i="5"/>
  <c r="K247" i="5"/>
  <c r="J247" i="5"/>
  <c r="I247" i="5"/>
  <c r="H247" i="5"/>
  <c r="G247" i="5"/>
  <c r="F247" i="5"/>
  <c r="E247" i="5"/>
  <c r="D247" i="5"/>
  <c r="C247" i="5"/>
  <c r="B247" i="5"/>
  <c r="L247" i="5" s="1"/>
  <c r="A247" i="5"/>
  <c r="K246" i="5"/>
  <c r="J246" i="5"/>
  <c r="I246" i="5"/>
  <c r="H246" i="5"/>
  <c r="G246" i="5"/>
  <c r="F246" i="5"/>
  <c r="E246" i="5"/>
  <c r="D246" i="5"/>
  <c r="C246" i="5"/>
  <c r="B246" i="5"/>
  <c r="L246" i="5" s="1"/>
  <c r="A246" i="5"/>
  <c r="K245" i="5"/>
  <c r="J245" i="5"/>
  <c r="I245" i="5"/>
  <c r="H245" i="5"/>
  <c r="G245" i="5"/>
  <c r="F245" i="5"/>
  <c r="E245" i="5"/>
  <c r="D245" i="5"/>
  <c r="C245" i="5"/>
  <c r="B245" i="5"/>
  <c r="L245" i="5" s="1"/>
  <c r="A245" i="5"/>
  <c r="K244" i="5"/>
  <c r="J244" i="5"/>
  <c r="I244" i="5"/>
  <c r="H244" i="5"/>
  <c r="G244" i="5"/>
  <c r="F244" i="5"/>
  <c r="E244" i="5"/>
  <c r="D244" i="5"/>
  <c r="C244" i="5"/>
  <c r="B244" i="5"/>
  <c r="L244" i="5" s="1"/>
  <c r="A244" i="5"/>
  <c r="K243" i="5"/>
  <c r="J243" i="5"/>
  <c r="I243" i="5"/>
  <c r="H243" i="5"/>
  <c r="G243" i="5"/>
  <c r="F243" i="5"/>
  <c r="E243" i="5"/>
  <c r="D243" i="5"/>
  <c r="C243" i="5"/>
  <c r="B243" i="5"/>
  <c r="L243" i="5" s="1"/>
  <c r="A243" i="5"/>
  <c r="K242" i="5"/>
  <c r="J242" i="5"/>
  <c r="I242" i="5"/>
  <c r="H242" i="5"/>
  <c r="G242" i="5"/>
  <c r="F242" i="5"/>
  <c r="E242" i="5"/>
  <c r="D242" i="5"/>
  <c r="C242" i="5"/>
  <c r="B242" i="5"/>
  <c r="L242" i="5" s="1"/>
  <c r="A242" i="5"/>
  <c r="K241" i="5"/>
  <c r="J241" i="5"/>
  <c r="I241" i="5"/>
  <c r="H241" i="5"/>
  <c r="G241" i="5"/>
  <c r="F241" i="5"/>
  <c r="E241" i="5"/>
  <c r="D241" i="5"/>
  <c r="C241" i="5"/>
  <c r="B241" i="5"/>
  <c r="L241" i="5" s="1"/>
  <c r="A241" i="5"/>
  <c r="K240" i="5"/>
  <c r="J240" i="5"/>
  <c r="I240" i="5"/>
  <c r="H240" i="5"/>
  <c r="G240" i="5"/>
  <c r="F240" i="5"/>
  <c r="E240" i="5"/>
  <c r="D240" i="5"/>
  <c r="C240" i="5"/>
  <c r="B240" i="5"/>
  <c r="L240" i="5" s="1"/>
  <c r="A240" i="5"/>
  <c r="K239" i="5"/>
  <c r="J239" i="5"/>
  <c r="I239" i="5"/>
  <c r="H239" i="5"/>
  <c r="G239" i="5"/>
  <c r="F239" i="5"/>
  <c r="E239" i="5"/>
  <c r="D239" i="5"/>
  <c r="C239" i="5"/>
  <c r="B239" i="5"/>
  <c r="L239" i="5" s="1"/>
  <c r="A239" i="5"/>
  <c r="K238" i="5"/>
  <c r="J238" i="5"/>
  <c r="I238" i="5"/>
  <c r="H238" i="5"/>
  <c r="G238" i="5"/>
  <c r="F238" i="5"/>
  <c r="E238" i="5"/>
  <c r="D238" i="5"/>
  <c r="C238" i="5"/>
  <c r="B238" i="5"/>
  <c r="L238" i="5" s="1"/>
  <c r="A238" i="5"/>
  <c r="K237" i="5"/>
  <c r="J237" i="5"/>
  <c r="I237" i="5"/>
  <c r="H237" i="5"/>
  <c r="G237" i="5"/>
  <c r="F237" i="5"/>
  <c r="E237" i="5"/>
  <c r="D237" i="5"/>
  <c r="C237" i="5"/>
  <c r="B237" i="5"/>
  <c r="L237" i="5" s="1"/>
  <c r="A237" i="5"/>
  <c r="K236" i="5"/>
  <c r="J236" i="5"/>
  <c r="I236" i="5"/>
  <c r="H236" i="5"/>
  <c r="G236" i="5"/>
  <c r="F236" i="5"/>
  <c r="E236" i="5"/>
  <c r="D236" i="5"/>
  <c r="C236" i="5"/>
  <c r="B236" i="5"/>
  <c r="L236" i="5" s="1"/>
  <c r="A236" i="5"/>
  <c r="K235" i="5"/>
  <c r="J235" i="5"/>
  <c r="I235" i="5"/>
  <c r="H235" i="5"/>
  <c r="G235" i="5"/>
  <c r="F235" i="5"/>
  <c r="E235" i="5"/>
  <c r="D235" i="5"/>
  <c r="C235" i="5"/>
  <c r="B235" i="5"/>
  <c r="L235" i="5" s="1"/>
  <c r="A235" i="5"/>
  <c r="K234" i="5"/>
  <c r="J234" i="5"/>
  <c r="I234" i="5"/>
  <c r="H234" i="5"/>
  <c r="G234" i="5"/>
  <c r="F234" i="5"/>
  <c r="E234" i="5"/>
  <c r="D234" i="5"/>
  <c r="C234" i="5"/>
  <c r="B234" i="5"/>
  <c r="L234" i="5" s="1"/>
  <c r="A234" i="5"/>
  <c r="K233" i="5"/>
  <c r="J233" i="5"/>
  <c r="I233" i="5"/>
  <c r="H233" i="5"/>
  <c r="G233" i="5"/>
  <c r="F233" i="5"/>
  <c r="E233" i="5"/>
  <c r="D233" i="5"/>
  <c r="C233" i="5"/>
  <c r="B233" i="5"/>
  <c r="L233" i="5" s="1"/>
  <c r="A233" i="5"/>
  <c r="K232" i="5"/>
  <c r="J232" i="5"/>
  <c r="I232" i="5"/>
  <c r="H232" i="5"/>
  <c r="G232" i="5"/>
  <c r="F232" i="5"/>
  <c r="E232" i="5"/>
  <c r="D232" i="5"/>
  <c r="C232" i="5"/>
  <c r="B232" i="5"/>
  <c r="L232" i="5" s="1"/>
  <c r="A232" i="5"/>
  <c r="K231" i="5"/>
  <c r="J231" i="5"/>
  <c r="I231" i="5"/>
  <c r="H231" i="5"/>
  <c r="G231" i="5"/>
  <c r="F231" i="5"/>
  <c r="E231" i="5"/>
  <c r="D231" i="5"/>
  <c r="C231" i="5"/>
  <c r="B231" i="5"/>
  <c r="L231" i="5" s="1"/>
  <c r="A231" i="5"/>
  <c r="K230" i="5"/>
  <c r="J230" i="5"/>
  <c r="I230" i="5"/>
  <c r="H230" i="5"/>
  <c r="G230" i="5"/>
  <c r="F230" i="5"/>
  <c r="E230" i="5"/>
  <c r="D230" i="5"/>
  <c r="C230" i="5"/>
  <c r="B230" i="5"/>
  <c r="L230" i="5" s="1"/>
  <c r="A230" i="5"/>
  <c r="K229" i="5"/>
  <c r="J229" i="5"/>
  <c r="I229" i="5"/>
  <c r="H229" i="5"/>
  <c r="G229" i="5"/>
  <c r="F229" i="5"/>
  <c r="E229" i="5"/>
  <c r="D229" i="5"/>
  <c r="C229" i="5"/>
  <c r="B229" i="5"/>
  <c r="L229" i="5" s="1"/>
  <c r="A229" i="5"/>
  <c r="K228" i="5"/>
  <c r="J228" i="5"/>
  <c r="I228" i="5"/>
  <c r="H228" i="5"/>
  <c r="G228" i="5"/>
  <c r="F228" i="5"/>
  <c r="E228" i="5"/>
  <c r="D228" i="5"/>
  <c r="C228" i="5"/>
  <c r="B228" i="5"/>
  <c r="L228" i="5" s="1"/>
  <c r="A228" i="5"/>
  <c r="K227" i="5"/>
  <c r="J227" i="5"/>
  <c r="I227" i="5"/>
  <c r="H227" i="5"/>
  <c r="G227" i="5"/>
  <c r="F227" i="5"/>
  <c r="E227" i="5"/>
  <c r="D227" i="5"/>
  <c r="C227" i="5"/>
  <c r="B227" i="5"/>
  <c r="L227" i="5" s="1"/>
  <c r="A227" i="5"/>
  <c r="K226" i="5"/>
  <c r="J226" i="5"/>
  <c r="I226" i="5"/>
  <c r="H226" i="5"/>
  <c r="G226" i="5"/>
  <c r="F226" i="5"/>
  <c r="E226" i="5"/>
  <c r="D226" i="5"/>
  <c r="C226" i="5"/>
  <c r="B226" i="5"/>
  <c r="L226" i="5" s="1"/>
  <c r="A226" i="5"/>
  <c r="K225" i="5"/>
  <c r="J225" i="5"/>
  <c r="I225" i="5"/>
  <c r="H225" i="5"/>
  <c r="G225" i="5"/>
  <c r="F225" i="5"/>
  <c r="E225" i="5"/>
  <c r="D225" i="5"/>
  <c r="C225" i="5"/>
  <c r="B225" i="5"/>
  <c r="L225" i="5" s="1"/>
  <c r="A225" i="5"/>
  <c r="K224" i="5"/>
  <c r="J224" i="5"/>
  <c r="I224" i="5"/>
  <c r="H224" i="5"/>
  <c r="G224" i="5"/>
  <c r="F224" i="5"/>
  <c r="E224" i="5"/>
  <c r="D224" i="5"/>
  <c r="C224" i="5"/>
  <c r="B224" i="5"/>
  <c r="L224" i="5" s="1"/>
  <c r="A224" i="5"/>
  <c r="K223" i="5"/>
  <c r="J223" i="5"/>
  <c r="I223" i="5"/>
  <c r="H223" i="5"/>
  <c r="G223" i="5"/>
  <c r="F223" i="5"/>
  <c r="E223" i="5"/>
  <c r="D223" i="5"/>
  <c r="C223" i="5"/>
  <c r="B223" i="5"/>
  <c r="L223" i="5" s="1"/>
  <c r="A223" i="5"/>
  <c r="K222" i="5"/>
  <c r="J222" i="5"/>
  <c r="I222" i="5"/>
  <c r="H222" i="5"/>
  <c r="G222" i="5"/>
  <c r="F222" i="5"/>
  <c r="E222" i="5"/>
  <c r="D222" i="5"/>
  <c r="C222" i="5"/>
  <c r="B222" i="5"/>
  <c r="L222" i="5" s="1"/>
  <c r="A222" i="5"/>
  <c r="K221" i="5"/>
  <c r="J221" i="5"/>
  <c r="I221" i="5"/>
  <c r="H221" i="5"/>
  <c r="G221" i="5"/>
  <c r="F221" i="5"/>
  <c r="E221" i="5"/>
  <c r="D221" i="5"/>
  <c r="C221" i="5"/>
  <c r="B221" i="5"/>
  <c r="L221" i="5" s="1"/>
  <c r="A221" i="5"/>
  <c r="K220" i="5"/>
  <c r="J220" i="5"/>
  <c r="I220" i="5"/>
  <c r="H220" i="5"/>
  <c r="G220" i="5"/>
  <c r="F220" i="5"/>
  <c r="E220" i="5"/>
  <c r="D220" i="5"/>
  <c r="C220" i="5"/>
  <c r="B220" i="5"/>
  <c r="L220" i="5" s="1"/>
  <c r="A220" i="5"/>
  <c r="K219" i="5"/>
  <c r="J219" i="5"/>
  <c r="I219" i="5"/>
  <c r="H219" i="5"/>
  <c r="G219" i="5"/>
  <c r="F219" i="5"/>
  <c r="E219" i="5"/>
  <c r="D219" i="5"/>
  <c r="C219" i="5"/>
  <c r="B219" i="5"/>
  <c r="L219" i="5" s="1"/>
  <c r="A219" i="5"/>
  <c r="K218" i="5"/>
  <c r="J218" i="5"/>
  <c r="I218" i="5"/>
  <c r="H218" i="5"/>
  <c r="G218" i="5"/>
  <c r="F218" i="5"/>
  <c r="E218" i="5"/>
  <c r="D218" i="5"/>
  <c r="C218" i="5"/>
  <c r="B218" i="5"/>
  <c r="L218" i="5" s="1"/>
  <c r="A218" i="5"/>
  <c r="K217" i="5"/>
  <c r="J217" i="5"/>
  <c r="I217" i="5"/>
  <c r="H217" i="5"/>
  <c r="G217" i="5"/>
  <c r="F217" i="5"/>
  <c r="E217" i="5"/>
  <c r="D217" i="5"/>
  <c r="C217" i="5"/>
  <c r="B217" i="5"/>
  <c r="L217" i="5" s="1"/>
  <c r="A217" i="5"/>
  <c r="K216" i="5"/>
  <c r="J216" i="5"/>
  <c r="I216" i="5"/>
  <c r="H216" i="5"/>
  <c r="G216" i="5"/>
  <c r="F216" i="5"/>
  <c r="E216" i="5"/>
  <c r="D216" i="5"/>
  <c r="C216" i="5"/>
  <c r="B216" i="5"/>
  <c r="L216" i="5" s="1"/>
  <c r="A216" i="5"/>
  <c r="K215" i="5"/>
  <c r="J215" i="5"/>
  <c r="I215" i="5"/>
  <c r="H215" i="5"/>
  <c r="G215" i="5"/>
  <c r="F215" i="5"/>
  <c r="E215" i="5"/>
  <c r="D215" i="5"/>
  <c r="C215" i="5"/>
  <c r="B215" i="5"/>
  <c r="L215" i="5" s="1"/>
  <c r="A215" i="5"/>
  <c r="K214" i="5"/>
  <c r="J214" i="5"/>
  <c r="I214" i="5"/>
  <c r="H214" i="5"/>
  <c r="G214" i="5"/>
  <c r="F214" i="5"/>
  <c r="E214" i="5"/>
  <c r="D214" i="5"/>
  <c r="C214" i="5"/>
  <c r="B214" i="5"/>
  <c r="L214" i="5" s="1"/>
  <c r="A214" i="5"/>
  <c r="K213" i="5"/>
  <c r="J213" i="5"/>
  <c r="I213" i="5"/>
  <c r="H213" i="5"/>
  <c r="G213" i="5"/>
  <c r="F213" i="5"/>
  <c r="E213" i="5"/>
  <c r="D213" i="5"/>
  <c r="C213" i="5"/>
  <c r="B213" i="5"/>
  <c r="L213" i="5" s="1"/>
  <c r="A213" i="5"/>
  <c r="K212" i="5"/>
  <c r="J212" i="5"/>
  <c r="I212" i="5"/>
  <c r="H212" i="5"/>
  <c r="G212" i="5"/>
  <c r="F212" i="5"/>
  <c r="E212" i="5"/>
  <c r="D212" i="5"/>
  <c r="C212" i="5"/>
  <c r="B212" i="5"/>
  <c r="L212" i="5" s="1"/>
  <c r="A212" i="5"/>
  <c r="K211" i="5"/>
  <c r="J211" i="5"/>
  <c r="I211" i="5"/>
  <c r="H211" i="5"/>
  <c r="G211" i="5"/>
  <c r="F211" i="5"/>
  <c r="E211" i="5"/>
  <c r="D211" i="5"/>
  <c r="C211" i="5"/>
  <c r="B211" i="5"/>
  <c r="L211" i="5" s="1"/>
  <c r="A211" i="5"/>
  <c r="K210" i="5"/>
  <c r="J210" i="5"/>
  <c r="I210" i="5"/>
  <c r="H210" i="5"/>
  <c r="G210" i="5"/>
  <c r="F210" i="5"/>
  <c r="E210" i="5"/>
  <c r="D210" i="5"/>
  <c r="C210" i="5"/>
  <c r="B210" i="5"/>
  <c r="L210" i="5" s="1"/>
  <c r="A210" i="5"/>
  <c r="K209" i="5"/>
  <c r="J209" i="5"/>
  <c r="I209" i="5"/>
  <c r="H209" i="5"/>
  <c r="G209" i="5"/>
  <c r="F209" i="5"/>
  <c r="E209" i="5"/>
  <c r="D209" i="5"/>
  <c r="C209" i="5"/>
  <c r="B209" i="5"/>
  <c r="L209" i="5" s="1"/>
  <c r="A209" i="5"/>
  <c r="K208" i="5"/>
  <c r="J208" i="5"/>
  <c r="I208" i="5"/>
  <c r="H208" i="5"/>
  <c r="G208" i="5"/>
  <c r="F208" i="5"/>
  <c r="E208" i="5"/>
  <c r="D208" i="5"/>
  <c r="C208" i="5"/>
  <c r="B208" i="5"/>
  <c r="L208" i="5" s="1"/>
  <c r="A208" i="5"/>
  <c r="K207" i="5"/>
  <c r="J207" i="5"/>
  <c r="I207" i="5"/>
  <c r="H207" i="5"/>
  <c r="G207" i="5"/>
  <c r="F207" i="5"/>
  <c r="E207" i="5"/>
  <c r="D207" i="5"/>
  <c r="C207" i="5"/>
  <c r="B207" i="5"/>
  <c r="L207" i="5" s="1"/>
  <c r="A207" i="5"/>
  <c r="K206" i="5"/>
  <c r="J206" i="5"/>
  <c r="I206" i="5"/>
  <c r="H206" i="5"/>
  <c r="G206" i="5"/>
  <c r="F206" i="5"/>
  <c r="E206" i="5"/>
  <c r="D206" i="5"/>
  <c r="C206" i="5"/>
  <c r="B206" i="5"/>
  <c r="L206" i="5" s="1"/>
  <c r="A206" i="5"/>
  <c r="K205" i="5"/>
  <c r="J205" i="5"/>
  <c r="I205" i="5"/>
  <c r="H205" i="5"/>
  <c r="G205" i="5"/>
  <c r="F205" i="5"/>
  <c r="E205" i="5"/>
  <c r="D205" i="5"/>
  <c r="C205" i="5"/>
  <c r="B205" i="5"/>
  <c r="L205" i="5" s="1"/>
  <c r="A205" i="5"/>
  <c r="K204" i="5"/>
  <c r="J204" i="5"/>
  <c r="I204" i="5"/>
  <c r="H204" i="5"/>
  <c r="G204" i="5"/>
  <c r="F204" i="5"/>
  <c r="E204" i="5"/>
  <c r="D204" i="5"/>
  <c r="C204" i="5"/>
  <c r="B204" i="5"/>
  <c r="L204" i="5" s="1"/>
  <c r="A204" i="5"/>
  <c r="K203" i="5"/>
  <c r="J203" i="5"/>
  <c r="I203" i="5"/>
  <c r="H203" i="5"/>
  <c r="G203" i="5"/>
  <c r="F203" i="5"/>
  <c r="E203" i="5"/>
  <c r="D203" i="5"/>
  <c r="C203" i="5"/>
  <c r="B203" i="5"/>
  <c r="L203" i="5" s="1"/>
  <c r="A203" i="5"/>
  <c r="K202" i="5"/>
  <c r="J202" i="5"/>
  <c r="I202" i="5"/>
  <c r="H202" i="5"/>
  <c r="G202" i="5"/>
  <c r="F202" i="5"/>
  <c r="E202" i="5"/>
  <c r="D202" i="5"/>
  <c r="C202" i="5"/>
  <c r="B202" i="5"/>
  <c r="L202" i="5" s="1"/>
  <c r="A202" i="5"/>
  <c r="K201" i="5"/>
  <c r="J201" i="5"/>
  <c r="I201" i="5"/>
  <c r="H201" i="5"/>
  <c r="G201" i="5"/>
  <c r="F201" i="5"/>
  <c r="E201" i="5"/>
  <c r="D201" i="5"/>
  <c r="C201" i="5"/>
  <c r="B201" i="5"/>
  <c r="L201" i="5" s="1"/>
  <c r="A201" i="5"/>
  <c r="K200" i="5"/>
  <c r="J200" i="5"/>
  <c r="I200" i="5"/>
  <c r="H200" i="5"/>
  <c r="G200" i="5"/>
  <c r="F200" i="5"/>
  <c r="E200" i="5"/>
  <c r="D200" i="5"/>
  <c r="C200" i="5"/>
  <c r="B200" i="5"/>
  <c r="L200" i="5" s="1"/>
  <c r="A200" i="5"/>
  <c r="K199" i="5"/>
  <c r="J199" i="5"/>
  <c r="I199" i="5"/>
  <c r="H199" i="5"/>
  <c r="G199" i="5"/>
  <c r="F199" i="5"/>
  <c r="E199" i="5"/>
  <c r="D199" i="5"/>
  <c r="C199" i="5"/>
  <c r="B199" i="5"/>
  <c r="L199" i="5" s="1"/>
  <c r="A199" i="5"/>
  <c r="K198" i="5"/>
  <c r="J198" i="5"/>
  <c r="I198" i="5"/>
  <c r="H198" i="5"/>
  <c r="G198" i="5"/>
  <c r="F198" i="5"/>
  <c r="E198" i="5"/>
  <c r="D198" i="5"/>
  <c r="C198" i="5"/>
  <c r="B198" i="5"/>
  <c r="L198" i="5" s="1"/>
  <c r="A198" i="5"/>
  <c r="K197" i="5"/>
  <c r="J197" i="5"/>
  <c r="I197" i="5"/>
  <c r="H197" i="5"/>
  <c r="G197" i="5"/>
  <c r="F197" i="5"/>
  <c r="E197" i="5"/>
  <c r="D197" i="5"/>
  <c r="C197" i="5"/>
  <c r="B197" i="5"/>
  <c r="L197" i="5" s="1"/>
  <c r="A197" i="5"/>
  <c r="K196" i="5"/>
  <c r="J196" i="5"/>
  <c r="I196" i="5"/>
  <c r="H196" i="5"/>
  <c r="G196" i="5"/>
  <c r="F196" i="5"/>
  <c r="E196" i="5"/>
  <c r="D196" i="5"/>
  <c r="C196" i="5"/>
  <c r="B196" i="5"/>
  <c r="L196" i="5" s="1"/>
  <c r="A196" i="5"/>
  <c r="K195" i="5"/>
  <c r="J195" i="5"/>
  <c r="I195" i="5"/>
  <c r="H195" i="5"/>
  <c r="G195" i="5"/>
  <c r="F195" i="5"/>
  <c r="E195" i="5"/>
  <c r="D195" i="5"/>
  <c r="C195" i="5"/>
  <c r="B195" i="5"/>
  <c r="L195" i="5" s="1"/>
  <c r="A195" i="5"/>
  <c r="K194" i="5"/>
  <c r="J194" i="5"/>
  <c r="I194" i="5"/>
  <c r="H194" i="5"/>
  <c r="G194" i="5"/>
  <c r="F194" i="5"/>
  <c r="E194" i="5"/>
  <c r="D194" i="5"/>
  <c r="C194" i="5"/>
  <c r="B194" i="5"/>
  <c r="L194" i="5" s="1"/>
  <c r="A194" i="5"/>
  <c r="K193" i="5"/>
  <c r="J193" i="5"/>
  <c r="I193" i="5"/>
  <c r="H193" i="5"/>
  <c r="G193" i="5"/>
  <c r="F193" i="5"/>
  <c r="E193" i="5"/>
  <c r="D193" i="5"/>
  <c r="C193" i="5"/>
  <c r="B193" i="5"/>
  <c r="L193" i="5" s="1"/>
  <c r="A193" i="5"/>
  <c r="K192" i="5"/>
  <c r="J192" i="5"/>
  <c r="I192" i="5"/>
  <c r="H192" i="5"/>
  <c r="G192" i="5"/>
  <c r="F192" i="5"/>
  <c r="E192" i="5"/>
  <c r="D192" i="5"/>
  <c r="C192" i="5"/>
  <c r="B192" i="5"/>
  <c r="L192" i="5" s="1"/>
  <c r="A192" i="5"/>
  <c r="K191" i="5"/>
  <c r="J191" i="5"/>
  <c r="I191" i="5"/>
  <c r="H191" i="5"/>
  <c r="G191" i="5"/>
  <c r="F191" i="5"/>
  <c r="E191" i="5"/>
  <c r="D191" i="5"/>
  <c r="C191" i="5"/>
  <c r="B191" i="5"/>
  <c r="L191" i="5" s="1"/>
  <c r="A191" i="5"/>
  <c r="K190" i="5"/>
  <c r="J190" i="5"/>
  <c r="I190" i="5"/>
  <c r="H190" i="5"/>
  <c r="G190" i="5"/>
  <c r="F190" i="5"/>
  <c r="E190" i="5"/>
  <c r="D190" i="5"/>
  <c r="C190" i="5"/>
  <c r="B190" i="5"/>
  <c r="L190" i="5" s="1"/>
  <c r="A190" i="5"/>
  <c r="K189" i="5"/>
  <c r="J189" i="5"/>
  <c r="I189" i="5"/>
  <c r="H189" i="5"/>
  <c r="G189" i="5"/>
  <c r="F189" i="5"/>
  <c r="E189" i="5"/>
  <c r="D189" i="5"/>
  <c r="C189" i="5"/>
  <c r="B189" i="5"/>
  <c r="L189" i="5" s="1"/>
  <c r="A189" i="5"/>
  <c r="K188" i="5"/>
  <c r="J188" i="5"/>
  <c r="I188" i="5"/>
  <c r="H188" i="5"/>
  <c r="G188" i="5"/>
  <c r="F188" i="5"/>
  <c r="E188" i="5"/>
  <c r="D188" i="5"/>
  <c r="C188" i="5"/>
  <c r="B188" i="5"/>
  <c r="L188" i="5" s="1"/>
  <c r="A188" i="5"/>
  <c r="K187" i="5"/>
  <c r="J187" i="5"/>
  <c r="I187" i="5"/>
  <c r="H187" i="5"/>
  <c r="G187" i="5"/>
  <c r="F187" i="5"/>
  <c r="E187" i="5"/>
  <c r="D187" i="5"/>
  <c r="C187" i="5"/>
  <c r="B187" i="5"/>
  <c r="L187" i="5" s="1"/>
  <c r="A187" i="5"/>
  <c r="K186" i="5"/>
  <c r="J186" i="5"/>
  <c r="I186" i="5"/>
  <c r="H186" i="5"/>
  <c r="G186" i="5"/>
  <c r="F186" i="5"/>
  <c r="E186" i="5"/>
  <c r="D186" i="5"/>
  <c r="C186" i="5"/>
  <c r="B186" i="5"/>
  <c r="L186" i="5" s="1"/>
  <c r="A186" i="5"/>
  <c r="K185" i="5"/>
  <c r="J185" i="5"/>
  <c r="I185" i="5"/>
  <c r="H185" i="5"/>
  <c r="G185" i="5"/>
  <c r="F185" i="5"/>
  <c r="E185" i="5"/>
  <c r="D185" i="5"/>
  <c r="C185" i="5"/>
  <c r="B185" i="5"/>
  <c r="L185" i="5" s="1"/>
  <c r="A185" i="5"/>
  <c r="K184" i="5"/>
  <c r="J184" i="5"/>
  <c r="I184" i="5"/>
  <c r="H184" i="5"/>
  <c r="G184" i="5"/>
  <c r="F184" i="5"/>
  <c r="E184" i="5"/>
  <c r="D184" i="5"/>
  <c r="C184" i="5"/>
  <c r="B184" i="5"/>
  <c r="L184" i="5" s="1"/>
  <c r="A184" i="5"/>
  <c r="K183" i="5"/>
  <c r="J183" i="5"/>
  <c r="I183" i="5"/>
  <c r="H183" i="5"/>
  <c r="G183" i="5"/>
  <c r="F183" i="5"/>
  <c r="E183" i="5"/>
  <c r="D183" i="5"/>
  <c r="C183" i="5"/>
  <c r="B183" i="5"/>
  <c r="L183" i="5" s="1"/>
  <c r="A183" i="5"/>
  <c r="K182" i="5"/>
  <c r="J182" i="5"/>
  <c r="I182" i="5"/>
  <c r="H182" i="5"/>
  <c r="G182" i="5"/>
  <c r="F182" i="5"/>
  <c r="E182" i="5"/>
  <c r="D182" i="5"/>
  <c r="C182" i="5"/>
  <c r="B182" i="5"/>
  <c r="L182" i="5" s="1"/>
  <c r="A182" i="5"/>
  <c r="K181" i="5"/>
  <c r="J181" i="5"/>
  <c r="I181" i="5"/>
  <c r="H181" i="5"/>
  <c r="G181" i="5"/>
  <c r="F181" i="5"/>
  <c r="E181" i="5"/>
  <c r="D181" i="5"/>
  <c r="C181" i="5"/>
  <c r="B181" i="5"/>
  <c r="L181" i="5" s="1"/>
  <c r="A181" i="5"/>
  <c r="K180" i="5"/>
  <c r="J180" i="5"/>
  <c r="I180" i="5"/>
  <c r="H180" i="5"/>
  <c r="G180" i="5"/>
  <c r="F180" i="5"/>
  <c r="E180" i="5"/>
  <c r="D180" i="5"/>
  <c r="C180" i="5"/>
  <c r="B180" i="5"/>
  <c r="L180" i="5" s="1"/>
  <c r="A180" i="5"/>
  <c r="K179" i="5"/>
  <c r="J179" i="5"/>
  <c r="I179" i="5"/>
  <c r="H179" i="5"/>
  <c r="G179" i="5"/>
  <c r="F179" i="5"/>
  <c r="E179" i="5"/>
  <c r="D179" i="5"/>
  <c r="C179" i="5"/>
  <c r="B179" i="5"/>
  <c r="L179" i="5" s="1"/>
  <c r="A179" i="5"/>
  <c r="K178" i="5"/>
  <c r="J178" i="5"/>
  <c r="I178" i="5"/>
  <c r="H178" i="5"/>
  <c r="G178" i="5"/>
  <c r="F178" i="5"/>
  <c r="E178" i="5"/>
  <c r="D178" i="5"/>
  <c r="C178" i="5"/>
  <c r="B178" i="5"/>
  <c r="L178" i="5" s="1"/>
  <c r="A178" i="5"/>
  <c r="K177" i="5"/>
  <c r="J177" i="5"/>
  <c r="I177" i="5"/>
  <c r="H177" i="5"/>
  <c r="G177" i="5"/>
  <c r="F177" i="5"/>
  <c r="E177" i="5"/>
  <c r="D177" i="5"/>
  <c r="C177" i="5"/>
  <c r="B177" i="5"/>
  <c r="L177" i="5" s="1"/>
  <c r="A177" i="5"/>
  <c r="K176" i="5"/>
  <c r="J176" i="5"/>
  <c r="I176" i="5"/>
  <c r="H176" i="5"/>
  <c r="G176" i="5"/>
  <c r="F176" i="5"/>
  <c r="E176" i="5"/>
  <c r="D176" i="5"/>
  <c r="C176" i="5"/>
  <c r="B176" i="5"/>
  <c r="L176" i="5" s="1"/>
  <c r="A176" i="5"/>
  <c r="K175" i="5"/>
  <c r="J175" i="5"/>
  <c r="I175" i="5"/>
  <c r="H175" i="5"/>
  <c r="G175" i="5"/>
  <c r="F175" i="5"/>
  <c r="E175" i="5"/>
  <c r="D175" i="5"/>
  <c r="C175" i="5"/>
  <c r="B175" i="5"/>
  <c r="L175" i="5" s="1"/>
  <c r="A175" i="5"/>
  <c r="K174" i="5"/>
  <c r="J174" i="5"/>
  <c r="I174" i="5"/>
  <c r="H174" i="5"/>
  <c r="G174" i="5"/>
  <c r="F174" i="5"/>
  <c r="E174" i="5"/>
  <c r="D174" i="5"/>
  <c r="C174" i="5"/>
  <c r="B174" i="5"/>
  <c r="L174" i="5" s="1"/>
  <c r="A174" i="5"/>
  <c r="K173" i="5"/>
  <c r="J173" i="5"/>
  <c r="I173" i="5"/>
  <c r="H173" i="5"/>
  <c r="G173" i="5"/>
  <c r="F173" i="5"/>
  <c r="E173" i="5"/>
  <c r="D173" i="5"/>
  <c r="C173" i="5"/>
  <c r="B173" i="5"/>
  <c r="L173" i="5" s="1"/>
  <c r="A173" i="5"/>
  <c r="K172" i="5"/>
  <c r="J172" i="5"/>
  <c r="I172" i="5"/>
  <c r="H172" i="5"/>
  <c r="G172" i="5"/>
  <c r="F172" i="5"/>
  <c r="E172" i="5"/>
  <c r="D172" i="5"/>
  <c r="C172" i="5"/>
  <c r="B172" i="5"/>
  <c r="L172" i="5" s="1"/>
  <c r="A172" i="5"/>
  <c r="K171" i="5"/>
  <c r="J171" i="5"/>
  <c r="I171" i="5"/>
  <c r="H171" i="5"/>
  <c r="G171" i="5"/>
  <c r="F171" i="5"/>
  <c r="E171" i="5"/>
  <c r="D171" i="5"/>
  <c r="C171" i="5"/>
  <c r="B171" i="5"/>
  <c r="L171" i="5" s="1"/>
  <c r="A171" i="5"/>
  <c r="K170" i="5"/>
  <c r="J170" i="5"/>
  <c r="I170" i="5"/>
  <c r="H170" i="5"/>
  <c r="G170" i="5"/>
  <c r="F170" i="5"/>
  <c r="E170" i="5"/>
  <c r="D170" i="5"/>
  <c r="C170" i="5"/>
  <c r="B170" i="5"/>
  <c r="L170" i="5" s="1"/>
  <c r="A170" i="5"/>
  <c r="K169" i="5"/>
  <c r="J169" i="5"/>
  <c r="I169" i="5"/>
  <c r="H169" i="5"/>
  <c r="G169" i="5"/>
  <c r="F169" i="5"/>
  <c r="E169" i="5"/>
  <c r="D169" i="5"/>
  <c r="C169" i="5"/>
  <c r="B169" i="5"/>
  <c r="L169" i="5" s="1"/>
  <c r="A169" i="5"/>
  <c r="K168" i="5"/>
  <c r="J168" i="5"/>
  <c r="I168" i="5"/>
  <c r="H168" i="5"/>
  <c r="G168" i="5"/>
  <c r="F168" i="5"/>
  <c r="E168" i="5"/>
  <c r="D168" i="5"/>
  <c r="C168" i="5"/>
  <c r="B168" i="5"/>
  <c r="L168" i="5" s="1"/>
  <c r="A168" i="5"/>
  <c r="K167" i="5"/>
  <c r="J167" i="5"/>
  <c r="I167" i="5"/>
  <c r="H167" i="5"/>
  <c r="G167" i="5"/>
  <c r="F167" i="5"/>
  <c r="E167" i="5"/>
  <c r="D167" i="5"/>
  <c r="C167" i="5"/>
  <c r="B167" i="5"/>
  <c r="L167" i="5" s="1"/>
  <c r="A167" i="5"/>
  <c r="K166" i="5"/>
  <c r="J166" i="5"/>
  <c r="I166" i="5"/>
  <c r="H166" i="5"/>
  <c r="G166" i="5"/>
  <c r="F166" i="5"/>
  <c r="E166" i="5"/>
  <c r="D166" i="5"/>
  <c r="C166" i="5"/>
  <c r="B166" i="5"/>
  <c r="L166" i="5" s="1"/>
  <c r="A166" i="5"/>
  <c r="K165" i="5"/>
  <c r="J165" i="5"/>
  <c r="I165" i="5"/>
  <c r="H165" i="5"/>
  <c r="G165" i="5"/>
  <c r="F165" i="5"/>
  <c r="E165" i="5"/>
  <c r="D165" i="5"/>
  <c r="C165" i="5"/>
  <c r="B165" i="5"/>
  <c r="L165" i="5" s="1"/>
  <c r="A165" i="5"/>
  <c r="K164" i="5"/>
  <c r="J164" i="5"/>
  <c r="I164" i="5"/>
  <c r="H164" i="5"/>
  <c r="G164" i="5"/>
  <c r="F164" i="5"/>
  <c r="E164" i="5"/>
  <c r="D164" i="5"/>
  <c r="C164" i="5"/>
  <c r="B164" i="5"/>
  <c r="L164" i="5" s="1"/>
  <c r="A164" i="5"/>
  <c r="K163" i="5"/>
  <c r="J163" i="5"/>
  <c r="I163" i="5"/>
  <c r="H163" i="5"/>
  <c r="G163" i="5"/>
  <c r="F163" i="5"/>
  <c r="E163" i="5"/>
  <c r="D163" i="5"/>
  <c r="C163" i="5"/>
  <c r="B163" i="5"/>
  <c r="L163" i="5" s="1"/>
  <c r="A163" i="5"/>
  <c r="K162" i="5"/>
  <c r="J162" i="5"/>
  <c r="I162" i="5"/>
  <c r="H162" i="5"/>
  <c r="G162" i="5"/>
  <c r="F162" i="5"/>
  <c r="E162" i="5"/>
  <c r="D162" i="5"/>
  <c r="C162" i="5"/>
  <c r="B162" i="5"/>
  <c r="L162" i="5" s="1"/>
  <c r="A162" i="5"/>
  <c r="K161" i="5"/>
  <c r="J161" i="5"/>
  <c r="I161" i="5"/>
  <c r="H161" i="5"/>
  <c r="G161" i="5"/>
  <c r="F161" i="5"/>
  <c r="E161" i="5"/>
  <c r="D161" i="5"/>
  <c r="C161" i="5"/>
  <c r="B161" i="5"/>
  <c r="L161" i="5" s="1"/>
  <c r="A161" i="5"/>
  <c r="K160" i="5"/>
  <c r="J160" i="5"/>
  <c r="I160" i="5"/>
  <c r="H160" i="5"/>
  <c r="G160" i="5"/>
  <c r="F160" i="5"/>
  <c r="E160" i="5"/>
  <c r="D160" i="5"/>
  <c r="C160" i="5"/>
  <c r="B160" i="5"/>
  <c r="L160" i="5" s="1"/>
  <c r="A160" i="5"/>
  <c r="K159" i="5"/>
  <c r="J159" i="5"/>
  <c r="I159" i="5"/>
  <c r="H159" i="5"/>
  <c r="G159" i="5"/>
  <c r="F159" i="5"/>
  <c r="E159" i="5"/>
  <c r="D159" i="5"/>
  <c r="C159" i="5"/>
  <c r="B159" i="5"/>
  <c r="L159" i="5" s="1"/>
  <c r="A159" i="5"/>
  <c r="K158" i="5"/>
  <c r="J158" i="5"/>
  <c r="I158" i="5"/>
  <c r="H158" i="5"/>
  <c r="G158" i="5"/>
  <c r="F158" i="5"/>
  <c r="E158" i="5"/>
  <c r="D158" i="5"/>
  <c r="C158" i="5"/>
  <c r="B158" i="5"/>
  <c r="L158" i="5" s="1"/>
  <c r="A158" i="5"/>
  <c r="K157" i="5"/>
  <c r="J157" i="5"/>
  <c r="I157" i="5"/>
  <c r="H157" i="5"/>
  <c r="G157" i="5"/>
  <c r="F157" i="5"/>
  <c r="E157" i="5"/>
  <c r="D157" i="5"/>
  <c r="C157" i="5"/>
  <c r="B157" i="5"/>
  <c r="L157" i="5" s="1"/>
  <c r="A157" i="5"/>
  <c r="K156" i="5"/>
  <c r="J156" i="5"/>
  <c r="I156" i="5"/>
  <c r="H156" i="5"/>
  <c r="G156" i="5"/>
  <c r="F156" i="5"/>
  <c r="E156" i="5"/>
  <c r="D156" i="5"/>
  <c r="C156" i="5"/>
  <c r="B156" i="5"/>
  <c r="L156" i="5" s="1"/>
  <c r="A156" i="5"/>
  <c r="K155" i="5"/>
  <c r="J155" i="5"/>
  <c r="I155" i="5"/>
  <c r="H155" i="5"/>
  <c r="G155" i="5"/>
  <c r="F155" i="5"/>
  <c r="E155" i="5"/>
  <c r="D155" i="5"/>
  <c r="C155" i="5"/>
  <c r="B155" i="5"/>
  <c r="L155" i="5" s="1"/>
  <c r="A155" i="5"/>
  <c r="K154" i="5"/>
  <c r="J154" i="5"/>
  <c r="I154" i="5"/>
  <c r="H154" i="5"/>
  <c r="G154" i="5"/>
  <c r="F154" i="5"/>
  <c r="E154" i="5"/>
  <c r="D154" i="5"/>
  <c r="C154" i="5"/>
  <c r="B154" i="5"/>
  <c r="L154" i="5" s="1"/>
  <c r="A154" i="5"/>
  <c r="K153" i="5"/>
  <c r="J153" i="5"/>
  <c r="I153" i="5"/>
  <c r="H153" i="5"/>
  <c r="G153" i="5"/>
  <c r="F153" i="5"/>
  <c r="E153" i="5"/>
  <c r="D153" i="5"/>
  <c r="C153" i="5"/>
  <c r="B153" i="5"/>
  <c r="L153" i="5" s="1"/>
  <c r="A153" i="5"/>
  <c r="K152" i="5"/>
  <c r="J152" i="5"/>
  <c r="I152" i="5"/>
  <c r="H152" i="5"/>
  <c r="G152" i="5"/>
  <c r="F152" i="5"/>
  <c r="E152" i="5"/>
  <c r="D152" i="5"/>
  <c r="C152" i="5"/>
  <c r="B152" i="5"/>
  <c r="L152" i="5" s="1"/>
  <c r="A152" i="5"/>
  <c r="K151" i="5"/>
  <c r="J151" i="5"/>
  <c r="I151" i="5"/>
  <c r="H151" i="5"/>
  <c r="G151" i="5"/>
  <c r="F151" i="5"/>
  <c r="E151" i="5"/>
  <c r="D151" i="5"/>
  <c r="C151" i="5"/>
  <c r="B151" i="5"/>
  <c r="L151" i="5" s="1"/>
  <c r="A151" i="5"/>
  <c r="K150" i="5"/>
  <c r="J150" i="5"/>
  <c r="I150" i="5"/>
  <c r="H150" i="5"/>
  <c r="G150" i="5"/>
  <c r="F150" i="5"/>
  <c r="E150" i="5"/>
  <c r="D150" i="5"/>
  <c r="C150" i="5"/>
  <c r="B150" i="5"/>
  <c r="L150" i="5" s="1"/>
  <c r="A150" i="5"/>
  <c r="K149" i="5"/>
  <c r="J149" i="5"/>
  <c r="I149" i="5"/>
  <c r="H149" i="5"/>
  <c r="G149" i="5"/>
  <c r="F149" i="5"/>
  <c r="E149" i="5"/>
  <c r="D149" i="5"/>
  <c r="C149" i="5"/>
  <c r="B149" i="5"/>
  <c r="L149" i="5" s="1"/>
  <c r="A149" i="5"/>
  <c r="K148" i="5"/>
  <c r="J148" i="5"/>
  <c r="I148" i="5"/>
  <c r="H148" i="5"/>
  <c r="G148" i="5"/>
  <c r="F148" i="5"/>
  <c r="E148" i="5"/>
  <c r="D148" i="5"/>
  <c r="C148" i="5"/>
  <c r="B148" i="5"/>
  <c r="L148" i="5" s="1"/>
  <c r="A148" i="5"/>
  <c r="K147" i="5"/>
  <c r="J147" i="5"/>
  <c r="I147" i="5"/>
  <c r="H147" i="5"/>
  <c r="G147" i="5"/>
  <c r="F147" i="5"/>
  <c r="E147" i="5"/>
  <c r="D147" i="5"/>
  <c r="C147" i="5"/>
  <c r="B147" i="5"/>
  <c r="L147" i="5" s="1"/>
  <c r="A147" i="5"/>
  <c r="K146" i="5"/>
  <c r="J146" i="5"/>
  <c r="I146" i="5"/>
  <c r="H146" i="5"/>
  <c r="G146" i="5"/>
  <c r="F146" i="5"/>
  <c r="E146" i="5"/>
  <c r="D146" i="5"/>
  <c r="C146" i="5"/>
  <c r="B146" i="5"/>
  <c r="L146" i="5" s="1"/>
  <c r="A146" i="5"/>
  <c r="K145" i="5"/>
  <c r="J145" i="5"/>
  <c r="I145" i="5"/>
  <c r="H145" i="5"/>
  <c r="G145" i="5"/>
  <c r="F145" i="5"/>
  <c r="E145" i="5"/>
  <c r="D145" i="5"/>
  <c r="C145" i="5"/>
  <c r="B145" i="5"/>
  <c r="L145" i="5" s="1"/>
  <c r="A145" i="5"/>
  <c r="K144" i="5"/>
  <c r="J144" i="5"/>
  <c r="I144" i="5"/>
  <c r="H144" i="5"/>
  <c r="G144" i="5"/>
  <c r="F144" i="5"/>
  <c r="E144" i="5"/>
  <c r="D144" i="5"/>
  <c r="C144" i="5"/>
  <c r="B144" i="5"/>
  <c r="L144" i="5" s="1"/>
  <c r="A144" i="5"/>
  <c r="K143" i="5"/>
  <c r="J143" i="5"/>
  <c r="I143" i="5"/>
  <c r="H143" i="5"/>
  <c r="G143" i="5"/>
  <c r="F143" i="5"/>
  <c r="E143" i="5"/>
  <c r="D143" i="5"/>
  <c r="C143" i="5"/>
  <c r="B143" i="5"/>
  <c r="L143" i="5" s="1"/>
  <c r="A143" i="5"/>
  <c r="K142" i="5"/>
  <c r="J142" i="5"/>
  <c r="I142" i="5"/>
  <c r="H142" i="5"/>
  <c r="G142" i="5"/>
  <c r="F142" i="5"/>
  <c r="E142" i="5"/>
  <c r="D142" i="5"/>
  <c r="C142" i="5"/>
  <c r="B142" i="5"/>
  <c r="L142" i="5" s="1"/>
  <c r="A142" i="5"/>
  <c r="K141" i="5"/>
  <c r="J141" i="5"/>
  <c r="I141" i="5"/>
  <c r="H141" i="5"/>
  <c r="G141" i="5"/>
  <c r="F141" i="5"/>
  <c r="E141" i="5"/>
  <c r="D141" i="5"/>
  <c r="C141" i="5"/>
  <c r="B141" i="5"/>
  <c r="L141" i="5" s="1"/>
  <c r="A141" i="5"/>
  <c r="K140" i="5"/>
  <c r="J140" i="5"/>
  <c r="I140" i="5"/>
  <c r="H140" i="5"/>
  <c r="G140" i="5"/>
  <c r="F140" i="5"/>
  <c r="E140" i="5"/>
  <c r="D140" i="5"/>
  <c r="C140" i="5"/>
  <c r="B140" i="5"/>
  <c r="L140" i="5" s="1"/>
  <c r="A140" i="5"/>
  <c r="K139" i="5"/>
  <c r="J139" i="5"/>
  <c r="I139" i="5"/>
  <c r="H139" i="5"/>
  <c r="G139" i="5"/>
  <c r="F139" i="5"/>
  <c r="E139" i="5"/>
  <c r="D139" i="5"/>
  <c r="C139" i="5"/>
  <c r="B139" i="5"/>
  <c r="L139" i="5" s="1"/>
  <c r="A139" i="5"/>
  <c r="K138" i="5"/>
  <c r="J138" i="5"/>
  <c r="I138" i="5"/>
  <c r="H138" i="5"/>
  <c r="G138" i="5"/>
  <c r="F138" i="5"/>
  <c r="E138" i="5"/>
  <c r="D138" i="5"/>
  <c r="C138" i="5"/>
  <c r="B138" i="5"/>
  <c r="L138" i="5" s="1"/>
  <c r="A138" i="5"/>
  <c r="K137" i="5"/>
  <c r="J137" i="5"/>
  <c r="I137" i="5"/>
  <c r="H137" i="5"/>
  <c r="G137" i="5"/>
  <c r="F137" i="5"/>
  <c r="E137" i="5"/>
  <c r="D137" i="5"/>
  <c r="C137" i="5"/>
  <c r="B137" i="5"/>
  <c r="L137" i="5" s="1"/>
  <c r="A137" i="5"/>
  <c r="K136" i="5"/>
  <c r="J136" i="5"/>
  <c r="I136" i="5"/>
  <c r="H136" i="5"/>
  <c r="G136" i="5"/>
  <c r="F136" i="5"/>
  <c r="E136" i="5"/>
  <c r="D136" i="5"/>
  <c r="C136" i="5"/>
  <c r="B136" i="5"/>
  <c r="L136" i="5" s="1"/>
  <c r="A136" i="5"/>
  <c r="K135" i="5"/>
  <c r="J135" i="5"/>
  <c r="I135" i="5"/>
  <c r="H135" i="5"/>
  <c r="G135" i="5"/>
  <c r="F135" i="5"/>
  <c r="E135" i="5"/>
  <c r="D135" i="5"/>
  <c r="C135" i="5"/>
  <c r="B135" i="5"/>
  <c r="L135" i="5" s="1"/>
  <c r="A135" i="5"/>
  <c r="K134" i="5"/>
  <c r="J134" i="5"/>
  <c r="I134" i="5"/>
  <c r="H134" i="5"/>
  <c r="G134" i="5"/>
  <c r="F134" i="5"/>
  <c r="E134" i="5"/>
  <c r="D134" i="5"/>
  <c r="C134" i="5"/>
  <c r="B134" i="5"/>
  <c r="L134" i="5" s="1"/>
  <c r="A134" i="5"/>
  <c r="K133" i="5"/>
  <c r="J133" i="5"/>
  <c r="I133" i="5"/>
  <c r="H133" i="5"/>
  <c r="G133" i="5"/>
  <c r="F133" i="5"/>
  <c r="E133" i="5"/>
  <c r="D133" i="5"/>
  <c r="C133" i="5"/>
  <c r="B133" i="5"/>
  <c r="L133" i="5" s="1"/>
  <c r="A133" i="5"/>
  <c r="K132" i="5"/>
  <c r="J132" i="5"/>
  <c r="I132" i="5"/>
  <c r="H132" i="5"/>
  <c r="G132" i="5"/>
  <c r="F132" i="5"/>
  <c r="E132" i="5"/>
  <c r="D132" i="5"/>
  <c r="C132" i="5"/>
  <c r="B132" i="5"/>
  <c r="L132" i="5" s="1"/>
  <c r="A132" i="5"/>
  <c r="K131" i="5"/>
  <c r="J131" i="5"/>
  <c r="I131" i="5"/>
  <c r="H131" i="5"/>
  <c r="G131" i="5"/>
  <c r="F131" i="5"/>
  <c r="E131" i="5"/>
  <c r="D131" i="5"/>
  <c r="C131" i="5"/>
  <c r="B131" i="5"/>
  <c r="L131" i="5" s="1"/>
  <c r="A131" i="5"/>
  <c r="K130" i="5"/>
  <c r="J130" i="5"/>
  <c r="I130" i="5"/>
  <c r="H130" i="5"/>
  <c r="G130" i="5"/>
  <c r="F130" i="5"/>
  <c r="E130" i="5"/>
  <c r="D130" i="5"/>
  <c r="C130" i="5"/>
  <c r="B130" i="5"/>
  <c r="L130" i="5" s="1"/>
  <c r="A130" i="5"/>
  <c r="K129" i="5"/>
  <c r="J129" i="5"/>
  <c r="I129" i="5"/>
  <c r="H129" i="5"/>
  <c r="G129" i="5"/>
  <c r="F129" i="5"/>
  <c r="E129" i="5"/>
  <c r="D129" i="5"/>
  <c r="C129" i="5"/>
  <c r="B129" i="5"/>
  <c r="L129" i="5" s="1"/>
  <c r="A129" i="5"/>
  <c r="K128" i="5"/>
  <c r="J128" i="5"/>
  <c r="I128" i="5"/>
  <c r="H128" i="5"/>
  <c r="G128" i="5"/>
  <c r="F128" i="5"/>
  <c r="E128" i="5"/>
  <c r="D128" i="5"/>
  <c r="C128" i="5"/>
  <c r="B128" i="5"/>
  <c r="L128" i="5" s="1"/>
  <c r="A128" i="5"/>
  <c r="K127" i="5"/>
  <c r="J127" i="5"/>
  <c r="I127" i="5"/>
  <c r="H127" i="5"/>
  <c r="G127" i="5"/>
  <c r="F127" i="5"/>
  <c r="E127" i="5"/>
  <c r="D127" i="5"/>
  <c r="C127" i="5"/>
  <c r="B127" i="5"/>
  <c r="L127" i="5" s="1"/>
  <c r="A127" i="5"/>
  <c r="K126" i="5"/>
  <c r="J126" i="5"/>
  <c r="I126" i="5"/>
  <c r="H126" i="5"/>
  <c r="G126" i="5"/>
  <c r="F126" i="5"/>
  <c r="E126" i="5"/>
  <c r="D126" i="5"/>
  <c r="C126" i="5"/>
  <c r="B126" i="5"/>
  <c r="L126" i="5" s="1"/>
  <c r="A126" i="5"/>
  <c r="K125" i="5"/>
  <c r="J125" i="5"/>
  <c r="I125" i="5"/>
  <c r="H125" i="5"/>
  <c r="G125" i="5"/>
  <c r="F125" i="5"/>
  <c r="E125" i="5"/>
  <c r="D125" i="5"/>
  <c r="C125" i="5"/>
  <c r="B125" i="5"/>
  <c r="L125" i="5" s="1"/>
  <c r="A125" i="5"/>
  <c r="K124" i="5"/>
  <c r="J124" i="5"/>
  <c r="I124" i="5"/>
  <c r="H124" i="5"/>
  <c r="G124" i="5"/>
  <c r="F124" i="5"/>
  <c r="E124" i="5"/>
  <c r="D124" i="5"/>
  <c r="C124" i="5"/>
  <c r="B124" i="5"/>
  <c r="L124" i="5" s="1"/>
  <c r="A124" i="5"/>
  <c r="K123" i="5"/>
  <c r="J123" i="5"/>
  <c r="I123" i="5"/>
  <c r="H123" i="5"/>
  <c r="G123" i="5"/>
  <c r="F123" i="5"/>
  <c r="E123" i="5"/>
  <c r="D123" i="5"/>
  <c r="C123" i="5"/>
  <c r="B123" i="5"/>
  <c r="L123" i="5" s="1"/>
  <c r="A123" i="5"/>
  <c r="K122" i="5"/>
  <c r="J122" i="5"/>
  <c r="I122" i="5"/>
  <c r="H122" i="5"/>
  <c r="G122" i="5"/>
  <c r="F122" i="5"/>
  <c r="E122" i="5"/>
  <c r="D122" i="5"/>
  <c r="C122" i="5"/>
  <c r="B122" i="5"/>
  <c r="L122" i="5" s="1"/>
  <c r="A122" i="5"/>
  <c r="K121" i="5"/>
  <c r="J121" i="5"/>
  <c r="I121" i="5"/>
  <c r="H121" i="5"/>
  <c r="G121" i="5"/>
  <c r="F121" i="5"/>
  <c r="E121" i="5"/>
  <c r="D121" i="5"/>
  <c r="C121" i="5"/>
  <c r="B121" i="5"/>
  <c r="L121" i="5" s="1"/>
  <c r="A121" i="5"/>
  <c r="K120" i="5"/>
  <c r="J120" i="5"/>
  <c r="I120" i="5"/>
  <c r="H120" i="5"/>
  <c r="G120" i="5"/>
  <c r="F120" i="5"/>
  <c r="E120" i="5"/>
  <c r="D120" i="5"/>
  <c r="C120" i="5"/>
  <c r="B120" i="5"/>
  <c r="L120" i="5" s="1"/>
  <c r="A120" i="5"/>
  <c r="K119" i="5"/>
  <c r="J119" i="5"/>
  <c r="I119" i="5"/>
  <c r="H119" i="5"/>
  <c r="G119" i="5"/>
  <c r="F119" i="5"/>
  <c r="E119" i="5"/>
  <c r="D119" i="5"/>
  <c r="C119" i="5"/>
  <c r="B119" i="5"/>
  <c r="L119" i="5" s="1"/>
  <c r="A119" i="5"/>
  <c r="K118" i="5"/>
  <c r="J118" i="5"/>
  <c r="I118" i="5"/>
  <c r="H118" i="5"/>
  <c r="G118" i="5"/>
  <c r="F118" i="5"/>
  <c r="E118" i="5"/>
  <c r="D118" i="5"/>
  <c r="C118" i="5"/>
  <c r="B118" i="5"/>
  <c r="L118" i="5" s="1"/>
  <c r="A118" i="5"/>
  <c r="K117" i="5"/>
  <c r="J117" i="5"/>
  <c r="I117" i="5"/>
  <c r="H117" i="5"/>
  <c r="G117" i="5"/>
  <c r="F117" i="5"/>
  <c r="E117" i="5"/>
  <c r="D117" i="5"/>
  <c r="C117" i="5"/>
  <c r="B117" i="5"/>
  <c r="L117" i="5" s="1"/>
  <c r="A117" i="5"/>
  <c r="K116" i="5"/>
  <c r="J116" i="5"/>
  <c r="I116" i="5"/>
  <c r="H116" i="5"/>
  <c r="G116" i="5"/>
  <c r="F116" i="5"/>
  <c r="E116" i="5"/>
  <c r="D116" i="5"/>
  <c r="C116" i="5"/>
  <c r="B116" i="5"/>
  <c r="L116" i="5" s="1"/>
  <c r="A116" i="5"/>
  <c r="K115" i="5"/>
  <c r="J115" i="5"/>
  <c r="I115" i="5"/>
  <c r="H115" i="5"/>
  <c r="G115" i="5"/>
  <c r="F115" i="5"/>
  <c r="E115" i="5"/>
  <c r="D115" i="5"/>
  <c r="C115" i="5"/>
  <c r="B115" i="5"/>
  <c r="L115" i="5" s="1"/>
  <c r="A115" i="5"/>
  <c r="K114" i="5"/>
  <c r="J114" i="5"/>
  <c r="I114" i="5"/>
  <c r="H114" i="5"/>
  <c r="G114" i="5"/>
  <c r="F114" i="5"/>
  <c r="E114" i="5"/>
  <c r="D114" i="5"/>
  <c r="C114" i="5"/>
  <c r="B114" i="5"/>
  <c r="L114" i="5" s="1"/>
  <c r="A114" i="5"/>
  <c r="K113" i="5"/>
  <c r="J113" i="5"/>
  <c r="I113" i="5"/>
  <c r="H113" i="5"/>
  <c r="G113" i="5"/>
  <c r="F113" i="5"/>
  <c r="E113" i="5"/>
  <c r="D113" i="5"/>
  <c r="C113" i="5"/>
  <c r="B113" i="5"/>
  <c r="L113" i="5" s="1"/>
  <c r="A113" i="5"/>
  <c r="K112" i="5"/>
  <c r="J112" i="5"/>
  <c r="I112" i="5"/>
  <c r="H112" i="5"/>
  <c r="G112" i="5"/>
  <c r="F112" i="5"/>
  <c r="E112" i="5"/>
  <c r="D112" i="5"/>
  <c r="C112" i="5"/>
  <c r="B112" i="5"/>
  <c r="L112" i="5" s="1"/>
  <c r="A112" i="5"/>
  <c r="K111" i="5"/>
  <c r="J111" i="5"/>
  <c r="I111" i="5"/>
  <c r="H111" i="5"/>
  <c r="G111" i="5"/>
  <c r="F111" i="5"/>
  <c r="E111" i="5"/>
  <c r="D111" i="5"/>
  <c r="C111" i="5"/>
  <c r="B111" i="5"/>
  <c r="L111" i="5" s="1"/>
  <c r="A111" i="5"/>
  <c r="K110" i="5"/>
  <c r="J110" i="5"/>
  <c r="I110" i="5"/>
  <c r="H110" i="5"/>
  <c r="G110" i="5"/>
  <c r="F110" i="5"/>
  <c r="E110" i="5"/>
  <c r="D110" i="5"/>
  <c r="C110" i="5"/>
  <c r="B110" i="5"/>
  <c r="L110" i="5" s="1"/>
  <c r="A110" i="5"/>
  <c r="K109" i="5"/>
  <c r="J109" i="5"/>
  <c r="I109" i="5"/>
  <c r="H109" i="5"/>
  <c r="G109" i="5"/>
  <c r="F109" i="5"/>
  <c r="E109" i="5"/>
  <c r="D109" i="5"/>
  <c r="C109" i="5"/>
  <c r="B109" i="5"/>
  <c r="L109" i="5" s="1"/>
  <c r="A109" i="5"/>
  <c r="K108" i="5"/>
  <c r="J108" i="5"/>
  <c r="I108" i="5"/>
  <c r="H108" i="5"/>
  <c r="G108" i="5"/>
  <c r="F108" i="5"/>
  <c r="E108" i="5"/>
  <c r="D108" i="5"/>
  <c r="C108" i="5"/>
  <c r="B108" i="5"/>
  <c r="L108" i="5" s="1"/>
  <c r="A108" i="5"/>
  <c r="K107" i="5"/>
  <c r="J107" i="5"/>
  <c r="I107" i="5"/>
  <c r="H107" i="5"/>
  <c r="G107" i="5"/>
  <c r="F107" i="5"/>
  <c r="E107" i="5"/>
  <c r="D107" i="5"/>
  <c r="C107" i="5"/>
  <c r="B107" i="5"/>
  <c r="L107" i="5" s="1"/>
  <c r="A107" i="5"/>
  <c r="K106" i="5"/>
  <c r="J106" i="5"/>
  <c r="I106" i="5"/>
  <c r="H106" i="5"/>
  <c r="G106" i="5"/>
  <c r="F106" i="5"/>
  <c r="E106" i="5"/>
  <c r="D106" i="5"/>
  <c r="C106" i="5"/>
  <c r="B106" i="5"/>
  <c r="L106" i="5" s="1"/>
  <c r="A106" i="5"/>
  <c r="K105" i="5"/>
  <c r="J105" i="5"/>
  <c r="I105" i="5"/>
  <c r="H105" i="5"/>
  <c r="G105" i="5"/>
  <c r="F105" i="5"/>
  <c r="E105" i="5"/>
  <c r="D105" i="5"/>
  <c r="C105" i="5"/>
  <c r="B105" i="5"/>
  <c r="L105" i="5" s="1"/>
  <c r="A105" i="5"/>
  <c r="K104" i="5"/>
  <c r="J104" i="5"/>
  <c r="I104" i="5"/>
  <c r="H104" i="5"/>
  <c r="G104" i="5"/>
  <c r="F104" i="5"/>
  <c r="E104" i="5"/>
  <c r="D104" i="5"/>
  <c r="C104" i="5"/>
  <c r="B104" i="5"/>
  <c r="L104" i="5" s="1"/>
  <c r="A104" i="5"/>
  <c r="K103" i="5"/>
  <c r="J103" i="5"/>
  <c r="I103" i="5"/>
  <c r="H103" i="5"/>
  <c r="G103" i="5"/>
  <c r="F103" i="5"/>
  <c r="E103" i="5"/>
  <c r="D103" i="5"/>
  <c r="C103" i="5"/>
  <c r="B103" i="5"/>
  <c r="L103" i="5" s="1"/>
  <c r="A103" i="5"/>
  <c r="K102" i="5"/>
  <c r="J102" i="5"/>
  <c r="I102" i="5"/>
  <c r="H102" i="5"/>
  <c r="G102" i="5"/>
  <c r="F102" i="5"/>
  <c r="E102" i="5"/>
  <c r="D102" i="5"/>
  <c r="C102" i="5"/>
  <c r="B102" i="5"/>
  <c r="L102" i="5" s="1"/>
  <c r="A102" i="5"/>
  <c r="K101" i="5"/>
  <c r="J101" i="5"/>
  <c r="I101" i="5"/>
  <c r="H101" i="5"/>
  <c r="G101" i="5"/>
  <c r="F101" i="5"/>
  <c r="E101" i="5"/>
  <c r="D101" i="5"/>
  <c r="C101" i="5"/>
  <c r="B101" i="5"/>
  <c r="L101" i="5" s="1"/>
  <c r="A101" i="5"/>
  <c r="K100" i="5"/>
  <c r="J100" i="5"/>
  <c r="I100" i="5"/>
  <c r="H100" i="5"/>
  <c r="G100" i="5"/>
  <c r="F100" i="5"/>
  <c r="E100" i="5"/>
  <c r="D100" i="5"/>
  <c r="C100" i="5"/>
  <c r="B100" i="5"/>
  <c r="L100" i="5" s="1"/>
  <c r="A100" i="5"/>
  <c r="K99" i="5"/>
  <c r="J99" i="5"/>
  <c r="I99" i="5"/>
  <c r="H99" i="5"/>
  <c r="G99" i="5"/>
  <c r="F99" i="5"/>
  <c r="E99" i="5"/>
  <c r="D99" i="5"/>
  <c r="C99" i="5"/>
  <c r="B99" i="5"/>
  <c r="L99" i="5" s="1"/>
  <c r="A99" i="5"/>
  <c r="K98" i="5"/>
  <c r="J98" i="5"/>
  <c r="I98" i="5"/>
  <c r="H98" i="5"/>
  <c r="G98" i="5"/>
  <c r="F98" i="5"/>
  <c r="E98" i="5"/>
  <c r="D98" i="5"/>
  <c r="C98" i="5"/>
  <c r="B98" i="5"/>
  <c r="L98" i="5" s="1"/>
  <c r="A98" i="5"/>
  <c r="K97" i="5"/>
  <c r="J97" i="5"/>
  <c r="I97" i="5"/>
  <c r="H97" i="5"/>
  <c r="G97" i="5"/>
  <c r="F97" i="5"/>
  <c r="E97" i="5"/>
  <c r="D97" i="5"/>
  <c r="C97" i="5"/>
  <c r="B97" i="5"/>
  <c r="L97" i="5" s="1"/>
  <c r="A97" i="5"/>
  <c r="K96" i="5"/>
  <c r="J96" i="5"/>
  <c r="I96" i="5"/>
  <c r="H96" i="5"/>
  <c r="G96" i="5"/>
  <c r="F96" i="5"/>
  <c r="E96" i="5"/>
  <c r="D96" i="5"/>
  <c r="C96" i="5"/>
  <c r="B96" i="5"/>
  <c r="L96" i="5" s="1"/>
  <c r="A96" i="5"/>
  <c r="K95" i="5"/>
  <c r="J95" i="5"/>
  <c r="I95" i="5"/>
  <c r="H95" i="5"/>
  <c r="G95" i="5"/>
  <c r="F95" i="5"/>
  <c r="E95" i="5"/>
  <c r="D95" i="5"/>
  <c r="C95" i="5"/>
  <c r="B95" i="5"/>
  <c r="L95" i="5" s="1"/>
  <c r="A95" i="5"/>
  <c r="K94" i="5"/>
  <c r="J94" i="5"/>
  <c r="I94" i="5"/>
  <c r="H94" i="5"/>
  <c r="G94" i="5"/>
  <c r="F94" i="5"/>
  <c r="E94" i="5"/>
  <c r="D94" i="5"/>
  <c r="C94" i="5"/>
  <c r="B94" i="5"/>
  <c r="L94" i="5" s="1"/>
  <c r="A94" i="5"/>
  <c r="K93" i="5"/>
  <c r="J93" i="5"/>
  <c r="I93" i="5"/>
  <c r="H93" i="5"/>
  <c r="G93" i="5"/>
  <c r="F93" i="5"/>
  <c r="E93" i="5"/>
  <c r="D93" i="5"/>
  <c r="C93" i="5"/>
  <c r="B93" i="5"/>
  <c r="L93" i="5" s="1"/>
  <c r="A93" i="5"/>
  <c r="K92" i="5"/>
  <c r="J92" i="5"/>
  <c r="I92" i="5"/>
  <c r="H92" i="5"/>
  <c r="G92" i="5"/>
  <c r="F92" i="5"/>
  <c r="E92" i="5"/>
  <c r="D92" i="5"/>
  <c r="C92" i="5"/>
  <c r="B92" i="5"/>
  <c r="L92" i="5" s="1"/>
  <c r="A92" i="5"/>
  <c r="K91" i="5"/>
  <c r="J91" i="5"/>
  <c r="I91" i="5"/>
  <c r="H91" i="5"/>
  <c r="G91" i="5"/>
  <c r="F91" i="5"/>
  <c r="E91" i="5"/>
  <c r="D91" i="5"/>
  <c r="C91" i="5"/>
  <c r="B91" i="5"/>
  <c r="L91" i="5" s="1"/>
  <c r="A91" i="5"/>
  <c r="K90" i="5"/>
  <c r="J90" i="5"/>
  <c r="I90" i="5"/>
  <c r="H90" i="5"/>
  <c r="G90" i="5"/>
  <c r="F90" i="5"/>
  <c r="E90" i="5"/>
  <c r="D90" i="5"/>
  <c r="C90" i="5"/>
  <c r="B90" i="5"/>
  <c r="L90" i="5" s="1"/>
  <c r="A90" i="5"/>
  <c r="K89" i="5"/>
  <c r="J89" i="5"/>
  <c r="I89" i="5"/>
  <c r="H89" i="5"/>
  <c r="G89" i="5"/>
  <c r="F89" i="5"/>
  <c r="E89" i="5"/>
  <c r="D89" i="5"/>
  <c r="C89" i="5"/>
  <c r="B89" i="5"/>
  <c r="L89" i="5" s="1"/>
  <c r="A89" i="5"/>
  <c r="K88" i="5"/>
  <c r="J88" i="5"/>
  <c r="I88" i="5"/>
  <c r="H88" i="5"/>
  <c r="G88" i="5"/>
  <c r="F88" i="5"/>
  <c r="E88" i="5"/>
  <c r="D88" i="5"/>
  <c r="C88" i="5"/>
  <c r="B88" i="5"/>
  <c r="L88" i="5" s="1"/>
  <c r="A88" i="5"/>
  <c r="K87" i="5"/>
  <c r="J87" i="5"/>
  <c r="I87" i="5"/>
  <c r="H87" i="5"/>
  <c r="G87" i="5"/>
  <c r="F87" i="5"/>
  <c r="E87" i="5"/>
  <c r="D87" i="5"/>
  <c r="C87" i="5"/>
  <c r="B87" i="5"/>
  <c r="L87" i="5" s="1"/>
  <c r="A87" i="5"/>
  <c r="K86" i="5"/>
  <c r="J86" i="5"/>
  <c r="I86" i="5"/>
  <c r="H86" i="5"/>
  <c r="G86" i="5"/>
  <c r="F86" i="5"/>
  <c r="E86" i="5"/>
  <c r="D86" i="5"/>
  <c r="C86" i="5"/>
  <c r="B86" i="5"/>
  <c r="L86" i="5" s="1"/>
  <c r="A86" i="5"/>
  <c r="K85" i="5"/>
  <c r="J85" i="5"/>
  <c r="I85" i="5"/>
  <c r="H85" i="5"/>
  <c r="G85" i="5"/>
  <c r="F85" i="5"/>
  <c r="E85" i="5"/>
  <c r="D85" i="5"/>
  <c r="C85" i="5"/>
  <c r="B85" i="5"/>
  <c r="L85" i="5" s="1"/>
  <c r="A85" i="5"/>
  <c r="K84" i="5"/>
  <c r="J84" i="5"/>
  <c r="I84" i="5"/>
  <c r="H84" i="5"/>
  <c r="G84" i="5"/>
  <c r="F84" i="5"/>
  <c r="E84" i="5"/>
  <c r="D84" i="5"/>
  <c r="C84" i="5"/>
  <c r="B84" i="5"/>
  <c r="L84" i="5" s="1"/>
  <c r="A84" i="5"/>
  <c r="K83" i="5"/>
  <c r="J83" i="5"/>
  <c r="I83" i="5"/>
  <c r="H83" i="5"/>
  <c r="G83" i="5"/>
  <c r="F83" i="5"/>
  <c r="E83" i="5"/>
  <c r="D83" i="5"/>
  <c r="C83" i="5"/>
  <c r="B83" i="5"/>
  <c r="L83" i="5" s="1"/>
  <c r="A83" i="5"/>
  <c r="K82" i="5"/>
  <c r="J82" i="5"/>
  <c r="I82" i="5"/>
  <c r="H82" i="5"/>
  <c r="G82" i="5"/>
  <c r="F82" i="5"/>
  <c r="E82" i="5"/>
  <c r="D82" i="5"/>
  <c r="C82" i="5"/>
  <c r="B82" i="5"/>
  <c r="L82" i="5" s="1"/>
  <c r="A82" i="5"/>
  <c r="K81" i="5"/>
  <c r="J81" i="5"/>
  <c r="I81" i="5"/>
  <c r="H81" i="5"/>
  <c r="G81" i="5"/>
  <c r="F81" i="5"/>
  <c r="E81" i="5"/>
  <c r="D81" i="5"/>
  <c r="C81" i="5"/>
  <c r="B81" i="5"/>
  <c r="L81" i="5" s="1"/>
  <c r="A81" i="5"/>
  <c r="K80" i="5"/>
  <c r="J80" i="5"/>
  <c r="I80" i="5"/>
  <c r="H80" i="5"/>
  <c r="G80" i="5"/>
  <c r="F80" i="5"/>
  <c r="E80" i="5"/>
  <c r="D80" i="5"/>
  <c r="C80" i="5"/>
  <c r="B80" i="5"/>
  <c r="L80" i="5" s="1"/>
  <c r="A80" i="5"/>
  <c r="K79" i="5"/>
  <c r="J79" i="5"/>
  <c r="I79" i="5"/>
  <c r="H79" i="5"/>
  <c r="G79" i="5"/>
  <c r="F79" i="5"/>
  <c r="E79" i="5"/>
  <c r="D79" i="5"/>
  <c r="C79" i="5"/>
  <c r="B79" i="5"/>
  <c r="L79" i="5" s="1"/>
  <c r="A79" i="5"/>
  <c r="K78" i="5"/>
  <c r="J78" i="5"/>
  <c r="I78" i="5"/>
  <c r="H78" i="5"/>
  <c r="G78" i="5"/>
  <c r="F78" i="5"/>
  <c r="E78" i="5"/>
  <c r="D78" i="5"/>
  <c r="C78" i="5"/>
  <c r="B78" i="5"/>
  <c r="L78" i="5" s="1"/>
  <c r="A78" i="5"/>
  <c r="K77" i="5"/>
  <c r="J77" i="5"/>
  <c r="I77" i="5"/>
  <c r="H77" i="5"/>
  <c r="G77" i="5"/>
  <c r="F77" i="5"/>
  <c r="E77" i="5"/>
  <c r="D77" i="5"/>
  <c r="C77" i="5"/>
  <c r="B77" i="5"/>
  <c r="L77" i="5" s="1"/>
  <c r="A77" i="5"/>
  <c r="K76" i="5"/>
  <c r="J76" i="5"/>
  <c r="I76" i="5"/>
  <c r="H76" i="5"/>
  <c r="G76" i="5"/>
  <c r="F76" i="5"/>
  <c r="E76" i="5"/>
  <c r="D76" i="5"/>
  <c r="C76" i="5"/>
  <c r="B76" i="5"/>
  <c r="L76" i="5" s="1"/>
  <c r="A76" i="5"/>
  <c r="K75" i="5"/>
  <c r="J75" i="5"/>
  <c r="I75" i="5"/>
  <c r="H75" i="5"/>
  <c r="G75" i="5"/>
  <c r="F75" i="5"/>
  <c r="E75" i="5"/>
  <c r="D75" i="5"/>
  <c r="C75" i="5"/>
  <c r="B75" i="5"/>
  <c r="L75" i="5" s="1"/>
  <c r="A75" i="5"/>
  <c r="K74" i="5"/>
  <c r="J74" i="5"/>
  <c r="I74" i="5"/>
  <c r="H74" i="5"/>
  <c r="G74" i="5"/>
  <c r="F74" i="5"/>
  <c r="E74" i="5"/>
  <c r="D74" i="5"/>
  <c r="C74" i="5"/>
  <c r="B74" i="5"/>
  <c r="L74" i="5" s="1"/>
  <c r="A74" i="5"/>
  <c r="K73" i="5"/>
  <c r="J73" i="5"/>
  <c r="I73" i="5"/>
  <c r="H73" i="5"/>
  <c r="G73" i="5"/>
  <c r="F73" i="5"/>
  <c r="E73" i="5"/>
  <c r="D73" i="5"/>
  <c r="C73" i="5"/>
  <c r="B73" i="5"/>
  <c r="L73" i="5" s="1"/>
  <c r="A73" i="5"/>
  <c r="K72" i="5"/>
  <c r="J72" i="5"/>
  <c r="I72" i="5"/>
  <c r="H72" i="5"/>
  <c r="G72" i="5"/>
  <c r="F72" i="5"/>
  <c r="E72" i="5"/>
  <c r="D72" i="5"/>
  <c r="C72" i="5"/>
  <c r="B72" i="5"/>
  <c r="L72" i="5" s="1"/>
  <c r="A72" i="5"/>
  <c r="K71" i="5"/>
  <c r="J71" i="5"/>
  <c r="I71" i="5"/>
  <c r="H71" i="5"/>
  <c r="G71" i="5"/>
  <c r="F71" i="5"/>
  <c r="E71" i="5"/>
  <c r="D71" i="5"/>
  <c r="C71" i="5"/>
  <c r="B71" i="5"/>
  <c r="L71" i="5" s="1"/>
  <c r="A71" i="5"/>
  <c r="K70" i="5"/>
  <c r="J70" i="5"/>
  <c r="I70" i="5"/>
  <c r="H70" i="5"/>
  <c r="G70" i="5"/>
  <c r="F70" i="5"/>
  <c r="E70" i="5"/>
  <c r="D70" i="5"/>
  <c r="C70" i="5"/>
  <c r="B70" i="5"/>
  <c r="L70" i="5" s="1"/>
  <c r="A70" i="5"/>
  <c r="K69" i="5"/>
  <c r="J69" i="5"/>
  <c r="I69" i="5"/>
  <c r="H69" i="5"/>
  <c r="G69" i="5"/>
  <c r="F69" i="5"/>
  <c r="E69" i="5"/>
  <c r="D69" i="5"/>
  <c r="C69" i="5"/>
  <c r="B69" i="5"/>
  <c r="L69" i="5" s="1"/>
  <c r="A69" i="5"/>
  <c r="K68" i="5"/>
  <c r="J68" i="5"/>
  <c r="I68" i="5"/>
  <c r="H68" i="5"/>
  <c r="G68" i="5"/>
  <c r="F68" i="5"/>
  <c r="E68" i="5"/>
  <c r="D68" i="5"/>
  <c r="C68" i="5"/>
  <c r="B68" i="5"/>
  <c r="L68" i="5" s="1"/>
  <c r="A68" i="5"/>
  <c r="K67" i="5"/>
  <c r="J67" i="5"/>
  <c r="I67" i="5"/>
  <c r="H67" i="5"/>
  <c r="G67" i="5"/>
  <c r="F67" i="5"/>
  <c r="E67" i="5"/>
  <c r="D67" i="5"/>
  <c r="C67" i="5"/>
  <c r="B67" i="5"/>
  <c r="L67" i="5" s="1"/>
  <c r="A67" i="5"/>
  <c r="K66" i="5"/>
  <c r="J66" i="5"/>
  <c r="I66" i="5"/>
  <c r="H66" i="5"/>
  <c r="G66" i="5"/>
  <c r="F66" i="5"/>
  <c r="E66" i="5"/>
  <c r="D66" i="5"/>
  <c r="C66" i="5"/>
  <c r="B66" i="5"/>
  <c r="L66" i="5" s="1"/>
  <c r="A66" i="5"/>
  <c r="K65" i="5"/>
  <c r="J65" i="5"/>
  <c r="I65" i="5"/>
  <c r="H65" i="5"/>
  <c r="G65" i="5"/>
  <c r="F65" i="5"/>
  <c r="E65" i="5"/>
  <c r="D65" i="5"/>
  <c r="C65" i="5"/>
  <c r="B65" i="5"/>
  <c r="L65" i="5" s="1"/>
  <c r="A65" i="5"/>
  <c r="K64" i="5"/>
  <c r="J64" i="5"/>
  <c r="I64" i="5"/>
  <c r="H64" i="5"/>
  <c r="G64" i="5"/>
  <c r="F64" i="5"/>
  <c r="E64" i="5"/>
  <c r="D64" i="5"/>
  <c r="C64" i="5"/>
  <c r="B64" i="5"/>
  <c r="L64" i="5" s="1"/>
  <c r="A64" i="5"/>
  <c r="K63" i="5"/>
  <c r="J63" i="5"/>
  <c r="I63" i="5"/>
  <c r="H63" i="5"/>
  <c r="G63" i="5"/>
  <c r="F63" i="5"/>
  <c r="E63" i="5"/>
  <c r="D63" i="5"/>
  <c r="C63" i="5"/>
  <c r="B63" i="5"/>
  <c r="L63" i="5" s="1"/>
  <c r="A63" i="5"/>
  <c r="K62" i="5"/>
  <c r="J62" i="5"/>
  <c r="I62" i="5"/>
  <c r="H62" i="5"/>
  <c r="G62" i="5"/>
  <c r="F62" i="5"/>
  <c r="E62" i="5"/>
  <c r="D62" i="5"/>
  <c r="C62" i="5"/>
  <c r="B62" i="5"/>
  <c r="L62" i="5" s="1"/>
  <c r="A62" i="5"/>
  <c r="K61" i="5"/>
  <c r="J61" i="5"/>
  <c r="I61" i="5"/>
  <c r="H61" i="5"/>
  <c r="G61" i="5"/>
  <c r="F61" i="5"/>
  <c r="E61" i="5"/>
  <c r="D61" i="5"/>
  <c r="C61" i="5"/>
  <c r="B61" i="5"/>
  <c r="L61" i="5" s="1"/>
  <c r="A61" i="5"/>
  <c r="K60" i="5"/>
  <c r="J60" i="5"/>
  <c r="I60" i="5"/>
  <c r="H60" i="5"/>
  <c r="G60" i="5"/>
  <c r="F60" i="5"/>
  <c r="E60" i="5"/>
  <c r="D60" i="5"/>
  <c r="C60" i="5"/>
  <c r="B60" i="5"/>
  <c r="L60" i="5" s="1"/>
  <c r="A60" i="5"/>
  <c r="K59" i="5"/>
  <c r="J59" i="5"/>
  <c r="I59" i="5"/>
  <c r="H59" i="5"/>
  <c r="G59" i="5"/>
  <c r="F59" i="5"/>
  <c r="E59" i="5"/>
  <c r="D59" i="5"/>
  <c r="C59" i="5"/>
  <c r="B59" i="5"/>
  <c r="L59" i="5" s="1"/>
  <c r="A59" i="5"/>
  <c r="K58" i="5"/>
  <c r="J58" i="5"/>
  <c r="I58" i="5"/>
  <c r="H58" i="5"/>
  <c r="G58" i="5"/>
  <c r="F58" i="5"/>
  <c r="E58" i="5"/>
  <c r="D58" i="5"/>
  <c r="C58" i="5"/>
  <c r="B58" i="5"/>
  <c r="L58" i="5" s="1"/>
  <c r="A58" i="5"/>
  <c r="K57" i="5"/>
  <c r="J57" i="5"/>
  <c r="I57" i="5"/>
  <c r="H57" i="5"/>
  <c r="G57" i="5"/>
  <c r="F57" i="5"/>
  <c r="E57" i="5"/>
  <c r="D57" i="5"/>
  <c r="C57" i="5"/>
  <c r="B57" i="5"/>
  <c r="L57" i="5" s="1"/>
  <c r="A57" i="5"/>
  <c r="K56" i="5"/>
  <c r="J56" i="5"/>
  <c r="I56" i="5"/>
  <c r="H56" i="5"/>
  <c r="G56" i="5"/>
  <c r="F56" i="5"/>
  <c r="E56" i="5"/>
  <c r="D56" i="5"/>
  <c r="C56" i="5"/>
  <c r="B56" i="5"/>
  <c r="L56" i="5" s="1"/>
  <c r="A56" i="5"/>
  <c r="K55" i="5"/>
  <c r="J55" i="5"/>
  <c r="I55" i="5"/>
  <c r="H55" i="5"/>
  <c r="G55" i="5"/>
  <c r="F55" i="5"/>
  <c r="E55" i="5"/>
  <c r="D55" i="5"/>
  <c r="C55" i="5"/>
  <c r="B55" i="5"/>
  <c r="L55" i="5" s="1"/>
  <c r="A55" i="5"/>
  <c r="K54" i="5"/>
  <c r="J54" i="5"/>
  <c r="I54" i="5"/>
  <c r="H54" i="5"/>
  <c r="G54" i="5"/>
  <c r="F54" i="5"/>
  <c r="E54" i="5"/>
  <c r="D54" i="5"/>
  <c r="C54" i="5"/>
  <c r="B54" i="5"/>
  <c r="L54" i="5" s="1"/>
  <c r="A54" i="5"/>
  <c r="K53" i="5"/>
  <c r="J53" i="5"/>
  <c r="I53" i="5"/>
  <c r="H53" i="5"/>
  <c r="G53" i="5"/>
  <c r="F53" i="5"/>
  <c r="E53" i="5"/>
  <c r="D53" i="5"/>
  <c r="C53" i="5"/>
  <c r="B53" i="5"/>
  <c r="L53" i="5" s="1"/>
  <c r="A53" i="5"/>
  <c r="K52" i="5"/>
  <c r="J52" i="5"/>
  <c r="I52" i="5"/>
  <c r="H52" i="5"/>
  <c r="G52" i="5"/>
  <c r="F52" i="5"/>
  <c r="E52" i="5"/>
  <c r="D52" i="5"/>
  <c r="C52" i="5"/>
  <c r="B52" i="5"/>
  <c r="L52" i="5" s="1"/>
  <c r="A52" i="5"/>
  <c r="K51" i="5"/>
  <c r="J51" i="5"/>
  <c r="I51" i="5"/>
  <c r="H51" i="5"/>
  <c r="G51" i="5"/>
  <c r="F51" i="5"/>
  <c r="E51" i="5"/>
  <c r="D51" i="5"/>
  <c r="C51" i="5"/>
  <c r="B51" i="5"/>
  <c r="L51" i="5" s="1"/>
  <c r="A51" i="5"/>
  <c r="K50" i="5"/>
  <c r="J50" i="5"/>
  <c r="I50" i="5"/>
  <c r="H50" i="5"/>
  <c r="G50" i="5"/>
  <c r="F50" i="5"/>
  <c r="E50" i="5"/>
  <c r="D50" i="5"/>
  <c r="C50" i="5"/>
  <c r="B50" i="5"/>
  <c r="L50" i="5" s="1"/>
  <c r="A50" i="5"/>
  <c r="K49" i="5"/>
  <c r="J49" i="5"/>
  <c r="I49" i="5"/>
  <c r="H49" i="5"/>
  <c r="G49" i="5"/>
  <c r="F49" i="5"/>
  <c r="E49" i="5"/>
  <c r="D49" i="5"/>
  <c r="C49" i="5"/>
  <c r="B49" i="5"/>
  <c r="L49" i="5" s="1"/>
  <c r="A49" i="5"/>
  <c r="K48" i="5"/>
  <c r="J48" i="5"/>
  <c r="I48" i="5"/>
  <c r="H48" i="5"/>
  <c r="G48" i="5"/>
  <c r="F48" i="5"/>
  <c r="E48" i="5"/>
  <c r="D48" i="5"/>
  <c r="C48" i="5"/>
  <c r="B48" i="5"/>
  <c r="L48" i="5" s="1"/>
  <c r="A48" i="5"/>
  <c r="K47" i="5"/>
  <c r="J47" i="5"/>
  <c r="I47" i="5"/>
  <c r="H47" i="5"/>
  <c r="G47" i="5"/>
  <c r="F47" i="5"/>
  <c r="E47" i="5"/>
  <c r="D47" i="5"/>
  <c r="C47" i="5"/>
  <c r="B47" i="5"/>
  <c r="L47" i="5" s="1"/>
  <c r="A47" i="5"/>
  <c r="K46" i="5"/>
  <c r="J46" i="5"/>
  <c r="I46" i="5"/>
  <c r="H46" i="5"/>
  <c r="G46" i="5"/>
  <c r="F46" i="5"/>
  <c r="E46" i="5"/>
  <c r="D46" i="5"/>
  <c r="C46" i="5"/>
  <c r="B46" i="5"/>
  <c r="L46" i="5" s="1"/>
  <c r="A46" i="5"/>
  <c r="K45" i="5"/>
  <c r="J45" i="5"/>
  <c r="I45" i="5"/>
  <c r="H45" i="5"/>
  <c r="G45" i="5"/>
  <c r="F45" i="5"/>
  <c r="E45" i="5"/>
  <c r="D45" i="5"/>
  <c r="C45" i="5"/>
  <c r="B45" i="5"/>
  <c r="L45" i="5" s="1"/>
  <c r="A45" i="5"/>
  <c r="K44" i="5"/>
  <c r="J44" i="5"/>
  <c r="I44" i="5"/>
  <c r="H44" i="5"/>
  <c r="G44" i="5"/>
  <c r="F44" i="5"/>
  <c r="E44" i="5"/>
  <c r="D44" i="5"/>
  <c r="C44" i="5"/>
  <c r="B44" i="5"/>
  <c r="L44" i="5" s="1"/>
  <c r="A44" i="5"/>
  <c r="K43" i="5"/>
  <c r="J43" i="5"/>
  <c r="I43" i="5"/>
  <c r="H43" i="5"/>
  <c r="G43" i="5"/>
  <c r="F43" i="5"/>
  <c r="E43" i="5"/>
  <c r="D43" i="5"/>
  <c r="C43" i="5"/>
  <c r="B43" i="5"/>
  <c r="L43" i="5" s="1"/>
  <c r="A43" i="5"/>
  <c r="K42" i="5"/>
  <c r="J42" i="5"/>
  <c r="I42" i="5"/>
  <c r="H42" i="5"/>
  <c r="G42" i="5"/>
  <c r="F42" i="5"/>
  <c r="E42" i="5"/>
  <c r="D42" i="5"/>
  <c r="C42" i="5"/>
  <c r="B42" i="5"/>
  <c r="L42" i="5" s="1"/>
  <c r="A42" i="5"/>
  <c r="K41" i="5"/>
  <c r="J41" i="5"/>
  <c r="I41" i="5"/>
  <c r="H41" i="5"/>
  <c r="G41" i="5"/>
  <c r="F41" i="5"/>
  <c r="E41" i="5"/>
  <c r="D41" i="5"/>
  <c r="C41" i="5"/>
  <c r="B41" i="5"/>
  <c r="L41" i="5" s="1"/>
  <c r="A41" i="5"/>
  <c r="K40" i="5"/>
  <c r="J40" i="5"/>
  <c r="I40" i="5"/>
  <c r="H40" i="5"/>
  <c r="G40" i="5"/>
  <c r="F40" i="5"/>
  <c r="E40" i="5"/>
  <c r="D40" i="5"/>
  <c r="C40" i="5"/>
  <c r="B40" i="5"/>
  <c r="L40" i="5" s="1"/>
  <c r="A40" i="5"/>
  <c r="K39" i="5"/>
  <c r="J39" i="5"/>
  <c r="I39" i="5"/>
  <c r="H39" i="5"/>
  <c r="G39" i="5"/>
  <c r="F39" i="5"/>
  <c r="E39" i="5"/>
  <c r="D39" i="5"/>
  <c r="C39" i="5"/>
  <c r="B39" i="5"/>
  <c r="L39" i="5" s="1"/>
  <c r="A39" i="5"/>
  <c r="K38" i="5"/>
  <c r="J38" i="5"/>
  <c r="I38" i="5"/>
  <c r="H38" i="5"/>
  <c r="G38" i="5"/>
  <c r="F38" i="5"/>
  <c r="E38" i="5"/>
  <c r="D38" i="5"/>
  <c r="C38" i="5"/>
  <c r="B38" i="5"/>
  <c r="L38" i="5" s="1"/>
  <c r="A38" i="5"/>
  <c r="K37" i="5"/>
  <c r="J37" i="5"/>
  <c r="I37" i="5"/>
  <c r="H37" i="5"/>
  <c r="G37" i="5"/>
  <c r="F37" i="5"/>
  <c r="E37" i="5"/>
  <c r="D37" i="5"/>
  <c r="C37" i="5"/>
  <c r="B37" i="5"/>
  <c r="L37" i="5" s="1"/>
  <c r="A37" i="5"/>
  <c r="K36" i="5"/>
  <c r="J36" i="5"/>
  <c r="I36" i="5"/>
  <c r="H36" i="5"/>
  <c r="G36" i="5"/>
  <c r="F36" i="5"/>
  <c r="E36" i="5"/>
  <c r="D36" i="5"/>
  <c r="C36" i="5"/>
  <c r="B36" i="5"/>
  <c r="L36" i="5" s="1"/>
  <c r="A36" i="5"/>
  <c r="K35" i="5"/>
  <c r="J35" i="5"/>
  <c r="I35" i="5"/>
  <c r="H35" i="5"/>
  <c r="G35" i="5"/>
  <c r="F35" i="5"/>
  <c r="E35" i="5"/>
  <c r="D35" i="5"/>
  <c r="C35" i="5"/>
  <c r="B35" i="5"/>
  <c r="L35" i="5" s="1"/>
  <c r="A35" i="5"/>
  <c r="K34" i="5"/>
  <c r="J34" i="5"/>
  <c r="I34" i="5"/>
  <c r="H34" i="5"/>
  <c r="G34" i="5"/>
  <c r="F34" i="5"/>
  <c r="E34" i="5"/>
  <c r="D34" i="5"/>
  <c r="C34" i="5"/>
  <c r="B34" i="5"/>
  <c r="L34" i="5" s="1"/>
  <c r="A34" i="5"/>
  <c r="K33" i="5"/>
  <c r="J33" i="5"/>
  <c r="I33" i="5"/>
  <c r="H33" i="5"/>
  <c r="G33" i="5"/>
  <c r="F33" i="5"/>
  <c r="E33" i="5"/>
  <c r="D33" i="5"/>
  <c r="C33" i="5"/>
  <c r="B33" i="5"/>
  <c r="L33" i="5" s="1"/>
  <c r="A33" i="5"/>
  <c r="K32" i="5"/>
  <c r="J32" i="5"/>
  <c r="I32" i="5"/>
  <c r="H32" i="5"/>
  <c r="G32" i="5"/>
  <c r="F32" i="5"/>
  <c r="E32" i="5"/>
  <c r="D32" i="5"/>
  <c r="C32" i="5"/>
  <c r="B32" i="5"/>
  <c r="L32" i="5" s="1"/>
  <c r="A32" i="5"/>
  <c r="K31" i="5"/>
  <c r="J31" i="5"/>
  <c r="I31" i="5"/>
  <c r="H31" i="5"/>
  <c r="G31" i="5"/>
  <c r="F31" i="5"/>
  <c r="E31" i="5"/>
  <c r="D31" i="5"/>
  <c r="C31" i="5"/>
  <c r="B31" i="5"/>
  <c r="L31" i="5" s="1"/>
  <c r="A31" i="5"/>
  <c r="K30" i="5"/>
  <c r="J30" i="5"/>
  <c r="I30" i="5"/>
  <c r="H30" i="5"/>
  <c r="G30" i="5"/>
  <c r="F30" i="5"/>
  <c r="E30" i="5"/>
  <c r="D30" i="5"/>
  <c r="C30" i="5"/>
  <c r="B30" i="5"/>
  <c r="L30" i="5" s="1"/>
  <c r="A30" i="5"/>
  <c r="K29" i="5"/>
  <c r="J29" i="5"/>
  <c r="I29" i="5"/>
  <c r="H29" i="5"/>
  <c r="G29" i="5"/>
  <c r="F29" i="5"/>
  <c r="E29" i="5"/>
  <c r="D29" i="5"/>
  <c r="C29" i="5"/>
  <c r="B29" i="5"/>
  <c r="L29" i="5" s="1"/>
  <c r="A29" i="5"/>
  <c r="K28" i="5"/>
  <c r="J28" i="5"/>
  <c r="I28" i="5"/>
  <c r="H28" i="5"/>
  <c r="G28" i="5"/>
  <c r="F28" i="5"/>
  <c r="E28" i="5"/>
  <c r="D28" i="5"/>
  <c r="C28" i="5"/>
  <c r="B28" i="5"/>
  <c r="L28" i="5" s="1"/>
  <c r="A28" i="5"/>
  <c r="K27" i="5"/>
  <c r="J27" i="5"/>
  <c r="I27" i="5"/>
  <c r="H27" i="5"/>
  <c r="G27" i="5"/>
  <c r="F27" i="5"/>
  <c r="E27" i="5"/>
  <c r="D27" i="5"/>
  <c r="C27" i="5"/>
  <c r="B27" i="5"/>
  <c r="L27" i="5" s="1"/>
  <c r="A27" i="5"/>
  <c r="K26" i="5"/>
  <c r="J26" i="5"/>
  <c r="I26" i="5"/>
  <c r="H26" i="5"/>
  <c r="G26" i="5"/>
  <c r="F26" i="5"/>
  <c r="E26" i="5"/>
  <c r="D26" i="5"/>
  <c r="C26" i="5"/>
  <c r="B26" i="5"/>
  <c r="L26" i="5" s="1"/>
  <c r="A26" i="5"/>
  <c r="K25" i="5"/>
  <c r="J25" i="5"/>
  <c r="I25" i="5"/>
  <c r="H25" i="5"/>
  <c r="G25" i="5"/>
  <c r="F25" i="5"/>
  <c r="E25" i="5"/>
  <c r="D25" i="5"/>
  <c r="C25" i="5"/>
  <c r="B25" i="5"/>
  <c r="L25" i="5" s="1"/>
  <c r="A25" i="5"/>
  <c r="K24" i="5"/>
  <c r="J24" i="5"/>
  <c r="I24" i="5"/>
  <c r="H24" i="5"/>
  <c r="G24" i="5"/>
  <c r="F24" i="5"/>
  <c r="E24" i="5"/>
  <c r="D24" i="5"/>
  <c r="C24" i="5"/>
  <c r="B24" i="5"/>
  <c r="L24" i="5" s="1"/>
  <c r="A24" i="5"/>
  <c r="K23" i="5"/>
  <c r="J23" i="5"/>
  <c r="I23" i="5"/>
  <c r="H23" i="5"/>
  <c r="G23" i="5"/>
  <c r="F23" i="5"/>
  <c r="E23" i="5"/>
  <c r="D23" i="5"/>
  <c r="C23" i="5"/>
  <c r="B23" i="5"/>
  <c r="L23" i="5" s="1"/>
  <c r="A23" i="5"/>
  <c r="K22" i="5"/>
  <c r="J22" i="5"/>
  <c r="I22" i="5"/>
  <c r="H22" i="5"/>
  <c r="G22" i="5"/>
  <c r="F22" i="5"/>
  <c r="E22" i="5"/>
  <c r="D22" i="5"/>
  <c r="C22" i="5"/>
  <c r="B22" i="5"/>
  <c r="L22" i="5" s="1"/>
  <c r="A22" i="5"/>
  <c r="K21" i="5"/>
  <c r="J21" i="5"/>
  <c r="I21" i="5"/>
  <c r="H21" i="5"/>
  <c r="G21" i="5"/>
  <c r="F21" i="5"/>
  <c r="E21" i="5"/>
  <c r="D21" i="5"/>
  <c r="C21" i="5"/>
  <c r="B21" i="5"/>
  <c r="L21" i="5" s="1"/>
  <c r="A21" i="5"/>
  <c r="K20" i="5"/>
  <c r="J20" i="5"/>
  <c r="I20" i="5"/>
  <c r="H20" i="5"/>
  <c r="G20" i="5"/>
  <c r="F20" i="5"/>
  <c r="E20" i="5"/>
  <c r="D20" i="5"/>
  <c r="C20" i="5"/>
  <c r="B20" i="5"/>
  <c r="L20" i="5" s="1"/>
  <c r="A20" i="5"/>
  <c r="K19" i="5"/>
  <c r="J19" i="5"/>
  <c r="I19" i="5"/>
  <c r="H19" i="5"/>
  <c r="G19" i="5"/>
  <c r="F19" i="5"/>
  <c r="E19" i="5"/>
  <c r="D19" i="5"/>
  <c r="C19" i="5"/>
  <c r="B19" i="5"/>
  <c r="L19" i="5" s="1"/>
  <c r="A19" i="5"/>
  <c r="K18" i="5"/>
  <c r="J18" i="5"/>
  <c r="I18" i="5"/>
  <c r="H18" i="5"/>
  <c r="G18" i="5"/>
  <c r="F18" i="5"/>
  <c r="E18" i="5"/>
  <c r="D18" i="5"/>
  <c r="C18" i="5"/>
  <c r="B18" i="5"/>
  <c r="L18" i="5" s="1"/>
  <c r="A18" i="5"/>
  <c r="K17" i="5"/>
  <c r="J17" i="5"/>
  <c r="I17" i="5"/>
  <c r="H17" i="5"/>
  <c r="G17" i="5"/>
  <c r="F17" i="5"/>
  <c r="E17" i="5"/>
  <c r="D17" i="5"/>
  <c r="C17" i="5"/>
  <c r="B17" i="5"/>
  <c r="L17" i="5" s="1"/>
  <c r="A17" i="5"/>
  <c r="K16" i="5"/>
  <c r="J16" i="5"/>
  <c r="I16" i="5"/>
  <c r="H16" i="5"/>
  <c r="G16" i="5"/>
  <c r="F16" i="5"/>
  <c r="E16" i="5"/>
  <c r="D16" i="5"/>
  <c r="C16" i="5"/>
  <c r="B16" i="5"/>
  <c r="L16" i="5" s="1"/>
  <c r="A16" i="5"/>
  <c r="K15" i="5"/>
  <c r="J15" i="5"/>
  <c r="I15" i="5"/>
  <c r="H15" i="5"/>
  <c r="G15" i="5"/>
  <c r="F15" i="5"/>
  <c r="E15" i="5"/>
  <c r="D15" i="5"/>
  <c r="C15" i="5"/>
  <c r="B15" i="5"/>
  <c r="L15" i="5" s="1"/>
  <c r="A15" i="5"/>
  <c r="K14" i="5"/>
  <c r="J14" i="5"/>
  <c r="I14" i="5"/>
  <c r="H14" i="5"/>
  <c r="G14" i="5"/>
  <c r="F14" i="5"/>
  <c r="E14" i="5"/>
  <c r="D14" i="5"/>
  <c r="C14" i="5"/>
  <c r="B14" i="5"/>
  <c r="L14" i="5" s="1"/>
  <c r="A14" i="5"/>
  <c r="K13" i="5"/>
  <c r="J13" i="5"/>
  <c r="I13" i="5"/>
  <c r="H13" i="5"/>
  <c r="G13" i="5"/>
  <c r="F13" i="5"/>
  <c r="E13" i="5"/>
  <c r="D13" i="5"/>
  <c r="C13" i="5"/>
  <c r="B13" i="5"/>
  <c r="L13" i="5" s="1"/>
  <c r="A13" i="5"/>
  <c r="K12" i="5"/>
  <c r="J12" i="5"/>
  <c r="I12" i="5"/>
  <c r="H12" i="5"/>
  <c r="G12" i="5"/>
  <c r="F12" i="5"/>
  <c r="E12" i="5"/>
  <c r="D12" i="5"/>
  <c r="C12" i="5"/>
  <c r="B12" i="5"/>
  <c r="L12" i="5" s="1"/>
  <c r="A12" i="5"/>
  <c r="K11" i="5"/>
  <c r="J11" i="5"/>
  <c r="I11" i="5"/>
  <c r="H11" i="5"/>
  <c r="G11" i="5"/>
  <c r="F11" i="5"/>
  <c r="E11" i="5"/>
  <c r="D11" i="5"/>
  <c r="C11" i="5"/>
  <c r="B11" i="5"/>
  <c r="L11" i="5" s="1"/>
  <c r="A11" i="5"/>
  <c r="K10" i="5"/>
  <c r="J10" i="5"/>
  <c r="I10" i="5"/>
  <c r="H10" i="5"/>
  <c r="G10" i="5"/>
  <c r="F10" i="5"/>
  <c r="E10" i="5"/>
  <c r="D10" i="5"/>
  <c r="C10" i="5"/>
  <c r="B10" i="5"/>
  <c r="L10" i="5" s="1"/>
  <c r="A10" i="5"/>
  <c r="K9" i="5"/>
  <c r="J9" i="5"/>
  <c r="I9" i="5"/>
  <c r="H9" i="5"/>
  <c r="G9" i="5"/>
  <c r="F9" i="5"/>
  <c r="E9" i="5"/>
  <c r="D9" i="5"/>
  <c r="C9" i="5"/>
  <c r="B9" i="5"/>
  <c r="L9" i="5" s="1"/>
  <c r="A9" i="5"/>
  <c r="K8" i="5"/>
  <c r="J8" i="5"/>
  <c r="I8" i="5"/>
  <c r="H8" i="5"/>
  <c r="G8" i="5"/>
  <c r="F8" i="5"/>
  <c r="E8" i="5"/>
  <c r="D8" i="5"/>
  <c r="C8" i="5"/>
  <c r="B8" i="5"/>
  <c r="L8" i="5" s="1"/>
  <c r="A8" i="5"/>
  <c r="K7" i="5"/>
  <c r="J7" i="5"/>
  <c r="I7" i="5"/>
  <c r="H7" i="5"/>
  <c r="G7" i="5"/>
  <c r="F7" i="5"/>
  <c r="E7" i="5"/>
  <c r="D7" i="5"/>
  <c r="C7" i="5"/>
  <c r="B7" i="5"/>
  <c r="L7" i="5" s="1"/>
  <c r="A7" i="5"/>
  <c r="K6" i="5"/>
  <c r="J6" i="5"/>
  <c r="I6" i="5"/>
  <c r="H6" i="5"/>
  <c r="G6" i="5"/>
  <c r="F6" i="5"/>
  <c r="C6" i="5"/>
  <c r="B6" i="5"/>
  <c r="L6" i="5" s="1"/>
  <c r="A6" i="5"/>
  <c r="E310" i="4"/>
  <c r="D310" i="4"/>
  <c r="E309" i="4"/>
  <c r="D309" i="4"/>
  <c r="E308" i="4"/>
  <c r="D308" i="4"/>
  <c r="E307" i="4"/>
  <c r="D307" i="4"/>
  <c r="E306" i="4"/>
  <c r="D306" i="4"/>
  <c r="E305" i="4"/>
  <c r="D305" i="4"/>
  <c r="E304" i="4"/>
  <c r="D304" i="4"/>
  <c r="E303" i="4"/>
  <c r="D303" i="4"/>
  <c r="E302" i="4"/>
  <c r="D302" i="4"/>
  <c r="E301" i="4"/>
  <c r="D301" i="4"/>
  <c r="E300" i="4"/>
  <c r="D300" i="4"/>
  <c r="E299" i="4"/>
  <c r="D299" i="4"/>
  <c r="E298" i="4"/>
  <c r="D298" i="4"/>
  <c r="E297" i="4"/>
  <c r="D297" i="4"/>
  <c r="E296" i="4"/>
  <c r="D296" i="4"/>
  <c r="E295" i="4"/>
  <c r="D295" i="4"/>
  <c r="E294" i="4"/>
  <c r="D294" i="4"/>
  <c r="E293" i="4"/>
  <c r="D293" i="4"/>
  <c r="E292" i="4"/>
  <c r="D292" i="4"/>
  <c r="E291" i="4"/>
  <c r="D291" i="4"/>
  <c r="E290" i="4"/>
  <c r="D290" i="4"/>
  <c r="E289" i="4"/>
  <c r="D289" i="4"/>
  <c r="E288" i="4"/>
  <c r="D288" i="4"/>
  <c r="E287" i="4"/>
  <c r="D287" i="4"/>
  <c r="E286" i="4"/>
  <c r="D286" i="4"/>
  <c r="E285" i="4"/>
  <c r="D285" i="4"/>
  <c r="E284" i="4"/>
  <c r="D284" i="4"/>
  <c r="E283" i="4"/>
  <c r="D283" i="4"/>
  <c r="E282" i="4"/>
  <c r="D282" i="4"/>
  <c r="E281" i="4"/>
  <c r="D281" i="4"/>
  <c r="E280" i="4"/>
  <c r="D280" i="4"/>
  <c r="E279" i="4"/>
  <c r="D279" i="4"/>
  <c r="E278" i="4"/>
  <c r="D278" i="4"/>
  <c r="E277" i="4"/>
  <c r="D277" i="4"/>
  <c r="E276" i="4"/>
  <c r="D276" i="4"/>
  <c r="E275" i="4"/>
  <c r="D275" i="4"/>
  <c r="E274" i="4"/>
  <c r="D274" i="4"/>
  <c r="E273" i="4"/>
  <c r="D273" i="4"/>
  <c r="E272" i="4"/>
  <c r="D272" i="4"/>
  <c r="E271" i="4"/>
  <c r="D271" i="4"/>
  <c r="E270" i="4"/>
  <c r="D270" i="4"/>
  <c r="E269" i="4"/>
  <c r="D269" i="4"/>
  <c r="E268" i="4"/>
  <c r="D268" i="4"/>
  <c r="E267" i="4"/>
  <c r="D267" i="4"/>
  <c r="E266" i="4"/>
  <c r="D266" i="4"/>
  <c r="E265" i="4"/>
  <c r="D265" i="4"/>
  <c r="E264" i="4"/>
  <c r="D264" i="4"/>
  <c r="E263" i="4"/>
  <c r="D263" i="4"/>
  <c r="E262" i="4"/>
  <c r="D262" i="4"/>
  <c r="E261" i="4"/>
  <c r="D261" i="4"/>
  <c r="E260" i="4"/>
  <c r="D260" i="4"/>
  <c r="E259" i="4"/>
  <c r="D259" i="4"/>
  <c r="E258" i="4"/>
  <c r="D258" i="4"/>
  <c r="E257" i="4"/>
  <c r="D257" i="4"/>
  <c r="E256" i="4"/>
  <c r="D256" i="4"/>
  <c r="E255" i="4"/>
  <c r="D255" i="4"/>
  <c r="E254" i="4"/>
  <c r="D254" i="4"/>
  <c r="E253" i="4"/>
  <c r="D253" i="4"/>
  <c r="E252" i="4"/>
  <c r="D252" i="4"/>
  <c r="E251" i="4"/>
  <c r="D251" i="4"/>
  <c r="E250" i="4"/>
  <c r="D250" i="4"/>
  <c r="E249" i="4"/>
  <c r="D249" i="4"/>
  <c r="E248" i="4"/>
  <c r="D248" i="4"/>
  <c r="E247" i="4"/>
  <c r="D247" i="4"/>
  <c r="E246" i="4"/>
  <c r="D246" i="4"/>
  <c r="E245" i="4"/>
  <c r="D245" i="4"/>
  <c r="E244" i="4"/>
  <c r="D244" i="4"/>
  <c r="E243" i="4"/>
  <c r="D243" i="4"/>
  <c r="E242" i="4"/>
  <c r="D242" i="4"/>
  <c r="E241" i="4"/>
  <c r="D241" i="4"/>
  <c r="E240" i="4"/>
  <c r="D240" i="4"/>
  <c r="E239" i="4"/>
  <c r="D239" i="4"/>
  <c r="E238" i="4"/>
  <c r="D238" i="4"/>
  <c r="E237" i="4"/>
  <c r="D237" i="4"/>
  <c r="E236" i="4"/>
  <c r="D236" i="4"/>
  <c r="E235" i="4"/>
  <c r="D235" i="4"/>
  <c r="E234" i="4"/>
  <c r="D234" i="4"/>
  <c r="E233" i="4"/>
  <c r="D233" i="4"/>
  <c r="E232" i="4"/>
  <c r="D232" i="4"/>
  <c r="E231" i="4"/>
  <c r="D231" i="4"/>
  <c r="E230" i="4"/>
  <c r="D230" i="4"/>
  <c r="E229" i="4"/>
  <c r="D229" i="4"/>
  <c r="E228" i="4"/>
  <c r="D228" i="4"/>
  <c r="E227" i="4"/>
  <c r="D227" i="4"/>
  <c r="E226" i="4"/>
  <c r="D226" i="4"/>
  <c r="E225" i="4"/>
  <c r="D225" i="4"/>
  <c r="E224" i="4"/>
  <c r="D224" i="4"/>
  <c r="E223" i="4"/>
  <c r="D223" i="4"/>
  <c r="E222" i="4"/>
  <c r="D222" i="4"/>
  <c r="E221" i="4"/>
  <c r="D221" i="4"/>
  <c r="E220" i="4"/>
  <c r="D220" i="4"/>
  <c r="E219" i="4"/>
  <c r="D219" i="4"/>
  <c r="E218" i="4"/>
  <c r="D218" i="4"/>
  <c r="E217" i="4"/>
  <c r="D217" i="4"/>
  <c r="E216" i="4"/>
  <c r="D216" i="4"/>
  <c r="E215" i="4"/>
  <c r="D215" i="4"/>
  <c r="E214" i="4"/>
  <c r="D214" i="4"/>
  <c r="E213" i="4"/>
  <c r="D213" i="4"/>
  <c r="E212" i="4"/>
  <c r="D212" i="4"/>
  <c r="E211" i="4"/>
  <c r="D211" i="4"/>
  <c r="E210" i="4"/>
  <c r="D210" i="4"/>
  <c r="E209" i="4"/>
  <c r="D209" i="4"/>
  <c r="E208" i="4"/>
  <c r="D208" i="4"/>
  <c r="E207" i="4"/>
  <c r="D207" i="4"/>
  <c r="E206" i="4"/>
  <c r="D206" i="4"/>
  <c r="E205" i="4"/>
  <c r="D205" i="4"/>
  <c r="E204" i="4"/>
  <c r="D204" i="4"/>
  <c r="E203" i="4"/>
  <c r="D203" i="4"/>
  <c r="E202" i="4"/>
  <c r="D202" i="4"/>
  <c r="E201" i="4"/>
  <c r="D201" i="4"/>
  <c r="E200" i="4"/>
  <c r="D200" i="4"/>
  <c r="E199" i="4"/>
  <c r="D199" i="4"/>
  <c r="E198" i="4"/>
  <c r="D198" i="4"/>
  <c r="E197" i="4"/>
  <c r="D197" i="4"/>
  <c r="E196" i="4"/>
  <c r="D196" i="4"/>
  <c r="E195" i="4"/>
  <c r="D195" i="4"/>
  <c r="E194" i="4"/>
  <c r="D194" i="4"/>
  <c r="E193" i="4"/>
  <c r="D193" i="4"/>
  <c r="E192" i="4"/>
  <c r="D192" i="4"/>
  <c r="E191" i="4"/>
  <c r="D191" i="4"/>
  <c r="E190" i="4"/>
  <c r="D190" i="4"/>
  <c r="E189" i="4"/>
  <c r="D189" i="4"/>
  <c r="E188" i="4"/>
  <c r="D188" i="4"/>
  <c r="E187" i="4"/>
  <c r="D187" i="4"/>
  <c r="E186" i="4"/>
  <c r="D186" i="4"/>
  <c r="E185" i="4"/>
  <c r="D185" i="4"/>
  <c r="E184" i="4"/>
  <c r="D184" i="4"/>
  <c r="E183" i="4"/>
  <c r="D183" i="4"/>
  <c r="E182" i="4"/>
  <c r="D182" i="4"/>
  <c r="E181" i="4"/>
  <c r="D181" i="4"/>
  <c r="E180" i="4"/>
  <c r="D180" i="4"/>
  <c r="E179" i="4"/>
  <c r="D179" i="4"/>
  <c r="E178" i="4"/>
  <c r="D178" i="4"/>
  <c r="E177" i="4"/>
  <c r="D177" i="4"/>
  <c r="E176" i="4"/>
  <c r="D176" i="4"/>
  <c r="E175" i="4"/>
  <c r="D175" i="4"/>
  <c r="E174" i="4"/>
  <c r="D174" i="4"/>
  <c r="E173" i="4"/>
  <c r="D173" i="4"/>
  <c r="E172" i="4"/>
  <c r="D172" i="4"/>
  <c r="E171" i="4"/>
  <c r="D171" i="4"/>
  <c r="E170" i="4"/>
  <c r="D170" i="4"/>
  <c r="E169" i="4"/>
  <c r="D169" i="4"/>
  <c r="E168" i="4"/>
  <c r="D168" i="4"/>
  <c r="E167" i="4"/>
  <c r="D167" i="4"/>
  <c r="E166" i="4"/>
  <c r="D166" i="4"/>
  <c r="E165" i="4"/>
  <c r="D165" i="4"/>
  <c r="E164" i="4"/>
  <c r="D164" i="4"/>
  <c r="E163" i="4"/>
  <c r="D163" i="4"/>
  <c r="E162" i="4"/>
  <c r="D162" i="4"/>
  <c r="E161" i="4"/>
  <c r="D161" i="4"/>
  <c r="E160" i="4"/>
  <c r="D160" i="4"/>
  <c r="E159" i="4"/>
  <c r="D159" i="4"/>
  <c r="E158" i="4"/>
  <c r="D158" i="4"/>
  <c r="E157" i="4"/>
  <c r="D157" i="4"/>
  <c r="E156" i="4"/>
  <c r="D156" i="4"/>
  <c r="E155" i="4"/>
  <c r="D155" i="4"/>
  <c r="E154" i="4"/>
  <c r="D154" i="4"/>
  <c r="E153" i="4"/>
  <c r="D153" i="4"/>
  <c r="E152" i="4"/>
  <c r="D152" i="4"/>
  <c r="E151" i="4"/>
  <c r="D151" i="4"/>
  <c r="E150" i="4"/>
  <c r="D150" i="4"/>
  <c r="E149" i="4"/>
  <c r="D149" i="4"/>
  <c r="E148" i="4"/>
  <c r="D148" i="4"/>
  <c r="E147" i="4"/>
  <c r="D147" i="4"/>
  <c r="E146" i="4"/>
  <c r="D146" i="4"/>
  <c r="E145" i="4"/>
  <c r="D145" i="4"/>
  <c r="E144" i="4"/>
  <c r="D144" i="4"/>
  <c r="E143" i="4"/>
  <c r="D143" i="4"/>
  <c r="E142" i="4"/>
  <c r="D142" i="4"/>
  <c r="E141" i="4"/>
  <c r="D141" i="4"/>
  <c r="E140" i="4"/>
  <c r="D140" i="4"/>
  <c r="E139" i="4"/>
  <c r="D139" i="4"/>
  <c r="E138" i="4"/>
  <c r="D138" i="4"/>
  <c r="E137" i="4"/>
  <c r="D137" i="4"/>
  <c r="E136" i="4"/>
  <c r="D136" i="4"/>
  <c r="E135" i="4"/>
  <c r="D135" i="4"/>
  <c r="E134" i="4"/>
  <c r="D134" i="4"/>
  <c r="E133" i="4"/>
  <c r="D133" i="4"/>
  <c r="E132" i="4"/>
  <c r="D132" i="4"/>
  <c r="E131" i="4"/>
  <c r="D131" i="4"/>
  <c r="E130" i="4"/>
  <c r="D130" i="4"/>
  <c r="E129" i="4"/>
  <c r="D129" i="4"/>
  <c r="E128" i="4"/>
  <c r="D128" i="4"/>
  <c r="E127" i="4"/>
  <c r="D127" i="4"/>
  <c r="E126" i="4"/>
  <c r="D126" i="4"/>
  <c r="E125" i="4"/>
  <c r="D125" i="4"/>
  <c r="E124" i="4"/>
  <c r="D124" i="4"/>
  <c r="E123" i="4"/>
  <c r="D123" i="4"/>
  <c r="E122" i="4"/>
  <c r="D122" i="4"/>
  <c r="E121" i="4"/>
  <c r="D121" i="4"/>
  <c r="E120" i="4"/>
  <c r="D120" i="4"/>
  <c r="E119" i="4"/>
  <c r="D119" i="4"/>
  <c r="E118" i="4"/>
  <c r="D118" i="4"/>
  <c r="E117" i="4"/>
  <c r="D117" i="4"/>
  <c r="E116" i="4"/>
  <c r="D116" i="4"/>
  <c r="E115" i="4"/>
  <c r="D115" i="4"/>
  <c r="E114" i="4"/>
  <c r="D114" i="4"/>
  <c r="E113" i="4"/>
  <c r="D113" i="4"/>
  <c r="E112" i="4"/>
  <c r="D112" i="4"/>
  <c r="E111" i="4"/>
  <c r="D111" i="4"/>
  <c r="E110" i="4"/>
  <c r="D110" i="4"/>
  <c r="E109" i="4"/>
  <c r="D109" i="4"/>
  <c r="E108" i="4"/>
  <c r="D108" i="4"/>
  <c r="E107" i="4"/>
  <c r="D107" i="4"/>
  <c r="E106" i="4"/>
  <c r="D106" i="4"/>
  <c r="E105" i="4"/>
  <c r="D105" i="4"/>
  <c r="E104" i="4"/>
  <c r="D104" i="4"/>
  <c r="E103" i="4"/>
  <c r="D103" i="4"/>
  <c r="E102" i="4"/>
  <c r="D102" i="4"/>
  <c r="E101" i="4"/>
  <c r="D101" i="4"/>
  <c r="E100" i="4"/>
  <c r="D100" i="4"/>
  <c r="E99" i="4"/>
  <c r="D99" i="4"/>
  <c r="E98" i="4"/>
  <c r="D98" i="4"/>
  <c r="E97" i="4"/>
  <c r="D97" i="4"/>
  <c r="E96" i="4"/>
  <c r="D96" i="4"/>
  <c r="E95" i="4"/>
  <c r="D95" i="4"/>
  <c r="E94" i="4"/>
  <c r="D94" i="4"/>
  <c r="E93" i="4"/>
  <c r="D93" i="4"/>
  <c r="E92" i="4"/>
  <c r="D92" i="4"/>
  <c r="E91" i="4"/>
  <c r="D91" i="4"/>
  <c r="E90" i="4"/>
  <c r="D90" i="4"/>
  <c r="E89" i="4"/>
  <c r="D89" i="4"/>
  <c r="E88" i="4"/>
  <c r="D88" i="4"/>
  <c r="E87" i="4"/>
  <c r="D87" i="4"/>
  <c r="E86" i="4"/>
  <c r="D86" i="4"/>
  <c r="E85" i="4"/>
  <c r="D85" i="4"/>
  <c r="E84" i="4"/>
  <c r="D84" i="4"/>
  <c r="E83" i="4"/>
  <c r="D83" i="4"/>
  <c r="E82" i="4"/>
  <c r="D82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E48" i="4"/>
  <c r="D48" i="4"/>
  <c r="E47" i="4"/>
  <c r="D47" i="4"/>
  <c r="E46" i="4"/>
  <c r="D46" i="4"/>
  <c r="E45" i="4"/>
  <c r="D45" i="4"/>
  <c r="E44" i="4"/>
  <c r="D44" i="4"/>
  <c r="E43" i="4"/>
  <c r="D43" i="4"/>
  <c r="E42" i="4"/>
  <c r="D42" i="4"/>
  <c r="E41" i="4"/>
  <c r="D41" i="4"/>
  <c r="E40" i="4"/>
  <c r="D40" i="4"/>
  <c r="E39" i="4"/>
  <c r="D39" i="4"/>
  <c r="E38" i="4"/>
  <c r="D38" i="4"/>
  <c r="E37" i="4"/>
  <c r="D37" i="4"/>
  <c r="E36" i="4"/>
  <c r="D36" i="4"/>
  <c r="E35" i="4"/>
  <c r="D35" i="4"/>
  <c r="E34" i="4"/>
  <c r="D34" i="4"/>
  <c r="E33" i="4"/>
  <c r="D33" i="4"/>
  <c r="E32" i="4"/>
  <c r="D32" i="4"/>
  <c r="E31" i="4"/>
  <c r="D31" i="4"/>
  <c r="E30" i="4"/>
  <c r="D30" i="4"/>
  <c r="E29" i="4"/>
  <c r="D29" i="4"/>
  <c r="E28" i="4"/>
  <c r="D28" i="4"/>
  <c r="E27" i="4"/>
  <c r="D27" i="4"/>
  <c r="E26" i="4"/>
  <c r="D26" i="4"/>
  <c r="E25" i="4"/>
  <c r="D25" i="4"/>
  <c r="E24" i="4"/>
  <c r="D24" i="4"/>
  <c r="E23" i="4"/>
  <c r="D23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E11" i="4"/>
  <c r="D11" i="4"/>
  <c r="G6" i="4"/>
  <c r="C6" i="4"/>
  <c r="C5" i="4"/>
  <c r="J4" i="4"/>
  <c r="C4" i="4"/>
  <c r="J3" i="4"/>
  <c r="C3" i="4"/>
  <c r="E310" i="3"/>
  <c r="D310" i="3"/>
  <c r="E309" i="3"/>
  <c r="D309" i="3"/>
  <c r="E308" i="3"/>
  <c r="D308" i="3"/>
  <c r="E307" i="3"/>
  <c r="D307" i="3"/>
  <c r="E306" i="3"/>
  <c r="D306" i="3"/>
  <c r="E305" i="3"/>
  <c r="D305" i="3"/>
  <c r="E304" i="3"/>
  <c r="D304" i="3"/>
  <c r="E303" i="3"/>
  <c r="D303" i="3"/>
  <c r="E302" i="3"/>
  <c r="D302" i="3"/>
  <c r="E301" i="3"/>
  <c r="D301" i="3"/>
  <c r="E300" i="3"/>
  <c r="D300" i="3"/>
  <c r="E299" i="3"/>
  <c r="D299" i="3"/>
  <c r="E298" i="3"/>
  <c r="D298" i="3"/>
  <c r="E297" i="3"/>
  <c r="D297" i="3"/>
  <c r="E296" i="3"/>
  <c r="D296" i="3"/>
  <c r="E295" i="3"/>
  <c r="D295" i="3"/>
  <c r="E294" i="3"/>
  <c r="D294" i="3"/>
  <c r="E293" i="3"/>
  <c r="D293" i="3"/>
  <c r="E292" i="3"/>
  <c r="D292" i="3"/>
  <c r="E291" i="3"/>
  <c r="D291" i="3"/>
  <c r="E290" i="3"/>
  <c r="D290" i="3"/>
  <c r="E289" i="3"/>
  <c r="D289" i="3"/>
  <c r="E288" i="3"/>
  <c r="D288" i="3"/>
  <c r="E287" i="3"/>
  <c r="D287" i="3"/>
  <c r="E286" i="3"/>
  <c r="D286" i="3"/>
  <c r="E285" i="3"/>
  <c r="D285" i="3"/>
  <c r="E284" i="3"/>
  <c r="D284" i="3"/>
  <c r="E283" i="3"/>
  <c r="D283" i="3"/>
  <c r="E282" i="3"/>
  <c r="D282" i="3"/>
  <c r="E281" i="3"/>
  <c r="D281" i="3"/>
  <c r="E280" i="3"/>
  <c r="D280" i="3"/>
  <c r="E279" i="3"/>
  <c r="D279" i="3"/>
  <c r="E278" i="3"/>
  <c r="D278" i="3"/>
  <c r="E277" i="3"/>
  <c r="D277" i="3"/>
  <c r="E276" i="3"/>
  <c r="D276" i="3"/>
  <c r="E275" i="3"/>
  <c r="D275" i="3"/>
  <c r="E274" i="3"/>
  <c r="D274" i="3"/>
  <c r="E273" i="3"/>
  <c r="D273" i="3"/>
  <c r="E272" i="3"/>
  <c r="D272" i="3"/>
  <c r="E271" i="3"/>
  <c r="D271" i="3"/>
  <c r="E270" i="3"/>
  <c r="D270" i="3"/>
  <c r="E269" i="3"/>
  <c r="D269" i="3"/>
  <c r="E268" i="3"/>
  <c r="D268" i="3"/>
  <c r="E267" i="3"/>
  <c r="D267" i="3"/>
  <c r="E266" i="3"/>
  <c r="D266" i="3"/>
  <c r="E265" i="3"/>
  <c r="D265" i="3"/>
  <c r="E264" i="3"/>
  <c r="D264" i="3"/>
  <c r="E263" i="3"/>
  <c r="D263" i="3"/>
  <c r="E262" i="3"/>
  <c r="D262" i="3"/>
  <c r="E261" i="3"/>
  <c r="D261" i="3"/>
  <c r="E260" i="3"/>
  <c r="D260" i="3"/>
  <c r="E259" i="3"/>
  <c r="D259" i="3"/>
  <c r="E258" i="3"/>
  <c r="D258" i="3"/>
  <c r="E257" i="3"/>
  <c r="D257" i="3"/>
  <c r="E256" i="3"/>
  <c r="D256" i="3"/>
  <c r="E255" i="3"/>
  <c r="D255" i="3"/>
  <c r="E254" i="3"/>
  <c r="D254" i="3"/>
  <c r="E253" i="3"/>
  <c r="D253" i="3"/>
  <c r="E252" i="3"/>
  <c r="D252" i="3"/>
  <c r="E251" i="3"/>
  <c r="D251" i="3"/>
  <c r="E250" i="3"/>
  <c r="D250" i="3"/>
  <c r="E249" i="3"/>
  <c r="D249" i="3"/>
  <c r="E248" i="3"/>
  <c r="D248" i="3"/>
  <c r="E247" i="3"/>
  <c r="D247" i="3"/>
  <c r="E246" i="3"/>
  <c r="D246" i="3"/>
  <c r="E245" i="3"/>
  <c r="D245" i="3"/>
  <c r="E244" i="3"/>
  <c r="D244" i="3"/>
  <c r="E243" i="3"/>
  <c r="D243" i="3"/>
  <c r="E242" i="3"/>
  <c r="D242" i="3"/>
  <c r="E241" i="3"/>
  <c r="D241" i="3"/>
  <c r="E240" i="3"/>
  <c r="D240" i="3"/>
  <c r="E239" i="3"/>
  <c r="D239" i="3"/>
  <c r="E238" i="3"/>
  <c r="D238" i="3"/>
  <c r="E237" i="3"/>
  <c r="D237" i="3"/>
  <c r="E236" i="3"/>
  <c r="D236" i="3"/>
  <c r="E235" i="3"/>
  <c r="D235" i="3"/>
  <c r="E234" i="3"/>
  <c r="D234" i="3"/>
  <c r="E233" i="3"/>
  <c r="D233" i="3"/>
  <c r="E232" i="3"/>
  <c r="D232" i="3"/>
  <c r="E231" i="3"/>
  <c r="D231" i="3"/>
  <c r="E230" i="3"/>
  <c r="D230" i="3"/>
  <c r="E229" i="3"/>
  <c r="D229" i="3"/>
  <c r="E228" i="3"/>
  <c r="D228" i="3"/>
  <c r="E227" i="3"/>
  <c r="D227" i="3"/>
  <c r="E226" i="3"/>
  <c r="D226" i="3"/>
  <c r="E225" i="3"/>
  <c r="D225" i="3"/>
  <c r="E224" i="3"/>
  <c r="D224" i="3"/>
  <c r="E223" i="3"/>
  <c r="D223" i="3"/>
  <c r="E222" i="3"/>
  <c r="D222" i="3"/>
  <c r="E221" i="3"/>
  <c r="D221" i="3"/>
  <c r="E220" i="3"/>
  <c r="D220" i="3"/>
  <c r="E219" i="3"/>
  <c r="D219" i="3"/>
  <c r="E218" i="3"/>
  <c r="D218" i="3"/>
  <c r="E217" i="3"/>
  <c r="D217" i="3"/>
  <c r="E216" i="3"/>
  <c r="D216" i="3"/>
  <c r="E215" i="3"/>
  <c r="D215" i="3"/>
  <c r="E214" i="3"/>
  <c r="D214" i="3"/>
  <c r="E213" i="3"/>
  <c r="D213" i="3"/>
  <c r="E212" i="3"/>
  <c r="D212" i="3"/>
  <c r="E211" i="3"/>
  <c r="D211" i="3"/>
  <c r="E210" i="3"/>
  <c r="D210" i="3"/>
  <c r="E209" i="3"/>
  <c r="D209" i="3"/>
  <c r="E208" i="3"/>
  <c r="D208" i="3"/>
  <c r="E207" i="3"/>
  <c r="D207" i="3"/>
  <c r="E206" i="3"/>
  <c r="D206" i="3"/>
  <c r="E205" i="3"/>
  <c r="D205" i="3"/>
  <c r="E204" i="3"/>
  <c r="D204" i="3"/>
  <c r="E203" i="3"/>
  <c r="D203" i="3"/>
  <c r="E202" i="3"/>
  <c r="D202" i="3"/>
  <c r="E201" i="3"/>
  <c r="D201" i="3"/>
  <c r="E200" i="3"/>
  <c r="D200" i="3"/>
  <c r="E199" i="3"/>
  <c r="D199" i="3"/>
  <c r="E198" i="3"/>
  <c r="D198" i="3"/>
  <c r="E197" i="3"/>
  <c r="D197" i="3"/>
  <c r="E196" i="3"/>
  <c r="D196" i="3"/>
  <c r="E195" i="3"/>
  <c r="D195" i="3"/>
  <c r="E194" i="3"/>
  <c r="D194" i="3"/>
  <c r="E193" i="3"/>
  <c r="D193" i="3"/>
  <c r="E192" i="3"/>
  <c r="D192" i="3"/>
  <c r="E191" i="3"/>
  <c r="D191" i="3"/>
  <c r="E190" i="3"/>
  <c r="D190" i="3"/>
  <c r="E189" i="3"/>
  <c r="D189" i="3"/>
  <c r="E188" i="3"/>
  <c r="D188" i="3"/>
  <c r="E187" i="3"/>
  <c r="D187" i="3"/>
  <c r="E186" i="3"/>
  <c r="D186" i="3"/>
  <c r="E185" i="3"/>
  <c r="D185" i="3"/>
  <c r="E184" i="3"/>
  <c r="D184" i="3"/>
  <c r="E183" i="3"/>
  <c r="D183" i="3"/>
  <c r="E182" i="3"/>
  <c r="D182" i="3"/>
  <c r="E181" i="3"/>
  <c r="D181" i="3"/>
  <c r="E180" i="3"/>
  <c r="D180" i="3"/>
  <c r="E179" i="3"/>
  <c r="D179" i="3"/>
  <c r="E178" i="3"/>
  <c r="D178" i="3"/>
  <c r="E177" i="3"/>
  <c r="D177" i="3"/>
  <c r="E176" i="3"/>
  <c r="D176" i="3"/>
  <c r="E175" i="3"/>
  <c r="D175" i="3"/>
  <c r="E174" i="3"/>
  <c r="D174" i="3"/>
  <c r="E173" i="3"/>
  <c r="D173" i="3"/>
  <c r="E172" i="3"/>
  <c r="D172" i="3"/>
  <c r="E171" i="3"/>
  <c r="D171" i="3"/>
  <c r="E170" i="3"/>
  <c r="D170" i="3"/>
  <c r="E169" i="3"/>
  <c r="D169" i="3"/>
  <c r="E168" i="3"/>
  <c r="D168" i="3"/>
  <c r="E167" i="3"/>
  <c r="D167" i="3"/>
  <c r="E166" i="3"/>
  <c r="D166" i="3"/>
  <c r="E165" i="3"/>
  <c r="D165" i="3"/>
  <c r="E164" i="3"/>
  <c r="D164" i="3"/>
  <c r="E163" i="3"/>
  <c r="D163" i="3"/>
  <c r="E162" i="3"/>
  <c r="D162" i="3"/>
  <c r="E161" i="3"/>
  <c r="D161" i="3"/>
  <c r="E160" i="3"/>
  <c r="D160" i="3"/>
  <c r="E159" i="3"/>
  <c r="D159" i="3"/>
  <c r="E158" i="3"/>
  <c r="D158" i="3"/>
  <c r="E157" i="3"/>
  <c r="D157" i="3"/>
  <c r="E156" i="3"/>
  <c r="D156" i="3"/>
  <c r="E155" i="3"/>
  <c r="D155" i="3"/>
  <c r="E154" i="3"/>
  <c r="D154" i="3"/>
  <c r="E153" i="3"/>
  <c r="D153" i="3"/>
  <c r="E152" i="3"/>
  <c r="D152" i="3"/>
  <c r="E151" i="3"/>
  <c r="D151" i="3"/>
  <c r="E150" i="3"/>
  <c r="D150" i="3"/>
  <c r="E149" i="3"/>
  <c r="D149" i="3"/>
  <c r="E148" i="3"/>
  <c r="D148" i="3"/>
  <c r="E147" i="3"/>
  <c r="D147" i="3"/>
  <c r="E146" i="3"/>
  <c r="D146" i="3"/>
  <c r="E145" i="3"/>
  <c r="D145" i="3"/>
  <c r="E144" i="3"/>
  <c r="D144" i="3"/>
  <c r="E143" i="3"/>
  <c r="D143" i="3"/>
  <c r="E142" i="3"/>
  <c r="D142" i="3"/>
  <c r="E141" i="3"/>
  <c r="D141" i="3"/>
  <c r="E140" i="3"/>
  <c r="D140" i="3"/>
  <c r="E139" i="3"/>
  <c r="D139" i="3"/>
  <c r="E138" i="3"/>
  <c r="D138" i="3"/>
  <c r="E137" i="3"/>
  <c r="D137" i="3"/>
  <c r="E136" i="3"/>
  <c r="D136" i="3"/>
  <c r="E135" i="3"/>
  <c r="D135" i="3"/>
  <c r="E134" i="3"/>
  <c r="D134" i="3"/>
  <c r="E133" i="3"/>
  <c r="D133" i="3"/>
  <c r="E132" i="3"/>
  <c r="D132" i="3"/>
  <c r="E131" i="3"/>
  <c r="D131" i="3"/>
  <c r="E130" i="3"/>
  <c r="D130" i="3"/>
  <c r="E129" i="3"/>
  <c r="D129" i="3"/>
  <c r="E128" i="3"/>
  <c r="D128" i="3"/>
  <c r="E127" i="3"/>
  <c r="D127" i="3"/>
  <c r="E126" i="3"/>
  <c r="D126" i="3"/>
  <c r="E125" i="3"/>
  <c r="D125" i="3"/>
  <c r="E124" i="3"/>
  <c r="D124" i="3"/>
  <c r="E123" i="3"/>
  <c r="D123" i="3"/>
  <c r="E122" i="3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G6" i="3"/>
  <c r="C6" i="3"/>
  <c r="C5" i="3"/>
  <c r="J4" i="3"/>
  <c r="C4" i="3"/>
  <c r="J3" i="3"/>
  <c r="C3" i="3"/>
  <c r="E310" i="2"/>
  <c r="D310" i="2"/>
  <c r="E309" i="2"/>
  <c r="D309" i="2"/>
  <c r="E308" i="2"/>
  <c r="D308" i="2"/>
  <c r="E307" i="2"/>
  <c r="D307" i="2"/>
  <c r="E306" i="2"/>
  <c r="D306" i="2"/>
  <c r="E305" i="2"/>
  <c r="D305" i="2"/>
  <c r="E304" i="2"/>
  <c r="D304" i="2"/>
  <c r="E303" i="2"/>
  <c r="D303" i="2"/>
  <c r="E302" i="2"/>
  <c r="D302" i="2"/>
  <c r="E301" i="2"/>
  <c r="D301" i="2"/>
  <c r="E300" i="2"/>
  <c r="D300" i="2"/>
  <c r="E299" i="2"/>
  <c r="D299" i="2"/>
  <c r="E298" i="2"/>
  <c r="D298" i="2"/>
  <c r="E297" i="2"/>
  <c r="D297" i="2"/>
  <c r="E296" i="2"/>
  <c r="D296" i="2"/>
  <c r="E295" i="2"/>
  <c r="D295" i="2"/>
  <c r="E294" i="2"/>
  <c r="D294" i="2"/>
  <c r="E293" i="2"/>
  <c r="D293" i="2"/>
  <c r="E292" i="2"/>
  <c r="D292" i="2"/>
  <c r="E291" i="2"/>
  <c r="D291" i="2"/>
  <c r="E290" i="2"/>
  <c r="D290" i="2"/>
  <c r="E289" i="2"/>
  <c r="D289" i="2"/>
  <c r="E288" i="2"/>
  <c r="D288" i="2"/>
  <c r="E287" i="2"/>
  <c r="D287" i="2"/>
  <c r="E286" i="2"/>
  <c r="D286" i="2"/>
  <c r="E285" i="2"/>
  <c r="D285" i="2"/>
  <c r="E284" i="2"/>
  <c r="D284" i="2"/>
  <c r="E283" i="2"/>
  <c r="D283" i="2"/>
  <c r="E282" i="2"/>
  <c r="D282" i="2"/>
  <c r="E281" i="2"/>
  <c r="D281" i="2"/>
  <c r="E280" i="2"/>
  <c r="D280" i="2"/>
  <c r="E279" i="2"/>
  <c r="D279" i="2"/>
  <c r="E278" i="2"/>
  <c r="D278" i="2"/>
  <c r="E277" i="2"/>
  <c r="D277" i="2"/>
  <c r="E276" i="2"/>
  <c r="D276" i="2"/>
  <c r="E275" i="2"/>
  <c r="D275" i="2"/>
  <c r="E274" i="2"/>
  <c r="D274" i="2"/>
  <c r="E273" i="2"/>
  <c r="D273" i="2"/>
  <c r="E272" i="2"/>
  <c r="D272" i="2"/>
  <c r="E271" i="2"/>
  <c r="D271" i="2"/>
  <c r="E270" i="2"/>
  <c r="D270" i="2"/>
  <c r="E269" i="2"/>
  <c r="D269" i="2"/>
  <c r="E268" i="2"/>
  <c r="D268" i="2"/>
  <c r="E267" i="2"/>
  <c r="D267" i="2"/>
  <c r="E266" i="2"/>
  <c r="D266" i="2"/>
  <c r="E265" i="2"/>
  <c r="D265" i="2"/>
  <c r="E264" i="2"/>
  <c r="D264" i="2"/>
  <c r="E263" i="2"/>
  <c r="D263" i="2"/>
  <c r="E262" i="2"/>
  <c r="D262" i="2"/>
  <c r="E261" i="2"/>
  <c r="D261" i="2"/>
  <c r="E260" i="2"/>
  <c r="D260" i="2"/>
  <c r="E259" i="2"/>
  <c r="D259" i="2"/>
  <c r="E258" i="2"/>
  <c r="D258" i="2"/>
  <c r="E257" i="2"/>
  <c r="D257" i="2"/>
  <c r="E256" i="2"/>
  <c r="D256" i="2"/>
  <c r="E255" i="2"/>
  <c r="D255" i="2"/>
  <c r="E254" i="2"/>
  <c r="D254" i="2"/>
  <c r="E253" i="2"/>
  <c r="D253" i="2"/>
  <c r="E252" i="2"/>
  <c r="D252" i="2"/>
  <c r="E251" i="2"/>
  <c r="D251" i="2"/>
  <c r="E250" i="2"/>
  <c r="D250" i="2"/>
  <c r="E249" i="2"/>
  <c r="D249" i="2"/>
  <c r="E248" i="2"/>
  <c r="D248" i="2"/>
  <c r="E247" i="2"/>
  <c r="D247" i="2"/>
  <c r="E246" i="2"/>
  <c r="D246" i="2"/>
  <c r="E245" i="2"/>
  <c r="D245" i="2"/>
  <c r="E244" i="2"/>
  <c r="D244" i="2"/>
  <c r="E243" i="2"/>
  <c r="D243" i="2"/>
  <c r="E242" i="2"/>
  <c r="D242" i="2"/>
  <c r="E241" i="2"/>
  <c r="D241" i="2"/>
  <c r="E240" i="2"/>
  <c r="D240" i="2"/>
  <c r="E239" i="2"/>
  <c r="D239" i="2"/>
  <c r="E238" i="2"/>
  <c r="D238" i="2"/>
  <c r="E237" i="2"/>
  <c r="D237" i="2"/>
  <c r="E236" i="2"/>
  <c r="D236" i="2"/>
  <c r="E235" i="2"/>
  <c r="D235" i="2"/>
  <c r="E234" i="2"/>
  <c r="D234" i="2"/>
  <c r="E233" i="2"/>
  <c r="D233" i="2"/>
  <c r="E232" i="2"/>
  <c r="D232" i="2"/>
  <c r="E231" i="2"/>
  <c r="D231" i="2"/>
  <c r="E230" i="2"/>
  <c r="D230" i="2"/>
  <c r="E229" i="2"/>
  <c r="D229" i="2"/>
  <c r="E228" i="2"/>
  <c r="D228" i="2"/>
  <c r="E227" i="2"/>
  <c r="D227" i="2"/>
  <c r="E226" i="2"/>
  <c r="D226" i="2"/>
  <c r="E225" i="2"/>
  <c r="D225" i="2"/>
  <c r="E224" i="2"/>
  <c r="D224" i="2"/>
  <c r="E223" i="2"/>
  <c r="D223" i="2"/>
  <c r="E222" i="2"/>
  <c r="D222" i="2"/>
  <c r="E221" i="2"/>
  <c r="D221" i="2"/>
  <c r="E220" i="2"/>
  <c r="D220" i="2"/>
  <c r="E219" i="2"/>
  <c r="D219" i="2"/>
  <c r="E218" i="2"/>
  <c r="D218" i="2"/>
  <c r="E217" i="2"/>
  <c r="D217" i="2"/>
  <c r="E216" i="2"/>
  <c r="D216" i="2"/>
  <c r="E215" i="2"/>
  <c r="D215" i="2"/>
  <c r="E214" i="2"/>
  <c r="D214" i="2"/>
  <c r="E213" i="2"/>
  <c r="D213" i="2"/>
  <c r="E212" i="2"/>
  <c r="D212" i="2"/>
  <c r="E211" i="2"/>
  <c r="D211" i="2"/>
  <c r="E210" i="2"/>
  <c r="D210" i="2"/>
  <c r="E209" i="2"/>
  <c r="D209" i="2"/>
  <c r="E208" i="2"/>
  <c r="D208" i="2"/>
  <c r="E207" i="2"/>
  <c r="D207" i="2"/>
  <c r="E206" i="2"/>
  <c r="D206" i="2"/>
  <c r="E205" i="2"/>
  <c r="D205" i="2"/>
  <c r="E204" i="2"/>
  <c r="D204" i="2"/>
  <c r="E203" i="2"/>
  <c r="D203" i="2"/>
  <c r="E202" i="2"/>
  <c r="D202" i="2"/>
  <c r="E201" i="2"/>
  <c r="D201" i="2"/>
  <c r="E200" i="2"/>
  <c r="D200" i="2"/>
  <c r="E199" i="2"/>
  <c r="D199" i="2"/>
  <c r="E198" i="2"/>
  <c r="D198" i="2"/>
  <c r="E197" i="2"/>
  <c r="D197" i="2"/>
  <c r="E196" i="2"/>
  <c r="D196" i="2"/>
  <c r="E195" i="2"/>
  <c r="D195" i="2"/>
  <c r="E194" i="2"/>
  <c r="D194" i="2"/>
  <c r="E193" i="2"/>
  <c r="D193" i="2"/>
  <c r="E192" i="2"/>
  <c r="D192" i="2"/>
  <c r="E191" i="2"/>
  <c r="D191" i="2"/>
  <c r="E190" i="2"/>
  <c r="D190" i="2"/>
  <c r="E189" i="2"/>
  <c r="D189" i="2"/>
  <c r="E188" i="2"/>
  <c r="D188" i="2"/>
  <c r="E187" i="2"/>
  <c r="D187" i="2"/>
  <c r="E186" i="2"/>
  <c r="D186" i="2"/>
  <c r="E185" i="2"/>
  <c r="D185" i="2"/>
  <c r="E184" i="2"/>
  <c r="D184" i="2"/>
  <c r="E183" i="2"/>
  <c r="D183" i="2"/>
  <c r="E182" i="2"/>
  <c r="D182" i="2"/>
  <c r="E181" i="2"/>
  <c r="D181" i="2"/>
  <c r="E180" i="2"/>
  <c r="D180" i="2"/>
  <c r="E179" i="2"/>
  <c r="D179" i="2"/>
  <c r="E178" i="2"/>
  <c r="D178" i="2"/>
  <c r="E177" i="2"/>
  <c r="D177" i="2"/>
  <c r="E176" i="2"/>
  <c r="D176" i="2"/>
  <c r="E175" i="2"/>
  <c r="D175" i="2"/>
  <c r="E174" i="2"/>
  <c r="D174" i="2"/>
  <c r="E173" i="2"/>
  <c r="D173" i="2"/>
  <c r="E172" i="2"/>
  <c r="D172" i="2"/>
  <c r="E171" i="2"/>
  <c r="D171" i="2"/>
  <c r="E170" i="2"/>
  <c r="D170" i="2"/>
  <c r="E169" i="2"/>
  <c r="D169" i="2"/>
  <c r="E168" i="2"/>
  <c r="D168" i="2"/>
  <c r="E167" i="2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E6" i="5" s="1"/>
  <c r="D11" i="2"/>
  <c r="D6" i="5" s="1"/>
  <c r="G6" i="2"/>
  <c r="C6" i="2"/>
  <c r="C5" i="2"/>
  <c r="J4" i="2"/>
  <c r="C4" i="2"/>
  <c r="J3" i="2"/>
  <c r="C3" i="2"/>
  <c r="C14" i="1"/>
  <c r="G14" i="1" s="1"/>
  <c r="G13" i="1"/>
  <c r="C13" i="1"/>
  <c r="C12" i="1"/>
  <c r="C11" i="1"/>
  <c r="J13" i="1" s="1"/>
  <c r="J14" i="1" l="1"/>
  <c r="J12" i="1"/>
  <c r="G12" i="1"/>
  <c r="G11" i="1"/>
  <c r="G15" i="1" s="1"/>
  <c r="J15" i="1"/>
  <c r="J11" i="1"/>
  <c r="L15" i="1" l="1"/>
</calcChain>
</file>

<file path=xl/sharedStrings.xml><?xml version="1.0" encoding="utf-8"?>
<sst xmlns="http://schemas.openxmlformats.org/spreadsheetml/2006/main" count="186" uniqueCount="99">
  <si>
    <t>第48回読売学生書展　出品申込書</t>
  </si>
  <si>
    <t>【メール件名】【書展応募】団体名　例）【書展応募】○○書道教室　　【ファイル名】団体名_48回書展.xlsx</t>
  </si>
  <si>
    <t>団体ID</t>
  </si>
  <si>
    <t>← 事務局記入欄（応募者は空欄のまま）。受付時に団体IDを記入</t>
  </si>
  <si>
    <t>学校・書塾・団体名</t>
  </si>
  <si>
    <t>※個人出品の場合は「個人」と記入</t>
  </si>
  <si>
    <t>TEL</t>
  </si>
  <si>
    <t>FAX</t>
  </si>
  <si>
    <t>責任者名</t>
  </si>
  <si>
    <t>※個人出品の場合は保護者名</t>
  </si>
  <si>
    <t>携帯</t>
  </si>
  <si>
    <t>E-mail</t>
  </si>
  <si>
    <t>住所（成績通知送付先）</t>
  </si>
  <si>
    <t>郵便番号</t>
  </si>
  <si>
    <t>作品の並び順</t>
  </si>
  <si>
    <t>▼ 選択してください</t>
  </si>
  <si>
    <t>初出品</t>
  </si>
  <si>
    <t>【注意事項への同意】責任者名の記入をもって、出品情報（氏名・学校名・学年など）が読売新聞の記事およびホームページ等に掲載される場合があることを、出品者本人・保護者等に承諾を得た上で出品することに同意したものとします。</t>
  </si>
  <si>
    <t>■ 出品料計算</t>
  </si>
  <si>
    <t>※各シートの入力点数が自動集計されます。</t>
  </si>
  <si>
    <t>半紙</t>
  </si>
  <si>
    <t>点　×</t>
  </si>
  <si>
    <t>円　＝</t>
  </si>
  <si>
    <t>（50点以上の場合）</t>
  </si>
  <si>
    <t>条幅</t>
  </si>
  <si>
    <t>条幅(1/4)</t>
  </si>
  <si>
    <t>賞状印刷
（希望者のみ）</t>
  </si>
  <si>
    <t>←賞状印刷希望の場合、印刷点数は出品点数と同数としてください（一部のみ印刷は受け付けません）</t>
    <phoneticPr fontId="37"/>
  </si>
  <si>
    <t>合　計</t>
  </si>
  <si>
    <t>※点数は各シートから自動集計されます</t>
  </si>
  <si>
    <t>（50点以上割引）</t>
  </si>
  <si>
    <t>▶ お支払い金額</t>
  </si>
  <si>
    <t>■ 凡例　　黄色セル：入力必須　　緑セル：自動計算　　出品者は「半紙」「条幅」「条幅(1/4)」の各シートに入力してください</t>
  </si>
  <si>
    <t>第48回読売学生書展　出品目録【半紙】</t>
  </si>
  <si>
    <t>※ このシートには【半紙】の出品者のみ入力してください。最大300人まで入力可能です。</t>
  </si>
  <si>
    <t>↓ 出品者を入力してください（姓・名・学校名・学年などを記入）
★ふりがなは姓・名を入力すると自動表示されます。出ない場合や誤表示の場合は修正してください。
★同じ姓名を2回入力すると赤色で警告します。</t>
  </si>
  <si>
    <t>No.</t>
  </si>
  <si>
    <t>姓</t>
  </si>
  <si>
    <t>名</t>
  </si>
  <si>
    <t>フリガナ
（姓）</t>
  </si>
  <si>
    <t>フリガナ
（名）</t>
  </si>
  <si>
    <t>学校種類①
▼プルダウン</t>
  </si>
  <si>
    <t>学校名</t>
  </si>
  <si>
    <t>学校種類②
▼プルダウン</t>
  </si>
  <si>
    <t>学年</t>
  </si>
  <si>
    <t>都道府県</t>
  </si>
  <si>
    <t>賞状印刷
（希望者は○）</t>
  </si>
  <si>
    <t>例</t>
  </si>
  <si>
    <t>読売</t>
  </si>
  <si>
    <t>太郎</t>
  </si>
  <si>
    <t>ヨミウリ</t>
  </si>
  <si>
    <t>タロウ</t>
  </si>
  <si>
    <t>私立</t>
  </si>
  <si>
    <t>○○</t>
  </si>
  <si>
    <t>中学校</t>
  </si>
  <si>
    <t>2</t>
  </si>
  <si>
    <t>大阪府</t>
  </si>
  <si>
    <t>○</t>
  </si>
  <si>
    <t>■ 凡例　　薄青・白ストライプ：入力欄　　グレー：No.・事務局記入欄（入力不要）</t>
  </si>
  <si>
    <t>第48回読売学生書展　出品目録【条幅】</t>
  </si>
  <si>
    <t>※ このシートには【条幅】の出品者のみ入力してください。最大300人まで入力可能です。</t>
  </si>
  <si>
    <t>第48回読売学生書展　出品目録【条幅(1/4)】</t>
  </si>
  <si>
    <t>※ このシートには【条幅(1/4)】の出品者のみ入力してください。最大300人まで入力可能です。</t>
  </si>
  <si>
    <t>⚠【事務局専用】取り込み用の自動表示シートです。応募者は触らない/編集しないこと（データが崩れます）</t>
  </si>
  <si>
    <t>■ 全部門まとめ（半紙→条幅→条幅4分の1を自動連結）／この表をコピーして統合管理ファイルの出品者一覧へ値貼り付け</t>
  </si>
  <si>
    <t>※列の並びは統合管理ファイルの「目録貼付ゾーン」と同じ（出品サイズ＋姓〜賞状印刷）です。</t>
  </si>
  <si>
    <t>出品サイズ</t>
  </si>
  <si>
    <t>ふりがな(姓)</t>
  </si>
  <si>
    <t>ふりがな(名)</t>
  </si>
  <si>
    <t>学校種類①</t>
  </si>
  <si>
    <t>学校種類②</t>
  </si>
  <si>
    <t>賞状印刷</t>
  </si>
  <si>
    <t>作品ラベル
(作品に鉛筆で記入)</t>
  </si>
  <si>
    <t>文科大臣賞</t>
  </si>
  <si>
    <t>中国総領事館賞</t>
  </si>
  <si>
    <t>大賞</t>
  </si>
  <si>
    <t>準大賞</t>
  </si>
  <si>
    <t>太宰府賞</t>
  </si>
  <si>
    <t>宗像大社賞</t>
  </si>
  <si>
    <t>筥崎宮賞</t>
  </si>
  <si>
    <t>宮地嶽神社賞</t>
  </si>
  <si>
    <t>県知事賞（山口）</t>
  </si>
  <si>
    <t>県知事賞（福岡）</t>
  </si>
  <si>
    <t>県知事賞（佐賀）</t>
  </si>
  <si>
    <t>県知事賞（長崎）</t>
  </si>
  <si>
    <t>県知事賞（熊本）</t>
  </si>
  <si>
    <t>県知事賞（大分）</t>
  </si>
  <si>
    <t>県知事賞（宮崎）</t>
  </si>
  <si>
    <t>県知事賞（鹿児島）</t>
  </si>
  <si>
    <t>県知事賞（沖縄）</t>
  </si>
  <si>
    <t>新聞社賞</t>
  </si>
  <si>
    <t>俊英賞</t>
  </si>
  <si>
    <t>奨励賞</t>
  </si>
  <si>
    <t>審査員推薦</t>
  </si>
  <si>
    <t>特選</t>
  </si>
  <si>
    <t>秀逸</t>
  </si>
  <si>
    <t>金賞</t>
  </si>
  <si>
    <t>銀賞</t>
  </si>
  <si>
    <t>銅賞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</si>
</sst>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点&quot;"/>
    <numFmt numFmtId="177" formatCode="#,##0&quot;円&quot;"/>
  </numFmts>
  <fonts count="42">
    <font>
      <sz val="11"/>
      <color theme="1"/>
      <name val="Calibri"/>
      <family val="2"/>
      <charset val="1"/>
    </font>
    <font>
      <b/>
      <sz val="16"/>
      <color rgb="FFFFFFFF"/>
      <name val="Noto Sans CJK SC"/>
      <family val="2"/>
      <charset val="1"/>
    </font>
    <font>
      <sz val="9"/>
      <color rgb="FF822020"/>
      <name val="Noto Sans CJK SC"/>
      <family val="2"/>
      <charset val="1"/>
    </font>
    <font>
      <b/>
      <sz val="11"/>
      <name val="Noto Sans CJK SC"/>
      <family val="2"/>
      <charset val="1"/>
    </font>
    <font>
      <b/>
      <sz val="12"/>
      <name val="Meiryo"/>
      <family val="3"/>
      <charset val="128"/>
    </font>
    <font>
      <sz val="9"/>
      <color rgb="FFC00000"/>
      <name val="Noto Sans CJK SC"/>
      <family val="2"/>
      <charset val="1"/>
    </font>
    <font>
      <b/>
      <sz val="10"/>
      <color rgb="FFFFFFFF"/>
      <name val="Noto Sans CJK SC"/>
      <family val="2"/>
      <charset val="1"/>
    </font>
    <font>
      <sz val="12"/>
      <color rgb="FF000000"/>
      <name val="Noto Sans CJK SC"/>
      <family val="2"/>
      <charset val="1"/>
    </font>
    <font>
      <b/>
      <sz val="10"/>
      <color rgb="FFFFFFFF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9"/>
      <color rgb="FF444444"/>
      <name val="Noto Sans CJK SC"/>
      <family val="2"/>
      <charset val="1"/>
    </font>
    <font>
      <b/>
      <sz val="11"/>
      <color rgb="FFFFFFFF"/>
      <name val="Noto Sans CJK SC"/>
      <family val="2"/>
      <charset val="1"/>
    </font>
    <font>
      <b/>
      <sz val="10"/>
      <color rgb="FF000000"/>
      <name val="Noto Sans CJK SC"/>
      <family val="2"/>
      <charset val="1"/>
    </font>
    <font>
      <sz val="11"/>
      <name val="游ゴシック"/>
      <family val="3"/>
      <charset val="128"/>
    </font>
    <font>
      <sz val="9"/>
      <color rgb="FF000000"/>
      <name val="Noto Sans CJK SC"/>
      <family val="2"/>
      <charset val="1"/>
    </font>
    <font>
      <sz val="9"/>
      <color rgb="FF000000"/>
      <name val="游ゴシック"/>
      <family val="3"/>
      <charset val="128"/>
    </font>
    <font>
      <sz val="8"/>
      <color rgb="FF888888"/>
      <name val="Noto Sans CJK SC"/>
      <family val="2"/>
      <charset val="1"/>
    </font>
    <font>
      <sz val="8"/>
      <color rgb="FF666666"/>
      <name val="Noto Sans CJK SC"/>
      <family val="2"/>
      <charset val="1"/>
    </font>
    <font>
      <b/>
      <sz val="12"/>
      <color rgb="FF000000"/>
      <name val="游ゴシック"/>
      <family val="3"/>
      <charset val="128"/>
    </font>
    <font>
      <b/>
      <sz val="16"/>
      <color rgb="FFFFFFFF"/>
      <name val="游ゴシック"/>
      <family val="3"/>
      <charset val="128"/>
    </font>
    <font>
      <sz val="12"/>
      <color rgb="FFFF0000"/>
      <name val="Noto Sans CJK SC"/>
      <family val="2"/>
      <charset val="1"/>
    </font>
    <font>
      <b/>
      <sz val="14"/>
      <color rgb="FFFFFFFF"/>
      <name val="Noto Sans CJK SC"/>
      <family val="2"/>
      <charset val="1"/>
    </font>
    <font>
      <sz val="10"/>
      <color rgb="FFC00000"/>
      <name val="Noto Sans CJK SC"/>
      <family val="3"/>
      <charset val="128"/>
    </font>
    <font>
      <sz val="11"/>
      <color rgb="FF000000"/>
      <name val="Noto Sans CJK SC"/>
      <family val="2"/>
      <charset val="1"/>
    </font>
    <font>
      <sz val="11"/>
      <color rgb="FF000000"/>
      <name val="游ゴシック"/>
      <family val="3"/>
      <charset val="128"/>
    </font>
    <font>
      <b/>
      <sz val="10"/>
      <color rgb="FF1F4E78"/>
      <name val="Noto Sans CJK SC"/>
      <family val="2"/>
      <charset val="1"/>
    </font>
    <font>
      <b/>
      <sz val="9"/>
      <color rgb="FFFFFFFF"/>
      <name val="Noto Sans CJK SC"/>
      <family val="2"/>
      <charset val="1"/>
    </font>
    <font>
      <i/>
      <sz val="10"/>
      <color rgb="FF888888"/>
      <name val="Noto Sans CJK SC"/>
      <family val="2"/>
      <charset val="1"/>
    </font>
    <font>
      <i/>
      <sz val="10"/>
      <color rgb="FF555555"/>
      <name val="Noto Sans CJK SC"/>
      <family val="2"/>
      <charset val="1"/>
    </font>
    <font>
      <i/>
      <sz val="10"/>
      <color rgb="FF555555"/>
      <name val="Segoe UI Symbol"/>
      <family val="2"/>
      <charset val="1"/>
    </font>
    <font>
      <sz val="9"/>
      <color rgb="FF888888"/>
      <name val="ＭＳ ゴシック"/>
      <family val="3"/>
      <charset val="128"/>
    </font>
    <font>
      <sz val="10"/>
      <color rgb="FF888888"/>
      <name val="游ゴシック"/>
      <family val="3"/>
      <charset val="128"/>
    </font>
    <font>
      <sz val="9"/>
      <color rgb="FF888888"/>
      <name val="Noto Sans CJK SC"/>
      <family val="2"/>
      <charset val="1"/>
    </font>
    <font>
      <b/>
      <sz val="11"/>
      <color rgb="FFFFFFFF"/>
      <name val="Noto Sans CJK SC"/>
      <family val="2"/>
    </font>
    <font>
      <b/>
      <sz val="10"/>
      <color rgb="FF1F4E78"/>
      <name val="Noto Sans CJK SC"/>
      <family val="2"/>
    </font>
    <font>
      <sz val="10"/>
      <name val="Meiryo"/>
      <family val="3"/>
      <charset val="128"/>
    </font>
    <font>
      <sz val="11"/>
      <color theme="1"/>
      <name val="Noto Sans CJK SC"/>
      <family val="2"/>
      <charset val="1"/>
    </font>
    <font>
      <sz val="6"/>
      <name val="ＭＳ Ｐゴシック"/>
      <family val="3"/>
      <charset val="128"/>
    </font>
    <font>
      <b/>
      <sz val="10"/>
      <color rgb="FFFFFFFF"/>
      <name val="ＭＳ ゴシック"/>
      <family val="3"/>
      <charset val="128"/>
    </font>
    <font>
      <i/>
      <sz val="10"/>
      <color rgb="FF555555"/>
      <name val="ＭＳ 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11"/>
      <color rgb="FFFF0000"/>
      <name val="Calibri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rgb="FF1F4E79"/>
        <bgColor rgb="FF1F4E78"/>
      </patternFill>
    </fill>
    <fill>
      <patternFill patternType="solid">
        <fgColor rgb="FFFCE4D6"/>
        <bgColor rgb="FFFDEADA"/>
      </patternFill>
    </fill>
    <fill>
      <patternFill patternType="solid">
        <fgColor rgb="FFD6DCE4"/>
        <bgColor rgb="FFD9D9D9"/>
      </patternFill>
    </fill>
    <fill>
      <patternFill patternType="solid">
        <fgColor rgb="FFFFF2CC"/>
        <bgColor rgb="FFFDEADA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EAF3FB"/>
      </patternFill>
    </fill>
    <fill>
      <patternFill patternType="solid">
        <fgColor rgb="FFDEEAF1"/>
        <bgColor rgb="FFDCE9F5"/>
      </patternFill>
    </fill>
    <fill>
      <patternFill patternType="solid">
        <fgColor rgb="FFE2EFDA"/>
        <bgColor rgb="FFDEEAF1"/>
      </patternFill>
    </fill>
    <fill>
      <patternFill patternType="solid">
        <fgColor rgb="FFD9D9D9"/>
        <bgColor rgb="FFD6DCE4"/>
      </patternFill>
    </fill>
    <fill>
      <patternFill patternType="solid">
        <fgColor rgb="FFC00000"/>
        <bgColor rgb="FFFF0000"/>
      </patternFill>
    </fill>
    <fill>
      <patternFill patternType="solid">
        <fgColor theme="9" tint="0.79979857783745845"/>
        <bgColor rgb="FFFCE4D6"/>
      </patternFill>
    </fill>
    <fill>
      <patternFill patternType="solid">
        <fgColor rgb="FFDDEBF7"/>
        <bgColor rgb="FFDCE9F5"/>
      </patternFill>
    </fill>
    <fill>
      <patternFill patternType="solid">
        <fgColor rgb="FFF0F0F0"/>
        <bgColor rgb="FFEAF3FB"/>
      </patternFill>
    </fill>
    <fill>
      <patternFill patternType="solid">
        <fgColor rgb="FFEAF3FB"/>
        <bgColor rgb="FFF0F0F0"/>
      </patternFill>
    </fill>
    <fill>
      <patternFill patternType="solid">
        <fgColor rgb="FFDCE9F5"/>
        <bgColor rgb="FFDDEBF7"/>
      </patternFill>
    </fill>
    <fill>
      <patternFill patternType="solid">
        <fgColor rgb="FF375623"/>
        <bgColor rgb="FF444444"/>
      </patternFill>
    </fill>
    <fill>
      <patternFill patternType="solid">
        <fgColor rgb="FF7030A0"/>
        <bgColor rgb="FF800080"/>
      </patternFill>
    </fill>
    <fill>
      <patternFill patternType="solid">
        <fgColor rgb="FF1F4E78"/>
        <bgColor rgb="FF1F4E79"/>
      </patternFill>
    </fill>
    <fill>
      <patternFill patternType="solid">
        <fgColor rgb="FFC55A11"/>
        <bgColor rgb="FF808000"/>
      </patternFill>
    </fill>
  </fills>
  <borders count="2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2E75B6"/>
      </left>
      <right/>
      <top style="thin">
        <color rgb="FF2E75B6"/>
      </top>
      <bottom style="thin">
        <color rgb="FF2E75B6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2E75B6"/>
      </left>
      <right style="thin">
        <color rgb="FF2E75B6"/>
      </right>
      <top style="thin">
        <color rgb="FF2E75B6"/>
      </top>
      <bottom style="thin">
        <color rgb="FF2E75B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1F4E79"/>
      </left>
      <right/>
      <top style="thin">
        <color rgb="FF1F4E79"/>
      </top>
      <bottom style="thin">
        <color rgb="FF1F4E79"/>
      </bottom>
      <diagonal/>
    </border>
    <border>
      <left style="thin">
        <color rgb="FF1F4E79"/>
      </left>
      <right style="thin">
        <color rgb="FF1F4E79"/>
      </right>
      <top style="thin">
        <color rgb="FF1F4E79"/>
      </top>
      <bottom style="thin">
        <color rgb="FF1F4E79"/>
      </bottom>
      <diagonal/>
    </border>
    <border>
      <left style="medium">
        <color rgb="FF1F4E79"/>
      </left>
      <right style="medium">
        <color rgb="FF1F4E79"/>
      </right>
      <top style="medium">
        <color rgb="FF1F4E79"/>
      </top>
      <bottom style="medium">
        <color rgb="FF1F4E79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 style="thin">
        <color rgb="FF2E75B6"/>
      </left>
      <right style="thin">
        <color rgb="FFD9D9D9"/>
      </right>
      <top style="thin">
        <color rgb="FF2E75B6"/>
      </top>
      <bottom style="thin">
        <color rgb="FF2E75B6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375623"/>
      </left>
      <right style="thin">
        <color rgb="FF375623"/>
      </right>
      <top style="thin">
        <color rgb="FF375623"/>
      </top>
      <bottom style="thin">
        <color rgb="FF375623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1F4E79"/>
      </top>
      <bottom style="thin">
        <color rgb="FF1F4E79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 style="thin">
        <color rgb="FF2E75B6"/>
      </top>
      <bottom style="thin">
        <color rgb="FF2E75B6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D9D9D9"/>
      </right>
      <top style="thin">
        <color rgb="FF2E75B6"/>
      </top>
      <bottom style="thin">
        <color rgb="FF2E75B6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5" fillId="0" borderId="0" xfId="0" applyFont="1"/>
    <xf numFmtId="0" fontId="8" fillId="6" borderId="4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0" fontId="15" fillId="10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22" fillId="12" borderId="0" xfId="0" applyFont="1" applyFill="1" applyAlignment="1">
      <alignment horizontal="left" vertical="center"/>
    </xf>
    <xf numFmtId="0" fontId="0" fillId="12" borderId="0" xfId="0" applyFill="1"/>
    <xf numFmtId="0" fontId="8" fillId="6" borderId="4" xfId="0" applyFont="1" applyFill="1" applyBorder="1" applyAlignment="1">
      <alignment horizontal="left" vertical="center" wrapText="1"/>
    </xf>
    <xf numFmtId="0" fontId="24" fillId="8" borderId="5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7" fillId="10" borderId="5" xfId="0" applyFont="1" applyFill="1" applyBorder="1" applyAlignment="1">
      <alignment horizontal="left" vertical="center" wrapText="1"/>
    </xf>
    <xf numFmtId="0" fontId="28" fillId="9" borderId="5" xfId="0" applyFont="1" applyFill="1" applyBorder="1" applyAlignment="1">
      <alignment horizontal="left" vertical="center" wrapText="1"/>
    </xf>
    <xf numFmtId="0" fontId="29" fillId="9" borderId="5" xfId="0" applyFont="1" applyFill="1" applyBorder="1" applyAlignment="1">
      <alignment horizontal="left" vertical="center" wrapText="1"/>
    </xf>
    <xf numFmtId="0" fontId="30" fillId="14" borderId="11" xfId="0" applyFont="1" applyFill="1" applyBorder="1" applyAlignment="1">
      <alignment horizontal="center" vertical="center"/>
    </xf>
    <xf numFmtId="0" fontId="31" fillId="10" borderId="5" xfId="0" applyFont="1" applyFill="1" applyBorder="1" applyAlignment="1">
      <alignment horizontal="center" vertical="center" wrapText="1"/>
    </xf>
    <xf numFmtId="0" fontId="13" fillId="15" borderId="5" xfId="0" applyFont="1" applyFill="1" applyBorder="1" applyAlignment="1">
      <alignment horizontal="left" vertical="center" wrapText="1"/>
    </xf>
    <xf numFmtId="0" fontId="13" fillId="5" borderId="11" xfId="0" applyFont="1" applyFill="1" applyBorder="1" applyAlignment="1">
      <alignment horizontal="center" vertical="center"/>
    </xf>
    <xf numFmtId="0" fontId="0" fillId="16" borderId="11" xfId="0" applyFill="1" applyBorder="1" applyAlignment="1">
      <alignment horizontal="center" vertical="center"/>
    </xf>
    <xf numFmtId="0" fontId="13" fillId="7" borderId="5" xfId="0" applyFont="1" applyFill="1" applyBorder="1" applyAlignment="1">
      <alignment horizontal="left" vertical="center" wrapText="1"/>
    </xf>
    <xf numFmtId="0" fontId="0" fillId="7" borderId="11" xfId="0" applyFill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5" borderId="11" xfId="0" applyFill="1" applyBorder="1" applyAlignment="1">
      <alignment horizontal="center" vertical="center"/>
    </xf>
    <xf numFmtId="0" fontId="31" fillId="10" borderId="3" xfId="0" applyFont="1" applyFill="1" applyBorder="1" applyAlignment="1">
      <alignment horizontal="center" vertical="center" wrapText="1"/>
    </xf>
    <xf numFmtId="0" fontId="8" fillId="17" borderId="13" xfId="0" applyFont="1" applyFill="1" applyBorder="1" applyAlignment="1">
      <alignment horizontal="center" vertical="center" wrapText="1"/>
    </xf>
    <xf numFmtId="0" fontId="6" fillId="17" borderId="13" xfId="0" applyFont="1" applyFill="1" applyBorder="1" applyAlignment="1">
      <alignment horizontal="center" vertical="center" wrapText="1"/>
    </xf>
    <xf numFmtId="0" fontId="32" fillId="14" borderId="11" xfId="0" applyFont="1" applyFill="1" applyBorder="1" applyAlignment="1">
      <alignment horizontal="center" vertical="center"/>
    </xf>
    <xf numFmtId="0" fontId="8" fillId="18" borderId="14" xfId="0" applyFont="1" applyFill="1" applyBorder="1" applyAlignment="1">
      <alignment horizontal="center" vertical="center" wrapText="1"/>
    </xf>
    <xf numFmtId="0" fontId="6" fillId="18" borderId="14" xfId="0" applyFont="1" applyFill="1" applyBorder="1" applyAlignment="1">
      <alignment horizontal="center" vertical="center" wrapText="1"/>
    </xf>
    <xf numFmtId="0" fontId="34" fillId="0" borderId="0" xfId="0" applyFont="1"/>
    <xf numFmtId="0" fontId="6" fillId="19" borderId="15" xfId="0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center" wrapText="1"/>
    </xf>
    <xf numFmtId="0" fontId="35" fillId="9" borderId="15" xfId="0" applyFont="1" applyFill="1" applyBorder="1"/>
    <xf numFmtId="0" fontId="35" fillId="0" borderId="15" xfId="0" applyFont="1" applyBorder="1"/>
    <xf numFmtId="0" fontId="36" fillId="0" borderId="0" xfId="0" applyFont="1"/>
    <xf numFmtId="0" fontId="38" fillId="6" borderId="4" xfId="0" applyFont="1" applyFill="1" applyBorder="1" applyAlignment="1">
      <alignment horizontal="center" vertical="center" wrapText="1"/>
    </xf>
    <xf numFmtId="0" fontId="39" fillId="9" borderId="5" xfId="0" applyFont="1" applyFill="1" applyBorder="1" applyAlignment="1">
      <alignment horizontal="left" vertical="center" wrapText="1"/>
    </xf>
    <xf numFmtId="0" fontId="38" fillId="17" borderId="13" xfId="0" applyFont="1" applyFill="1" applyBorder="1" applyAlignment="1">
      <alignment horizontal="center" vertical="center" wrapText="1"/>
    </xf>
    <xf numFmtId="0" fontId="38" fillId="18" borderId="14" xfId="0" applyFont="1" applyFill="1" applyBorder="1" applyAlignment="1">
      <alignment horizontal="center" vertical="center" wrapText="1"/>
    </xf>
    <xf numFmtId="176" fontId="13" fillId="9" borderId="5" xfId="0" applyNumberFormat="1" applyFont="1" applyFill="1" applyBorder="1" applyAlignment="1">
      <alignment horizontal="right" vertical="center"/>
    </xf>
    <xf numFmtId="177" fontId="13" fillId="9" borderId="5" xfId="0" applyNumberFormat="1" applyFont="1" applyFill="1" applyBorder="1" applyAlignment="1">
      <alignment horizontal="right" vertical="center"/>
    </xf>
    <xf numFmtId="176" fontId="13" fillId="5" borderId="5" xfId="0" applyNumberFormat="1" applyFont="1" applyFill="1" applyBorder="1" applyAlignment="1">
      <alignment horizontal="right" vertical="center"/>
    </xf>
    <xf numFmtId="177" fontId="18" fillId="9" borderId="7" xfId="0" applyNumberFormat="1" applyFont="1" applyFill="1" applyBorder="1" applyAlignment="1">
      <alignment horizontal="right" vertical="center"/>
    </xf>
    <xf numFmtId="0" fontId="35" fillId="0" borderId="1" xfId="0" applyFont="1" applyBorder="1"/>
    <xf numFmtId="0" fontId="6" fillId="6" borderId="2" xfId="0" applyFont="1" applyFill="1" applyBorder="1" applyAlignment="1">
      <alignment horizontal="left" vertical="center"/>
    </xf>
    <xf numFmtId="0" fontId="0" fillId="0" borderId="18" xfId="0" applyBorder="1"/>
    <xf numFmtId="0" fontId="11" fillId="2" borderId="6" xfId="0" applyFont="1" applyFill="1" applyBorder="1" applyAlignment="1">
      <alignment horizontal="center" vertical="center"/>
    </xf>
    <xf numFmtId="0" fontId="0" fillId="0" borderId="16" xfId="0" applyBorder="1"/>
    <xf numFmtId="0" fontId="9" fillId="5" borderId="3" xfId="0" applyFont="1" applyFill="1" applyBorder="1" applyAlignment="1">
      <alignment horizontal="left" vertical="center" wrapText="1"/>
    </xf>
    <xf numFmtId="0" fontId="0" fillId="0" borderId="12" xfId="0" applyBorder="1"/>
    <xf numFmtId="0" fontId="10" fillId="8" borderId="0" xfId="0" applyFont="1" applyFill="1" applyAlignment="1">
      <alignment horizontal="left" vertical="center" wrapText="1"/>
    </xf>
    <xf numFmtId="0" fontId="0" fillId="0" borderId="0" xfId="0"/>
    <xf numFmtId="0" fontId="5" fillId="8" borderId="0" xfId="0" applyFont="1" applyFill="1" applyAlignment="1">
      <alignment horizontal="left" vertical="center"/>
    </xf>
    <xf numFmtId="0" fontId="12" fillId="8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6" fillId="6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40" fillId="0" borderId="3" xfId="0" applyFont="1" applyBorder="1" applyAlignment="1">
      <alignment horizontal="left" vertical="center" wrapText="1"/>
    </xf>
    <xf numFmtId="0" fontId="41" fillId="0" borderId="12" xfId="0" applyFont="1" applyBorder="1" applyAlignment="1">
      <alignment wrapText="1"/>
    </xf>
    <xf numFmtId="177" fontId="19" fillId="11" borderId="9" xfId="0" applyNumberFormat="1" applyFont="1" applyFill="1" applyBorder="1" applyAlignment="1">
      <alignment horizontal="right" vertical="center"/>
    </xf>
    <xf numFmtId="0" fontId="0" fillId="0" borderId="17" xfId="0" applyBorder="1"/>
    <xf numFmtId="0" fontId="17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9" xfId="0" applyBorder="1"/>
    <xf numFmtId="0" fontId="1" fillId="2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wrapText="1" indent="1"/>
    </xf>
    <xf numFmtId="0" fontId="10" fillId="5" borderId="0" xfId="0" applyFont="1" applyFill="1" applyAlignment="1">
      <alignment horizontal="left" vertical="center"/>
    </xf>
    <xf numFmtId="0" fontId="23" fillId="8" borderId="3" xfId="0" applyFont="1" applyFill="1" applyBorder="1" applyAlignment="1">
      <alignment horizontal="left" vertical="center" wrapText="1"/>
    </xf>
    <xf numFmtId="0" fontId="25" fillId="13" borderId="0" xfId="0" applyFont="1" applyFill="1" applyAlignment="1">
      <alignment horizontal="left" vertical="center" wrapText="1"/>
    </xf>
    <xf numFmtId="0" fontId="21" fillId="6" borderId="0" xfId="0" applyFont="1" applyFill="1" applyAlignment="1">
      <alignment horizontal="center" vertical="center"/>
    </xf>
    <xf numFmtId="0" fontId="6" fillId="6" borderId="10" xfId="0" applyFont="1" applyFill="1" applyBorder="1" applyAlignment="1">
      <alignment horizontal="left" vertical="center" wrapText="1"/>
    </xf>
    <xf numFmtId="0" fontId="0" fillId="0" borderId="20" xfId="0" applyBorder="1"/>
    <xf numFmtId="0" fontId="21" fillId="17" borderId="0" xfId="0" applyFont="1" applyFill="1" applyAlignment="1">
      <alignment horizontal="center" vertical="center"/>
    </xf>
    <xf numFmtId="0" fontId="21" fillId="18" borderId="0" xfId="0" applyFont="1" applyFill="1" applyAlignment="1">
      <alignment horizontal="center" vertical="center"/>
    </xf>
    <xf numFmtId="0" fontId="33" fillId="11" borderId="0" xfId="0" applyFont="1" applyFill="1" applyAlignment="1">
      <alignment horizontal="center" vertical="center" wrapText="1"/>
    </xf>
  </cellXfs>
  <cellStyles count="1">
    <cellStyle name="標準" xfId="0" builtinId="0"/>
  </cellStyles>
  <dxfs count="6">
    <dxf>
      <fill>
        <patternFill>
          <bgColor rgb="FFFFD9B3"/>
        </patternFill>
      </fill>
    </dxf>
    <dxf>
      <fill>
        <patternFill>
          <bgColor rgb="FFFFC7CE"/>
        </patternFill>
      </fill>
    </dxf>
    <dxf>
      <fill>
        <patternFill>
          <bgColor rgb="FFFFD9B3"/>
        </patternFill>
      </fill>
    </dxf>
    <dxf>
      <fill>
        <patternFill>
          <bgColor rgb="FFFFC7CE"/>
        </patternFill>
      </fill>
    </dxf>
    <dxf>
      <fill>
        <patternFill>
          <bgColor rgb="FFFFD9B3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CE4D6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FBFBF"/>
      <rgbColor rgb="FF808080"/>
      <rgbColor rgb="FFAAAAAA"/>
      <rgbColor rgb="FF7030A0"/>
      <rgbColor rgb="FFFFF2CC"/>
      <rgbColor rgb="FFDDEBF7"/>
      <rgbColor rgb="FF660066"/>
      <rgbColor rgb="FFFF8080"/>
      <rgbColor rgb="FF0066CC"/>
      <rgbColor rgb="FFD6DCE4"/>
      <rgbColor rgb="FF000080"/>
      <rgbColor rgb="FFFF00FF"/>
      <rgbColor rgb="FFF0F0F0"/>
      <rgbColor rgb="FF00FFFF"/>
      <rgbColor rgb="FF800080"/>
      <rgbColor rgb="FF800000"/>
      <rgbColor rgb="FF008080"/>
      <rgbColor rgb="FF0000FF"/>
      <rgbColor rgb="FF00CCFF"/>
      <rgbColor rgb="FFEAF3FB"/>
      <rgbColor rgb="FFE2EFDA"/>
      <rgbColor rgb="FFFDEADA"/>
      <rgbColor rgb="FFD9D9D9"/>
      <rgbColor rgb="FFFFC7CE"/>
      <rgbColor rgb="FFDCE9F5"/>
      <rgbColor rgb="FFFFD9B3"/>
      <rgbColor rgb="FF2E75B6"/>
      <rgbColor rgb="FF33CCCC"/>
      <rgbColor rgb="FFDEEAF1"/>
      <rgbColor rgb="FFFFC000"/>
      <rgbColor rgb="FFFF9900"/>
      <rgbColor rgb="FFC55A11"/>
      <rgbColor rgb="FF666666"/>
      <rgbColor rgb="FF888888"/>
      <rgbColor rgb="FF1F4E78"/>
      <rgbColor rgb="FF339966"/>
      <rgbColor rgb="FF003300"/>
      <rgbColor rgb="FF375623"/>
      <rgbColor rgb="FF822020"/>
      <rgbColor rgb="FF555555"/>
      <rgbColor rgb="FF1F4E79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tabSelected="1" topLeftCell="A5" zoomScaleNormal="100" workbookViewId="0">
      <selection activeCell="K15" sqref="K15"/>
    </sheetView>
  </sheetViews>
  <sheetFormatPr defaultColWidth="8.7265625" defaultRowHeight="14.5"/>
  <cols>
    <col min="1" max="1" width="14" customWidth="1"/>
    <col min="2" max="3" width="8" customWidth="1"/>
    <col min="4" max="6" width="10" customWidth="1"/>
    <col min="7" max="7" width="16" customWidth="1"/>
    <col min="8" max="8" width="10" customWidth="1"/>
    <col min="9" max="9" width="8" customWidth="1"/>
    <col min="10" max="10" width="10" customWidth="1"/>
    <col min="11" max="11" width="12" customWidth="1"/>
    <col min="12" max="12" width="10" customWidth="1"/>
    <col min="13" max="13" width="14" customWidth="1"/>
  </cols>
  <sheetData>
    <row r="1" spans="1:13" ht="31.5" customHeight="1">
      <c r="A1" s="73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18" customHeight="1">
      <c r="A2" s="75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27" customHeight="1">
      <c r="A3" s="71" t="s">
        <v>2</v>
      </c>
      <c r="B3" s="72"/>
      <c r="C3" s="74"/>
      <c r="D3" s="72"/>
      <c r="E3" s="1" t="s">
        <v>3</v>
      </c>
    </row>
    <row r="4" spans="1:13" ht="27.75" customHeight="1">
      <c r="A4" s="49" t="s">
        <v>4</v>
      </c>
      <c r="B4" s="50"/>
      <c r="C4" s="63" t="s">
        <v>5</v>
      </c>
      <c r="D4" s="54"/>
      <c r="E4" s="54"/>
      <c r="F4" s="54"/>
      <c r="G4" s="54"/>
      <c r="H4" s="54"/>
      <c r="I4" s="2" t="s">
        <v>6</v>
      </c>
      <c r="J4" s="53"/>
      <c r="K4" s="54"/>
      <c r="L4" s="2" t="s">
        <v>7</v>
      </c>
      <c r="M4" s="3"/>
    </row>
    <row r="5" spans="1:13" ht="27.75" customHeight="1">
      <c r="A5" s="49" t="s">
        <v>8</v>
      </c>
      <c r="B5" s="50"/>
      <c r="C5" s="63" t="s">
        <v>9</v>
      </c>
      <c r="D5" s="54"/>
      <c r="E5" s="54"/>
      <c r="F5" s="54"/>
      <c r="G5" s="54"/>
      <c r="H5" s="54"/>
      <c r="I5" s="4" t="s">
        <v>10</v>
      </c>
      <c r="J5" s="53"/>
      <c r="K5" s="54"/>
      <c r="L5" s="2" t="s">
        <v>11</v>
      </c>
      <c r="M5" s="3"/>
    </row>
    <row r="6" spans="1:13" ht="27.75" customHeight="1">
      <c r="A6" s="62" t="s">
        <v>12</v>
      </c>
      <c r="B6" s="50"/>
      <c r="C6" s="63"/>
      <c r="D6" s="54"/>
      <c r="E6" s="54"/>
      <c r="F6" s="54"/>
      <c r="G6" s="54"/>
      <c r="H6" s="54"/>
      <c r="I6" s="49" t="s">
        <v>13</v>
      </c>
      <c r="J6" s="50"/>
      <c r="K6" s="53"/>
      <c r="L6" s="54"/>
      <c r="M6" s="54"/>
    </row>
    <row r="7" spans="1:13" ht="27.75" customHeight="1">
      <c r="A7" s="49" t="s">
        <v>14</v>
      </c>
      <c r="B7" s="50"/>
      <c r="C7" s="63" t="s">
        <v>15</v>
      </c>
      <c r="D7" s="54"/>
      <c r="E7" s="49" t="s">
        <v>16</v>
      </c>
      <c r="F7" s="50"/>
      <c r="G7" s="63" t="s">
        <v>15</v>
      </c>
      <c r="H7" s="54"/>
      <c r="I7" s="64"/>
      <c r="J7" s="54"/>
      <c r="K7" s="54"/>
      <c r="L7" s="54"/>
      <c r="M7" s="54"/>
    </row>
    <row r="8" spans="1:13" ht="31.5" customHeight="1">
      <c r="A8" s="55" t="s">
        <v>17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3" ht="6" customHeight="1"/>
    <row r="10" spans="1:13" ht="19.5" customHeight="1">
      <c r="A10" s="61" t="s">
        <v>18</v>
      </c>
      <c r="B10" s="56"/>
      <c r="C10" s="56"/>
      <c r="D10" s="56"/>
      <c r="E10" s="57" t="s">
        <v>19</v>
      </c>
      <c r="F10" s="56"/>
      <c r="G10" s="56"/>
      <c r="H10" s="56"/>
      <c r="I10" s="56"/>
      <c r="J10" s="56"/>
      <c r="K10" s="56"/>
      <c r="L10" s="56"/>
      <c r="M10" s="56"/>
    </row>
    <row r="11" spans="1:13" ht="24" customHeight="1">
      <c r="A11" s="58" t="s">
        <v>20</v>
      </c>
      <c r="B11" s="54"/>
      <c r="C11" s="44">
        <f>COUNTA(半紙!B11:B310)</f>
        <v>0</v>
      </c>
      <c r="D11" s="5" t="s">
        <v>21</v>
      </c>
      <c r="E11" s="6">
        <v>600</v>
      </c>
      <c r="F11" s="5" t="s">
        <v>22</v>
      </c>
      <c r="G11" s="45">
        <f>IF(C11="","",C11*600)</f>
        <v>0</v>
      </c>
      <c r="H11" s="70" t="s">
        <v>23</v>
      </c>
      <c r="I11" s="54"/>
      <c r="J11" s="45" t="str">
        <f>IF(C11+C12+C13&gt;=50,IF(C11="","",C11*540),"－")</f>
        <v>－</v>
      </c>
      <c r="K11" s="59"/>
      <c r="L11" s="54"/>
      <c r="M11" s="54"/>
    </row>
    <row r="12" spans="1:13" ht="24" customHeight="1">
      <c r="A12" s="58" t="s">
        <v>24</v>
      </c>
      <c r="B12" s="54"/>
      <c r="C12" s="44">
        <f>COUNTA(条幅!B11:B310)</f>
        <v>0</v>
      </c>
      <c r="D12" s="5" t="s">
        <v>21</v>
      </c>
      <c r="E12" s="6">
        <v>700</v>
      </c>
      <c r="F12" s="5" t="s">
        <v>22</v>
      </c>
      <c r="G12" s="45">
        <f>IF(C12="","",C12*700)</f>
        <v>0</v>
      </c>
      <c r="H12" s="70" t="s">
        <v>23</v>
      </c>
      <c r="I12" s="54"/>
      <c r="J12" s="45" t="str">
        <f>IF(C11+C12+C13&gt;=50,IF(C12="","",C12*630),"－")</f>
        <v>－</v>
      </c>
      <c r="K12" s="59"/>
      <c r="L12" s="54"/>
      <c r="M12" s="54"/>
    </row>
    <row r="13" spans="1:13" ht="24" customHeight="1">
      <c r="A13" s="58" t="s">
        <v>25</v>
      </c>
      <c r="B13" s="54"/>
      <c r="C13" s="44">
        <f>COUNTA(条幅4分の1!B11:B310)</f>
        <v>0</v>
      </c>
      <c r="D13" s="5" t="s">
        <v>21</v>
      </c>
      <c r="E13" s="6">
        <v>700</v>
      </c>
      <c r="F13" s="5" t="s">
        <v>22</v>
      </c>
      <c r="G13" s="45">
        <f>IF(C13="","",C13*700)</f>
        <v>0</v>
      </c>
      <c r="H13" s="70" t="s">
        <v>23</v>
      </c>
      <c r="I13" s="54"/>
      <c r="J13" s="45" t="str">
        <f>IF(C11+C12+C13&gt;=50,IF(C13="","",C13*630),"－")</f>
        <v>－</v>
      </c>
      <c r="K13" s="59"/>
      <c r="L13" s="54"/>
      <c r="M13" s="54"/>
    </row>
    <row r="14" spans="1:13" ht="43.9" customHeight="1">
      <c r="A14" s="58" t="s">
        <v>26</v>
      </c>
      <c r="B14" s="54"/>
      <c r="C14" s="46">
        <f>COUNTIF(半紙!K11:K310,"○")+COUNTIF(条幅!K11:K310,"○")+COUNTIF(条幅4分の1!K11:K310,"○")</f>
        <v>0</v>
      </c>
      <c r="D14" s="5" t="s">
        <v>21</v>
      </c>
      <c r="E14" s="6">
        <v>40</v>
      </c>
      <c r="F14" s="5" t="s">
        <v>22</v>
      </c>
      <c r="G14" s="45">
        <f>IF(C14="","",C14*40)</f>
        <v>0</v>
      </c>
      <c r="H14" s="70" t="s">
        <v>23</v>
      </c>
      <c r="I14" s="54"/>
      <c r="J14" s="45" t="str">
        <f>IF(C11+C12+C13&gt;=50,IF(C14="","",C14*40),"－")</f>
        <v>－</v>
      </c>
      <c r="K14" s="65" t="s">
        <v>27</v>
      </c>
      <c r="L14" s="66"/>
      <c r="M14" s="66"/>
    </row>
    <row r="15" spans="1:13" ht="27.75" customHeight="1">
      <c r="A15" s="51" t="s">
        <v>28</v>
      </c>
      <c r="B15" s="52"/>
      <c r="C15" s="69" t="s">
        <v>29</v>
      </c>
      <c r="D15" s="54"/>
      <c r="E15" s="54"/>
      <c r="F15" s="54"/>
      <c r="G15" s="47">
        <f>IFERROR(SUM(G11:G14),"")</f>
        <v>0</v>
      </c>
      <c r="H15" s="70" t="s">
        <v>30</v>
      </c>
      <c r="I15" s="54"/>
      <c r="J15" s="47" t="str">
        <f>IF(C11+C12+C13&gt;=50,IFERROR(SUM(J11:J14),""),"－")</f>
        <v>－</v>
      </c>
      <c r="K15" s="7" t="s">
        <v>31</v>
      </c>
      <c r="L15" s="67">
        <f>IF(C11+C12+C13&gt;=50,IFERROR(SUM(J11:J14),0),IFERROR(SUM(G11:G14),0))</f>
        <v>0</v>
      </c>
      <c r="M15" s="68"/>
    </row>
    <row r="16" spans="1:13" ht="7.5" customHeight="1"/>
    <row r="17" spans="1:13" ht="18" customHeight="1">
      <c r="A17" s="60" t="s">
        <v>32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</row>
  </sheetData>
  <mergeCells count="39">
    <mergeCell ref="A3:B3"/>
    <mergeCell ref="A12:B12"/>
    <mergeCell ref="H11:I11"/>
    <mergeCell ref="J4:K4"/>
    <mergeCell ref="A1:M1"/>
    <mergeCell ref="K6:M6"/>
    <mergeCell ref="A5:B5"/>
    <mergeCell ref="A4:B4"/>
    <mergeCell ref="C6:H6"/>
    <mergeCell ref="H12:I12"/>
    <mergeCell ref="C7:D7"/>
    <mergeCell ref="E7:F7"/>
    <mergeCell ref="C5:H5"/>
    <mergeCell ref="C4:H4"/>
    <mergeCell ref="C3:D3"/>
    <mergeCell ref="A2:M2"/>
    <mergeCell ref="A17:M17"/>
    <mergeCell ref="K12:M12"/>
    <mergeCell ref="A10:D10"/>
    <mergeCell ref="A6:B6"/>
    <mergeCell ref="A7:B7"/>
    <mergeCell ref="G7:H7"/>
    <mergeCell ref="I7:M7"/>
    <mergeCell ref="K14:M14"/>
    <mergeCell ref="L15:M15"/>
    <mergeCell ref="C15:F15"/>
    <mergeCell ref="K13:M13"/>
    <mergeCell ref="A14:B14"/>
    <mergeCell ref="H13:I13"/>
    <mergeCell ref="H15:I15"/>
    <mergeCell ref="A13:B13"/>
    <mergeCell ref="H14:I14"/>
    <mergeCell ref="I6:J6"/>
    <mergeCell ref="A15:B15"/>
    <mergeCell ref="J5:K5"/>
    <mergeCell ref="A8:M8"/>
    <mergeCell ref="E10:M10"/>
    <mergeCell ref="A11:B11"/>
    <mergeCell ref="K11:M11"/>
  </mergeCells>
  <phoneticPr fontId="37"/>
  <dataValidations count="2">
    <dataValidation type="list" allowBlank="1" sqref="C7" xr:uid="{00000000-0002-0000-0000-000000000000}">
      <formula1>"成績順,学年順"</formula1>
      <formula2>0</formula2>
    </dataValidation>
    <dataValidation type="list" allowBlank="1" sqref="G7" xr:uid="{00000000-0002-0000-0000-000001000000}">
      <formula1>"はい,いいえ"</formula1>
      <formula2>0</formula2>
    </dataValidation>
  </dataValidations>
  <pageMargins left="0.75" right="0.75" top="1" bottom="1" header="0.511811023622047" footer="0.511811023622047"/>
  <pageSetup paperSize="9"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2"/>
  <sheetViews>
    <sheetView zoomScaleNormal="100" workbookViewId="0">
      <selection activeCell="C11" sqref="C11"/>
    </sheetView>
  </sheetViews>
  <sheetFormatPr defaultColWidth="8.7265625" defaultRowHeight="14.5"/>
  <cols>
    <col min="1" max="1" width="5" customWidth="1"/>
    <col min="2" max="3" width="10" customWidth="1"/>
    <col min="4" max="6" width="13" customWidth="1"/>
    <col min="7" max="7" width="22" customWidth="1"/>
    <col min="8" max="8" width="13" customWidth="1"/>
    <col min="9" max="9" width="7" customWidth="1"/>
    <col min="10" max="10" width="12" customWidth="1"/>
    <col min="11" max="11" width="18" customWidth="1"/>
    <col min="12" max="12" width="8" customWidth="1"/>
    <col min="13" max="13" width="16" customWidth="1"/>
  </cols>
  <sheetData>
    <row r="1" spans="1:13" ht="27.75" customHeight="1">
      <c r="A1" s="79" t="s">
        <v>33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3" ht="19.5" customHeight="1">
      <c r="A2" s="8" t="s">
        <v>34</v>
      </c>
      <c r="B2" s="9"/>
      <c r="C2" s="9"/>
      <c r="D2" s="9"/>
      <c r="E2" s="9"/>
      <c r="F2" s="9"/>
      <c r="G2" s="9"/>
      <c r="H2" s="9"/>
      <c r="I2" s="9"/>
      <c r="J2" s="9"/>
    </row>
    <row r="3" spans="1:13" ht="27.75" customHeight="1">
      <c r="A3" s="62" t="s">
        <v>4</v>
      </c>
      <c r="B3" s="50"/>
      <c r="C3" s="77" t="str">
        <f>IF(基本情報・出品料!C4="","",基本情報・出品料!C4)</f>
        <v>※個人出品の場合は「個人」と記入</v>
      </c>
      <c r="D3" s="54"/>
      <c r="E3" s="54"/>
      <c r="F3" s="54"/>
      <c r="G3" s="54"/>
      <c r="H3" s="54"/>
      <c r="I3" s="10" t="s">
        <v>6</v>
      </c>
      <c r="J3" s="11" t="str">
        <f>IF(基本情報・出品料!J4="","",基本情報・出品料!J4)</f>
        <v/>
      </c>
      <c r="K3" s="56"/>
      <c r="L3" s="56"/>
      <c r="M3" s="56"/>
    </row>
    <row r="4" spans="1:13" ht="25.5" customHeight="1">
      <c r="A4" s="80" t="s">
        <v>8</v>
      </c>
      <c r="B4" s="81"/>
      <c r="C4" s="77" t="str">
        <f>IF(基本情報・出品料!C5="","",基本情報・出品料!C5)</f>
        <v>※個人出品の場合は保護者名</v>
      </c>
      <c r="D4" s="54"/>
      <c r="E4" s="54"/>
      <c r="F4" s="54"/>
      <c r="G4" s="54"/>
      <c r="H4" s="54"/>
      <c r="I4" s="12" t="s">
        <v>10</v>
      </c>
      <c r="J4" s="11" t="str">
        <f>IF(基本情報・出品料!J5="","",基本情報・出品料!J5)</f>
        <v/>
      </c>
      <c r="K4" s="56"/>
      <c r="L4" s="56"/>
      <c r="M4" s="56"/>
    </row>
    <row r="5" spans="1:13" ht="30" customHeight="1">
      <c r="A5" s="62" t="s">
        <v>12</v>
      </c>
      <c r="B5" s="50"/>
      <c r="C5" s="77" t="str">
        <f>IF(基本情報・出品料!C6="","",基本情報・出品料!C6)</f>
        <v/>
      </c>
      <c r="D5" s="54"/>
      <c r="E5" s="54"/>
      <c r="F5" s="54"/>
      <c r="G5" s="54"/>
      <c r="H5" s="54"/>
      <c r="I5" s="62" t="s">
        <v>13</v>
      </c>
      <c r="J5" s="50"/>
      <c r="K5" s="56"/>
      <c r="L5" s="56"/>
      <c r="M5" s="56"/>
    </row>
    <row r="6" spans="1:13" ht="27.75" customHeight="1">
      <c r="A6" s="62" t="s">
        <v>14</v>
      </c>
      <c r="B6" s="50"/>
      <c r="C6" s="77" t="str">
        <f>基本情報・出品料!C7</f>
        <v>▼ 選択してください</v>
      </c>
      <c r="D6" s="54"/>
      <c r="E6" s="62" t="s">
        <v>16</v>
      </c>
      <c r="F6" s="50"/>
      <c r="G6" s="77" t="str">
        <f>基本情報・出品料!G7</f>
        <v>▼ 選択してください</v>
      </c>
      <c r="H6" s="54"/>
      <c r="I6" s="56"/>
      <c r="J6" s="56"/>
      <c r="K6" s="56"/>
      <c r="L6" s="56"/>
      <c r="M6" s="56"/>
    </row>
    <row r="7" spans="1:13" ht="6" customHeight="1"/>
    <row r="8" spans="1:13" ht="42" customHeight="1">
      <c r="A8" s="78" t="s">
        <v>35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3" ht="36" customHeight="1">
      <c r="A9" s="13" t="s">
        <v>36</v>
      </c>
      <c r="B9" s="14" t="s">
        <v>37</v>
      </c>
      <c r="C9" s="14" t="s">
        <v>38</v>
      </c>
      <c r="D9" s="40" t="s">
        <v>39</v>
      </c>
      <c r="E9" s="40" t="s">
        <v>40</v>
      </c>
      <c r="F9" s="14" t="s">
        <v>41</v>
      </c>
      <c r="G9" s="14" t="s">
        <v>42</v>
      </c>
      <c r="H9" s="14" t="s">
        <v>43</v>
      </c>
      <c r="I9" s="14" t="s">
        <v>44</v>
      </c>
      <c r="J9" s="14" t="s">
        <v>45</v>
      </c>
      <c r="K9" s="15" t="s">
        <v>46</v>
      </c>
    </row>
    <row r="10" spans="1:13" ht="19.5" customHeight="1">
      <c r="A10" s="16" t="s">
        <v>47</v>
      </c>
      <c r="B10" s="17" t="s">
        <v>48</v>
      </c>
      <c r="C10" s="17" t="s">
        <v>49</v>
      </c>
      <c r="D10" s="17" t="s">
        <v>50</v>
      </c>
      <c r="E10" s="41" t="s">
        <v>51</v>
      </c>
      <c r="F10" s="17" t="s">
        <v>52</v>
      </c>
      <c r="G10" s="18" t="s">
        <v>53</v>
      </c>
      <c r="H10" s="17" t="s">
        <v>54</v>
      </c>
      <c r="I10" s="17" t="s">
        <v>55</v>
      </c>
      <c r="J10" s="17" t="s">
        <v>56</v>
      </c>
      <c r="K10" s="19" t="s">
        <v>57</v>
      </c>
    </row>
    <row r="11" spans="1:13" ht="19.5" customHeight="1">
      <c r="A11" s="20">
        <v>1</v>
      </c>
      <c r="B11" s="21"/>
      <c r="C11" s="21"/>
      <c r="D11" s="21" t="str">
        <f t="shared" ref="D11:D74" si="0">IF(B11="","",PHONETIC(B11))</f>
        <v/>
      </c>
      <c r="E11" s="21" t="str">
        <f t="shared" ref="E11:E74" si="1">IF(C11="","",PHONETIC(C11))</f>
        <v/>
      </c>
      <c r="F11" s="21"/>
      <c r="G11" s="21"/>
      <c r="H11" s="21"/>
      <c r="I11" s="22"/>
      <c r="J11" s="21"/>
      <c r="K11" s="23"/>
    </row>
    <row r="12" spans="1:13" ht="19.5" customHeight="1">
      <c r="A12" s="20">
        <v>2</v>
      </c>
      <c r="B12" s="24"/>
      <c r="C12" s="24"/>
      <c r="D12" s="24" t="str">
        <f t="shared" si="0"/>
        <v/>
      </c>
      <c r="E12" s="24" t="str">
        <f t="shared" si="1"/>
        <v/>
      </c>
      <c r="F12" s="24"/>
      <c r="G12" s="24"/>
      <c r="H12" s="24"/>
      <c r="I12" s="22"/>
      <c r="J12" s="24"/>
      <c r="K12" s="25"/>
    </row>
    <row r="13" spans="1:13" ht="19.5" customHeight="1">
      <c r="A13" s="20">
        <v>3</v>
      </c>
      <c r="B13" s="21"/>
      <c r="C13" s="21"/>
      <c r="D13" s="21" t="str">
        <f t="shared" si="0"/>
        <v/>
      </c>
      <c r="E13" s="21" t="str">
        <f t="shared" si="1"/>
        <v/>
      </c>
      <c r="F13" s="21"/>
      <c r="G13" s="21"/>
      <c r="H13" s="21"/>
      <c r="I13" s="22"/>
      <c r="J13" s="21"/>
      <c r="K13" s="23"/>
    </row>
    <row r="14" spans="1:13" ht="19.5" customHeight="1">
      <c r="A14" s="20">
        <v>4</v>
      </c>
      <c r="B14" s="24"/>
      <c r="C14" s="24"/>
      <c r="D14" s="24" t="str">
        <f t="shared" si="0"/>
        <v/>
      </c>
      <c r="E14" s="24" t="str">
        <f t="shared" si="1"/>
        <v/>
      </c>
      <c r="F14" s="24"/>
      <c r="G14" s="24"/>
      <c r="H14" s="24"/>
      <c r="I14" s="22"/>
      <c r="J14" s="24"/>
      <c r="K14" s="25"/>
    </row>
    <row r="15" spans="1:13" ht="19.5" customHeight="1">
      <c r="A15" s="20">
        <v>5</v>
      </c>
      <c r="B15" s="21"/>
      <c r="C15" s="21"/>
      <c r="D15" s="21" t="str">
        <f t="shared" si="0"/>
        <v/>
      </c>
      <c r="E15" s="21" t="str">
        <f t="shared" si="1"/>
        <v/>
      </c>
      <c r="F15" s="21"/>
      <c r="G15" s="21"/>
      <c r="H15" s="21"/>
      <c r="I15" s="22"/>
      <c r="J15" s="21"/>
      <c r="K15" s="23"/>
    </row>
    <row r="16" spans="1:13" ht="19.5" customHeight="1">
      <c r="A16" s="20">
        <v>6</v>
      </c>
      <c r="B16" s="24"/>
      <c r="C16" s="24"/>
      <c r="D16" s="24" t="str">
        <f t="shared" si="0"/>
        <v/>
      </c>
      <c r="E16" s="24" t="str">
        <f t="shared" si="1"/>
        <v/>
      </c>
      <c r="F16" s="24"/>
      <c r="G16" s="24"/>
      <c r="H16" s="24"/>
      <c r="I16" s="22"/>
      <c r="J16" s="24"/>
      <c r="K16" s="25"/>
    </row>
    <row r="17" spans="1:11" ht="19.5" customHeight="1">
      <c r="A17" s="20">
        <v>7</v>
      </c>
      <c r="B17" s="21"/>
      <c r="C17" s="21"/>
      <c r="D17" s="21" t="str">
        <f t="shared" si="0"/>
        <v/>
      </c>
      <c r="E17" s="21" t="str">
        <f t="shared" si="1"/>
        <v/>
      </c>
      <c r="F17" s="21"/>
      <c r="G17" s="21"/>
      <c r="H17" s="21"/>
      <c r="I17" s="22"/>
      <c r="J17" s="21"/>
      <c r="K17" s="23"/>
    </row>
    <row r="18" spans="1:11" ht="19.5" customHeight="1">
      <c r="A18" s="20">
        <v>8</v>
      </c>
      <c r="B18" s="24"/>
      <c r="C18" s="24"/>
      <c r="D18" s="24" t="str">
        <f t="shared" si="0"/>
        <v/>
      </c>
      <c r="E18" s="24" t="str">
        <f t="shared" si="1"/>
        <v/>
      </c>
      <c r="F18" s="24"/>
      <c r="G18" s="24"/>
      <c r="H18" s="24"/>
      <c r="I18" s="22"/>
      <c r="J18" s="24"/>
      <c r="K18" s="25"/>
    </row>
    <row r="19" spans="1:11" ht="19.5" customHeight="1">
      <c r="A19" s="20">
        <v>9</v>
      </c>
      <c r="B19" s="21"/>
      <c r="C19" s="21"/>
      <c r="D19" s="21" t="str">
        <f t="shared" si="0"/>
        <v/>
      </c>
      <c r="E19" s="21" t="str">
        <f t="shared" si="1"/>
        <v/>
      </c>
      <c r="F19" s="21"/>
      <c r="G19" s="21"/>
      <c r="H19" s="21"/>
      <c r="I19" s="22"/>
      <c r="J19" s="21"/>
      <c r="K19" s="23"/>
    </row>
    <row r="20" spans="1:11" ht="19.5" customHeight="1">
      <c r="A20" s="20">
        <v>10</v>
      </c>
      <c r="B20" s="24"/>
      <c r="C20" s="24"/>
      <c r="D20" s="24" t="str">
        <f t="shared" si="0"/>
        <v/>
      </c>
      <c r="E20" s="24" t="str">
        <f t="shared" si="1"/>
        <v/>
      </c>
      <c r="F20" s="24"/>
      <c r="G20" s="24"/>
      <c r="H20" s="24"/>
      <c r="I20" s="22"/>
      <c r="J20" s="24"/>
      <c r="K20" s="25"/>
    </row>
    <row r="21" spans="1:11" ht="19.5" customHeight="1">
      <c r="A21" s="20">
        <v>11</v>
      </c>
      <c r="B21" s="21"/>
      <c r="C21" s="21"/>
      <c r="D21" s="21" t="str">
        <f t="shared" si="0"/>
        <v/>
      </c>
      <c r="E21" s="21" t="str">
        <f t="shared" si="1"/>
        <v/>
      </c>
      <c r="F21" s="21"/>
      <c r="G21" s="21"/>
      <c r="H21" s="21"/>
      <c r="I21" s="22"/>
      <c r="J21" s="21"/>
      <c r="K21" s="23"/>
    </row>
    <row r="22" spans="1:11" ht="19.5" customHeight="1">
      <c r="A22" s="20">
        <v>12</v>
      </c>
      <c r="B22" s="24"/>
      <c r="C22" s="24"/>
      <c r="D22" s="24" t="str">
        <f t="shared" si="0"/>
        <v/>
      </c>
      <c r="E22" s="24" t="str">
        <f t="shared" si="1"/>
        <v/>
      </c>
      <c r="F22" s="24"/>
      <c r="G22" s="24"/>
      <c r="H22" s="24"/>
      <c r="I22" s="22"/>
      <c r="J22" s="24"/>
      <c r="K22" s="25"/>
    </row>
    <row r="23" spans="1:11" ht="19.5" customHeight="1">
      <c r="A23" s="20">
        <v>13</v>
      </c>
      <c r="B23" s="21"/>
      <c r="C23" s="21"/>
      <c r="D23" s="21" t="str">
        <f t="shared" si="0"/>
        <v/>
      </c>
      <c r="E23" s="21" t="str">
        <f t="shared" si="1"/>
        <v/>
      </c>
      <c r="F23" s="21"/>
      <c r="G23" s="21"/>
      <c r="H23" s="21"/>
      <c r="I23" s="22"/>
      <c r="J23" s="21"/>
      <c r="K23" s="23"/>
    </row>
    <row r="24" spans="1:11" ht="19.5" customHeight="1">
      <c r="A24" s="20">
        <v>14</v>
      </c>
      <c r="B24" s="24"/>
      <c r="C24" s="24"/>
      <c r="D24" s="24" t="str">
        <f t="shared" si="0"/>
        <v/>
      </c>
      <c r="E24" s="24" t="str">
        <f t="shared" si="1"/>
        <v/>
      </c>
      <c r="F24" s="24"/>
      <c r="G24" s="24"/>
      <c r="H24" s="24"/>
      <c r="I24" s="22"/>
      <c r="J24" s="24"/>
      <c r="K24" s="25"/>
    </row>
    <row r="25" spans="1:11" ht="19.5" customHeight="1">
      <c r="A25" s="20">
        <v>15</v>
      </c>
      <c r="B25" s="21"/>
      <c r="C25" s="21"/>
      <c r="D25" s="21" t="str">
        <f t="shared" si="0"/>
        <v/>
      </c>
      <c r="E25" s="21" t="str">
        <f t="shared" si="1"/>
        <v/>
      </c>
      <c r="F25" s="21"/>
      <c r="G25" s="21"/>
      <c r="H25" s="21"/>
      <c r="I25" s="22"/>
      <c r="J25" s="21"/>
      <c r="K25" s="23"/>
    </row>
    <row r="26" spans="1:11" ht="19.5" customHeight="1">
      <c r="A26" s="20">
        <v>16</v>
      </c>
      <c r="B26" s="24"/>
      <c r="C26" s="24"/>
      <c r="D26" s="24" t="str">
        <f t="shared" si="0"/>
        <v/>
      </c>
      <c r="E26" s="24" t="str">
        <f t="shared" si="1"/>
        <v/>
      </c>
      <c r="F26" s="24"/>
      <c r="G26" s="24"/>
      <c r="H26" s="24"/>
      <c r="I26" s="22"/>
      <c r="J26" s="24"/>
      <c r="K26" s="25"/>
    </row>
    <row r="27" spans="1:11" ht="19.5" customHeight="1">
      <c r="A27" s="20">
        <v>17</v>
      </c>
      <c r="B27" s="21"/>
      <c r="C27" s="21"/>
      <c r="D27" s="21" t="str">
        <f t="shared" si="0"/>
        <v/>
      </c>
      <c r="E27" s="21" t="str">
        <f t="shared" si="1"/>
        <v/>
      </c>
      <c r="F27" s="21"/>
      <c r="G27" s="21"/>
      <c r="H27" s="21"/>
      <c r="I27" s="22"/>
      <c r="J27" s="21"/>
      <c r="K27" s="23"/>
    </row>
    <row r="28" spans="1:11" ht="19.5" customHeight="1">
      <c r="A28" s="20">
        <v>18</v>
      </c>
      <c r="B28" s="24"/>
      <c r="C28" s="24"/>
      <c r="D28" s="24" t="str">
        <f t="shared" si="0"/>
        <v/>
      </c>
      <c r="E28" s="24" t="str">
        <f t="shared" si="1"/>
        <v/>
      </c>
      <c r="F28" s="24"/>
      <c r="G28" s="24"/>
      <c r="H28" s="24"/>
      <c r="I28" s="22"/>
      <c r="J28" s="24"/>
      <c r="K28" s="25"/>
    </row>
    <row r="29" spans="1:11" ht="19.5" customHeight="1">
      <c r="A29" s="20">
        <v>19</v>
      </c>
      <c r="B29" s="21"/>
      <c r="C29" s="21"/>
      <c r="D29" s="21" t="str">
        <f t="shared" si="0"/>
        <v/>
      </c>
      <c r="E29" s="21" t="str">
        <f t="shared" si="1"/>
        <v/>
      </c>
      <c r="F29" s="21"/>
      <c r="G29" s="21"/>
      <c r="H29" s="21"/>
      <c r="I29" s="22"/>
      <c r="J29" s="21"/>
      <c r="K29" s="23"/>
    </row>
    <row r="30" spans="1:11" ht="19.5" customHeight="1">
      <c r="A30" s="20">
        <v>20</v>
      </c>
      <c r="B30" s="24"/>
      <c r="C30" s="24"/>
      <c r="D30" s="24" t="str">
        <f t="shared" si="0"/>
        <v/>
      </c>
      <c r="E30" s="24" t="str">
        <f t="shared" si="1"/>
        <v/>
      </c>
      <c r="F30" s="24"/>
      <c r="G30" s="24"/>
      <c r="H30" s="24"/>
      <c r="I30" s="22"/>
      <c r="J30" s="24"/>
      <c r="K30" s="25"/>
    </row>
    <row r="31" spans="1:11" ht="19.5" customHeight="1">
      <c r="A31" s="20">
        <v>21</v>
      </c>
      <c r="B31" s="21"/>
      <c r="C31" s="21"/>
      <c r="D31" s="21" t="str">
        <f t="shared" si="0"/>
        <v/>
      </c>
      <c r="E31" s="21" t="str">
        <f t="shared" si="1"/>
        <v/>
      </c>
      <c r="F31" s="21"/>
      <c r="G31" s="21"/>
      <c r="H31" s="21"/>
      <c r="I31" s="22"/>
      <c r="J31" s="21"/>
      <c r="K31" s="23"/>
    </row>
    <row r="32" spans="1:11" ht="19.5" customHeight="1">
      <c r="A32" s="20">
        <v>22</v>
      </c>
      <c r="B32" s="24"/>
      <c r="C32" s="24"/>
      <c r="D32" s="24" t="str">
        <f t="shared" si="0"/>
        <v/>
      </c>
      <c r="E32" s="24" t="str">
        <f t="shared" si="1"/>
        <v/>
      </c>
      <c r="F32" s="24"/>
      <c r="G32" s="24"/>
      <c r="H32" s="24"/>
      <c r="I32" s="22"/>
      <c r="J32" s="24"/>
      <c r="K32" s="25"/>
    </row>
    <row r="33" spans="1:11" ht="19.5" customHeight="1">
      <c r="A33" s="20">
        <v>23</v>
      </c>
      <c r="B33" s="21"/>
      <c r="C33" s="21"/>
      <c r="D33" s="21" t="str">
        <f t="shared" si="0"/>
        <v/>
      </c>
      <c r="E33" s="21" t="str">
        <f t="shared" si="1"/>
        <v/>
      </c>
      <c r="F33" s="21"/>
      <c r="G33" s="21"/>
      <c r="H33" s="21"/>
      <c r="I33" s="22"/>
      <c r="J33" s="21"/>
      <c r="K33" s="23"/>
    </row>
    <row r="34" spans="1:11" ht="19.5" customHeight="1">
      <c r="A34" s="20">
        <v>24</v>
      </c>
      <c r="B34" s="24"/>
      <c r="C34" s="24"/>
      <c r="D34" s="24" t="str">
        <f t="shared" si="0"/>
        <v/>
      </c>
      <c r="E34" s="24" t="str">
        <f t="shared" si="1"/>
        <v/>
      </c>
      <c r="F34" s="24"/>
      <c r="G34" s="24"/>
      <c r="H34" s="24"/>
      <c r="I34" s="22"/>
      <c r="J34" s="24"/>
      <c r="K34" s="25"/>
    </row>
    <row r="35" spans="1:11" ht="19.5" customHeight="1">
      <c r="A35" s="20">
        <v>25</v>
      </c>
      <c r="B35" s="21"/>
      <c r="C35" s="21"/>
      <c r="D35" s="21" t="str">
        <f t="shared" si="0"/>
        <v/>
      </c>
      <c r="E35" s="21" t="str">
        <f t="shared" si="1"/>
        <v/>
      </c>
      <c r="F35" s="21"/>
      <c r="G35" s="21"/>
      <c r="H35" s="21"/>
      <c r="I35" s="22"/>
      <c r="J35" s="21"/>
      <c r="K35" s="23"/>
    </row>
    <row r="36" spans="1:11" ht="19.5" customHeight="1">
      <c r="A36" s="20">
        <v>26</v>
      </c>
      <c r="B36" s="24"/>
      <c r="C36" s="24"/>
      <c r="D36" s="24" t="str">
        <f t="shared" si="0"/>
        <v/>
      </c>
      <c r="E36" s="24" t="str">
        <f t="shared" si="1"/>
        <v/>
      </c>
      <c r="F36" s="24"/>
      <c r="G36" s="24"/>
      <c r="H36" s="24"/>
      <c r="I36" s="22"/>
      <c r="J36" s="24"/>
      <c r="K36" s="25"/>
    </row>
    <row r="37" spans="1:11" ht="19.5" customHeight="1">
      <c r="A37" s="20">
        <v>27</v>
      </c>
      <c r="B37" s="21"/>
      <c r="C37" s="21"/>
      <c r="D37" s="21" t="str">
        <f t="shared" si="0"/>
        <v/>
      </c>
      <c r="E37" s="21" t="str">
        <f t="shared" si="1"/>
        <v/>
      </c>
      <c r="F37" s="21"/>
      <c r="G37" s="21"/>
      <c r="H37" s="21"/>
      <c r="I37" s="22"/>
      <c r="J37" s="21"/>
      <c r="K37" s="23"/>
    </row>
    <row r="38" spans="1:11" ht="19.5" customHeight="1">
      <c r="A38" s="20">
        <v>28</v>
      </c>
      <c r="B38" s="24"/>
      <c r="C38" s="24"/>
      <c r="D38" s="24" t="str">
        <f t="shared" si="0"/>
        <v/>
      </c>
      <c r="E38" s="24" t="str">
        <f t="shared" si="1"/>
        <v/>
      </c>
      <c r="F38" s="24"/>
      <c r="G38" s="24"/>
      <c r="H38" s="24"/>
      <c r="I38" s="22"/>
      <c r="J38" s="24"/>
      <c r="K38" s="25"/>
    </row>
    <row r="39" spans="1:11" ht="19.5" customHeight="1">
      <c r="A39" s="20">
        <v>29</v>
      </c>
      <c r="B39" s="21"/>
      <c r="C39" s="21"/>
      <c r="D39" s="21" t="str">
        <f t="shared" si="0"/>
        <v/>
      </c>
      <c r="E39" s="21" t="str">
        <f t="shared" si="1"/>
        <v/>
      </c>
      <c r="F39" s="21"/>
      <c r="G39" s="21"/>
      <c r="H39" s="21"/>
      <c r="I39" s="22"/>
      <c r="J39" s="21"/>
      <c r="K39" s="23"/>
    </row>
    <row r="40" spans="1:11" ht="19.5" customHeight="1">
      <c r="A40" s="20">
        <v>30</v>
      </c>
      <c r="B40" s="24"/>
      <c r="C40" s="24"/>
      <c r="D40" s="24" t="str">
        <f t="shared" si="0"/>
        <v/>
      </c>
      <c r="E40" s="24" t="str">
        <f t="shared" si="1"/>
        <v/>
      </c>
      <c r="F40" s="24"/>
      <c r="G40" s="24"/>
      <c r="H40" s="24"/>
      <c r="I40" s="22"/>
      <c r="J40" s="24"/>
      <c r="K40" s="25"/>
    </row>
    <row r="41" spans="1:11" ht="19.5" customHeight="1">
      <c r="A41" s="20">
        <v>31</v>
      </c>
      <c r="B41" s="21"/>
      <c r="C41" s="21"/>
      <c r="D41" s="21" t="str">
        <f t="shared" si="0"/>
        <v/>
      </c>
      <c r="E41" s="21" t="str">
        <f t="shared" si="1"/>
        <v/>
      </c>
      <c r="F41" s="21"/>
      <c r="G41" s="21"/>
      <c r="H41" s="21"/>
      <c r="I41" s="22"/>
      <c r="J41" s="21"/>
      <c r="K41" s="23"/>
    </row>
    <row r="42" spans="1:11" ht="19.5" customHeight="1">
      <c r="A42" s="20">
        <v>32</v>
      </c>
      <c r="B42" s="24"/>
      <c r="C42" s="24"/>
      <c r="D42" s="24" t="str">
        <f t="shared" si="0"/>
        <v/>
      </c>
      <c r="E42" s="24" t="str">
        <f t="shared" si="1"/>
        <v/>
      </c>
      <c r="F42" s="24"/>
      <c r="G42" s="24"/>
      <c r="H42" s="24"/>
      <c r="I42" s="22"/>
      <c r="J42" s="24"/>
      <c r="K42" s="25"/>
    </row>
    <row r="43" spans="1:11" ht="19.5" customHeight="1">
      <c r="A43" s="20">
        <v>33</v>
      </c>
      <c r="B43" s="21"/>
      <c r="C43" s="21"/>
      <c r="D43" s="21" t="str">
        <f t="shared" si="0"/>
        <v/>
      </c>
      <c r="E43" s="21" t="str">
        <f t="shared" si="1"/>
        <v/>
      </c>
      <c r="F43" s="21"/>
      <c r="G43" s="21"/>
      <c r="H43" s="21"/>
      <c r="I43" s="22"/>
      <c r="J43" s="21"/>
      <c r="K43" s="23"/>
    </row>
    <row r="44" spans="1:11" ht="19.5" customHeight="1">
      <c r="A44" s="20">
        <v>34</v>
      </c>
      <c r="B44" s="24"/>
      <c r="C44" s="24"/>
      <c r="D44" s="24" t="str">
        <f t="shared" si="0"/>
        <v/>
      </c>
      <c r="E44" s="24" t="str">
        <f t="shared" si="1"/>
        <v/>
      </c>
      <c r="F44" s="24"/>
      <c r="G44" s="24"/>
      <c r="H44" s="24"/>
      <c r="I44" s="22"/>
      <c r="J44" s="24"/>
      <c r="K44" s="25"/>
    </row>
    <row r="45" spans="1:11" ht="19.5" customHeight="1">
      <c r="A45" s="20">
        <v>35</v>
      </c>
      <c r="B45" s="21"/>
      <c r="C45" s="21"/>
      <c r="D45" s="21" t="str">
        <f t="shared" si="0"/>
        <v/>
      </c>
      <c r="E45" s="21" t="str">
        <f t="shared" si="1"/>
        <v/>
      </c>
      <c r="F45" s="21"/>
      <c r="G45" s="21"/>
      <c r="H45" s="21"/>
      <c r="I45" s="22"/>
      <c r="J45" s="21"/>
      <c r="K45" s="23"/>
    </row>
    <row r="46" spans="1:11" ht="19.5" customHeight="1">
      <c r="A46" s="20">
        <v>36</v>
      </c>
      <c r="B46" s="24"/>
      <c r="C46" s="24"/>
      <c r="D46" s="24" t="str">
        <f t="shared" si="0"/>
        <v/>
      </c>
      <c r="E46" s="24" t="str">
        <f t="shared" si="1"/>
        <v/>
      </c>
      <c r="F46" s="24"/>
      <c r="G46" s="24"/>
      <c r="H46" s="24"/>
      <c r="I46" s="22"/>
      <c r="J46" s="24"/>
      <c r="K46" s="25"/>
    </row>
    <row r="47" spans="1:11" ht="19.5" customHeight="1">
      <c r="A47" s="20">
        <v>37</v>
      </c>
      <c r="B47" s="21"/>
      <c r="C47" s="21"/>
      <c r="D47" s="21" t="str">
        <f t="shared" si="0"/>
        <v/>
      </c>
      <c r="E47" s="21" t="str">
        <f t="shared" si="1"/>
        <v/>
      </c>
      <c r="F47" s="21"/>
      <c r="G47" s="21"/>
      <c r="H47" s="21"/>
      <c r="I47" s="22"/>
      <c r="J47" s="21"/>
      <c r="K47" s="23"/>
    </row>
    <row r="48" spans="1:11" ht="19.5" customHeight="1">
      <c r="A48" s="20">
        <v>38</v>
      </c>
      <c r="B48" s="24"/>
      <c r="C48" s="24"/>
      <c r="D48" s="24" t="str">
        <f t="shared" si="0"/>
        <v/>
      </c>
      <c r="E48" s="24" t="str">
        <f t="shared" si="1"/>
        <v/>
      </c>
      <c r="F48" s="24"/>
      <c r="G48" s="24"/>
      <c r="H48" s="24"/>
      <c r="I48" s="22"/>
      <c r="J48" s="24"/>
      <c r="K48" s="25"/>
    </row>
    <row r="49" spans="1:11" ht="19.5" customHeight="1">
      <c r="A49" s="20">
        <v>39</v>
      </c>
      <c r="B49" s="21"/>
      <c r="C49" s="21"/>
      <c r="D49" s="21" t="str">
        <f t="shared" si="0"/>
        <v/>
      </c>
      <c r="E49" s="21" t="str">
        <f t="shared" si="1"/>
        <v/>
      </c>
      <c r="F49" s="21"/>
      <c r="G49" s="21"/>
      <c r="H49" s="21"/>
      <c r="I49" s="22"/>
      <c r="J49" s="21"/>
      <c r="K49" s="23"/>
    </row>
    <row r="50" spans="1:11" ht="19.5" customHeight="1">
      <c r="A50" s="20">
        <v>40</v>
      </c>
      <c r="B50" s="24"/>
      <c r="C50" s="24"/>
      <c r="D50" s="24" t="str">
        <f t="shared" si="0"/>
        <v/>
      </c>
      <c r="E50" s="24" t="str">
        <f t="shared" si="1"/>
        <v/>
      </c>
      <c r="F50" s="24"/>
      <c r="G50" s="24"/>
      <c r="H50" s="24"/>
      <c r="I50" s="22"/>
      <c r="J50" s="24"/>
      <c r="K50" s="25"/>
    </row>
    <row r="51" spans="1:11" ht="19.5" customHeight="1">
      <c r="A51" s="20">
        <v>41</v>
      </c>
      <c r="B51" s="21"/>
      <c r="C51" s="21"/>
      <c r="D51" s="21" t="str">
        <f t="shared" si="0"/>
        <v/>
      </c>
      <c r="E51" s="21" t="str">
        <f t="shared" si="1"/>
        <v/>
      </c>
      <c r="F51" s="21"/>
      <c r="G51" s="21"/>
      <c r="H51" s="21"/>
      <c r="I51" s="22"/>
      <c r="J51" s="21"/>
      <c r="K51" s="23"/>
    </row>
    <row r="52" spans="1:11" ht="19.5" customHeight="1">
      <c r="A52" s="20">
        <v>42</v>
      </c>
      <c r="B52" s="24"/>
      <c r="C52" s="24"/>
      <c r="D52" s="24" t="str">
        <f t="shared" si="0"/>
        <v/>
      </c>
      <c r="E52" s="24" t="str">
        <f t="shared" si="1"/>
        <v/>
      </c>
      <c r="F52" s="24"/>
      <c r="G52" s="24"/>
      <c r="H52" s="24"/>
      <c r="I52" s="22"/>
      <c r="J52" s="24"/>
      <c r="K52" s="25"/>
    </row>
    <row r="53" spans="1:11" ht="19.5" customHeight="1">
      <c r="A53" s="20">
        <v>43</v>
      </c>
      <c r="B53" s="21"/>
      <c r="C53" s="21"/>
      <c r="D53" s="21" t="str">
        <f t="shared" si="0"/>
        <v/>
      </c>
      <c r="E53" s="21" t="str">
        <f t="shared" si="1"/>
        <v/>
      </c>
      <c r="F53" s="21"/>
      <c r="G53" s="21"/>
      <c r="H53" s="21"/>
      <c r="I53" s="22"/>
      <c r="J53" s="21"/>
      <c r="K53" s="23"/>
    </row>
    <row r="54" spans="1:11" ht="19.5" customHeight="1">
      <c r="A54" s="20">
        <v>44</v>
      </c>
      <c r="B54" s="24"/>
      <c r="C54" s="24"/>
      <c r="D54" s="24" t="str">
        <f t="shared" si="0"/>
        <v/>
      </c>
      <c r="E54" s="24" t="str">
        <f t="shared" si="1"/>
        <v/>
      </c>
      <c r="F54" s="24"/>
      <c r="G54" s="24"/>
      <c r="H54" s="24"/>
      <c r="I54" s="22"/>
      <c r="J54" s="24"/>
      <c r="K54" s="25"/>
    </row>
    <row r="55" spans="1:11" ht="19.5" customHeight="1">
      <c r="A55" s="20">
        <v>45</v>
      </c>
      <c r="B55" s="21"/>
      <c r="C55" s="21"/>
      <c r="D55" s="21" t="str">
        <f t="shared" si="0"/>
        <v/>
      </c>
      <c r="E55" s="21" t="str">
        <f t="shared" si="1"/>
        <v/>
      </c>
      <c r="F55" s="21"/>
      <c r="G55" s="21"/>
      <c r="H55" s="21"/>
      <c r="I55" s="22"/>
      <c r="J55" s="21"/>
      <c r="K55" s="23"/>
    </row>
    <row r="56" spans="1:11" ht="19.5" customHeight="1">
      <c r="A56" s="20">
        <v>46</v>
      </c>
      <c r="B56" s="24"/>
      <c r="C56" s="24"/>
      <c r="D56" s="24" t="str">
        <f t="shared" si="0"/>
        <v/>
      </c>
      <c r="E56" s="24" t="str">
        <f t="shared" si="1"/>
        <v/>
      </c>
      <c r="F56" s="24"/>
      <c r="G56" s="24"/>
      <c r="H56" s="24"/>
      <c r="I56" s="22"/>
      <c r="J56" s="24"/>
      <c r="K56" s="25"/>
    </row>
    <row r="57" spans="1:11" ht="19.5" customHeight="1">
      <c r="A57" s="20">
        <v>47</v>
      </c>
      <c r="B57" s="21"/>
      <c r="C57" s="21"/>
      <c r="D57" s="21" t="str">
        <f t="shared" si="0"/>
        <v/>
      </c>
      <c r="E57" s="21" t="str">
        <f t="shared" si="1"/>
        <v/>
      </c>
      <c r="F57" s="21"/>
      <c r="G57" s="21"/>
      <c r="H57" s="21"/>
      <c r="I57" s="22"/>
      <c r="J57" s="21"/>
      <c r="K57" s="23"/>
    </row>
    <row r="58" spans="1:11" ht="19.5" customHeight="1">
      <c r="A58" s="20">
        <v>48</v>
      </c>
      <c r="B58" s="24"/>
      <c r="C58" s="24"/>
      <c r="D58" s="24" t="str">
        <f t="shared" si="0"/>
        <v/>
      </c>
      <c r="E58" s="24" t="str">
        <f t="shared" si="1"/>
        <v/>
      </c>
      <c r="F58" s="24"/>
      <c r="G58" s="24"/>
      <c r="H58" s="24"/>
      <c r="I58" s="22"/>
      <c r="J58" s="24"/>
      <c r="K58" s="25"/>
    </row>
    <row r="59" spans="1:11" ht="19.5" customHeight="1">
      <c r="A59" s="20">
        <v>49</v>
      </c>
      <c r="B59" s="21"/>
      <c r="C59" s="21"/>
      <c r="D59" s="21" t="str">
        <f t="shared" si="0"/>
        <v/>
      </c>
      <c r="E59" s="21" t="str">
        <f t="shared" si="1"/>
        <v/>
      </c>
      <c r="F59" s="21"/>
      <c r="G59" s="21"/>
      <c r="H59" s="21"/>
      <c r="I59" s="22"/>
      <c r="J59" s="21"/>
      <c r="K59" s="23"/>
    </row>
    <row r="60" spans="1:11" ht="19.5" customHeight="1">
      <c r="A60" s="20">
        <v>50</v>
      </c>
      <c r="B60" s="24"/>
      <c r="C60" s="24"/>
      <c r="D60" s="24" t="str">
        <f t="shared" si="0"/>
        <v/>
      </c>
      <c r="E60" s="24" t="str">
        <f t="shared" si="1"/>
        <v/>
      </c>
      <c r="F60" s="24"/>
      <c r="G60" s="24"/>
      <c r="H60" s="24"/>
      <c r="I60" s="22"/>
      <c r="J60" s="24"/>
      <c r="K60" s="25"/>
    </row>
    <row r="61" spans="1:11" ht="19.5" customHeight="1">
      <c r="A61" s="20">
        <v>51</v>
      </c>
      <c r="B61" s="21"/>
      <c r="C61" s="21"/>
      <c r="D61" s="21" t="str">
        <f t="shared" si="0"/>
        <v/>
      </c>
      <c r="E61" s="21" t="str">
        <f t="shared" si="1"/>
        <v/>
      </c>
      <c r="F61" s="21"/>
      <c r="G61" s="21"/>
      <c r="H61" s="21"/>
      <c r="I61" s="22"/>
      <c r="J61" s="21"/>
      <c r="K61" s="23"/>
    </row>
    <row r="62" spans="1:11" ht="19.5" customHeight="1">
      <c r="A62" s="20">
        <v>52</v>
      </c>
      <c r="B62" s="24"/>
      <c r="C62" s="24"/>
      <c r="D62" s="24" t="str">
        <f t="shared" si="0"/>
        <v/>
      </c>
      <c r="E62" s="24" t="str">
        <f t="shared" si="1"/>
        <v/>
      </c>
      <c r="F62" s="24"/>
      <c r="G62" s="24"/>
      <c r="H62" s="24"/>
      <c r="I62" s="22"/>
      <c r="J62" s="24"/>
      <c r="K62" s="25"/>
    </row>
    <row r="63" spans="1:11" ht="19.5" customHeight="1">
      <c r="A63" s="20">
        <v>53</v>
      </c>
      <c r="B63" s="21"/>
      <c r="C63" s="21"/>
      <c r="D63" s="21" t="str">
        <f t="shared" si="0"/>
        <v/>
      </c>
      <c r="E63" s="21" t="str">
        <f t="shared" si="1"/>
        <v/>
      </c>
      <c r="F63" s="21"/>
      <c r="G63" s="21"/>
      <c r="H63" s="21"/>
      <c r="I63" s="22"/>
      <c r="J63" s="21"/>
      <c r="K63" s="23"/>
    </row>
    <row r="64" spans="1:11" ht="19.5" customHeight="1">
      <c r="A64" s="20">
        <v>54</v>
      </c>
      <c r="B64" s="24"/>
      <c r="C64" s="24"/>
      <c r="D64" s="24" t="str">
        <f t="shared" si="0"/>
        <v/>
      </c>
      <c r="E64" s="24" t="str">
        <f t="shared" si="1"/>
        <v/>
      </c>
      <c r="F64" s="24"/>
      <c r="G64" s="24"/>
      <c r="H64" s="24"/>
      <c r="I64" s="22"/>
      <c r="J64" s="24"/>
      <c r="K64" s="25"/>
    </row>
    <row r="65" spans="1:11" ht="19.5" customHeight="1">
      <c r="A65" s="20">
        <v>55</v>
      </c>
      <c r="B65" s="21"/>
      <c r="C65" s="21"/>
      <c r="D65" s="21" t="str">
        <f t="shared" si="0"/>
        <v/>
      </c>
      <c r="E65" s="21" t="str">
        <f t="shared" si="1"/>
        <v/>
      </c>
      <c r="F65" s="21"/>
      <c r="G65" s="21"/>
      <c r="H65" s="21"/>
      <c r="I65" s="22"/>
      <c r="J65" s="21"/>
      <c r="K65" s="23"/>
    </row>
    <row r="66" spans="1:11" ht="19.5" customHeight="1">
      <c r="A66" s="20">
        <v>56</v>
      </c>
      <c r="B66" s="24"/>
      <c r="C66" s="24"/>
      <c r="D66" s="24" t="str">
        <f t="shared" si="0"/>
        <v/>
      </c>
      <c r="E66" s="24" t="str">
        <f t="shared" si="1"/>
        <v/>
      </c>
      <c r="F66" s="24"/>
      <c r="G66" s="24"/>
      <c r="H66" s="24"/>
      <c r="I66" s="22"/>
      <c r="J66" s="24"/>
      <c r="K66" s="25"/>
    </row>
    <row r="67" spans="1:11" ht="19.5" customHeight="1">
      <c r="A67" s="20">
        <v>57</v>
      </c>
      <c r="B67" s="21"/>
      <c r="C67" s="21"/>
      <c r="D67" s="21" t="str">
        <f t="shared" si="0"/>
        <v/>
      </c>
      <c r="E67" s="21" t="str">
        <f t="shared" si="1"/>
        <v/>
      </c>
      <c r="F67" s="21"/>
      <c r="G67" s="21"/>
      <c r="H67" s="21"/>
      <c r="I67" s="22"/>
      <c r="J67" s="21"/>
      <c r="K67" s="23"/>
    </row>
    <row r="68" spans="1:11" ht="19.5" customHeight="1">
      <c r="A68" s="20">
        <v>58</v>
      </c>
      <c r="B68" s="24"/>
      <c r="C68" s="24"/>
      <c r="D68" s="24" t="str">
        <f t="shared" si="0"/>
        <v/>
      </c>
      <c r="E68" s="24" t="str">
        <f t="shared" si="1"/>
        <v/>
      </c>
      <c r="F68" s="24"/>
      <c r="G68" s="24"/>
      <c r="H68" s="24"/>
      <c r="I68" s="22"/>
      <c r="J68" s="24"/>
      <c r="K68" s="25"/>
    </row>
    <row r="69" spans="1:11" ht="19.5" customHeight="1">
      <c r="A69" s="20">
        <v>59</v>
      </c>
      <c r="B69" s="21"/>
      <c r="C69" s="21"/>
      <c r="D69" s="21" t="str">
        <f t="shared" si="0"/>
        <v/>
      </c>
      <c r="E69" s="21" t="str">
        <f t="shared" si="1"/>
        <v/>
      </c>
      <c r="F69" s="21"/>
      <c r="G69" s="21"/>
      <c r="H69" s="21"/>
      <c r="I69" s="22"/>
      <c r="J69" s="21"/>
      <c r="K69" s="23"/>
    </row>
    <row r="70" spans="1:11" ht="19.5" customHeight="1">
      <c r="A70" s="20">
        <v>60</v>
      </c>
      <c r="B70" s="24"/>
      <c r="C70" s="24"/>
      <c r="D70" s="24" t="str">
        <f t="shared" si="0"/>
        <v/>
      </c>
      <c r="E70" s="24" t="str">
        <f t="shared" si="1"/>
        <v/>
      </c>
      <c r="F70" s="24"/>
      <c r="G70" s="24"/>
      <c r="H70" s="24"/>
      <c r="I70" s="22"/>
      <c r="J70" s="24"/>
      <c r="K70" s="25"/>
    </row>
    <row r="71" spans="1:11" ht="19.5" customHeight="1">
      <c r="A71" s="20">
        <v>61</v>
      </c>
      <c r="B71" s="21"/>
      <c r="C71" s="21"/>
      <c r="D71" s="21" t="str">
        <f t="shared" si="0"/>
        <v/>
      </c>
      <c r="E71" s="21" t="str">
        <f t="shared" si="1"/>
        <v/>
      </c>
      <c r="F71" s="21"/>
      <c r="G71" s="21"/>
      <c r="H71" s="21"/>
      <c r="I71" s="22"/>
      <c r="J71" s="21"/>
      <c r="K71" s="23"/>
    </row>
    <row r="72" spans="1:11" ht="19.5" customHeight="1">
      <c r="A72" s="20">
        <v>62</v>
      </c>
      <c r="B72" s="24"/>
      <c r="C72" s="24"/>
      <c r="D72" s="24" t="str">
        <f t="shared" si="0"/>
        <v/>
      </c>
      <c r="E72" s="24" t="str">
        <f t="shared" si="1"/>
        <v/>
      </c>
      <c r="F72" s="24"/>
      <c r="G72" s="24"/>
      <c r="H72" s="24"/>
      <c r="I72" s="22"/>
      <c r="J72" s="24"/>
      <c r="K72" s="25"/>
    </row>
    <row r="73" spans="1:11" ht="19.5" customHeight="1">
      <c r="A73" s="20">
        <v>63</v>
      </c>
      <c r="B73" s="21"/>
      <c r="C73" s="21"/>
      <c r="D73" s="21" t="str">
        <f t="shared" si="0"/>
        <v/>
      </c>
      <c r="E73" s="21" t="str">
        <f t="shared" si="1"/>
        <v/>
      </c>
      <c r="F73" s="21"/>
      <c r="G73" s="21"/>
      <c r="H73" s="21"/>
      <c r="I73" s="22"/>
      <c r="J73" s="21"/>
      <c r="K73" s="23"/>
    </row>
    <row r="74" spans="1:11" ht="19.5" customHeight="1">
      <c r="A74" s="20">
        <v>64</v>
      </c>
      <c r="B74" s="24"/>
      <c r="C74" s="24"/>
      <c r="D74" s="24" t="str">
        <f t="shared" si="0"/>
        <v/>
      </c>
      <c r="E74" s="24" t="str">
        <f t="shared" si="1"/>
        <v/>
      </c>
      <c r="F74" s="24"/>
      <c r="G74" s="24"/>
      <c r="H74" s="24"/>
      <c r="I74" s="22"/>
      <c r="J74" s="24"/>
      <c r="K74" s="25"/>
    </row>
    <row r="75" spans="1:11" ht="19.5" customHeight="1">
      <c r="A75" s="20">
        <v>65</v>
      </c>
      <c r="B75" s="21"/>
      <c r="C75" s="21"/>
      <c r="D75" s="21" t="str">
        <f t="shared" ref="D75:D138" si="2">IF(B75="","",PHONETIC(B75))</f>
        <v/>
      </c>
      <c r="E75" s="21" t="str">
        <f t="shared" ref="E75:E138" si="3">IF(C75="","",PHONETIC(C75))</f>
        <v/>
      </c>
      <c r="F75" s="21"/>
      <c r="G75" s="21"/>
      <c r="H75" s="21"/>
      <c r="I75" s="22"/>
      <c r="J75" s="21"/>
      <c r="K75" s="23"/>
    </row>
    <row r="76" spans="1:11" ht="19.5" customHeight="1">
      <c r="A76" s="20">
        <v>66</v>
      </c>
      <c r="B76" s="24"/>
      <c r="C76" s="24"/>
      <c r="D76" s="24" t="str">
        <f t="shared" si="2"/>
        <v/>
      </c>
      <c r="E76" s="24" t="str">
        <f t="shared" si="3"/>
        <v/>
      </c>
      <c r="F76" s="24"/>
      <c r="G76" s="24"/>
      <c r="H76" s="24"/>
      <c r="I76" s="22"/>
      <c r="J76" s="24"/>
      <c r="K76" s="25"/>
    </row>
    <row r="77" spans="1:11" ht="19.5" customHeight="1">
      <c r="A77" s="20">
        <v>67</v>
      </c>
      <c r="B77" s="21"/>
      <c r="C77" s="21"/>
      <c r="D77" s="21" t="str">
        <f t="shared" si="2"/>
        <v/>
      </c>
      <c r="E77" s="21" t="str">
        <f t="shared" si="3"/>
        <v/>
      </c>
      <c r="F77" s="21"/>
      <c r="G77" s="21"/>
      <c r="H77" s="21"/>
      <c r="I77" s="22"/>
      <c r="J77" s="21"/>
      <c r="K77" s="23"/>
    </row>
    <row r="78" spans="1:11" ht="19.5" customHeight="1">
      <c r="A78" s="20">
        <v>68</v>
      </c>
      <c r="B78" s="24"/>
      <c r="C78" s="24"/>
      <c r="D78" s="24" t="str">
        <f t="shared" si="2"/>
        <v/>
      </c>
      <c r="E78" s="24" t="str">
        <f t="shared" si="3"/>
        <v/>
      </c>
      <c r="F78" s="24"/>
      <c r="G78" s="24"/>
      <c r="H78" s="24"/>
      <c r="I78" s="22"/>
      <c r="J78" s="24"/>
      <c r="K78" s="25"/>
    </row>
    <row r="79" spans="1:11" ht="19.5" customHeight="1">
      <c r="A79" s="20">
        <v>69</v>
      </c>
      <c r="B79" s="21"/>
      <c r="C79" s="21"/>
      <c r="D79" s="21" t="str">
        <f t="shared" si="2"/>
        <v/>
      </c>
      <c r="E79" s="21" t="str">
        <f t="shared" si="3"/>
        <v/>
      </c>
      <c r="F79" s="21"/>
      <c r="G79" s="21"/>
      <c r="H79" s="21"/>
      <c r="I79" s="22"/>
      <c r="J79" s="21"/>
      <c r="K79" s="23"/>
    </row>
    <row r="80" spans="1:11" ht="19.5" customHeight="1">
      <c r="A80" s="20">
        <v>70</v>
      </c>
      <c r="B80" s="24"/>
      <c r="C80" s="24"/>
      <c r="D80" s="24" t="str">
        <f t="shared" si="2"/>
        <v/>
      </c>
      <c r="E80" s="24" t="str">
        <f t="shared" si="3"/>
        <v/>
      </c>
      <c r="F80" s="24"/>
      <c r="G80" s="24"/>
      <c r="H80" s="24"/>
      <c r="I80" s="22"/>
      <c r="J80" s="24"/>
      <c r="K80" s="25"/>
    </row>
    <row r="81" spans="1:11" ht="19.5" customHeight="1">
      <c r="A81" s="20">
        <v>71</v>
      </c>
      <c r="B81" s="21"/>
      <c r="C81" s="21"/>
      <c r="D81" s="21" t="str">
        <f t="shared" si="2"/>
        <v/>
      </c>
      <c r="E81" s="21" t="str">
        <f t="shared" si="3"/>
        <v/>
      </c>
      <c r="F81" s="21"/>
      <c r="G81" s="21"/>
      <c r="H81" s="21"/>
      <c r="I81" s="22"/>
      <c r="J81" s="21"/>
      <c r="K81" s="23"/>
    </row>
    <row r="82" spans="1:11" ht="19.5" customHeight="1">
      <c r="A82" s="20">
        <v>72</v>
      </c>
      <c r="B82" s="24"/>
      <c r="C82" s="24"/>
      <c r="D82" s="24" t="str">
        <f t="shared" si="2"/>
        <v/>
      </c>
      <c r="E82" s="24" t="str">
        <f t="shared" si="3"/>
        <v/>
      </c>
      <c r="F82" s="24"/>
      <c r="G82" s="24"/>
      <c r="H82" s="24"/>
      <c r="I82" s="22"/>
      <c r="J82" s="24"/>
      <c r="K82" s="25"/>
    </row>
    <row r="83" spans="1:11" ht="19.5" customHeight="1">
      <c r="A83" s="20">
        <v>73</v>
      </c>
      <c r="B83" s="21"/>
      <c r="C83" s="21"/>
      <c r="D83" s="21" t="str">
        <f t="shared" si="2"/>
        <v/>
      </c>
      <c r="E83" s="21" t="str">
        <f t="shared" si="3"/>
        <v/>
      </c>
      <c r="F83" s="21"/>
      <c r="G83" s="21"/>
      <c r="H83" s="21"/>
      <c r="I83" s="22"/>
      <c r="J83" s="21"/>
      <c r="K83" s="23"/>
    </row>
    <row r="84" spans="1:11" ht="19.5" customHeight="1">
      <c r="A84" s="20">
        <v>74</v>
      </c>
      <c r="B84" s="24"/>
      <c r="C84" s="24"/>
      <c r="D84" s="24" t="str">
        <f t="shared" si="2"/>
        <v/>
      </c>
      <c r="E84" s="24" t="str">
        <f t="shared" si="3"/>
        <v/>
      </c>
      <c r="F84" s="24"/>
      <c r="G84" s="24"/>
      <c r="H84" s="24"/>
      <c r="I84" s="22"/>
      <c r="J84" s="24"/>
      <c r="K84" s="25"/>
    </row>
    <row r="85" spans="1:11" ht="19.5" customHeight="1">
      <c r="A85" s="20">
        <v>75</v>
      </c>
      <c r="B85" s="21"/>
      <c r="C85" s="21"/>
      <c r="D85" s="21" t="str">
        <f t="shared" si="2"/>
        <v/>
      </c>
      <c r="E85" s="21" t="str">
        <f t="shared" si="3"/>
        <v/>
      </c>
      <c r="F85" s="21"/>
      <c r="G85" s="21"/>
      <c r="H85" s="21"/>
      <c r="I85" s="22"/>
      <c r="J85" s="21"/>
      <c r="K85" s="23"/>
    </row>
    <row r="86" spans="1:11" ht="19.5" customHeight="1">
      <c r="A86" s="20">
        <v>76</v>
      </c>
      <c r="B86" s="24"/>
      <c r="C86" s="24"/>
      <c r="D86" s="24" t="str">
        <f t="shared" si="2"/>
        <v/>
      </c>
      <c r="E86" s="24" t="str">
        <f t="shared" si="3"/>
        <v/>
      </c>
      <c r="F86" s="24"/>
      <c r="G86" s="24"/>
      <c r="H86" s="24"/>
      <c r="I86" s="22"/>
      <c r="J86" s="24"/>
      <c r="K86" s="25"/>
    </row>
    <row r="87" spans="1:11" ht="19.5" customHeight="1">
      <c r="A87" s="20">
        <v>77</v>
      </c>
      <c r="B87" s="21"/>
      <c r="C87" s="21"/>
      <c r="D87" s="21" t="str">
        <f t="shared" si="2"/>
        <v/>
      </c>
      <c r="E87" s="21" t="str">
        <f t="shared" si="3"/>
        <v/>
      </c>
      <c r="F87" s="21"/>
      <c r="G87" s="21"/>
      <c r="H87" s="21"/>
      <c r="I87" s="22"/>
      <c r="J87" s="21"/>
      <c r="K87" s="23"/>
    </row>
    <row r="88" spans="1:11" ht="19.5" customHeight="1">
      <c r="A88" s="20">
        <v>78</v>
      </c>
      <c r="B88" s="24"/>
      <c r="C88" s="24"/>
      <c r="D88" s="24" t="str">
        <f t="shared" si="2"/>
        <v/>
      </c>
      <c r="E88" s="24" t="str">
        <f t="shared" si="3"/>
        <v/>
      </c>
      <c r="F88" s="24"/>
      <c r="G88" s="24"/>
      <c r="H88" s="24"/>
      <c r="I88" s="22"/>
      <c r="J88" s="24"/>
      <c r="K88" s="25"/>
    </row>
    <row r="89" spans="1:11" ht="19.5" customHeight="1">
      <c r="A89" s="20">
        <v>79</v>
      </c>
      <c r="B89" s="21"/>
      <c r="C89" s="21"/>
      <c r="D89" s="21" t="str">
        <f t="shared" si="2"/>
        <v/>
      </c>
      <c r="E89" s="21" t="str">
        <f t="shared" si="3"/>
        <v/>
      </c>
      <c r="F89" s="21"/>
      <c r="G89" s="21"/>
      <c r="H89" s="21"/>
      <c r="I89" s="22"/>
      <c r="J89" s="21"/>
      <c r="K89" s="23"/>
    </row>
    <row r="90" spans="1:11" ht="19.5" customHeight="1">
      <c r="A90" s="20">
        <v>80</v>
      </c>
      <c r="B90" s="24"/>
      <c r="C90" s="24"/>
      <c r="D90" s="24" t="str">
        <f t="shared" si="2"/>
        <v/>
      </c>
      <c r="E90" s="24" t="str">
        <f t="shared" si="3"/>
        <v/>
      </c>
      <c r="F90" s="24"/>
      <c r="G90" s="24"/>
      <c r="H90" s="24"/>
      <c r="I90" s="22"/>
      <c r="J90" s="24"/>
      <c r="K90" s="25"/>
    </row>
    <row r="91" spans="1:11" ht="19.5" customHeight="1">
      <c r="A91" s="20">
        <v>81</v>
      </c>
      <c r="B91" s="21"/>
      <c r="C91" s="21"/>
      <c r="D91" s="21" t="str">
        <f t="shared" si="2"/>
        <v/>
      </c>
      <c r="E91" s="21" t="str">
        <f t="shared" si="3"/>
        <v/>
      </c>
      <c r="F91" s="21"/>
      <c r="G91" s="21"/>
      <c r="H91" s="21"/>
      <c r="I91" s="22"/>
      <c r="J91" s="21"/>
      <c r="K91" s="23"/>
    </row>
    <row r="92" spans="1:11" ht="19.5" customHeight="1">
      <c r="A92" s="20">
        <v>82</v>
      </c>
      <c r="B92" s="24"/>
      <c r="C92" s="24"/>
      <c r="D92" s="24" t="str">
        <f t="shared" si="2"/>
        <v/>
      </c>
      <c r="E92" s="24" t="str">
        <f t="shared" si="3"/>
        <v/>
      </c>
      <c r="F92" s="24"/>
      <c r="G92" s="24"/>
      <c r="H92" s="24"/>
      <c r="I92" s="22"/>
      <c r="J92" s="24"/>
      <c r="K92" s="25"/>
    </row>
    <row r="93" spans="1:11" ht="19.5" customHeight="1">
      <c r="A93" s="20">
        <v>83</v>
      </c>
      <c r="B93" s="21"/>
      <c r="C93" s="21"/>
      <c r="D93" s="21" t="str">
        <f t="shared" si="2"/>
        <v/>
      </c>
      <c r="E93" s="21" t="str">
        <f t="shared" si="3"/>
        <v/>
      </c>
      <c r="F93" s="21"/>
      <c r="G93" s="21"/>
      <c r="H93" s="21"/>
      <c r="I93" s="22"/>
      <c r="J93" s="21"/>
      <c r="K93" s="23"/>
    </row>
    <row r="94" spans="1:11" ht="19.5" customHeight="1">
      <c r="A94" s="20">
        <v>84</v>
      </c>
      <c r="B94" s="24"/>
      <c r="C94" s="24"/>
      <c r="D94" s="24" t="str">
        <f t="shared" si="2"/>
        <v/>
      </c>
      <c r="E94" s="24" t="str">
        <f t="shared" si="3"/>
        <v/>
      </c>
      <c r="F94" s="24"/>
      <c r="G94" s="24"/>
      <c r="H94" s="24"/>
      <c r="I94" s="22"/>
      <c r="J94" s="24"/>
      <c r="K94" s="25"/>
    </row>
    <row r="95" spans="1:11" ht="19.5" customHeight="1">
      <c r="A95" s="20">
        <v>85</v>
      </c>
      <c r="B95" s="21"/>
      <c r="C95" s="21"/>
      <c r="D95" s="21" t="str">
        <f t="shared" si="2"/>
        <v/>
      </c>
      <c r="E95" s="21" t="str">
        <f t="shared" si="3"/>
        <v/>
      </c>
      <c r="F95" s="21"/>
      <c r="G95" s="21"/>
      <c r="H95" s="21"/>
      <c r="I95" s="22"/>
      <c r="J95" s="21"/>
      <c r="K95" s="23"/>
    </row>
    <row r="96" spans="1:11" ht="19.5" customHeight="1">
      <c r="A96" s="20">
        <v>86</v>
      </c>
      <c r="B96" s="24"/>
      <c r="C96" s="24"/>
      <c r="D96" s="24" t="str">
        <f t="shared" si="2"/>
        <v/>
      </c>
      <c r="E96" s="24" t="str">
        <f t="shared" si="3"/>
        <v/>
      </c>
      <c r="F96" s="24"/>
      <c r="G96" s="24"/>
      <c r="H96" s="24"/>
      <c r="I96" s="22"/>
      <c r="J96" s="24"/>
      <c r="K96" s="25"/>
    </row>
    <row r="97" spans="1:11" ht="19.5" customHeight="1">
      <c r="A97" s="20">
        <v>87</v>
      </c>
      <c r="B97" s="21"/>
      <c r="C97" s="21"/>
      <c r="D97" s="21" t="str">
        <f t="shared" si="2"/>
        <v/>
      </c>
      <c r="E97" s="21" t="str">
        <f t="shared" si="3"/>
        <v/>
      </c>
      <c r="F97" s="21"/>
      <c r="G97" s="21"/>
      <c r="H97" s="21"/>
      <c r="I97" s="22"/>
      <c r="J97" s="21"/>
      <c r="K97" s="23"/>
    </row>
    <row r="98" spans="1:11" ht="19.5" customHeight="1">
      <c r="A98" s="20">
        <v>88</v>
      </c>
      <c r="B98" s="24"/>
      <c r="C98" s="24"/>
      <c r="D98" s="24" t="str">
        <f t="shared" si="2"/>
        <v/>
      </c>
      <c r="E98" s="24" t="str">
        <f t="shared" si="3"/>
        <v/>
      </c>
      <c r="F98" s="24"/>
      <c r="G98" s="24"/>
      <c r="H98" s="24"/>
      <c r="I98" s="22"/>
      <c r="J98" s="24"/>
      <c r="K98" s="25"/>
    </row>
    <row r="99" spans="1:11" ht="19.5" customHeight="1">
      <c r="A99" s="20">
        <v>89</v>
      </c>
      <c r="B99" s="21"/>
      <c r="C99" s="21"/>
      <c r="D99" s="21" t="str">
        <f t="shared" si="2"/>
        <v/>
      </c>
      <c r="E99" s="21" t="str">
        <f t="shared" si="3"/>
        <v/>
      </c>
      <c r="F99" s="21"/>
      <c r="G99" s="21"/>
      <c r="H99" s="21"/>
      <c r="I99" s="22"/>
      <c r="J99" s="21"/>
      <c r="K99" s="23"/>
    </row>
    <row r="100" spans="1:11" ht="19.5" customHeight="1">
      <c r="A100" s="20">
        <v>90</v>
      </c>
      <c r="B100" s="24"/>
      <c r="C100" s="24"/>
      <c r="D100" s="24" t="str">
        <f t="shared" si="2"/>
        <v/>
      </c>
      <c r="E100" s="24" t="str">
        <f t="shared" si="3"/>
        <v/>
      </c>
      <c r="F100" s="24"/>
      <c r="G100" s="24"/>
      <c r="H100" s="24"/>
      <c r="I100" s="22"/>
      <c r="J100" s="24"/>
      <c r="K100" s="25"/>
    </row>
    <row r="101" spans="1:11" ht="19.5" customHeight="1">
      <c r="A101" s="20">
        <v>91</v>
      </c>
      <c r="B101" s="21"/>
      <c r="C101" s="21"/>
      <c r="D101" s="21" t="str">
        <f t="shared" si="2"/>
        <v/>
      </c>
      <c r="E101" s="21" t="str">
        <f t="shared" si="3"/>
        <v/>
      </c>
      <c r="F101" s="21"/>
      <c r="G101" s="21"/>
      <c r="H101" s="21"/>
      <c r="I101" s="22"/>
      <c r="J101" s="21"/>
      <c r="K101" s="23"/>
    </row>
    <row r="102" spans="1:11" ht="19.5" customHeight="1">
      <c r="A102" s="20">
        <v>92</v>
      </c>
      <c r="B102" s="24"/>
      <c r="C102" s="24"/>
      <c r="D102" s="24" t="str">
        <f t="shared" si="2"/>
        <v/>
      </c>
      <c r="E102" s="24" t="str">
        <f t="shared" si="3"/>
        <v/>
      </c>
      <c r="F102" s="24"/>
      <c r="G102" s="24"/>
      <c r="H102" s="24"/>
      <c r="I102" s="22"/>
      <c r="J102" s="24"/>
      <c r="K102" s="25"/>
    </row>
    <row r="103" spans="1:11" ht="19.5" customHeight="1">
      <c r="A103" s="20">
        <v>93</v>
      </c>
      <c r="B103" s="21"/>
      <c r="C103" s="21"/>
      <c r="D103" s="21" t="str">
        <f t="shared" si="2"/>
        <v/>
      </c>
      <c r="E103" s="21" t="str">
        <f t="shared" si="3"/>
        <v/>
      </c>
      <c r="F103" s="21"/>
      <c r="G103" s="21"/>
      <c r="H103" s="21"/>
      <c r="I103" s="22"/>
      <c r="J103" s="21"/>
      <c r="K103" s="23"/>
    </row>
    <row r="104" spans="1:11" ht="19.5" customHeight="1">
      <c r="A104" s="20">
        <v>94</v>
      </c>
      <c r="B104" s="24"/>
      <c r="C104" s="24"/>
      <c r="D104" s="24" t="str">
        <f t="shared" si="2"/>
        <v/>
      </c>
      <c r="E104" s="24" t="str">
        <f t="shared" si="3"/>
        <v/>
      </c>
      <c r="F104" s="24"/>
      <c r="G104" s="24"/>
      <c r="H104" s="24"/>
      <c r="I104" s="22"/>
      <c r="J104" s="24"/>
      <c r="K104" s="25"/>
    </row>
    <row r="105" spans="1:11" ht="19.5" customHeight="1">
      <c r="A105" s="20">
        <v>95</v>
      </c>
      <c r="B105" s="21"/>
      <c r="C105" s="21"/>
      <c r="D105" s="21" t="str">
        <f t="shared" si="2"/>
        <v/>
      </c>
      <c r="E105" s="21" t="str">
        <f t="shared" si="3"/>
        <v/>
      </c>
      <c r="F105" s="21"/>
      <c r="G105" s="21"/>
      <c r="H105" s="21"/>
      <c r="I105" s="22"/>
      <c r="J105" s="21"/>
      <c r="K105" s="23"/>
    </row>
    <row r="106" spans="1:11" ht="19.5" customHeight="1">
      <c r="A106" s="20">
        <v>96</v>
      </c>
      <c r="B106" s="24"/>
      <c r="C106" s="24"/>
      <c r="D106" s="24" t="str">
        <f t="shared" si="2"/>
        <v/>
      </c>
      <c r="E106" s="24" t="str">
        <f t="shared" si="3"/>
        <v/>
      </c>
      <c r="F106" s="24"/>
      <c r="G106" s="24"/>
      <c r="H106" s="24"/>
      <c r="I106" s="22"/>
      <c r="J106" s="24"/>
      <c r="K106" s="25"/>
    </row>
    <row r="107" spans="1:11" ht="19.5" customHeight="1">
      <c r="A107" s="20">
        <v>97</v>
      </c>
      <c r="B107" s="21"/>
      <c r="C107" s="21"/>
      <c r="D107" s="21" t="str">
        <f t="shared" si="2"/>
        <v/>
      </c>
      <c r="E107" s="21" t="str">
        <f t="shared" si="3"/>
        <v/>
      </c>
      <c r="F107" s="21"/>
      <c r="G107" s="21"/>
      <c r="H107" s="21"/>
      <c r="I107" s="22"/>
      <c r="J107" s="21"/>
      <c r="K107" s="23"/>
    </row>
    <row r="108" spans="1:11" ht="19.5" customHeight="1">
      <c r="A108" s="20">
        <v>98</v>
      </c>
      <c r="B108" s="24"/>
      <c r="C108" s="24"/>
      <c r="D108" s="24" t="str">
        <f t="shared" si="2"/>
        <v/>
      </c>
      <c r="E108" s="24" t="str">
        <f t="shared" si="3"/>
        <v/>
      </c>
      <c r="F108" s="24"/>
      <c r="G108" s="24"/>
      <c r="H108" s="24"/>
      <c r="I108" s="22"/>
      <c r="J108" s="24"/>
      <c r="K108" s="25"/>
    </row>
    <row r="109" spans="1:11" ht="19.5" customHeight="1">
      <c r="A109" s="20">
        <v>99</v>
      </c>
      <c r="B109" s="21"/>
      <c r="C109" s="21"/>
      <c r="D109" s="21" t="str">
        <f t="shared" si="2"/>
        <v/>
      </c>
      <c r="E109" s="21" t="str">
        <f t="shared" si="3"/>
        <v/>
      </c>
      <c r="F109" s="21"/>
      <c r="G109" s="21"/>
      <c r="H109" s="21"/>
      <c r="I109" s="22"/>
      <c r="J109" s="21"/>
      <c r="K109" s="23"/>
    </row>
    <row r="110" spans="1:11" ht="19.5" customHeight="1">
      <c r="A110" s="20">
        <v>100</v>
      </c>
      <c r="B110" s="24"/>
      <c r="C110" s="24"/>
      <c r="D110" s="24" t="str">
        <f t="shared" si="2"/>
        <v/>
      </c>
      <c r="E110" s="24" t="str">
        <f t="shared" si="3"/>
        <v/>
      </c>
      <c r="F110" s="24"/>
      <c r="G110" s="24"/>
      <c r="H110" s="24"/>
      <c r="I110" s="22"/>
      <c r="J110" s="24"/>
      <c r="K110" s="25"/>
    </row>
    <row r="111" spans="1:11" ht="19.5" customHeight="1">
      <c r="A111" s="20">
        <v>101</v>
      </c>
      <c r="B111" s="21"/>
      <c r="C111" s="21"/>
      <c r="D111" s="21" t="str">
        <f t="shared" si="2"/>
        <v/>
      </c>
      <c r="E111" s="21" t="str">
        <f t="shared" si="3"/>
        <v/>
      </c>
      <c r="F111" s="21"/>
      <c r="G111" s="21"/>
      <c r="H111" s="21"/>
      <c r="I111" s="22"/>
      <c r="J111" s="21"/>
      <c r="K111" s="23"/>
    </row>
    <row r="112" spans="1:11" ht="19.5" customHeight="1">
      <c r="A112" s="20">
        <v>102</v>
      </c>
      <c r="B112" s="24"/>
      <c r="C112" s="24"/>
      <c r="D112" s="24" t="str">
        <f t="shared" si="2"/>
        <v/>
      </c>
      <c r="E112" s="24" t="str">
        <f t="shared" si="3"/>
        <v/>
      </c>
      <c r="F112" s="24"/>
      <c r="G112" s="24"/>
      <c r="H112" s="24"/>
      <c r="I112" s="22"/>
      <c r="J112" s="24"/>
      <c r="K112" s="25"/>
    </row>
    <row r="113" spans="1:11" ht="19.5" customHeight="1">
      <c r="A113" s="20">
        <v>103</v>
      </c>
      <c r="B113" s="21"/>
      <c r="C113" s="21"/>
      <c r="D113" s="21" t="str">
        <f t="shared" si="2"/>
        <v/>
      </c>
      <c r="E113" s="21" t="str">
        <f t="shared" si="3"/>
        <v/>
      </c>
      <c r="F113" s="21"/>
      <c r="G113" s="21"/>
      <c r="H113" s="21"/>
      <c r="I113" s="22"/>
      <c r="J113" s="21"/>
      <c r="K113" s="23"/>
    </row>
    <row r="114" spans="1:11" ht="19.5" customHeight="1">
      <c r="A114" s="20">
        <v>104</v>
      </c>
      <c r="B114" s="24"/>
      <c r="C114" s="24"/>
      <c r="D114" s="24" t="str">
        <f t="shared" si="2"/>
        <v/>
      </c>
      <c r="E114" s="24" t="str">
        <f t="shared" si="3"/>
        <v/>
      </c>
      <c r="F114" s="24"/>
      <c r="G114" s="24"/>
      <c r="H114" s="24"/>
      <c r="I114" s="22"/>
      <c r="J114" s="24"/>
      <c r="K114" s="25"/>
    </row>
    <row r="115" spans="1:11" ht="19.5" customHeight="1">
      <c r="A115" s="20">
        <v>105</v>
      </c>
      <c r="B115" s="21"/>
      <c r="C115" s="21"/>
      <c r="D115" s="21" t="str">
        <f t="shared" si="2"/>
        <v/>
      </c>
      <c r="E115" s="21" t="str">
        <f t="shared" si="3"/>
        <v/>
      </c>
      <c r="F115" s="21"/>
      <c r="G115" s="21"/>
      <c r="H115" s="21"/>
      <c r="I115" s="22"/>
      <c r="J115" s="21"/>
      <c r="K115" s="23"/>
    </row>
    <row r="116" spans="1:11" ht="19.5" customHeight="1">
      <c r="A116" s="20">
        <v>106</v>
      </c>
      <c r="B116" s="24"/>
      <c r="C116" s="24"/>
      <c r="D116" s="24" t="str">
        <f t="shared" si="2"/>
        <v/>
      </c>
      <c r="E116" s="24" t="str">
        <f t="shared" si="3"/>
        <v/>
      </c>
      <c r="F116" s="24"/>
      <c r="G116" s="24"/>
      <c r="H116" s="24"/>
      <c r="I116" s="22"/>
      <c r="J116" s="24"/>
      <c r="K116" s="25"/>
    </row>
    <row r="117" spans="1:11" ht="19.5" customHeight="1">
      <c r="A117" s="20">
        <v>107</v>
      </c>
      <c r="B117" s="21"/>
      <c r="C117" s="21"/>
      <c r="D117" s="21" t="str">
        <f t="shared" si="2"/>
        <v/>
      </c>
      <c r="E117" s="21" t="str">
        <f t="shared" si="3"/>
        <v/>
      </c>
      <c r="F117" s="21"/>
      <c r="G117" s="21"/>
      <c r="H117" s="21"/>
      <c r="I117" s="22"/>
      <c r="J117" s="21"/>
      <c r="K117" s="23"/>
    </row>
    <row r="118" spans="1:11" ht="19.5" customHeight="1">
      <c r="A118" s="20">
        <v>108</v>
      </c>
      <c r="B118" s="24"/>
      <c r="C118" s="24"/>
      <c r="D118" s="24" t="str">
        <f t="shared" si="2"/>
        <v/>
      </c>
      <c r="E118" s="24" t="str">
        <f t="shared" si="3"/>
        <v/>
      </c>
      <c r="F118" s="24"/>
      <c r="G118" s="24"/>
      <c r="H118" s="24"/>
      <c r="I118" s="22"/>
      <c r="J118" s="24"/>
      <c r="K118" s="25"/>
    </row>
    <row r="119" spans="1:11" ht="19.5" customHeight="1">
      <c r="A119" s="20">
        <v>109</v>
      </c>
      <c r="B119" s="21"/>
      <c r="C119" s="21"/>
      <c r="D119" s="21" t="str">
        <f t="shared" si="2"/>
        <v/>
      </c>
      <c r="E119" s="21" t="str">
        <f t="shared" si="3"/>
        <v/>
      </c>
      <c r="F119" s="21"/>
      <c r="G119" s="21"/>
      <c r="H119" s="21"/>
      <c r="I119" s="22"/>
      <c r="J119" s="21"/>
      <c r="K119" s="23"/>
    </row>
    <row r="120" spans="1:11" ht="19.5" customHeight="1">
      <c r="A120" s="20">
        <v>110</v>
      </c>
      <c r="B120" s="24"/>
      <c r="C120" s="24"/>
      <c r="D120" s="24" t="str">
        <f t="shared" si="2"/>
        <v/>
      </c>
      <c r="E120" s="24" t="str">
        <f t="shared" si="3"/>
        <v/>
      </c>
      <c r="F120" s="24"/>
      <c r="G120" s="24"/>
      <c r="H120" s="24"/>
      <c r="I120" s="22"/>
      <c r="J120" s="24"/>
      <c r="K120" s="25"/>
    </row>
    <row r="121" spans="1:11" ht="19.5" customHeight="1">
      <c r="A121" s="20">
        <v>111</v>
      </c>
      <c r="B121" s="21"/>
      <c r="C121" s="21"/>
      <c r="D121" s="21" t="str">
        <f t="shared" si="2"/>
        <v/>
      </c>
      <c r="E121" s="21" t="str">
        <f t="shared" si="3"/>
        <v/>
      </c>
      <c r="F121" s="21"/>
      <c r="G121" s="21"/>
      <c r="H121" s="21"/>
      <c r="I121" s="22"/>
      <c r="J121" s="21"/>
      <c r="K121" s="23"/>
    </row>
    <row r="122" spans="1:11" ht="19.5" customHeight="1">
      <c r="A122" s="20">
        <v>112</v>
      </c>
      <c r="B122" s="24"/>
      <c r="C122" s="24"/>
      <c r="D122" s="24" t="str">
        <f t="shared" si="2"/>
        <v/>
      </c>
      <c r="E122" s="24" t="str">
        <f t="shared" si="3"/>
        <v/>
      </c>
      <c r="F122" s="24"/>
      <c r="G122" s="24"/>
      <c r="H122" s="24"/>
      <c r="I122" s="22"/>
      <c r="J122" s="24"/>
      <c r="K122" s="25"/>
    </row>
    <row r="123" spans="1:11" ht="19.5" customHeight="1">
      <c r="A123" s="20">
        <v>113</v>
      </c>
      <c r="B123" s="21"/>
      <c r="C123" s="21"/>
      <c r="D123" s="21" t="str">
        <f t="shared" si="2"/>
        <v/>
      </c>
      <c r="E123" s="21" t="str">
        <f t="shared" si="3"/>
        <v/>
      </c>
      <c r="F123" s="21"/>
      <c r="G123" s="21"/>
      <c r="H123" s="21"/>
      <c r="I123" s="22"/>
      <c r="J123" s="21"/>
      <c r="K123" s="23"/>
    </row>
    <row r="124" spans="1:11" ht="19.5" customHeight="1">
      <c r="A124" s="20">
        <v>114</v>
      </c>
      <c r="B124" s="24"/>
      <c r="C124" s="24"/>
      <c r="D124" s="24" t="str">
        <f t="shared" si="2"/>
        <v/>
      </c>
      <c r="E124" s="24" t="str">
        <f t="shared" si="3"/>
        <v/>
      </c>
      <c r="F124" s="24"/>
      <c r="G124" s="24"/>
      <c r="H124" s="24"/>
      <c r="I124" s="22"/>
      <c r="J124" s="24"/>
      <c r="K124" s="25"/>
    </row>
    <row r="125" spans="1:11" ht="19.5" customHeight="1">
      <c r="A125" s="20">
        <v>115</v>
      </c>
      <c r="B125" s="21"/>
      <c r="C125" s="21"/>
      <c r="D125" s="21" t="str">
        <f t="shared" si="2"/>
        <v/>
      </c>
      <c r="E125" s="21" t="str">
        <f t="shared" si="3"/>
        <v/>
      </c>
      <c r="F125" s="21"/>
      <c r="G125" s="21"/>
      <c r="H125" s="21"/>
      <c r="I125" s="22"/>
      <c r="J125" s="21"/>
      <c r="K125" s="23"/>
    </row>
    <row r="126" spans="1:11" ht="19.5" customHeight="1">
      <c r="A126" s="20">
        <v>116</v>
      </c>
      <c r="B126" s="24"/>
      <c r="C126" s="24"/>
      <c r="D126" s="24" t="str">
        <f t="shared" si="2"/>
        <v/>
      </c>
      <c r="E126" s="24" t="str">
        <f t="shared" si="3"/>
        <v/>
      </c>
      <c r="F126" s="24"/>
      <c r="G126" s="24"/>
      <c r="H126" s="24"/>
      <c r="I126" s="22"/>
      <c r="J126" s="24"/>
      <c r="K126" s="25"/>
    </row>
    <row r="127" spans="1:11" ht="19.5" customHeight="1">
      <c r="A127" s="20">
        <v>117</v>
      </c>
      <c r="B127" s="21"/>
      <c r="C127" s="21"/>
      <c r="D127" s="21" t="str">
        <f t="shared" si="2"/>
        <v/>
      </c>
      <c r="E127" s="21" t="str">
        <f t="shared" si="3"/>
        <v/>
      </c>
      <c r="F127" s="21"/>
      <c r="G127" s="21"/>
      <c r="H127" s="21"/>
      <c r="I127" s="22"/>
      <c r="J127" s="21"/>
      <c r="K127" s="23"/>
    </row>
    <row r="128" spans="1:11" ht="19.5" customHeight="1">
      <c r="A128" s="20">
        <v>118</v>
      </c>
      <c r="B128" s="24"/>
      <c r="C128" s="24"/>
      <c r="D128" s="24" t="str">
        <f t="shared" si="2"/>
        <v/>
      </c>
      <c r="E128" s="24" t="str">
        <f t="shared" si="3"/>
        <v/>
      </c>
      <c r="F128" s="24"/>
      <c r="G128" s="24"/>
      <c r="H128" s="24"/>
      <c r="I128" s="22"/>
      <c r="J128" s="24"/>
      <c r="K128" s="25"/>
    </row>
    <row r="129" spans="1:11" ht="19.5" customHeight="1">
      <c r="A129" s="20">
        <v>119</v>
      </c>
      <c r="B129" s="21"/>
      <c r="C129" s="21"/>
      <c r="D129" s="21" t="str">
        <f t="shared" si="2"/>
        <v/>
      </c>
      <c r="E129" s="21" t="str">
        <f t="shared" si="3"/>
        <v/>
      </c>
      <c r="F129" s="21"/>
      <c r="G129" s="21"/>
      <c r="H129" s="21"/>
      <c r="I129" s="22"/>
      <c r="J129" s="21"/>
      <c r="K129" s="23"/>
    </row>
    <row r="130" spans="1:11" ht="19.5" customHeight="1">
      <c r="A130" s="20">
        <v>120</v>
      </c>
      <c r="B130" s="24"/>
      <c r="C130" s="24"/>
      <c r="D130" s="24" t="str">
        <f t="shared" si="2"/>
        <v/>
      </c>
      <c r="E130" s="24" t="str">
        <f t="shared" si="3"/>
        <v/>
      </c>
      <c r="F130" s="24"/>
      <c r="G130" s="24"/>
      <c r="H130" s="24"/>
      <c r="I130" s="22"/>
      <c r="J130" s="24"/>
      <c r="K130" s="25"/>
    </row>
    <row r="131" spans="1:11" ht="19.5" customHeight="1">
      <c r="A131" s="20">
        <v>121</v>
      </c>
      <c r="B131" s="21"/>
      <c r="C131" s="21"/>
      <c r="D131" s="21" t="str">
        <f t="shared" si="2"/>
        <v/>
      </c>
      <c r="E131" s="21" t="str">
        <f t="shared" si="3"/>
        <v/>
      </c>
      <c r="F131" s="21"/>
      <c r="G131" s="21"/>
      <c r="H131" s="21"/>
      <c r="I131" s="22"/>
      <c r="J131" s="21"/>
      <c r="K131" s="23"/>
    </row>
    <row r="132" spans="1:11" ht="19.5" customHeight="1">
      <c r="A132" s="20">
        <v>122</v>
      </c>
      <c r="B132" s="24"/>
      <c r="C132" s="24"/>
      <c r="D132" s="24" t="str">
        <f t="shared" si="2"/>
        <v/>
      </c>
      <c r="E132" s="24" t="str">
        <f t="shared" si="3"/>
        <v/>
      </c>
      <c r="F132" s="24"/>
      <c r="G132" s="24"/>
      <c r="H132" s="24"/>
      <c r="I132" s="22"/>
      <c r="J132" s="24"/>
      <c r="K132" s="25"/>
    </row>
    <row r="133" spans="1:11" ht="19.5" customHeight="1">
      <c r="A133" s="20">
        <v>123</v>
      </c>
      <c r="B133" s="21"/>
      <c r="C133" s="21"/>
      <c r="D133" s="21" t="str">
        <f t="shared" si="2"/>
        <v/>
      </c>
      <c r="E133" s="21" t="str">
        <f t="shared" si="3"/>
        <v/>
      </c>
      <c r="F133" s="21"/>
      <c r="G133" s="21"/>
      <c r="H133" s="21"/>
      <c r="I133" s="22"/>
      <c r="J133" s="21"/>
      <c r="K133" s="23"/>
    </row>
    <row r="134" spans="1:11" ht="19.5" customHeight="1">
      <c r="A134" s="20">
        <v>124</v>
      </c>
      <c r="B134" s="24"/>
      <c r="C134" s="24"/>
      <c r="D134" s="24" t="str">
        <f t="shared" si="2"/>
        <v/>
      </c>
      <c r="E134" s="24" t="str">
        <f t="shared" si="3"/>
        <v/>
      </c>
      <c r="F134" s="24"/>
      <c r="G134" s="24"/>
      <c r="H134" s="24"/>
      <c r="I134" s="22"/>
      <c r="J134" s="24"/>
      <c r="K134" s="25"/>
    </row>
    <row r="135" spans="1:11" ht="19.5" customHeight="1">
      <c r="A135" s="20">
        <v>125</v>
      </c>
      <c r="B135" s="21"/>
      <c r="C135" s="21"/>
      <c r="D135" s="21" t="str">
        <f t="shared" si="2"/>
        <v/>
      </c>
      <c r="E135" s="21" t="str">
        <f t="shared" si="3"/>
        <v/>
      </c>
      <c r="F135" s="21"/>
      <c r="G135" s="21"/>
      <c r="H135" s="21"/>
      <c r="I135" s="22"/>
      <c r="J135" s="21"/>
      <c r="K135" s="23"/>
    </row>
    <row r="136" spans="1:11" ht="19.5" customHeight="1">
      <c r="A136" s="20">
        <v>126</v>
      </c>
      <c r="B136" s="24"/>
      <c r="C136" s="24"/>
      <c r="D136" s="24" t="str">
        <f t="shared" si="2"/>
        <v/>
      </c>
      <c r="E136" s="24" t="str">
        <f t="shared" si="3"/>
        <v/>
      </c>
      <c r="F136" s="24"/>
      <c r="G136" s="24"/>
      <c r="H136" s="24"/>
      <c r="I136" s="22"/>
      <c r="J136" s="24"/>
      <c r="K136" s="25"/>
    </row>
    <row r="137" spans="1:11" ht="19.5" customHeight="1">
      <c r="A137" s="20">
        <v>127</v>
      </c>
      <c r="B137" s="21"/>
      <c r="C137" s="21"/>
      <c r="D137" s="21" t="str">
        <f t="shared" si="2"/>
        <v/>
      </c>
      <c r="E137" s="21" t="str">
        <f t="shared" si="3"/>
        <v/>
      </c>
      <c r="F137" s="21"/>
      <c r="G137" s="21"/>
      <c r="H137" s="21"/>
      <c r="I137" s="22"/>
      <c r="J137" s="21"/>
      <c r="K137" s="23"/>
    </row>
    <row r="138" spans="1:11" ht="19.5" customHeight="1">
      <c r="A138" s="20">
        <v>128</v>
      </c>
      <c r="B138" s="24"/>
      <c r="C138" s="24"/>
      <c r="D138" s="24" t="str">
        <f t="shared" si="2"/>
        <v/>
      </c>
      <c r="E138" s="24" t="str">
        <f t="shared" si="3"/>
        <v/>
      </c>
      <c r="F138" s="24"/>
      <c r="G138" s="24"/>
      <c r="H138" s="24"/>
      <c r="I138" s="22"/>
      <c r="J138" s="24"/>
      <c r="K138" s="25"/>
    </row>
    <row r="139" spans="1:11" ht="19.5" customHeight="1">
      <c r="A139" s="20">
        <v>129</v>
      </c>
      <c r="B139" s="21"/>
      <c r="C139" s="21"/>
      <c r="D139" s="21" t="str">
        <f t="shared" ref="D139:D202" si="4">IF(B139="","",PHONETIC(B139))</f>
        <v/>
      </c>
      <c r="E139" s="21" t="str">
        <f t="shared" ref="E139:E202" si="5">IF(C139="","",PHONETIC(C139))</f>
        <v/>
      </c>
      <c r="F139" s="21"/>
      <c r="G139" s="21"/>
      <c r="H139" s="21"/>
      <c r="I139" s="22"/>
      <c r="J139" s="21"/>
      <c r="K139" s="23"/>
    </row>
    <row r="140" spans="1:11" ht="19.5" customHeight="1">
      <c r="A140" s="20">
        <v>130</v>
      </c>
      <c r="B140" s="24"/>
      <c r="C140" s="24"/>
      <c r="D140" s="24" t="str">
        <f t="shared" si="4"/>
        <v/>
      </c>
      <c r="E140" s="24" t="str">
        <f t="shared" si="5"/>
        <v/>
      </c>
      <c r="F140" s="24"/>
      <c r="G140" s="24"/>
      <c r="H140" s="24"/>
      <c r="I140" s="22"/>
      <c r="J140" s="24"/>
      <c r="K140" s="25"/>
    </row>
    <row r="141" spans="1:11" ht="19.5" customHeight="1">
      <c r="A141" s="20">
        <v>131</v>
      </c>
      <c r="B141" s="21"/>
      <c r="C141" s="21"/>
      <c r="D141" s="21" t="str">
        <f t="shared" si="4"/>
        <v/>
      </c>
      <c r="E141" s="21" t="str">
        <f t="shared" si="5"/>
        <v/>
      </c>
      <c r="F141" s="21"/>
      <c r="G141" s="21"/>
      <c r="H141" s="21"/>
      <c r="I141" s="22"/>
      <c r="J141" s="21"/>
      <c r="K141" s="23"/>
    </row>
    <row r="142" spans="1:11" ht="19.5" customHeight="1">
      <c r="A142" s="20">
        <v>132</v>
      </c>
      <c r="B142" s="24"/>
      <c r="C142" s="24"/>
      <c r="D142" s="24" t="str">
        <f t="shared" si="4"/>
        <v/>
      </c>
      <c r="E142" s="24" t="str">
        <f t="shared" si="5"/>
        <v/>
      </c>
      <c r="F142" s="24"/>
      <c r="G142" s="24"/>
      <c r="H142" s="24"/>
      <c r="I142" s="22"/>
      <c r="J142" s="24"/>
      <c r="K142" s="25"/>
    </row>
    <row r="143" spans="1:11" ht="19.5" customHeight="1">
      <c r="A143" s="20">
        <v>133</v>
      </c>
      <c r="B143" s="21"/>
      <c r="C143" s="21"/>
      <c r="D143" s="21" t="str">
        <f t="shared" si="4"/>
        <v/>
      </c>
      <c r="E143" s="21" t="str">
        <f t="shared" si="5"/>
        <v/>
      </c>
      <c r="F143" s="21"/>
      <c r="G143" s="21"/>
      <c r="H143" s="21"/>
      <c r="I143" s="22"/>
      <c r="J143" s="21"/>
      <c r="K143" s="23"/>
    </row>
    <row r="144" spans="1:11" ht="19.5" customHeight="1">
      <c r="A144" s="20">
        <v>134</v>
      </c>
      <c r="B144" s="24"/>
      <c r="C144" s="24"/>
      <c r="D144" s="24" t="str">
        <f t="shared" si="4"/>
        <v/>
      </c>
      <c r="E144" s="24" t="str">
        <f t="shared" si="5"/>
        <v/>
      </c>
      <c r="F144" s="24"/>
      <c r="G144" s="24"/>
      <c r="H144" s="24"/>
      <c r="I144" s="22"/>
      <c r="J144" s="24"/>
      <c r="K144" s="25"/>
    </row>
    <row r="145" spans="1:11" ht="19.5" customHeight="1">
      <c r="A145" s="20">
        <v>135</v>
      </c>
      <c r="B145" s="21"/>
      <c r="C145" s="21"/>
      <c r="D145" s="21" t="str">
        <f t="shared" si="4"/>
        <v/>
      </c>
      <c r="E145" s="21" t="str">
        <f t="shared" si="5"/>
        <v/>
      </c>
      <c r="F145" s="21"/>
      <c r="G145" s="21"/>
      <c r="H145" s="21"/>
      <c r="I145" s="22"/>
      <c r="J145" s="21"/>
      <c r="K145" s="23"/>
    </row>
    <row r="146" spans="1:11" ht="19.5" customHeight="1">
      <c r="A146" s="20">
        <v>136</v>
      </c>
      <c r="B146" s="24"/>
      <c r="C146" s="24"/>
      <c r="D146" s="24" t="str">
        <f t="shared" si="4"/>
        <v/>
      </c>
      <c r="E146" s="24" t="str">
        <f t="shared" si="5"/>
        <v/>
      </c>
      <c r="F146" s="24"/>
      <c r="G146" s="24"/>
      <c r="H146" s="24"/>
      <c r="I146" s="22"/>
      <c r="J146" s="24"/>
      <c r="K146" s="25"/>
    </row>
    <row r="147" spans="1:11" ht="19.5" customHeight="1">
      <c r="A147" s="20">
        <v>137</v>
      </c>
      <c r="B147" s="21"/>
      <c r="C147" s="21"/>
      <c r="D147" s="21" t="str">
        <f t="shared" si="4"/>
        <v/>
      </c>
      <c r="E147" s="21" t="str">
        <f t="shared" si="5"/>
        <v/>
      </c>
      <c r="F147" s="21"/>
      <c r="G147" s="21"/>
      <c r="H147" s="21"/>
      <c r="I147" s="22"/>
      <c r="J147" s="21"/>
      <c r="K147" s="23"/>
    </row>
    <row r="148" spans="1:11" ht="19.5" customHeight="1">
      <c r="A148" s="20">
        <v>138</v>
      </c>
      <c r="B148" s="24"/>
      <c r="C148" s="24"/>
      <c r="D148" s="24" t="str">
        <f t="shared" si="4"/>
        <v/>
      </c>
      <c r="E148" s="24" t="str">
        <f t="shared" si="5"/>
        <v/>
      </c>
      <c r="F148" s="24"/>
      <c r="G148" s="24"/>
      <c r="H148" s="24"/>
      <c r="I148" s="22"/>
      <c r="J148" s="24"/>
      <c r="K148" s="25"/>
    </row>
    <row r="149" spans="1:11" ht="19.5" customHeight="1">
      <c r="A149" s="20">
        <v>139</v>
      </c>
      <c r="B149" s="21"/>
      <c r="C149" s="21"/>
      <c r="D149" s="21" t="str">
        <f t="shared" si="4"/>
        <v/>
      </c>
      <c r="E149" s="21" t="str">
        <f t="shared" si="5"/>
        <v/>
      </c>
      <c r="F149" s="21"/>
      <c r="G149" s="21"/>
      <c r="H149" s="21"/>
      <c r="I149" s="22"/>
      <c r="J149" s="21"/>
      <c r="K149" s="23"/>
    </row>
    <row r="150" spans="1:11" ht="19.5" customHeight="1">
      <c r="A150" s="20">
        <v>140</v>
      </c>
      <c r="B150" s="24"/>
      <c r="C150" s="24"/>
      <c r="D150" s="24" t="str">
        <f t="shared" si="4"/>
        <v/>
      </c>
      <c r="E150" s="24" t="str">
        <f t="shared" si="5"/>
        <v/>
      </c>
      <c r="F150" s="24"/>
      <c r="G150" s="24"/>
      <c r="H150" s="24"/>
      <c r="I150" s="22"/>
      <c r="J150" s="24"/>
      <c r="K150" s="25"/>
    </row>
    <row r="151" spans="1:11" ht="19.5" customHeight="1">
      <c r="A151" s="20">
        <v>141</v>
      </c>
      <c r="B151" s="21"/>
      <c r="C151" s="21"/>
      <c r="D151" s="21" t="str">
        <f t="shared" si="4"/>
        <v/>
      </c>
      <c r="E151" s="21" t="str">
        <f t="shared" si="5"/>
        <v/>
      </c>
      <c r="F151" s="21"/>
      <c r="G151" s="21"/>
      <c r="H151" s="21"/>
      <c r="I151" s="22"/>
      <c r="J151" s="21"/>
      <c r="K151" s="23"/>
    </row>
    <row r="152" spans="1:11" ht="19.5" customHeight="1">
      <c r="A152" s="20">
        <v>142</v>
      </c>
      <c r="B152" s="24"/>
      <c r="C152" s="24"/>
      <c r="D152" s="24" t="str">
        <f t="shared" si="4"/>
        <v/>
      </c>
      <c r="E152" s="24" t="str">
        <f t="shared" si="5"/>
        <v/>
      </c>
      <c r="F152" s="24"/>
      <c r="G152" s="24"/>
      <c r="H152" s="24"/>
      <c r="I152" s="22"/>
      <c r="J152" s="24"/>
      <c r="K152" s="25"/>
    </row>
    <row r="153" spans="1:11" ht="19.5" customHeight="1">
      <c r="A153" s="20">
        <v>143</v>
      </c>
      <c r="B153" s="21"/>
      <c r="C153" s="21"/>
      <c r="D153" s="21" t="str">
        <f t="shared" si="4"/>
        <v/>
      </c>
      <c r="E153" s="21" t="str">
        <f t="shared" si="5"/>
        <v/>
      </c>
      <c r="F153" s="21"/>
      <c r="G153" s="21"/>
      <c r="H153" s="21"/>
      <c r="I153" s="22"/>
      <c r="J153" s="21"/>
      <c r="K153" s="23"/>
    </row>
    <row r="154" spans="1:11" ht="19.5" customHeight="1">
      <c r="A154" s="20">
        <v>144</v>
      </c>
      <c r="B154" s="24"/>
      <c r="C154" s="24"/>
      <c r="D154" s="24" t="str">
        <f t="shared" si="4"/>
        <v/>
      </c>
      <c r="E154" s="24" t="str">
        <f t="shared" si="5"/>
        <v/>
      </c>
      <c r="F154" s="24"/>
      <c r="G154" s="24"/>
      <c r="H154" s="24"/>
      <c r="I154" s="22"/>
      <c r="J154" s="24"/>
      <c r="K154" s="25"/>
    </row>
    <row r="155" spans="1:11" ht="19.5" customHeight="1">
      <c r="A155" s="20">
        <v>145</v>
      </c>
      <c r="B155" s="21"/>
      <c r="C155" s="21"/>
      <c r="D155" s="21" t="str">
        <f t="shared" si="4"/>
        <v/>
      </c>
      <c r="E155" s="21" t="str">
        <f t="shared" si="5"/>
        <v/>
      </c>
      <c r="F155" s="21"/>
      <c r="G155" s="21"/>
      <c r="H155" s="21"/>
      <c r="I155" s="22"/>
      <c r="J155" s="21"/>
      <c r="K155" s="23"/>
    </row>
    <row r="156" spans="1:11" ht="19.5" customHeight="1">
      <c r="A156" s="20">
        <v>146</v>
      </c>
      <c r="B156" s="24"/>
      <c r="C156" s="24"/>
      <c r="D156" s="24" t="str">
        <f t="shared" si="4"/>
        <v/>
      </c>
      <c r="E156" s="24" t="str">
        <f t="shared" si="5"/>
        <v/>
      </c>
      <c r="F156" s="24"/>
      <c r="G156" s="24"/>
      <c r="H156" s="24"/>
      <c r="I156" s="22"/>
      <c r="J156" s="24"/>
      <c r="K156" s="25"/>
    </row>
    <row r="157" spans="1:11" ht="19.5" customHeight="1">
      <c r="A157" s="20">
        <v>147</v>
      </c>
      <c r="B157" s="21"/>
      <c r="C157" s="21"/>
      <c r="D157" s="21" t="str">
        <f t="shared" si="4"/>
        <v/>
      </c>
      <c r="E157" s="21" t="str">
        <f t="shared" si="5"/>
        <v/>
      </c>
      <c r="F157" s="21"/>
      <c r="G157" s="21"/>
      <c r="H157" s="21"/>
      <c r="I157" s="22"/>
      <c r="J157" s="21"/>
      <c r="K157" s="23"/>
    </row>
    <row r="158" spans="1:11" ht="19.5" customHeight="1">
      <c r="A158" s="20">
        <v>148</v>
      </c>
      <c r="B158" s="24"/>
      <c r="C158" s="24"/>
      <c r="D158" s="24" t="str">
        <f t="shared" si="4"/>
        <v/>
      </c>
      <c r="E158" s="24" t="str">
        <f t="shared" si="5"/>
        <v/>
      </c>
      <c r="F158" s="24"/>
      <c r="G158" s="24"/>
      <c r="H158" s="24"/>
      <c r="I158" s="22"/>
      <c r="J158" s="24"/>
      <c r="K158" s="25"/>
    </row>
    <row r="159" spans="1:11" ht="19.5" customHeight="1">
      <c r="A159" s="20">
        <v>149</v>
      </c>
      <c r="B159" s="21"/>
      <c r="C159" s="21"/>
      <c r="D159" s="21" t="str">
        <f t="shared" si="4"/>
        <v/>
      </c>
      <c r="E159" s="21" t="str">
        <f t="shared" si="5"/>
        <v/>
      </c>
      <c r="F159" s="21"/>
      <c r="G159" s="21"/>
      <c r="H159" s="21"/>
      <c r="I159" s="22"/>
      <c r="J159" s="21"/>
      <c r="K159" s="23"/>
    </row>
    <row r="160" spans="1:11" ht="19.5" customHeight="1">
      <c r="A160" s="20">
        <v>150</v>
      </c>
      <c r="B160" s="24"/>
      <c r="C160" s="24"/>
      <c r="D160" s="24" t="str">
        <f t="shared" si="4"/>
        <v/>
      </c>
      <c r="E160" s="24" t="str">
        <f t="shared" si="5"/>
        <v/>
      </c>
      <c r="F160" s="24"/>
      <c r="G160" s="24"/>
      <c r="H160" s="24"/>
      <c r="I160" s="22"/>
      <c r="J160" s="24"/>
      <c r="K160" s="25"/>
    </row>
    <row r="161" spans="1:11" ht="19.5" customHeight="1">
      <c r="A161" s="20">
        <v>151</v>
      </c>
      <c r="B161" s="21"/>
      <c r="C161" s="21"/>
      <c r="D161" s="21" t="str">
        <f t="shared" si="4"/>
        <v/>
      </c>
      <c r="E161" s="21" t="str">
        <f t="shared" si="5"/>
        <v/>
      </c>
      <c r="F161" s="21"/>
      <c r="G161" s="21"/>
      <c r="H161" s="21"/>
      <c r="I161" s="22"/>
      <c r="J161" s="21"/>
      <c r="K161" s="23"/>
    </row>
    <row r="162" spans="1:11" ht="19.5" customHeight="1">
      <c r="A162" s="20">
        <v>152</v>
      </c>
      <c r="B162" s="24"/>
      <c r="C162" s="24"/>
      <c r="D162" s="24" t="str">
        <f t="shared" si="4"/>
        <v/>
      </c>
      <c r="E162" s="24" t="str">
        <f t="shared" si="5"/>
        <v/>
      </c>
      <c r="F162" s="24"/>
      <c r="G162" s="24"/>
      <c r="H162" s="24"/>
      <c r="I162" s="22"/>
      <c r="J162" s="24"/>
      <c r="K162" s="25"/>
    </row>
    <row r="163" spans="1:11" ht="19.5" customHeight="1">
      <c r="A163" s="20">
        <v>153</v>
      </c>
      <c r="B163" s="21"/>
      <c r="C163" s="21"/>
      <c r="D163" s="21" t="str">
        <f t="shared" si="4"/>
        <v/>
      </c>
      <c r="E163" s="21" t="str">
        <f t="shared" si="5"/>
        <v/>
      </c>
      <c r="F163" s="21"/>
      <c r="G163" s="21"/>
      <c r="H163" s="21"/>
      <c r="I163" s="22"/>
      <c r="J163" s="21"/>
      <c r="K163" s="23"/>
    </row>
    <row r="164" spans="1:11" ht="19.5" customHeight="1">
      <c r="A164" s="20">
        <v>154</v>
      </c>
      <c r="B164" s="24"/>
      <c r="C164" s="24"/>
      <c r="D164" s="24" t="str">
        <f t="shared" si="4"/>
        <v/>
      </c>
      <c r="E164" s="24" t="str">
        <f t="shared" si="5"/>
        <v/>
      </c>
      <c r="F164" s="24"/>
      <c r="G164" s="24"/>
      <c r="H164" s="24"/>
      <c r="I164" s="22"/>
      <c r="J164" s="24"/>
      <c r="K164" s="25"/>
    </row>
    <row r="165" spans="1:11" ht="19.5" customHeight="1">
      <c r="A165" s="20">
        <v>155</v>
      </c>
      <c r="B165" s="21"/>
      <c r="C165" s="21"/>
      <c r="D165" s="21" t="str">
        <f t="shared" si="4"/>
        <v/>
      </c>
      <c r="E165" s="21" t="str">
        <f t="shared" si="5"/>
        <v/>
      </c>
      <c r="F165" s="21"/>
      <c r="G165" s="21"/>
      <c r="H165" s="21"/>
      <c r="I165" s="22"/>
      <c r="J165" s="21"/>
      <c r="K165" s="23"/>
    </row>
    <row r="166" spans="1:11" ht="19.5" customHeight="1">
      <c r="A166" s="20">
        <v>156</v>
      </c>
      <c r="B166" s="24"/>
      <c r="C166" s="24"/>
      <c r="D166" s="24" t="str">
        <f t="shared" si="4"/>
        <v/>
      </c>
      <c r="E166" s="24" t="str">
        <f t="shared" si="5"/>
        <v/>
      </c>
      <c r="F166" s="24"/>
      <c r="G166" s="24"/>
      <c r="H166" s="24"/>
      <c r="I166" s="22"/>
      <c r="J166" s="24"/>
      <c r="K166" s="25"/>
    </row>
    <row r="167" spans="1:11" ht="19.5" customHeight="1">
      <c r="A167" s="20">
        <v>157</v>
      </c>
      <c r="B167" s="21"/>
      <c r="C167" s="21"/>
      <c r="D167" s="21" t="str">
        <f t="shared" si="4"/>
        <v/>
      </c>
      <c r="E167" s="21" t="str">
        <f t="shared" si="5"/>
        <v/>
      </c>
      <c r="F167" s="21"/>
      <c r="G167" s="21"/>
      <c r="H167" s="21"/>
      <c r="I167" s="22"/>
      <c r="J167" s="21"/>
      <c r="K167" s="23"/>
    </row>
    <row r="168" spans="1:11" ht="19.5" customHeight="1">
      <c r="A168" s="20">
        <v>158</v>
      </c>
      <c r="B168" s="24"/>
      <c r="C168" s="24"/>
      <c r="D168" s="24" t="str">
        <f t="shared" si="4"/>
        <v/>
      </c>
      <c r="E168" s="24" t="str">
        <f t="shared" si="5"/>
        <v/>
      </c>
      <c r="F168" s="24"/>
      <c r="G168" s="24"/>
      <c r="H168" s="24"/>
      <c r="I168" s="22"/>
      <c r="J168" s="24"/>
      <c r="K168" s="25"/>
    </row>
    <row r="169" spans="1:11" ht="19.5" customHeight="1">
      <c r="A169" s="20">
        <v>159</v>
      </c>
      <c r="B169" s="21"/>
      <c r="C169" s="21"/>
      <c r="D169" s="21" t="str">
        <f t="shared" si="4"/>
        <v/>
      </c>
      <c r="E169" s="21" t="str">
        <f t="shared" si="5"/>
        <v/>
      </c>
      <c r="F169" s="21"/>
      <c r="G169" s="21"/>
      <c r="H169" s="21"/>
      <c r="I169" s="22"/>
      <c r="J169" s="21"/>
      <c r="K169" s="23"/>
    </row>
    <row r="170" spans="1:11" ht="19.5" customHeight="1">
      <c r="A170" s="20">
        <v>160</v>
      </c>
      <c r="B170" s="24"/>
      <c r="C170" s="24"/>
      <c r="D170" s="24" t="str">
        <f t="shared" si="4"/>
        <v/>
      </c>
      <c r="E170" s="24" t="str">
        <f t="shared" si="5"/>
        <v/>
      </c>
      <c r="F170" s="24"/>
      <c r="G170" s="24"/>
      <c r="H170" s="24"/>
      <c r="I170" s="22"/>
      <c r="J170" s="24"/>
      <c r="K170" s="25"/>
    </row>
    <row r="171" spans="1:11" ht="19.5" customHeight="1">
      <c r="A171" s="20">
        <v>161</v>
      </c>
      <c r="B171" s="21"/>
      <c r="C171" s="21"/>
      <c r="D171" s="21" t="str">
        <f t="shared" si="4"/>
        <v/>
      </c>
      <c r="E171" s="21" t="str">
        <f t="shared" si="5"/>
        <v/>
      </c>
      <c r="F171" s="21"/>
      <c r="G171" s="21"/>
      <c r="H171" s="21"/>
      <c r="I171" s="22"/>
      <c r="J171" s="21"/>
      <c r="K171" s="23"/>
    </row>
    <row r="172" spans="1:11" ht="19.5" customHeight="1">
      <c r="A172" s="20">
        <v>162</v>
      </c>
      <c r="B172" s="24"/>
      <c r="C172" s="24"/>
      <c r="D172" s="24" t="str">
        <f t="shared" si="4"/>
        <v/>
      </c>
      <c r="E172" s="24" t="str">
        <f t="shared" si="5"/>
        <v/>
      </c>
      <c r="F172" s="24"/>
      <c r="G172" s="24"/>
      <c r="H172" s="24"/>
      <c r="I172" s="22"/>
      <c r="J172" s="24"/>
      <c r="K172" s="25"/>
    </row>
    <row r="173" spans="1:11" ht="19.5" customHeight="1">
      <c r="A173" s="20">
        <v>163</v>
      </c>
      <c r="B173" s="21"/>
      <c r="C173" s="21"/>
      <c r="D173" s="21" t="str">
        <f t="shared" si="4"/>
        <v/>
      </c>
      <c r="E173" s="21" t="str">
        <f t="shared" si="5"/>
        <v/>
      </c>
      <c r="F173" s="21"/>
      <c r="G173" s="21"/>
      <c r="H173" s="21"/>
      <c r="I173" s="22"/>
      <c r="J173" s="21"/>
      <c r="K173" s="23"/>
    </row>
    <row r="174" spans="1:11" ht="19.5" customHeight="1">
      <c r="A174" s="20">
        <v>164</v>
      </c>
      <c r="B174" s="24"/>
      <c r="C174" s="24"/>
      <c r="D174" s="24" t="str">
        <f t="shared" si="4"/>
        <v/>
      </c>
      <c r="E174" s="24" t="str">
        <f t="shared" si="5"/>
        <v/>
      </c>
      <c r="F174" s="24"/>
      <c r="G174" s="24"/>
      <c r="H174" s="24"/>
      <c r="I174" s="22"/>
      <c r="J174" s="24"/>
      <c r="K174" s="25"/>
    </row>
    <row r="175" spans="1:11" ht="19.5" customHeight="1">
      <c r="A175" s="20">
        <v>165</v>
      </c>
      <c r="B175" s="21"/>
      <c r="C175" s="21"/>
      <c r="D175" s="21" t="str">
        <f t="shared" si="4"/>
        <v/>
      </c>
      <c r="E175" s="21" t="str">
        <f t="shared" si="5"/>
        <v/>
      </c>
      <c r="F175" s="21"/>
      <c r="G175" s="21"/>
      <c r="H175" s="21"/>
      <c r="I175" s="22"/>
      <c r="J175" s="21"/>
      <c r="K175" s="23"/>
    </row>
    <row r="176" spans="1:11" ht="19.5" customHeight="1">
      <c r="A176" s="20">
        <v>166</v>
      </c>
      <c r="B176" s="24"/>
      <c r="C176" s="24"/>
      <c r="D176" s="24" t="str">
        <f t="shared" si="4"/>
        <v/>
      </c>
      <c r="E176" s="24" t="str">
        <f t="shared" si="5"/>
        <v/>
      </c>
      <c r="F176" s="24"/>
      <c r="G176" s="24"/>
      <c r="H176" s="24"/>
      <c r="I176" s="22"/>
      <c r="J176" s="24"/>
      <c r="K176" s="25"/>
    </row>
    <row r="177" spans="1:11" ht="19.5" customHeight="1">
      <c r="A177" s="20">
        <v>167</v>
      </c>
      <c r="B177" s="21"/>
      <c r="C177" s="21"/>
      <c r="D177" s="21" t="str">
        <f t="shared" si="4"/>
        <v/>
      </c>
      <c r="E177" s="21" t="str">
        <f t="shared" si="5"/>
        <v/>
      </c>
      <c r="F177" s="21"/>
      <c r="G177" s="21"/>
      <c r="H177" s="21"/>
      <c r="I177" s="22"/>
      <c r="J177" s="21"/>
      <c r="K177" s="23"/>
    </row>
    <row r="178" spans="1:11" ht="19.5" customHeight="1">
      <c r="A178" s="20">
        <v>168</v>
      </c>
      <c r="B178" s="24"/>
      <c r="C178" s="24"/>
      <c r="D178" s="24" t="str">
        <f t="shared" si="4"/>
        <v/>
      </c>
      <c r="E178" s="24" t="str">
        <f t="shared" si="5"/>
        <v/>
      </c>
      <c r="F178" s="24"/>
      <c r="G178" s="24"/>
      <c r="H178" s="24"/>
      <c r="I178" s="22"/>
      <c r="J178" s="24"/>
      <c r="K178" s="25"/>
    </row>
    <row r="179" spans="1:11" ht="19.5" customHeight="1">
      <c r="A179" s="20">
        <v>169</v>
      </c>
      <c r="B179" s="21"/>
      <c r="C179" s="21"/>
      <c r="D179" s="21" t="str">
        <f t="shared" si="4"/>
        <v/>
      </c>
      <c r="E179" s="21" t="str">
        <f t="shared" si="5"/>
        <v/>
      </c>
      <c r="F179" s="21"/>
      <c r="G179" s="21"/>
      <c r="H179" s="21"/>
      <c r="I179" s="22"/>
      <c r="J179" s="21"/>
      <c r="K179" s="23"/>
    </row>
    <row r="180" spans="1:11" ht="19.5" customHeight="1">
      <c r="A180" s="20">
        <v>170</v>
      </c>
      <c r="B180" s="24"/>
      <c r="C180" s="24"/>
      <c r="D180" s="24" t="str">
        <f t="shared" si="4"/>
        <v/>
      </c>
      <c r="E180" s="24" t="str">
        <f t="shared" si="5"/>
        <v/>
      </c>
      <c r="F180" s="24"/>
      <c r="G180" s="24"/>
      <c r="H180" s="24"/>
      <c r="I180" s="22"/>
      <c r="J180" s="24"/>
      <c r="K180" s="25"/>
    </row>
    <row r="181" spans="1:11" ht="19.5" customHeight="1">
      <c r="A181" s="20">
        <v>171</v>
      </c>
      <c r="B181" s="21"/>
      <c r="C181" s="21"/>
      <c r="D181" s="21" t="str">
        <f t="shared" si="4"/>
        <v/>
      </c>
      <c r="E181" s="21" t="str">
        <f t="shared" si="5"/>
        <v/>
      </c>
      <c r="F181" s="21"/>
      <c r="G181" s="21"/>
      <c r="H181" s="21"/>
      <c r="I181" s="22"/>
      <c r="J181" s="21"/>
      <c r="K181" s="23"/>
    </row>
    <row r="182" spans="1:11" ht="19.5" customHeight="1">
      <c r="A182" s="20">
        <v>172</v>
      </c>
      <c r="B182" s="24"/>
      <c r="C182" s="24"/>
      <c r="D182" s="24" t="str">
        <f t="shared" si="4"/>
        <v/>
      </c>
      <c r="E182" s="24" t="str">
        <f t="shared" si="5"/>
        <v/>
      </c>
      <c r="F182" s="24"/>
      <c r="G182" s="24"/>
      <c r="H182" s="24"/>
      <c r="I182" s="22"/>
      <c r="J182" s="24"/>
      <c r="K182" s="25"/>
    </row>
    <row r="183" spans="1:11" ht="19.5" customHeight="1">
      <c r="A183" s="20">
        <v>173</v>
      </c>
      <c r="B183" s="21"/>
      <c r="C183" s="21"/>
      <c r="D183" s="21" t="str">
        <f t="shared" si="4"/>
        <v/>
      </c>
      <c r="E183" s="21" t="str">
        <f t="shared" si="5"/>
        <v/>
      </c>
      <c r="F183" s="21"/>
      <c r="G183" s="21"/>
      <c r="H183" s="21"/>
      <c r="I183" s="22"/>
      <c r="J183" s="21"/>
      <c r="K183" s="23"/>
    </row>
    <row r="184" spans="1:11" ht="19.5" customHeight="1">
      <c r="A184" s="20">
        <v>174</v>
      </c>
      <c r="B184" s="24"/>
      <c r="C184" s="24"/>
      <c r="D184" s="24" t="str">
        <f t="shared" si="4"/>
        <v/>
      </c>
      <c r="E184" s="24" t="str">
        <f t="shared" si="5"/>
        <v/>
      </c>
      <c r="F184" s="24"/>
      <c r="G184" s="24"/>
      <c r="H184" s="24"/>
      <c r="I184" s="22"/>
      <c r="J184" s="24"/>
      <c r="K184" s="25"/>
    </row>
    <row r="185" spans="1:11" ht="19.5" customHeight="1">
      <c r="A185" s="20">
        <v>175</v>
      </c>
      <c r="B185" s="21"/>
      <c r="C185" s="21"/>
      <c r="D185" s="21" t="str">
        <f t="shared" si="4"/>
        <v/>
      </c>
      <c r="E185" s="21" t="str">
        <f t="shared" si="5"/>
        <v/>
      </c>
      <c r="F185" s="21"/>
      <c r="G185" s="21"/>
      <c r="H185" s="21"/>
      <c r="I185" s="22"/>
      <c r="J185" s="21"/>
      <c r="K185" s="23"/>
    </row>
    <row r="186" spans="1:11" ht="19.5" customHeight="1">
      <c r="A186" s="20">
        <v>176</v>
      </c>
      <c r="B186" s="24"/>
      <c r="C186" s="24"/>
      <c r="D186" s="24" t="str">
        <f t="shared" si="4"/>
        <v/>
      </c>
      <c r="E186" s="24" t="str">
        <f t="shared" si="5"/>
        <v/>
      </c>
      <c r="F186" s="24"/>
      <c r="G186" s="24"/>
      <c r="H186" s="24"/>
      <c r="I186" s="22"/>
      <c r="J186" s="24"/>
      <c r="K186" s="25"/>
    </row>
    <row r="187" spans="1:11" ht="19.5" customHeight="1">
      <c r="A187" s="20">
        <v>177</v>
      </c>
      <c r="B187" s="21"/>
      <c r="C187" s="21"/>
      <c r="D187" s="21" t="str">
        <f t="shared" si="4"/>
        <v/>
      </c>
      <c r="E187" s="21" t="str">
        <f t="shared" si="5"/>
        <v/>
      </c>
      <c r="F187" s="21"/>
      <c r="G187" s="21"/>
      <c r="H187" s="21"/>
      <c r="I187" s="22"/>
      <c r="J187" s="21"/>
      <c r="K187" s="23"/>
    </row>
    <row r="188" spans="1:11" ht="19.5" customHeight="1">
      <c r="A188" s="20">
        <v>178</v>
      </c>
      <c r="B188" s="24"/>
      <c r="C188" s="24"/>
      <c r="D188" s="24" t="str">
        <f t="shared" si="4"/>
        <v/>
      </c>
      <c r="E188" s="24" t="str">
        <f t="shared" si="5"/>
        <v/>
      </c>
      <c r="F188" s="24"/>
      <c r="G188" s="24"/>
      <c r="H188" s="24"/>
      <c r="I188" s="22"/>
      <c r="J188" s="24"/>
      <c r="K188" s="25"/>
    </row>
    <row r="189" spans="1:11" ht="19.5" customHeight="1">
      <c r="A189" s="20">
        <v>179</v>
      </c>
      <c r="B189" s="21"/>
      <c r="C189" s="21"/>
      <c r="D189" s="21" t="str">
        <f t="shared" si="4"/>
        <v/>
      </c>
      <c r="E189" s="21" t="str">
        <f t="shared" si="5"/>
        <v/>
      </c>
      <c r="F189" s="21"/>
      <c r="G189" s="21"/>
      <c r="H189" s="21"/>
      <c r="I189" s="22"/>
      <c r="J189" s="21"/>
      <c r="K189" s="23"/>
    </row>
    <row r="190" spans="1:11" ht="19.5" customHeight="1">
      <c r="A190" s="20">
        <v>180</v>
      </c>
      <c r="B190" s="24"/>
      <c r="C190" s="24"/>
      <c r="D190" s="24" t="str">
        <f t="shared" si="4"/>
        <v/>
      </c>
      <c r="E190" s="24" t="str">
        <f t="shared" si="5"/>
        <v/>
      </c>
      <c r="F190" s="24"/>
      <c r="G190" s="24"/>
      <c r="H190" s="24"/>
      <c r="I190" s="22"/>
      <c r="J190" s="24"/>
      <c r="K190" s="25"/>
    </row>
    <row r="191" spans="1:11" ht="19.5" customHeight="1">
      <c r="A191" s="20">
        <v>181</v>
      </c>
      <c r="B191" s="21"/>
      <c r="C191" s="21"/>
      <c r="D191" s="21" t="str">
        <f t="shared" si="4"/>
        <v/>
      </c>
      <c r="E191" s="21" t="str">
        <f t="shared" si="5"/>
        <v/>
      </c>
      <c r="F191" s="21"/>
      <c r="G191" s="21"/>
      <c r="H191" s="21"/>
      <c r="I191" s="22"/>
      <c r="J191" s="21"/>
      <c r="K191" s="23"/>
    </row>
    <row r="192" spans="1:11" ht="19.5" customHeight="1">
      <c r="A192" s="20">
        <v>182</v>
      </c>
      <c r="B192" s="24"/>
      <c r="C192" s="24"/>
      <c r="D192" s="24" t="str">
        <f t="shared" si="4"/>
        <v/>
      </c>
      <c r="E192" s="24" t="str">
        <f t="shared" si="5"/>
        <v/>
      </c>
      <c r="F192" s="24"/>
      <c r="G192" s="24"/>
      <c r="H192" s="24"/>
      <c r="I192" s="22"/>
      <c r="J192" s="24"/>
      <c r="K192" s="25"/>
    </row>
    <row r="193" spans="1:11" ht="19.5" customHeight="1">
      <c r="A193" s="20">
        <v>183</v>
      </c>
      <c r="B193" s="21"/>
      <c r="C193" s="21"/>
      <c r="D193" s="21" t="str">
        <f t="shared" si="4"/>
        <v/>
      </c>
      <c r="E193" s="21" t="str">
        <f t="shared" si="5"/>
        <v/>
      </c>
      <c r="F193" s="21"/>
      <c r="G193" s="21"/>
      <c r="H193" s="21"/>
      <c r="I193" s="22"/>
      <c r="J193" s="21"/>
      <c r="K193" s="23"/>
    </row>
    <row r="194" spans="1:11" ht="19.5" customHeight="1">
      <c r="A194" s="20">
        <v>184</v>
      </c>
      <c r="B194" s="24"/>
      <c r="C194" s="24"/>
      <c r="D194" s="24" t="str">
        <f t="shared" si="4"/>
        <v/>
      </c>
      <c r="E194" s="24" t="str">
        <f t="shared" si="5"/>
        <v/>
      </c>
      <c r="F194" s="24"/>
      <c r="G194" s="24"/>
      <c r="H194" s="24"/>
      <c r="I194" s="22"/>
      <c r="J194" s="24"/>
      <c r="K194" s="25"/>
    </row>
    <row r="195" spans="1:11" ht="19.5" customHeight="1">
      <c r="A195" s="20">
        <v>185</v>
      </c>
      <c r="B195" s="21"/>
      <c r="C195" s="21"/>
      <c r="D195" s="21" t="str">
        <f t="shared" si="4"/>
        <v/>
      </c>
      <c r="E195" s="21" t="str">
        <f t="shared" si="5"/>
        <v/>
      </c>
      <c r="F195" s="21"/>
      <c r="G195" s="21"/>
      <c r="H195" s="21"/>
      <c r="I195" s="22"/>
      <c r="J195" s="21"/>
      <c r="K195" s="23"/>
    </row>
    <row r="196" spans="1:11" ht="19.5" customHeight="1">
      <c r="A196" s="20">
        <v>186</v>
      </c>
      <c r="B196" s="24"/>
      <c r="C196" s="24"/>
      <c r="D196" s="24" t="str">
        <f t="shared" si="4"/>
        <v/>
      </c>
      <c r="E196" s="24" t="str">
        <f t="shared" si="5"/>
        <v/>
      </c>
      <c r="F196" s="24"/>
      <c r="G196" s="24"/>
      <c r="H196" s="24"/>
      <c r="I196" s="22"/>
      <c r="J196" s="24"/>
      <c r="K196" s="25"/>
    </row>
    <row r="197" spans="1:11" ht="19.5" customHeight="1">
      <c r="A197" s="20">
        <v>187</v>
      </c>
      <c r="B197" s="21"/>
      <c r="C197" s="21"/>
      <c r="D197" s="21" t="str">
        <f t="shared" si="4"/>
        <v/>
      </c>
      <c r="E197" s="21" t="str">
        <f t="shared" si="5"/>
        <v/>
      </c>
      <c r="F197" s="21"/>
      <c r="G197" s="21"/>
      <c r="H197" s="21"/>
      <c r="I197" s="22"/>
      <c r="J197" s="21"/>
      <c r="K197" s="23"/>
    </row>
    <row r="198" spans="1:11" ht="19.5" customHeight="1">
      <c r="A198" s="20">
        <v>188</v>
      </c>
      <c r="B198" s="24"/>
      <c r="C198" s="24"/>
      <c r="D198" s="24" t="str">
        <f t="shared" si="4"/>
        <v/>
      </c>
      <c r="E198" s="24" t="str">
        <f t="shared" si="5"/>
        <v/>
      </c>
      <c r="F198" s="24"/>
      <c r="G198" s="24"/>
      <c r="H198" s="24"/>
      <c r="I198" s="22"/>
      <c r="J198" s="24"/>
      <c r="K198" s="25"/>
    </row>
    <row r="199" spans="1:11" ht="19.5" customHeight="1">
      <c r="A199" s="20">
        <v>189</v>
      </c>
      <c r="B199" s="21"/>
      <c r="C199" s="21"/>
      <c r="D199" s="21" t="str">
        <f t="shared" si="4"/>
        <v/>
      </c>
      <c r="E199" s="21" t="str">
        <f t="shared" si="5"/>
        <v/>
      </c>
      <c r="F199" s="21"/>
      <c r="G199" s="21"/>
      <c r="H199" s="21"/>
      <c r="I199" s="22"/>
      <c r="J199" s="21"/>
      <c r="K199" s="23"/>
    </row>
    <row r="200" spans="1:11" ht="19.5" customHeight="1">
      <c r="A200" s="20">
        <v>190</v>
      </c>
      <c r="B200" s="24"/>
      <c r="C200" s="24"/>
      <c r="D200" s="24" t="str">
        <f t="shared" si="4"/>
        <v/>
      </c>
      <c r="E200" s="24" t="str">
        <f t="shared" si="5"/>
        <v/>
      </c>
      <c r="F200" s="24"/>
      <c r="G200" s="24"/>
      <c r="H200" s="24"/>
      <c r="I200" s="22"/>
      <c r="J200" s="24"/>
      <c r="K200" s="25"/>
    </row>
    <row r="201" spans="1:11" ht="19.5" customHeight="1">
      <c r="A201" s="20">
        <v>191</v>
      </c>
      <c r="B201" s="21"/>
      <c r="C201" s="21"/>
      <c r="D201" s="21" t="str">
        <f t="shared" si="4"/>
        <v/>
      </c>
      <c r="E201" s="21" t="str">
        <f t="shared" si="5"/>
        <v/>
      </c>
      <c r="F201" s="21"/>
      <c r="G201" s="21"/>
      <c r="H201" s="21"/>
      <c r="I201" s="22"/>
      <c r="J201" s="21"/>
      <c r="K201" s="23"/>
    </row>
    <row r="202" spans="1:11" ht="19.5" customHeight="1">
      <c r="A202" s="20">
        <v>192</v>
      </c>
      <c r="B202" s="24"/>
      <c r="C202" s="24"/>
      <c r="D202" s="24" t="str">
        <f t="shared" si="4"/>
        <v/>
      </c>
      <c r="E202" s="24" t="str">
        <f t="shared" si="5"/>
        <v/>
      </c>
      <c r="F202" s="24"/>
      <c r="G202" s="24"/>
      <c r="H202" s="24"/>
      <c r="I202" s="22"/>
      <c r="J202" s="24"/>
      <c r="K202" s="25"/>
    </row>
    <row r="203" spans="1:11" ht="19.5" customHeight="1">
      <c r="A203" s="20">
        <v>193</v>
      </c>
      <c r="B203" s="21"/>
      <c r="C203" s="21"/>
      <c r="D203" s="21" t="str">
        <f t="shared" ref="D203:D266" si="6">IF(B203="","",PHONETIC(B203))</f>
        <v/>
      </c>
      <c r="E203" s="21" t="str">
        <f t="shared" ref="E203:E266" si="7">IF(C203="","",PHONETIC(C203))</f>
        <v/>
      </c>
      <c r="F203" s="21"/>
      <c r="G203" s="21"/>
      <c r="H203" s="21"/>
      <c r="I203" s="22"/>
      <c r="J203" s="21"/>
      <c r="K203" s="23"/>
    </row>
    <row r="204" spans="1:11" ht="19.5" customHeight="1">
      <c r="A204" s="20">
        <v>194</v>
      </c>
      <c r="B204" s="24"/>
      <c r="C204" s="24"/>
      <c r="D204" s="24" t="str">
        <f t="shared" si="6"/>
        <v/>
      </c>
      <c r="E204" s="24" t="str">
        <f t="shared" si="7"/>
        <v/>
      </c>
      <c r="F204" s="24"/>
      <c r="G204" s="24"/>
      <c r="H204" s="24"/>
      <c r="I204" s="22"/>
      <c r="J204" s="24"/>
      <c r="K204" s="25"/>
    </row>
    <row r="205" spans="1:11" ht="19.5" customHeight="1">
      <c r="A205" s="20">
        <v>195</v>
      </c>
      <c r="B205" s="21"/>
      <c r="C205" s="21"/>
      <c r="D205" s="21" t="str">
        <f t="shared" si="6"/>
        <v/>
      </c>
      <c r="E205" s="21" t="str">
        <f t="shared" si="7"/>
        <v/>
      </c>
      <c r="F205" s="21"/>
      <c r="G205" s="21"/>
      <c r="H205" s="21"/>
      <c r="I205" s="22"/>
      <c r="J205" s="21"/>
      <c r="K205" s="23"/>
    </row>
    <row r="206" spans="1:11" ht="19.5" customHeight="1">
      <c r="A206" s="20">
        <v>196</v>
      </c>
      <c r="B206" s="24"/>
      <c r="C206" s="24"/>
      <c r="D206" s="24" t="str">
        <f t="shared" si="6"/>
        <v/>
      </c>
      <c r="E206" s="24" t="str">
        <f t="shared" si="7"/>
        <v/>
      </c>
      <c r="F206" s="24"/>
      <c r="G206" s="24"/>
      <c r="H206" s="24"/>
      <c r="I206" s="22"/>
      <c r="J206" s="24"/>
      <c r="K206" s="25"/>
    </row>
    <row r="207" spans="1:11" ht="19.5" customHeight="1">
      <c r="A207" s="20">
        <v>197</v>
      </c>
      <c r="B207" s="21"/>
      <c r="C207" s="21"/>
      <c r="D207" s="21" t="str">
        <f t="shared" si="6"/>
        <v/>
      </c>
      <c r="E207" s="21" t="str">
        <f t="shared" si="7"/>
        <v/>
      </c>
      <c r="F207" s="21"/>
      <c r="G207" s="21"/>
      <c r="H207" s="21"/>
      <c r="I207" s="22"/>
      <c r="J207" s="21"/>
      <c r="K207" s="23"/>
    </row>
    <row r="208" spans="1:11" ht="19.5" customHeight="1">
      <c r="A208" s="20">
        <v>198</v>
      </c>
      <c r="B208" s="24"/>
      <c r="C208" s="24"/>
      <c r="D208" s="24" t="str">
        <f t="shared" si="6"/>
        <v/>
      </c>
      <c r="E208" s="24" t="str">
        <f t="shared" si="7"/>
        <v/>
      </c>
      <c r="F208" s="24"/>
      <c r="G208" s="24"/>
      <c r="H208" s="24"/>
      <c r="I208" s="22"/>
      <c r="J208" s="24"/>
      <c r="K208" s="25"/>
    </row>
    <row r="209" spans="1:11" ht="19.5" customHeight="1">
      <c r="A209" s="20">
        <v>199</v>
      </c>
      <c r="B209" s="21"/>
      <c r="C209" s="21"/>
      <c r="D209" s="21" t="str">
        <f t="shared" si="6"/>
        <v/>
      </c>
      <c r="E209" s="21" t="str">
        <f t="shared" si="7"/>
        <v/>
      </c>
      <c r="F209" s="21"/>
      <c r="G209" s="21"/>
      <c r="H209" s="21"/>
      <c r="I209" s="22"/>
      <c r="J209" s="21"/>
      <c r="K209" s="23"/>
    </row>
    <row r="210" spans="1:11" ht="19.5" customHeight="1">
      <c r="A210" s="20">
        <v>200</v>
      </c>
      <c r="B210" s="24"/>
      <c r="C210" s="24"/>
      <c r="D210" s="24" t="str">
        <f t="shared" si="6"/>
        <v/>
      </c>
      <c r="E210" s="24" t="str">
        <f t="shared" si="7"/>
        <v/>
      </c>
      <c r="F210" s="24"/>
      <c r="G210" s="24"/>
      <c r="H210" s="24"/>
      <c r="I210" s="22"/>
      <c r="J210" s="24"/>
      <c r="K210" s="25"/>
    </row>
    <row r="211" spans="1:11" ht="19.5" customHeight="1">
      <c r="A211" s="20">
        <v>201</v>
      </c>
      <c r="B211" s="21"/>
      <c r="C211" s="21"/>
      <c r="D211" s="21" t="str">
        <f t="shared" si="6"/>
        <v/>
      </c>
      <c r="E211" s="21" t="str">
        <f t="shared" si="7"/>
        <v/>
      </c>
      <c r="F211" s="21"/>
      <c r="G211" s="21"/>
      <c r="H211" s="21"/>
      <c r="I211" s="22"/>
      <c r="J211" s="21"/>
      <c r="K211" s="23"/>
    </row>
    <row r="212" spans="1:11" ht="19.5" customHeight="1">
      <c r="A212" s="20">
        <v>202</v>
      </c>
      <c r="B212" s="24"/>
      <c r="C212" s="24"/>
      <c r="D212" s="24" t="str">
        <f t="shared" si="6"/>
        <v/>
      </c>
      <c r="E212" s="24" t="str">
        <f t="shared" si="7"/>
        <v/>
      </c>
      <c r="F212" s="24"/>
      <c r="G212" s="24"/>
      <c r="H212" s="24"/>
      <c r="I212" s="22"/>
      <c r="J212" s="24"/>
      <c r="K212" s="25"/>
    </row>
    <row r="213" spans="1:11" ht="19.5" customHeight="1">
      <c r="A213" s="20">
        <v>203</v>
      </c>
      <c r="B213" s="21"/>
      <c r="C213" s="21"/>
      <c r="D213" s="21" t="str">
        <f t="shared" si="6"/>
        <v/>
      </c>
      <c r="E213" s="21" t="str">
        <f t="shared" si="7"/>
        <v/>
      </c>
      <c r="F213" s="21"/>
      <c r="G213" s="21"/>
      <c r="H213" s="21"/>
      <c r="I213" s="22"/>
      <c r="J213" s="21"/>
      <c r="K213" s="23"/>
    </row>
    <row r="214" spans="1:11" ht="19.5" customHeight="1">
      <c r="A214" s="20">
        <v>204</v>
      </c>
      <c r="B214" s="24"/>
      <c r="C214" s="24"/>
      <c r="D214" s="24" t="str">
        <f t="shared" si="6"/>
        <v/>
      </c>
      <c r="E214" s="24" t="str">
        <f t="shared" si="7"/>
        <v/>
      </c>
      <c r="F214" s="24"/>
      <c r="G214" s="24"/>
      <c r="H214" s="24"/>
      <c r="I214" s="22"/>
      <c r="J214" s="24"/>
      <c r="K214" s="25"/>
    </row>
    <row r="215" spans="1:11" ht="19.5" customHeight="1">
      <c r="A215" s="20">
        <v>205</v>
      </c>
      <c r="B215" s="21"/>
      <c r="C215" s="21"/>
      <c r="D215" s="21" t="str">
        <f t="shared" si="6"/>
        <v/>
      </c>
      <c r="E215" s="21" t="str">
        <f t="shared" si="7"/>
        <v/>
      </c>
      <c r="F215" s="21"/>
      <c r="G215" s="21"/>
      <c r="H215" s="21"/>
      <c r="I215" s="22"/>
      <c r="J215" s="21"/>
      <c r="K215" s="23"/>
    </row>
    <row r="216" spans="1:11" ht="19.5" customHeight="1">
      <c r="A216" s="20">
        <v>206</v>
      </c>
      <c r="B216" s="24"/>
      <c r="C216" s="24"/>
      <c r="D216" s="24" t="str">
        <f t="shared" si="6"/>
        <v/>
      </c>
      <c r="E216" s="24" t="str">
        <f t="shared" si="7"/>
        <v/>
      </c>
      <c r="F216" s="24"/>
      <c r="G216" s="24"/>
      <c r="H216" s="24"/>
      <c r="I216" s="22"/>
      <c r="J216" s="24"/>
      <c r="K216" s="25"/>
    </row>
    <row r="217" spans="1:11" ht="19.5" customHeight="1">
      <c r="A217" s="20">
        <v>207</v>
      </c>
      <c r="B217" s="21"/>
      <c r="C217" s="21"/>
      <c r="D217" s="21" t="str">
        <f t="shared" si="6"/>
        <v/>
      </c>
      <c r="E217" s="21" t="str">
        <f t="shared" si="7"/>
        <v/>
      </c>
      <c r="F217" s="21"/>
      <c r="G217" s="21"/>
      <c r="H217" s="21"/>
      <c r="I217" s="22"/>
      <c r="J217" s="21"/>
      <c r="K217" s="23"/>
    </row>
    <row r="218" spans="1:11" ht="19.5" customHeight="1">
      <c r="A218" s="20">
        <v>208</v>
      </c>
      <c r="B218" s="24"/>
      <c r="C218" s="24"/>
      <c r="D218" s="24" t="str">
        <f t="shared" si="6"/>
        <v/>
      </c>
      <c r="E218" s="24" t="str">
        <f t="shared" si="7"/>
        <v/>
      </c>
      <c r="F218" s="24"/>
      <c r="G218" s="24"/>
      <c r="H218" s="24"/>
      <c r="I218" s="22"/>
      <c r="J218" s="24"/>
      <c r="K218" s="25"/>
    </row>
    <row r="219" spans="1:11" ht="19.5" customHeight="1">
      <c r="A219" s="20">
        <v>209</v>
      </c>
      <c r="B219" s="21"/>
      <c r="C219" s="21"/>
      <c r="D219" s="21" t="str">
        <f t="shared" si="6"/>
        <v/>
      </c>
      <c r="E219" s="21" t="str">
        <f t="shared" si="7"/>
        <v/>
      </c>
      <c r="F219" s="21"/>
      <c r="G219" s="21"/>
      <c r="H219" s="21"/>
      <c r="I219" s="22"/>
      <c r="J219" s="21"/>
      <c r="K219" s="23"/>
    </row>
    <row r="220" spans="1:11" ht="19.5" customHeight="1">
      <c r="A220" s="20">
        <v>210</v>
      </c>
      <c r="B220" s="24"/>
      <c r="C220" s="24"/>
      <c r="D220" s="24" t="str">
        <f t="shared" si="6"/>
        <v/>
      </c>
      <c r="E220" s="24" t="str">
        <f t="shared" si="7"/>
        <v/>
      </c>
      <c r="F220" s="24"/>
      <c r="G220" s="24"/>
      <c r="H220" s="24"/>
      <c r="I220" s="22"/>
      <c r="J220" s="24"/>
      <c r="K220" s="25"/>
    </row>
    <row r="221" spans="1:11" ht="19.5" customHeight="1">
      <c r="A221" s="20">
        <v>211</v>
      </c>
      <c r="B221" s="21"/>
      <c r="C221" s="21"/>
      <c r="D221" s="21" t="str">
        <f t="shared" si="6"/>
        <v/>
      </c>
      <c r="E221" s="21" t="str">
        <f t="shared" si="7"/>
        <v/>
      </c>
      <c r="F221" s="21"/>
      <c r="G221" s="21"/>
      <c r="H221" s="21"/>
      <c r="I221" s="22"/>
      <c r="J221" s="21"/>
      <c r="K221" s="23"/>
    </row>
    <row r="222" spans="1:11" ht="19.5" customHeight="1">
      <c r="A222" s="20">
        <v>212</v>
      </c>
      <c r="B222" s="24"/>
      <c r="C222" s="24"/>
      <c r="D222" s="24" t="str">
        <f t="shared" si="6"/>
        <v/>
      </c>
      <c r="E222" s="24" t="str">
        <f t="shared" si="7"/>
        <v/>
      </c>
      <c r="F222" s="24"/>
      <c r="G222" s="24"/>
      <c r="H222" s="24"/>
      <c r="I222" s="22"/>
      <c r="J222" s="24"/>
      <c r="K222" s="25"/>
    </row>
    <row r="223" spans="1:11" ht="19.5" customHeight="1">
      <c r="A223" s="20">
        <v>213</v>
      </c>
      <c r="B223" s="21"/>
      <c r="C223" s="21"/>
      <c r="D223" s="21" t="str">
        <f t="shared" si="6"/>
        <v/>
      </c>
      <c r="E223" s="21" t="str">
        <f t="shared" si="7"/>
        <v/>
      </c>
      <c r="F223" s="21"/>
      <c r="G223" s="21"/>
      <c r="H223" s="21"/>
      <c r="I223" s="22"/>
      <c r="J223" s="21"/>
      <c r="K223" s="23"/>
    </row>
    <row r="224" spans="1:11" ht="19.5" customHeight="1">
      <c r="A224" s="20">
        <v>214</v>
      </c>
      <c r="B224" s="24"/>
      <c r="C224" s="24"/>
      <c r="D224" s="24" t="str">
        <f t="shared" si="6"/>
        <v/>
      </c>
      <c r="E224" s="24" t="str">
        <f t="shared" si="7"/>
        <v/>
      </c>
      <c r="F224" s="24"/>
      <c r="G224" s="24"/>
      <c r="H224" s="24"/>
      <c r="I224" s="22"/>
      <c r="J224" s="24"/>
      <c r="K224" s="25"/>
    </row>
    <row r="225" spans="1:11" ht="19.5" customHeight="1">
      <c r="A225" s="20">
        <v>215</v>
      </c>
      <c r="B225" s="21"/>
      <c r="C225" s="21"/>
      <c r="D225" s="21" t="str">
        <f t="shared" si="6"/>
        <v/>
      </c>
      <c r="E225" s="21" t="str">
        <f t="shared" si="7"/>
        <v/>
      </c>
      <c r="F225" s="21"/>
      <c r="G225" s="21"/>
      <c r="H225" s="21"/>
      <c r="I225" s="22"/>
      <c r="J225" s="21"/>
      <c r="K225" s="23"/>
    </row>
    <row r="226" spans="1:11" ht="19.5" customHeight="1">
      <c r="A226" s="20">
        <v>216</v>
      </c>
      <c r="B226" s="24"/>
      <c r="C226" s="24"/>
      <c r="D226" s="24" t="str">
        <f t="shared" si="6"/>
        <v/>
      </c>
      <c r="E226" s="24" t="str">
        <f t="shared" si="7"/>
        <v/>
      </c>
      <c r="F226" s="24"/>
      <c r="G226" s="24"/>
      <c r="H226" s="24"/>
      <c r="I226" s="22"/>
      <c r="J226" s="24"/>
      <c r="K226" s="25"/>
    </row>
    <row r="227" spans="1:11" ht="19.5" customHeight="1">
      <c r="A227" s="20">
        <v>217</v>
      </c>
      <c r="B227" s="21"/>
      <c r="C227" s="21"/>
      <c r="D227" s="21" t="str">
        <f t="shared" si="6"/>
        <v/>
      </c>
      <c r="E227" s="21" t="str">
        <f t="shared" si="7"/>
        <v/>
      </c>
      <c r="F227" s="21"/>
      <c r="G227" s="21"/>
      <c r="H227" s="21"/>
      <c r="I227" s="22"/>
      <c r="J227" s="21"/>
      <c r="K227" s="23"/>
    </row>
    <row r="228" spans="1:11" ht="19.5" customHeight="1">
      <c r="A228" s="20">
        <v>218</v>
      </c>
      <c r="B228" s="24"/>
      <c r="C228" s="24"/>
      <c r="D228" s="24" t="str">
        <f t="shared" si="6"/>
        <v/>
      </c>
      <c r="E228" s="24" t="str">
        <f t="shared" si="7"/>
        <v/>
      </c>
      <c r="F228" s="24"/>
      <c r="G228" s="24"/>
      <c r="H228" s="24"/>
      <c r="I228" s="22"/>
      <c r="J228" s="24"/>
      <c r="K228" s="25"/>
    </row>
    <row r="229" spans="1:11" ht="19.5" customHeight="1">
      <c r="A229" s="20">
        <v>219</v>
      </c>
      <c r="B229" s="21"/>
      <c r="C229" s="21"/>
      <c r="D229" s="21" t="str">
        <f t="shared" si="6"/>
        <v/>
      </c>
      <c r="E229" s="21" t="str">
        <f t="shared" si="7"/>
        <v/>
      </c>
      <c r="F229" s="21"/>
      <c r="G229" s="21"/>
      <c r="H229" s="21"/>
      <c r="I229" s="22"/>
      <c r="J229" s="21"/>
      <c r="K229" s="23"/>
    </row>
    <row r="230" spans="1:11" ht="19.5" customHeight="1">
      <c r="A230" s="20">
        <v>220</v>
      </c>
      <c r="B230" s="24"/>
      <c r="C230" s="24"/>
      <c r="D230" s="24" t="str">
        <f t="shared" si="6"/>
        <v/>
      </c>
      <c r="E230" s="24" t="str">
        <f t="shared" si="7"/>
        <v/>
      </c>
      <c r="F230" s="24"/>
      <c r="G230" s="24"/>
      <c r="H230" s="24"/>
      <c r="I230" s="22"/>
      <c r="J230" s="24"/>
      <c r="K230" s="25"/>
    </row>
    <row r="231" spans="1:11" ht="19.5" customHeight="1">
      <c r="A231" s="20">
        <v>221</v>
      </c>
      <c r="B231" s="21"/>
      <c r="C231" s="21"/>
      <c r="D231" s="21" t="str">
        <f t="shared" si="6"/>
        <v/>
      </c>
      <c r="E231" s="21" t="str">
        <f t="shared" si="7"/>
        <v/>
      </c>
      <c r="F231" s="21"/>
      <c r="G231" s="21"/>
      <c r="H231" s="21"/>
      <c r="I231" s="22"/>
      <c r="J231" s="21"/>
      <c r="K231" s="23"/>
    </row>
    <row r="232" spans="1:11" ht="19.5" customHeight="1">
      <c r="A232" s="20">
        <v>222</v>
      </c>
      <c r="B232" s="24"/>
      <c r="C232" s="24"/>
      <c r="D232" s="24" t="str">
        <f t="shared" si="6"/>
        <v/>
      </c>
      <c r="E232" s="24" t="str">
        <f t="shared" si="7"/>
        <v/>
      </c>
      <c r="F232" s="24"/>
      <c r="G232" s="24"/>
      <c r="H232" s="24"/>
      <c r="I232" s="22"/>
      <c r="J232" s="24"/>
      <c r="K232" s="25"/>
    </row>
    <row r="233" spans="1:11" ht="19.5" customHeight="1">
      <c r="A233" s="20">
        <v>223</v>
      </c>
      <c r="B233" s="21"/>
      <c r="C233" s="21"/>
      <c r="D233" s="21" t="str">
        <f t="shared" si="6"/>
        <v/>
      </c>
      <c r="E233" s="21" t="str">
        <f t="shared" si="7"/>
        <v/>
      </c>
      <c r="F233" s="21"/>
      <c r="G233" s="21"/>
      <c r="H233" s="21"/>
      <c r="I233" s="22"/>
      <c r="J233" s="21"/>
      <c r="K233" s="23"/>
    </row>
    <row r="234" spans="1:11" ht="19.5" customHeight="1">
      <c r="A234" s="20">
        <v>224</v>
      </c>
      <c r="B234" s="24"/>
      <c r="C234" s="24"/>
      <c r="D234" s="24" t="str">
        <f t="shared" si="6"/>
        <v/>
      </c>
      <c r="E234" s="24" t="str">
        <f t="shared" si="7"/>
        <v/>
      </c>
      <c r="F234" s="24"/>
      <c r="G234" s="24"/>
      <c r="H234" s="24"/>
      <c r="I234" s="22"/>
      <c r="J234" s="24"/>
      <c r="K234" s="25"/>
    </row>
    <row r="235" spans="1:11" ht="19.5" customHeight="1">
      <c r="A235" s="20">
        <v>225</v>
      </c>
      <c r="B235" s="21"/>
      <c r="C235" s="21"/>
      <c r="D235" s="21" t="str">
        <f t="shared" si="6"/>
        <v/>
      </c>
      <c r="E235" s="21" t="str">
        <f t="shared" si="7"/>
        <v/>
      </c>
      <c r="F235" s="21"/>
      <c r="G235" s="21"/>
      <c r="H235" s="21"/>
      <c r="I235" s="22"/>
      <c r="J235" s="21"/>
      <c r="K235" s="23"/>
    </row>
    <row r="236" spans="1:11" ht="19.5" customHeight="1">
      <c r="A236" s="20">
        <v>226</v>
      </c>
      <c r="B236" s="24"/>
      <c r="C236" s="24"/>
      <c r="D236" s="24" t="str">
        <f t="shared" si="6"/>
        <v/>
      </c>
      <c r="E236" s="24" t="str">
        <f t="shared" si="7"/>
        <v/>
      </c>
      <c r="F236" s="24"/>
      <c r="G236" s="24"/>
      <c r="H236" s="24"/>
      <c r="I236" s="22"/>
      <c r="J236" s="24"/>
      <c r="K236" s="25"/>
    </row>
    <row r="237" spans="1:11" ht="19.5" customHeight="1">
      <c r="A237" s="20">
        <v>227</v>
      </c>
      <c r="B237" s="21"/>
      <c r="C237" s="21"/>
      <c r="D237" s="21" t="str">
        <f t="shared" si="6"/>
        <v/>
      </c>
      <c r="E237" s="21" t="str">
        <f t="shared" si="7"/>
        <v/>
      </c>
      <c r="F237" s="21"/>
      <c r="G237" s="21"/>
      <c r="H237" s="21"/>
      <c r="I237" s="22"/>
      <c r="J237" s="21"/>
      <c r="K237" s="23"/>
    </row>
    <row r="238" spans="1:11" ht="19.5" customHeight="1">
      <c r="A238" s="20">
        <v>228</v>
      </c>
      <c r="B238" s="24"/>
      <c r="C238" s="24"/>
      <c r="D238" s="24" t="str">
        <f t="shared" si="6"/>
        <v/>
      </c>
      <c r="E238" s="24" t="str">
        <f t="shared" si="7"/>
        <v/>
      </c>
      <c r="F238" s="24"/>
      <c r="G238" s="24"/>
      <c r="H238" s="24"/>
      <c r="I238" s="22"/>
      <c r="J238" s="24"/>
      <c r="K238" s="25"/>
    </row>
    <row r="239" spans="1:11" ht="19.5" customHeight="1">
      <c r="A239" s="20">
        <v>229</v>
      </c>
      <c r="B239" s="21"/>
      <c r="C239" s="21"/>
      <c r="D239" s="21" t="str">
        <f t="shared" si="6"/>
        <v/>
      </c>
      <c r="E239" s="21" t="str">
        <f t="shared" si="7"/>
        <v/>
      </c>
      <c r="F239" s="21"/>
      <c r="G239" s="21"/>
      <c r="H239" s="21"/>
      <c r="I239" s="22"/>
      <c r="J239" s="21"/>
      <c r="K239" s="23"/>
    </row>
    <row r="240" spans="1:11" ht="19.5" customHeight="1">
      <c r="A240" s="20">
        <v>230</v>
      </c>
      <c r="B240" s="24"/>
      <c r="C240" s="24"/>
      <c r="D240" s="24" t="str">
        <f t="shared" si="6"/>
        <v/>
      </c>
      <c r="E240" s="24" t="str">
        <f t="shared" si="7"/>
        <v/>
      </c>
      <c r="F240" s="24"/>
      <c r="G240" s="24"/>
      <c r="H240" s="24"/>
      <c r="I240" s="22"/>
      <c r="J240" s="24"/>
      <c r="K240" s="25"/>
    </row>
    <row r="241" spans="1:11" ht="19.5" customHeight="1">
      <c r="A241" s="20">
        <v>231</v>
      </c>
      <c r="B241" s="21"/>
      <c r="C241" s="21"/>
      <c r="D241" s="21" t="str">
        <f t="shared" si="6"/>
        <v/>
      </c>
      <c r="E241" s="21" t="str">
        <f t="shared" si="7"/>
        <v/>
      </c>
      <c r="F241" s="21"/>
      <c r="G241" s="21"/>
      <c r="H241" s="21"/>
      <c r="I241" s="22"/>
      <c r="J241" s="21"/>
      <c r="K241" s="23"/>
    </row>
    <row r="242" spans="1:11" ht="19.5" customHeight="1">
      <c r="A242" s="20">
        <v>232</v>
      </c>
      <c r="B242" s="24"/>
      <c r="C242" s="24"/>
      <c r="D242" s="24" t="str">
        <f t="shared" si="6"/>
        <v/>
      </c>
      <c r="E242" s="24" t="str">
        <f t="shared" si="7"/>
        <v/>
      </c>
      <c r="F242" s="24"/>
      <c r="G242" s="24"/>
      <c r="H242" s="24"/>
      <c r="I242" s="22"/>
      <c r="J242" s="24"/>
      <c r="K242" s="25"/>
    </row>
    <row r="243" spans="1:11" ht="19.5" customHeight="1">
      <c r="A243" s="20">
        <v>233</v>
      </c>
      <c r="B243" s="21"/>
      <c r="C243" s="21"/>
      <c r="D243" s="21" t="str">
        <f t="shared" si="6"/>
        <v/>
      </c>
      <c r="E243" s="21" t="str">
        <f t="shared" si="7"/>
        <v/>
      </c>
      <c r="F243" s="21"/>
      <c r="G243" s="21"/>
      <c r="H243" s="21"/>
      <c r="I243" s="22"/>
      <c r="J243" s="21"/>
      <c r="K243" s="23"/>
    </row>
    <row r="244" spans="1:11" ht="19.5" customHeight="1">
      <c r="A244" s="20">
        <v>234</v>
      </c>
      <c r="B244" s="24"/>
      <c r="C244" s="24"/>
      <c r="D244" s="24" t="str">
        <f t="shared" si="6"/>
        <v/>
      </c>
      <c r="E244" s="24" t="str">
        <f t="shared" si="7"/>
        <v/>
      </c>
      <c r="F244" s="24"/>
      <c r="G244" s="24"/>
      <c r="H244" s="24"/>
      <c r="I244" s="22"/>
      <c r="J244" s="24"/>
      <c r="K244" s="25"/>
    </row>
    <row r="245" spans="1:11" ht="19.5" customHeight="1">
      <c r="A245" s="20">
        <v>235</v>
      </c>
      <c r="B245" s="21"/>
      <c r="C245" s="21"/>
      <c r="D245" s="21" t="str">
        <f t="shared" si="6"/>
        <v/>
      </c>
      <c r="E245" s="21" t="str">
        <f t="shared" si="7"/>
        <v/>
      </c>
      <c r="F245" s="21"/>
      <c r="G245" s="21"/>
      <c r="H245" s="21"/>
      <c r="I245" s="22"/>
      <c r="J245" s="21"/>
      <c r="K245" s="23"/>
    </row>
    <row r="246" spans="1:11" ht="19.5" customHeight="1">
      <c r="A246" s="20">
        <v>236</v>
      </c>
      <c r="B246" s="24"/>
      <c r="C246" s="24"/>
      <c r="D246" s="24" t="str">
        <f t="shared" si="6"/>
        <v/>
      </c>
      <c r="E246" s="24" t="str">
        <f t="shared" si="7"/>
        <v/>
      </c>
      <c r="F246" s="24"/>
      <c r="G246" s="24"/>
      <c r="H246" s="24"/>
      <c r="I246" s="22"/>
      <c r="J246" s="24"/>
      <c r="K246" s="25"/>
    </row>
    <row r="247" spans="1:11" ht="19.5" customHeight="1">
      <c r="A247" s="20">
        <v>237</v>
      </c>
      <c r="B247" s="21"/>
      <c r="C247" s="21"/>
      <c r="D247" s="21" t="str">
        <f t="shared" si="6"/>
        <v/>
      </c>
      <c r="E247" s="21" t="str">
        <f t="shared" si="7"/>
        <v/>
      </c>
      <c r="F247" s="21"/>
      <c r="G247" s="21"/>
      <c r="H247" s="21"/>
      <c r="I247" s="22"/>
      <c r="J247" s="21"/>
      <c r="K247" s="23"/>
    </row>
    <row r="248" spans="1:11" ht="19.5" customHeight="1">
      <c r="A248" s="20">
        <v>238</v>
      </c>
      <c r="B248" s="24"/>
      <c r="C248" s="24"/>
      <c r="D248" s="24" t="str">
        <f t="shared" si="6"/>
        <v/>
      </c>
      <c r="E248" s="24" t="str">
        <f t="shared" si="7"/>
        <v/>
      </c>
      <c r="F248" s="24"/>
      <c r="G248" s="24"/>
      <c r="H248" s="24"/>
      <c r="I248" s="22"/>
      <c r="J248" s="24"/>
      <c r="K248" s="25"/>
    </row>
    <row r="249" spans="1:11" ht="19.5" customHeight="1">
      <c r="A249" s="20">
        <v>239</v>
      </c>
      <c r="B249" s="21"/>
      <c r="C249" s="21"/>
      <c r="D249" s="21" t="str">
        <f t="shared" si="6"/>
        <v/>
      </c>
      <c r="E249" s="21" t="str">
        <f t="shared" si="7"/>
        <v/>
      </c>
      <c r="F249" s="21"/>
      <c r="G249" s="21"/>
      <c r="H249" s="21"/>
      <c r="I249" s="22"/>
      <c r="J249" s="21"/>
      <c r="K249" s="23"/>
    </row>
    <row r="250" spans="1:11" ht="19.5" customHeight="1">
      <c r="A250" s="20">
        <v>240</v>
      </c>
      <c r="B250" s="24"/>
      <c r="C250" s="24"/>
      <c r="D250" s="24" t="str">
        <f t="shared" si="6"/>
        <v/>
      </c>
      <c r="E250" s="24" t="str">
        <f t="shared" si="7"/>
        <v/>
      </c>
      <c r="F250" s="24"/>
      <c r="G250" s="24"/>
      <c r="H250" s="24"/>
      <c r="I250" s="22"/>
      <c r="J250" s="24"/>
      <c r="K250" s="25"/>
    </row>
    <row r="251" spans="1:11" ht="19.5" customHeight="1">
      <c r="A251" s="20">
        <v>241</v>
      </c>
      <c r="B251" s="21"/>
      <c r="C251" s="21"/>
      <c r="D251" s="21" t="str">
        <f t="shared" si="6"/>
        <v/>
      </c>
      <c r="E251" s="21" t="str">
        <f t="shared" si="7"/>
        <v/>
      </c>
      <c r="F251" s="21"/>
      <c r="G251" s="21"/>
      <c r="H251" s="21"/>
      <c r="I251" s="22"/>
      <c r="J251" s="21"/>
      <c r="K251" s="23"/>
    </row>
    <row r="252" spans="1:11" ht="19.5" customHeight="1">
      <c r="A252" s="20">
        <v>242</v>
      </c>
      <c r="B252" s="24"/>
      <c r="C252" s="24"/>
      <c r="D252" s="24" t="str">
        <f t="shared" si="6"/>
        <v/>
      </c>
      <c r="E252" s="24" t="str">
        <f t="shared" si="7"/>
        <v/>
      </c>
      <c r="F252" s="24"/>
      <c r="G252" s="24"/>
      <c r="H252" s="24"/>
      <c r="I252" s="22"/>
      <c r="J252" s="24"/>
      <c r="K252" s="25"/>
    </row>
    <row r="253" spans="1:11" ht="19.5" customHeight="1">
      <c r="A253" s="20">
        <v>243</v>
      </c>
      <c r="B253" s="21"/>
      <c r="C253" s="21"/>
      <c r="D253" s="21" t="str">
        <f t="shared" si="6"/>
        <v/>
      </c>
      <c r="E253" s="21" t="str">
        <f t="shared" si="7"/>
        <v/>
      </c>
      <c r="F253" s="21"/>
      <c r="G253" s="21"/>
      <c r="H253" s="21"/>
      <c r="I253" s="22"/>
      <c r="J253" s="21"/>
      <c r="K253" s="23"/>
    </row>
    <row r="254" spans="1:11" ht="19.5" customHeight="1">
      <c r="A254" s="20">
        <v>244</v>
      </c>
      <c r="B254" s="24"/>
      <c r="C254" s="24"/>
      <c r="D254" s="24" t="str">
        <f t="shared" si="6"/>
        <v/>
      </c>
      <c r="E254" s="24" t="str">
        <f t="shared" si="7"/>
        <v/>
      </c>
      <c r="F254" s="24"/>
      <c r="G254" s="24"/>
      <c r="H254" s="24"/>
      <c r="I254" s="22"/>
      <c r="J254" s="24"/>
      <c r="K254" s="25"/>
    </row>
    <row r="255" spans="1:11" ht="19.5" customHeight="1">
      <c r="A255" s="20">
        <v>245</v>
      </c>
      <c r="B255" s="21"/>
      <c r="C255" s="21"/>
      <c r="D255" s="21" t="str">
        <f t="shared" si="6"/>
        <v/>
      </c>
      <c r="E255" s="21" t="str">
        <f t="shared" si="7"/>
        <v/>
      </c>
      <c r="F255" s="21"/>
      <c r="G255" s="21"/>
      <c r="H255" s="21"/>
      <c r="I255" s="22"/>
      <c r="J255" s="21"/>
      <c r="K255" s="23"/>
    </row>
    <row r="256" spans="1:11" ht="19.5" customHeight="1">
      <c r="A256" s="20">
        <v>246</v>
      </c>
      <c r="B256" s="26"/>
      <c r="C256" s="26"/>
      <c r="D256" s="26" t="str">
        <f t="shared" si="6"/>
        <v/>
      </c>
      <c r="E256" s="26" t="str">
        <f t="shared" si="7"/>
        <v/>
      </c>
      <c r="F256" s="26"/>
      <c r="G256" s="26"/>
      <c r="H256" s="26"/>
      <c r="I256" s="27"/>
      <c r="J256" s="26"/>
      <c r="K256" s="25"/>
    </row>
    <row r="257" spans="1:11" ht="19.5" customHeight="1">
      <c r="A257" s="20">
        <v>247</v>
      </c>
      <c r="B257" s="21"/>
      <c r="C257" s="21"/>
      <c r="D257" s="21" t="str">
        <f t="shared" si="6"/>
        <v/>
      </c>
      <c r="E257" s="21" t="str">
        <f t="shared" si="7"/>
        <v/>
      </c>
      <c r="F257" s="21"/>
      <c r="G257" s="21"/>
      <c r="H257" s="21"/>
      <c r="I257" s="22"/>
      <c r="J257" s="21"/>
      <c r="K257" s="23"/>
    </row>
    <row r="258" spans="1:11" ht="19.5" customHeight="1">
      <c r="A258" s="20">
        <v>248</v>
      </c>
      <c r="B258" s="24"/>
      <c r="C258" s="24"/>
      <c r="D258" s="24" t="str">
        <f t="shared" si="6"/>
        <v/>
      </c>
      <c r="E258" s="24" t="str">
        <f t="shared" si="7"/>
        <v/>
      </c>
      <c r="F258" s="24"/>
      <c r="G258" s="24"/>
      <c r="H258" s="24"/>
      <c r="I258" s="22"/>
      <c r="J258" s="24"/>
      <c r="K258" s="25"/>
    </row>
    <row r="259" spans="1:11" ht="19.5" customHeight="1">
      <c r="A259" s="28">
        <v>249</v>
      </c>
      <c r="D259" t="str">
        <f t="shared" si="6"/>
        <v/>
      </c>
      <c r="E259" t="str">
        <f t="shared" si="7"/>
        <v/>
      </c>
    </row>
    <row r="260" spans="1:11" ht="19.5" customHeight="1">
      <c r="A260" s="20">
        <v>250</v>
      </c>
      <c r="B260" s="24"/>
      <c r="C260" s="24"/>
      <c r="D260" s="24" t="str">
        <f t="shared" si="6"/>
        <v/>
      </c>
      <c r="E260" s="24" t="str">
        <f t="shared" si="7"/>
        <v/>
      </c>
      <c r="F260" s="24"/>
      <c r="G260" s="24"/>
      <c r="H260" s="24"/>
      <c r="I260" s="22"/>
      <c r="J260" s="24"/>
      <c r="K260" s="25"/>
    </row>
    <row r="261" spans="1:11" ht="19.5" customHeight="1">
      <c r="A261" s="20">
        <v>251</v>
      </c>
      <c r="B261" s="21"/>
      <c r="C261" s="21"/>
      <c r="D261" s="21" t="str">
        <f t="shared" si="6"/>
        <v/>
      </c>
      <c r="E261" s="21" t="str">
        <f t="shared" si="7"/>
        <v/>
      </c>
      <c r="F261" s="21"/>
      <c r="G261" s="21"/>
      <c r="H261" s="21"/>
      <c r="I261" s="22"/>
      <c r="J261" s="21"/>
      <c r="K261" s="23"/>
    </row>
    <row r="262" spans="1:11" ht="19.5" customHeight="1">
      <c r="A262" s="20">
        <v>252</v>
      </c>
      <c r="B262" s="24"/>
      <c r="C262" s="24"/>
      <c r="D262" s="24" t="str">
        <f t="shared" si="6"/>
        <v/>
      </c>
      <c r="E262" s="24" t="str">
        <f t="shared" si="7"/>
        <v/>
      </c>
      <c r="F262" s="24"/>
      <c r="G262" s="24"/>
      <c r="H262" s="24"/>
      <c r="I262" s="22"/>
      <c r="J262" s="24"/>
      <c r="K262" s="25"/>
    </row>
    <row r="263" spans="1:11" ht="19.5" customHeight="1">
      <c r="A263" s="20">
        <v>253</v>
      </c>
      <c r="B263" s="21"/>
      <c r="C263" s="21"/>
      <c r="D263" s="21" t="str">
        <f t="shared" si="6"/>
        <v/>
      </c>
      <c r="E263" s="21" t="str">
        <f t="shared" si="7"/>
        <v/>
      </c>
      <c r="F263" s="21"/>
      <c r="G263" s="21"/>
      <c r="H263" s="21"/>
      <c r="I263" s="22"/>
      <c r="J263" s="21"/>
      <c r="K263" s="23"/>
    </row>
    <row r="264" spans="1:11" ht="19.5" customHeight="1">
      <c r="A264" s="20">
        <v>254</v>
      </c>
      <c r="B264" s="24"/>
      <c r="C264" s="24"/>
      <c r="D264" s="24" t="str">
        <f t="shared" si="6"/>
        <v/>
      </c>
      <c r="E264" s="24" t="str">
        <f t="shared" si="7"/>
        <v/>
      </c>
      <c r="F264" s="24"/>
      <c r="G264" s="24"/>
      <c r="H264" s="24"/>
      <c r="I264" s="22"/>
      <c r="J264" s="24"/>
      <c r="K264" s="25"/>
    </row>
    <row r="265" spans="1:11" ht="19.5" customHeight="1">
      <c r="A265" s="20">
        <v>255</v>
      </c>
      <c r="B265" s="21"/>
      <c r="C265" s="21"/>
      <c r="D265" s="21" t="str">
        <f t="shared" si="6"/>
        <v/>
      </c>
      <c r="E265" s="21" t="str">
        <f t="shared" si="7"/>
        <v/>
      </c>
      <c r="F265" s="21"/>
      <c r="G265" s="21"/>
      <c r="H265" s="21"/>
      <c r="I265" s="22"/>
      <c r="J265" s="21"/>
      <c r="K265" s="23"/>
    </row>
    <row r="266" spans="1:11" ht="19.5" customHeight="1">
      <c r="A266" s="20">
        <v>256</v>
      </c>
      <c r="B266" s="24"/>
      <c r="C266" s="24"/>
      <c r="D266" s="24" t="str">
        <f t="shared" si="6"/>
        <v/>
      </c>
      <c r="E266" s="24" t="str">
        <f t="shared" si="7"/>
        <v/>
      </c>
      <c r="F266" s="24"/>
      <c r="G266" s="24"/>
      <c r="H266" s="24"/>
      <c r="I266" s="22"/>
      <c r="J266" s="24"/>
      <c r="K266" s="25"/>
    </row>
    <row r="267" spans="1:11" ht="19.5" customHeight="1">
      <c r="A267" s="20">
        <v>257</v>
      </c>
      <c r="B267" s="21"/>
      <c r="C267" s="21"/>
      <c r="D267" s="21" t="str">
        <f t="shared" ref="D267:D310" si="8">IF(B267="","",PHONETIC(B267))</f>
        <v/>
      </c>
      <c r="E267" s="21" t="str">
        <f t="shared" ref="E267:E310" si="9">IF(C267="","",PHONETIC(C267))</f>
        <v/>
      </c>
      <c r="F267" s="21"/>
      <c r="G267" s="21"/>
      <c r="H267" s="21"/>
      <c r="I267" s="22"/>
      <c r="J267" s="21"/>
      <c r="K267" s="23"/>
    </row>
    <row r="268" spans="1:11" ht="19.5" customHeight="1">
      <c r="A268" s="20">
        <v>258</v>
      </c>
      <c r="B268" s="24"/>
      <c r="C268" s="24"/>
      <c r="D268" s="24" t="str">
        <f t="shared" si="8"/>
        <v/>
      </c>
      <c r="E268" s="24" t="str">
        <f t="shared" si="9"/>
        <v/>
      </c>
      <c r="F268" s="24"/>
      <c r="G268" s="24"/>
      <c r="H268" s="24"/>
      <c r="I268" s="22"/>
      <c r="J268" s="24"/>
      <c r="K268" s="25"/>
    </row>
    <row r="269" spans="1:11" ht="19.5" customHeight="1">
      <c r="A269" s="20">
        <v>259</v>
      </c>
      <c r="B269" s="21"/>
      <c r="C269" s="21"/>
      <c r="D269" s="21" t="str">
        <f t="shared" si="8"/>
        <v/>
      </c>
      <c r="E269" s="21" t="str">
        <f t="shared" si="9"/>
        <v/>
      </c>
      <c r="F269" s="21"/>
      <c r="G269" s="21"/>
      <c r="H269" s="21"/>
      <c r="I269" s="22"/>
      <c r="J269" s="21"/>
      <c r="K269" s="23"/>
    </row>
    <row r="270" spans="1:11" ht="19.5" customHeight="1">
      <c r="A270" s="20">
        <v>260</v>
      </c>
      <c r="B270" s="24"/>
      <c r="C270" s="24"/>
      <c r="D270" s="24" t="str">
        <f t="shared" si="8"/>
        <v/>
      </c>
      <c r="E270" s="24" t="str">
        <f t="shared" si="9"/>
        <v/>
      </c>
      <c r="F270" s="24"/>
      <c r="G270" s="24"/>
      <c r="H270" s="24"/>
      <c r="I270" s="22"/>
      <c r="J270" s="24"/>
      <c r="K270" s="25"/>
    </row>
    <row r="271" spans="1:11" ht="19.5" customHeight="1">
      <c r="A271" s="20">
        <v>261</v>
      </c>
      <c r="B271" s="21"/>
      <c r="C271" s="21"/>
      <c r="D271" s="21" t="str">
        <f t="shared" si="8"/>
        <v/>
      </c>
      <c r="E271" s="21" t="str">
        <f t="shared" si="9"/>
        <v/>
      </c>
      <c r="F271" s="21"/>
      <c r="G271" s="21"/>
      <c r="H271" s="21"/>
      <c r="I271" s="22"/>
      <c r="J271" s="21"/>
      <c r="K271" s="23"/>
    </row>
    <row r="272" spans="1:11" ht="19.5" customHeight="1">
      <c r="A272" s="20">
        <v>262</v>
      </c>
      <c r="B272" s="24"/>
      <c r="C272" s="24"/>
      <c r="D272" s="24" t="str">
        <f t="shared" si="8"/>
        <v/>
      </c>
      <c r="E272" s="24" t="str">
        <f t="shared" si="9"/>
        <v/>
      </c>
      <c r="F272" s="24"/>
      <c r="G272" s="24"/>
      <c r="H272" s="24"/>
      <c r="I272" s="22"/>
      <c r="J272" s="24"/>
      <c r="K272" s="25"/>
    </row>
    <row r="273" spans="1:11" ht="19.5" customHeight="1">
      <c r="A273" s="20">
        <v>263</v>
      </c>
      <c r="B273" s="21"/>
      <c r="C273" s="21"/>
      <c r="D273" s="21" t="str">
        <f t="shared" si="8"/>
        <v/>
      </c>
      <c r="E273" s="21" t="str">
        <f t="shared" si="9"/>
        <v/>
      </c>
      <c r="F273" s="21"/>
      <c r="G273" s="21"/>
      <c r="H273" s="21"/>
      <c r="I273" s="22"/>
      <c r="J273" s="21"/>
      <c r="K273" s="23"/>
    </row>
    <row r="274" spans="1:11" ht="19.5" customHeight="1">
      <c r="A274" s="20">
        <v>264</v>
      </c>
      <c r="B274" s="24"/>
      <c r="C274" s="24"/>
      <c r="D274" s="24" t="str">
        <f t="shared" si="8"/>
        <v/>
      </c>
      <c r="E274" s="24" t="str">
        <f t="shared" si="9"/>
        <v/>
      </c>
      <c r="F274" s="24"/>
      <c r="G274" s="24"/>
      <c r="H274" s="24"/>
      <c r="I274" s="22"/>
      <c r="J274" s="24"/>
      <c r="K274" s="25"/>
    </row>
    <row r="275" spans="1:11" ht="19.5" customHeight="1">
      <c r="A275" s="20">
        <v>265</v>
      </c>
      <c r="B275" s="21"/>
      <c r="C275" s="21"/>
      <c r="D275" s="21" t="str">
        <f t="shared" si="8"/>
        <v/>
      </c>
      <c r="E275" s="21" t="str">
        <f t="shared" si="9"/>
        <v/>
      </c>
      <c r="F275" s="21"/>
      <c r="G275" s="21"/>
      <c r="H275" s="21"/>
      <c r="I275" s="22"/>
      <c r="J275" s="21"/>
      <c r="K275" s="23"/>
    </row>
    <row r="276" spans="1:11" ht="19.5" customHeight="1">
      <c r="A276" s="20">
        <v>266</v>
      </c>
      <c r="B276" s="24"/>
      <c r="C276" s="24"/>
      <c r="D276" s="24" t="str">
        <f t="shared" si="8"/>
        <v/>
      </c>
      <c r="E276" s="24" t="str">
        <f t="shared" si="9"/>
        <v/>
      </c>
      <c r="F276" s="24"/>
      <c r="G276" s="24"/>
      <c r="H276" s="24"/>
      <c r="I276" s="22"/>
      <c r="J276" s="24"/>
      <c r="K276" s="25"/>
    </row>
    <row r="277" spans="1:11" ht="19.5" customHeight="1">
      <c r="A277" s="20">
        <v>267</v>
      </c>
      <c r="B277" s="21"/>
      <c r="C277" s="21"/>
      <c r="D277" s="21" t="str">
        <f t="shared" si="8"/>
        <v/>
      </c>
      <c r="E277" s="21" t="str">
        <f t="shared" si="9"/>
        <v/>
      </c>
      <c r="F277" s="21"/>
      <c r="G277" s="21"/>
      <c r="H277" s="21"/>
      <c r="I277" s="22"/>
      <c r="J277" s="21"/>
      <c r="K277" s="23"/>
    </row>
    <row r="278" spans="1:11" ht="19.5" customHeight="1">
      <c r="A278" s="20">
        <v>268</v>
      </c>
      <c r="B278" s="24"/>
      <c r="C278" s="24"/>
      <c r="D278" s="24" t="str">
        <f t="shared" si="8"/>
        <v/>
      </c>
      <c r="E278" s="24" t="str">
        <f t="shared" si="9"/>
        <v/>
      </c>
      <c r="F278" s="24"/>
      <c r="G278" s="24"/>
      <c r="H278" s="24"/>
      <c r="I278" s="22"/>
      <c r="J278" s="24"/>
      <c r="K278" s="25"/>
    </row>
    <row r="279" spans="1:11" ht="19.5" customHeight="1">
      <c r="A279" s="20">
        <v>269</v>
      </c>
      <c r="B279" s="21"/>
      <c r="C279" s="21"/>
      <c r="D279" s="21" t="str">
        <f t="shared" si="8"/>
        <v/>
      </c>
      <c r="E279" s="21" t="str">
        <f t="shared" si="9"/>
        <v/>
      </c>
      <c r="F279" s="21"/>
      <c r="G279" s="21"/>
      <c r="H279" s="21"/>
      <c r="I279" s="22"/>
      <c r="J279" s="21"/>
      <c r="K279" s="23"/>
    </row>
    <row r="280" spans="1:11" ht="19.5" customHeight="1">
      <c r="A280" s="20">
        <v>270</v>
      </c>
      <c r="B280" s="24"/>
      <c r="C280" s="24"/>
      <c r="D280" s="24" t="str">
        <f t="shared" si="8"/>
        <v/>
      </c>
      <c r="E280" s="24" t="str">
        <f t="shared" si="9"/>
        <v/>
      </c>
      <c r="F280" s="24"/>
      <c r="G280" s="24"/>
      <c r="H280" s="24"/>
      <c r="I280" s="22"/>
      <c r="J280" s="24"/>
      <c r="K280" s="25"/>
    </row>
    <row r="281" spans="1:11" ht="19.5" customHeight="1">
      <c r="A281" s="20">
        <v>271</v>
      </c>
      <c r="B281" s="21"/>
      <c r="C281" s="21"/>
      <c r="D281" s="21" t="str">
        <f t="shared" si="8"/>
        <v/>
      </c>
      <c r="E281" s="21" t="str">
        <f t="shared" si="9"/>
        <v/>
      </c>
      <c r="F281" s="21"/>
      <c r="G281" s="21"/>
      <c r="H281" s="21"/>
      <c r="I281" s="22"/>
      <c r="J281" s="21"/>
      <c r="K281" s="23"/>
    </row>
    <row r="282" spans="1:11" ht="19.5" customHeight="1">
      <c r="A282" s="20">
        <v>272</v>
      </c>
      <c r="B282" s="24"/>
      <c r="C282" s="24"/>
      <c r="D282" s="24" t="str">
        <f t="shared" si="8"/>
        <v/>
      </c>
      <c r="E282" s="24" t="str">
        <f t="shared" si="9"/>
        <v/>
      </c>
      <c r="F282" s="24"/>
      <c r="G282" s="24"/>
      <c r="H282" s="24"/>
      <c r="I282" s="22"/>
      <c r="J282" s="24"/>
      <c r="K282" s="25"/>
    </row>
    <row r="283" spans="1:11" ht="19.5" customHeight="1">
      <c r="A283" s="20">
        <v>273</v>
      </c>
      <c r="B283" s="21"/>
      <c r="C283" s="21"/>
      <c r="D283" s="21" t="str">
        <f t="shared" si="8"/>
        <v/>
      </c>
      <c r="E283" s="21" t="str">
        <f t="shared" si="9"/>
        <v/>
      </c>
      <c r="F283" s="21"/>
      <c r="G283" s="21"/>
      <c r="H283" s="21"/>
      <c r="I283" s="22"/>
      <c r="J283" s="21"/>
      <c r="K283" s="23"/>
    </row>
    <row r="284" spans="1:11" ht="19.5" customHeight="1">
      <c r="A284" s="20">
        <v>274</v>
      </c>
      <c r="B284" s="24"/>
      <c r="C284" s="24"/>
      <c r="D284" s="24" t="str">
        <f t="shared" si="8"/>
        <v/>
      </c>
      <c r="E284" s="24" t="str">
        <f t="shared" si="9"/>
        <v/>
      </c>
      <c r="F284" s="24"/>
      <c r="G284" s="24"/>
      <c r="H284" s="24"/>
      <c r="I284" s="22"/>
      <c r="J284" s="24"/>
      <c r="K284" s="25"/>
    </row>
    <row r="285" spans="1:11" ht="19.5" customHeight="1">
      <c r="A285" s="20">
        <v>275</v>
      </c>
      <c r="B285" s="21"/>
      <c r="C285" s="21"/>
      <c r="D285" s="21" t="str">
        <f t="shared" si="8"/>
        <v/>
      </c>
      <c r="E285" s="21" t="str">
        <f t="shared" si="9"/>
        <v/>
      </c>
      <c r="F285" s="21"/>
      <c r="G285" s="21"/>
      <c r="H285" s="21"/>
      <c r="I285" s="22"/>
      <c r="J285" s="21"/>
      <c r="K285" s="23"/>
    </row>
    <row r="286" spans="1:11" ht="19.5" customHeight="1">
      <c r="A286" s="20">
        <v>276</v>
      </c>
      <c r="B286" s="24"/>
      <c r="C286" s="24"/>
      <c r="D286" s="24" t="str">
        <f t="shared" si="8"/>
        <v/>
      </c>
      <c r="E286" s="24" t="str">
        <f t="shared" si="9"/>
        <v/>
      </c>
      <c r="F286" s="24"/>
      <c r="G286" s="24"/>
      <c r="H286" s="24"/>
      <c r="I286" s="22"/>
      <c r="J286" s="24"/>
      <c r="K286" s="25"/>
    </row>
    <row r="287" spans="1:11" ht="19.5" customHeight="1">
      <c r="A287" s="20">
        <v>277</v>
      </c>
      <c r="B287" s="21"/>
      <c r="C287" s="21"/>
      <c r="D287" s="21" t="str">
        <f t="shared" si="8"/>
        <v/>
      </c>
      <c r="E287" s="21" t="str">
        <f t="shared" si="9"/>
        <v/>
      </c>
      <c r="F287" s="21"/>
      <c r="G287" s="21"/>
      <c r="H287" s="21"/>
      <c r="I287" s="22"/>
      <c r="J287" s="21"/>
      <c r="K287" s="23"/>
    </row>
    <row r="288" spans="1:11" ht="19.5" customHeight="1">
      <c r="A288" s="20">
        <v>278</v>
      </c>
      <c r="B288" s="24"/>
      <c r="C288" s="24"/>
      <c r="D288" s="24" t="str">
        <f t="shared" si="8"/>
        <v/>
      </c>
      <c r="E288" s="24" t="str">
        <f t="shared" si="9"/>
        <v/>
      </c>
      <c r="F288" s="24"/>
      <c r="G288" s="24"/>
      <c r="H288" s="24"/>
      <c r="I288" s="22"/>
      <c r="J288" s="24"/>
      <c r="K288" s="25"/>
    </row>
    <row r="289" spans="1:11" ht="19.5" customHeight="1">
      <c r="A289" s="20">
        <v>279</v>
      </c>
      <c r="B289" s="21"/>
      <c r="C289" s="21"/>
      <c r="D289" s="21" t="str">
        <f t="shared" si="8"/>
        <v/>
      </c>
      <c r="E289" s="21" t="str">
        <f t="shared" si="9"/>
        <v/>
      </c>
      <c r="F289" s="21"/>
      <c r="G289" s="21"/>
      <c r="H289" s="21"/>
      <c r="I289" s="22"/>
      <c r="J289" s="21"/>
      <c r="K289" s="23"/>
    </row>
    <row r="290" spans="1:11" ht="19.5" customHeight="1">
      <c r="A290" s="20">
        <v>280</v>
      </c>
      <c r="B290" s="24"/>
      <c r="C290" s="24"/>
      <c r="D290" s="24" t="str">
        <f t="shared" si="8"/>
        <v/>
      </c>
      <c r="E290" s="24" t="str">
        <f t="shared" si="9"/>
        <v/>
      </c>
      <c r="F290" s="24"/>
      <c r="G290" s="24"/>
      <c r="H290" s="24"/>
      <c r="I290" s="22"/>
      <c r="J290" s="24"/>
      <c r="K290" s="25"/>
    </row>
    <row r="291" spans="1:11" ht="19.5" customHeight="1">
      <c r="A291" s="20">
        <v>281</v>
      </c>
      <c r="B291" s="21"/>
      <c r="C291" s="21"/>
      <c r="D291" s="21" t="str">
        <f t="shared" si="8"/>
        <v/>
      </c>
      <c r="E291" s="21" t="str">
        <f t="shared" si="9"/>
        <v/>
      </c>
      <c r="F291" s="21"/>
      <c r="G291" s="21"/>
      <c r="H291" s="21"/>
      <c r="I291" s="22"/>
      <c r="J291" s="21"/>
      <c r="K291" s="23"/>
    </row>
    <row r="292" spans="1:11" ht="19.5" customHeight="1">
      <c r="A292" s="20">
        <v>282</v>
      </c>
      <c r="B292" s="24"/>
      <c r="C292" s="24"/>
      <c r="D292" s="24" t="str">
        <f t="shared" si="8"/>
        <v/>
      </c>
      <c r="E292" s="24" t="str">
        <f t="shared" si="9"/>
        <v/>
      </c>
      <c r="F292" s="24"/>
      <c r="G292" s="24"/>
      <c r="H292" s="24"/>
      <c r="I292" s="22"/>
      <c r="J292" s="24"/>
      <c r="K292" s="25"/>
    </row>
    <row r="293" spans="1:11" ht="19.5" customHeight="1">
      <c r="A293" s="20">
        <v>283</v>
      </c>
      <c r="B293" s="21"/>
      <c r="C293" s="21"/>
      <c r="D293" s="21" t="str">
        <f t="shared" si="8"/>
        <v/>
      </c>
      <c r="E293" s="21" t="str">
        <f t="shared" si="9"/>
        <v/>
      </c>
      <c r="F293" s="21"/>
      <c r="G293" s="21"/>
      <c r="H293" s="21"/>
      <c r="I293" s="22"/>
      <c r="J293" s="21"/>
      <c r="K293" s="23"/>
    </row>
    <row r="294" spans="1:11" ht="19.5" customHeight="1">
      <c r="A294" s="20">
        <v>284</v>
      </c>
      <c r="B294" s="24"/>
      <c r="C294" s="24"/>
      <c r="D294" s="24" t="str">
        <f t="shared" si="8"/>
        <v/>
      </c>
      <c r="E294" s="24" t="str">
        <f t="shared" si="9"/>
        <v/>
      </c>
      <c r="F294" s="24"/>
      <c r="G294" s="24"/>
      <c r="H294" s="24"/>
      <c r="I294" s="22"/>
      <c r="J294" s="24"/>
      <c r="K294" s="25"/>
    </row>
    <row r="295" spans="1:11" ht="19.5" customHeight="1">
      <c r="A295" s="20">
        <v>285</v>
      </c>
      <c r="B295" s="21"/>
      <c r="C295" s="21"/>
      <c r="D295" s="21" t="str">
        <f t="shared" si="8"/>
        <v/>
      </c>
      <c r="E295" s="21" t="str">
        <f t="shared" si="9"/>
        <v/>
      </c>
      <c r="F295" s="21"/>
      <c r="G295" s="21"/>
      <c r="H295" s="21"/>
      <c r="I295" s="22"/>
      <c r="J295" s="21"/>
      <c r="K295" s="23"/>
    </row>
    <row r="296" spans="1:11" ht="19.5" customHeight="1">
      <c r="A296" s="20">
        <v>286</v>
      </c>
      <c r="B296" s="24"/>
      <c r="C296" s="24"/>
      <c r="D296" s="24" t="str">
        <f t="shared" si="8"/>
        <v/>
      </c>
      <c r="E296" s="24" t="str">
        <f t="shared" si="9"/>
        <v/>
      </c>
      <c r="F296" s="24"/>
      <c r="G296" s="24"/>
      <c r="H296" s="24"/>
      <c r="I296" s="22"/>
      <c r="J296" s="24"/>
      <c r="K296" s="25"/>
    </row>
    <row r="297" spans="1:11" ht="19.5" customHeight="1">
      <c r="A297" s="20">
        <v>287</v>
      </c>
      <c r="B297" s="21"/>
      <c r="C297" s="21"/>
      <c r="D297" s="21" t="str">
        <f t="shared" si="8"/>
        <v/>
      </c>
      <c r="E297" s="21" t="str">
        <f t="shared" si="9"/>
        <v/>
      </c>
      <c r="F297" s="21"/>
      <c r="G297" s="21"/>
      <c r="H297" s="21"/>
      <c r="I297" s="22"/>
      <c r="J297" s="21"/>
      <c r="K297" s="23"/>
    </row>
    <row r="298" spans="1:11" ht="19.5" customHeight="1">
      <c r="A298" s="20">
        <v>288</v>
      </c>
      <c r="B298" s="24"/>
      <c r="C298" s="24"/>
      <c r="D298" s="24" t="str">
        <f t="shared" si="8"/>
        <v/>
      </c>
      <c r="E298" s="24" t="str">
        <f t="shared" si="9"/>
        <v/>
      </c>
      <c r="F298" s="24"/>
      <c r="G298" s="24"/>
      <c r="H298" s="24"/>
      <c r="I298" s="22"/>
      <c r="J298" s="24"/>
      <c r="K298" s="25"/>
    </row>
    <row r="299" spans="1:11" ht="19.5" customHeight="1">
      <c r="A299" s="20">
        <v>289</v>
      </c>
      <c r="B299" s="21"/>
      <c r="C299" s="21"/>
      <c r="D299" s="21" t="str">
        <f t="shared" si="8"/>
        <v/>
      </c>
      <c r="E299" s="21" t="str">
        <f t="shared" si="9"/>
        <v/>
      </c>
      <c r="F299" s="21"/>
      <c r="G299" s="21"/>
      <c r="H299" s="21"/>
      <c r="I299" s="22"/>
      <c r="J299" s="21"/>
      <c r="K299" s="23"/>
    </row>
    <row r="300" spans="1:11" ht="19.5" customHeight="1">
      <c r="A300" s="20">
        <v>290</v>
      </c>
      <c r="B300" s="24"/>
      <c r="C300" s="24"/>
      <c r="D300" s="24" t="str">
        <f t="shared" si="8"/>
        <v/>
      </c>
      <c r="E300" s="24" t="str">
        <f t="shared" si="9"/>
        <v/>
      </c>
      <c r="F300" s="24"/>
      <c r="G300" s="24"/>
      <c r="H300" s="24"/>
      <c r="I300" s="22"/>
      <c r="J300" s="24"/>
      <c r="K300" s="25"/>
    </row>
    <row r="301" spans="1:11" ht="19.5" customHeight="1">
      <c r="A301" s="20">
        <v>291</v>
      </c>
      <c r="B301" s="21"/>
      <c r="C301" s="21"/>
      <c r="D301" s="21" t="str">
        <f t="shared" si="8"/>
        <v/>
      </c>
      <c r="E301" s="21" t="str">
        <f t="shared" si="9"/>
        <v/>
      </c>
      <c r="F301" s="21"/>
      <c r="G301" s="21"/>
      <c r="H301" s="21"/>
      <c r="I301" s="22"/>
      <c r="J301" s="21"/>
      <c r="K301" s="23"/>
    </row>
    <row r="302" spans="1:11" ht="19.5" customHeight="1">
      <c r="A302" s="20">
        <v>292</v>
      </c>
      <c r="B302" s="24"/>
      <c r="C302" s="24"/>
      <c r="D302" s="24" t="str">
        <f t="shared" si="8"/>
        <v/>
      </c>
      <c r="E302" s="24" t="str">
        <f t="shared" si="9"/>
        <v/>
      </c>
      <c r="F302" s="24"/>
      <c r="G302" s="24"/>
      <c r="H302" s="24"/>
      <c r="I302" s="22"/>
      <c r="J302" s="24"/>
      <c r="K302" s="25"/>
    </row>
    <row r="303" spans="1:11" ht="19.5" customHeight="1">
      <c r="A303" s="20">
        <v>293</v>
      </c>
      <c r="B303" s="21"/>
      <c r="C303" s="21"/>
      <c r="D303" s="21" t="str">
        <f t="shared" si="8"/>
        <v/>
      </c>
      <c r="E303" s="21" t="str">
        <f t="shared" si="9"/>
        <v/>
      </c>
      <c r="F303" s="21"/>
      <c r="G303" s="21"/>
      <c r="H303" s="21"/>
      <c r="I303" s="22"/>
      <c r="J303" s="21"/>
      <c r="K303" s="23"/>
    </row>
    <row r="304" spans="1:11" ht="19.5" customHeight="1">
      <c r="A304" s="20">
        <v>294</v>
      </c>
      <c r="B304" s="24"/>
      <c r="C304" s="24"/>
      <c r="D304" s="24" t="str">
        <f t="shared" si="8"/>
        <v/>
      </c>
      <c r="E304" s="24" t="str">
        <f t="shared" si="9"/>
        <v/>
      </c>
      <c r="F304" s="24"/>
      <c r="G304" s="24"/>
      <c r="H304" s="24"/>
      <c r="I304" s="22"/>
      <c r="J304" s="24"/>
      <c r="K304" s="25"/>
    </row>
    <row r="305" spans="1:11" ht="19.5" customHeight="1">
      <c r="A305" s="20">
        <v>295</v>
      </c>
      <c r="B305" s="21"/>
      <c r="C305" s="21"/>
      <c r="D305" s="21" t="str">
        <f t="shared" si="8"/>
        <v/>
      </c>
      <c r="E305" s="21" t="str">
        <f t="shared" si="9"/>
        <v/>
      </c>
      <c r="F305" s="21"/>
      <c r="G305" s="21"/>
      <c r="H305" s="21"/>
      <c r="I305" s="22"/>
      <c r="J305" s="21"/>
      <c r="K305" s="23"/>
    </row>
    <row r="306" spans="1:11" ht="19.5" customHeight="1">
      <c r="A306" s="20">
        <v>296</v>
      </c>
      <c r="B306" s="24"/>
      <c r="C306" s="24"/>
      <c r="D306" s="24" t="str">
        <f t="shared" si="8"/>
        <v/>
      </c>
      <c r="E306" s="24" t="str">
        <f t="shared" si="9"/>
        <v/>
      </c>
      <c r="F306" s="24"/>
      <c r="G306" s="24"/>
      <c r="H306" s="24"/>
      <c r="I306" s="22"/>
      <c r="J306" s="24"/>
      <c r="K306" s="25"/>
    </row>
    <row r="307" spans="1:11" ht="19.5" customHeight="1">
      <c r="A307" s="20">
        <v>297</v>
      </c>
      <c r="B307" s="21"/>
      <c r="C307" s="21"/>
      <c r="D307" s="21" t="str">
        <f t="shared" si="8"/>
        <v/>
      </c>
      <c r="E307" s="21" t="str">
        <f t="shared" si="9"/>
        <v/>
      </c>
      <c r="F307" s="21"/>
      <c r="G307" s="21"/>
      <c r="H307" s="21"/>
      <c r="I307" s="22"/>
      <c r="J307" s="21"/>
      <c r="K307" s="23"/>
    </row>
    <row r="308" spans="1:11" ht="19.5" customHeight="1">
      <c r="A308" s="20">
        <v>298</v>
      </c>
      <c r="B308" s="24"/>
      <c r="C308" s="24"/>
      <c r="D308" s="24" t="str">
        <f t="shared" si="8"/>
        <v/>
      </c>
      <c r="E308" s="24" t="str">
        <f t="shared" si="9"/>
        <v/>
      </c>
      <c r="F308" s="24"/>
      <c r="G308" s="24"/>
      <c r="H308" s="24"/>
      <c r="I308" s="22"/>
      <c r="J308" s="24"/>
      <c r="K308" s="25"/>
    </row>
    <row r="309" spans="1:11" ht="19.5" customHeight="1">
      <c r="A309" s="20">
        <v>299</v>
      </c>
      <c r="B309" s="21"/>
      <c r="C309" s="21"/>
      <c r="D309" s="21" t="str">
        <f t="shared" si="8"/>
        <v/>
      </c>
      <c r="E309" s="21" t="str">
        <f t="shared" si="9"/>
        <v/>
      </c>
      <c r="F309" s="21"/>
      <c r="G309" s="21"/>
      <c r="H309" s="21"/>
      <c r="I309" s="22"/>
      <c r="J309" s="21"/>
      <c r="K309" s="23"/>
    </row>
    <row r="310" spans="1:11" ht="19.5" customHeight="1">
      <c r="A310" s="20">
        <v>300</v>
      </c>
      <c r="B310" s="24"/>
      <c r="C310" s="24"/>
      <c r="D310" s="24" t="str">
        <f t="shared" si="8"/>
        <v/>
      </c>
      <c r="E310" s="24" t="str">
        <f t="shared" si="9"/>
        <v/>
      </c>
      <c r="F310" s="24"/>
      <c r="G310" s="24"/>
      <c r="H310" s="24"/>
      <c r="I310" s="22"/>
      <c r="J310" s="24"/>
      <c r="K310" s="25"/>
    </row>
    <row r="312" spans="1:11" ht="15" customHeight="1">
      <c r="A312" s="76" t="s">
        <v>58</v>
      </c>
      <c r="B312" s="56"/>
      <c r="C312" s="56"/>
      <c r="D312" s="56"/>
      <c r="E312" s="56"/>
      <c r="F312" s="56"/>
      <c r="G312" s="56"/>
      <c r="H312" s="56"/>
      <c r="I312" s="56"/>
      <c r="J312" s="56"/>
      <c r="K312" s="56"/>
    </row>
  </sheetData>
  <mergeCells count="18">
    <mergeCell ref="A1:K1"/>
    <mergeCell ref="C3:H3"/>
    <mergeCell ref="I5:J5"/>
    <mergeCell ref="C4:H4"/>
    <mergeCell ref="G6:H6"/>
    <mergeCell ref="K3:M3"/>
    <mergeCell ref="A3:B3"/>
    <mergeCell ref="A6:B6"/>
    <mergeCell ref="A4:B4"/>
    <mergeCell ref="K4:M4"/>
    <mergeCell ref="A312:K312"/>
    <mergeCell ref="E6:F6"/>
    <mergeCell ref="C6:D6"/>
    <mergeCell ref="A8:M8"/>
    <mergeCell ref="C5:H5"/>
    <mergeCell ref="K5:M5"/>
    <mergeCell ref="I6:M6"/>
    <mergeCell ref="A5:B5"/>
  </mergeCells>
  <phoneticPr fontId="37"/>
  <conditionalFormatting sqref="B11:C310">
    <cfRule type="expression" dxfId="5" priority="3">
      <formula>AND($B11&lt;&gt;"",COUNTIFS($B$11:$B$310,$B11,$C$11:$C$310,$C11)&gt;1)</formula>
    </cfRule>
  </conditionalFormatting>
  <conditionalFormatting sqref="I11:I310">
    <cfRule type="expression" dxfId="4" priority="2">
      <formula>AND(B11&lt;&gt;"",I11="")</formula>
    </cfRule>
  </conditionalFormatting>
  <dataValidations count="4">
    <dataValidation type="list" allowBlank="1" sqref="F11:F310" xr:uid="{00000000-0002-0000-0100-000000000000}">
      <formula1>"国立,県立,市町村立,私立,その他"</formula1>
      <formula2>0</formula2>
    </dataValidation>
    <dataValidation type="list" allowBlank="1" promptTitle="賞状印刷" prompt="賞状印刷を希望する人のみ「○」。空欄は希望なし。" sqref="K11:K310" xr:uid="{00000000-0002-0000-0100-000001000000}">
      <formula1>"○"</formula1>
      <formula2>0</formula2>
    </dataValidation>
    <dataValidation type="list" allowBlank="1" sqref="I11:I310" xr:uid="{00000000-0002-0000-0100-000002000000}">
      <formula1>"1,2,3,4,5,6,7,8,9"</formula1>
      <formula2>0</formula2>
    </dataValidation>
    <dataValidation type="list" allowBlank="1" sqref="H11:H310" xr:uid="{00000000-0002-0000-0100-000003000000}">
      <formula1>"小学校,中学校,高等学校,中等教育学校,高等専門学校,その他"</formula1>
    </dataValidation>
  </dataValidations>
  <pageMargins left="0.75" right="0.75" top="1" bottom="1" header="0.511811023622047" footer="0.511811023622047"/>
  <pageSetup paperSize="9" fitToHeight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12"/>
  <sheetViews>
    <sheetView zoomScaleNormal="100" workbookViewId="0">
      <selection activeCell="E10" sqref="E10"/>
    </sheetView>
  </sheetViews>
  <sheetFormatPr defaultColWidth="8.7265625" defaultRowHeight="14.5"/>
  <cols>
    <col min="1" max="1" width="5" customWidth="1"/>
    <col min="2" max="3" width="10" customWidth="1"/>
    <col min="4" max="6" width="13" customWidth="1"/>
    <col min="7" max="7" width="22" customWidth="1"/>
    <col min="8" max="8" width="13" customWidth="1"/>
    <col min="9" max="9" width="7" customWidth="1"/>
    <col min="10" max="10" width="12" customWidth="1"/>
    <col min="11" max="11" width="18" customWidth="1"/>
    <col min="12" max="12" width="8" customWidth="1"/>
    <col min="13" max="13" width="16" customWidth="1"/>
  </cols>
  <sheetData>
    <row r="1" spans="1:13" ht="27.75" customHeight="1">
      <c r="A1" s="82" t="s">
        <v>59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3" ht="19.5" customHeight="1">
      <c r="A2" s="8" t="s">
        <v>60</v>
      </c>
      <c r="B2" s="9"/>
      <c r="C2" s="9"/>
      <c r="D2" s="9"/>
      <c r="E2" s="9"/>
      <c r="F2" s="9"/>
      <c r="G2" s="9"/>
      <c r="H2" s="9"/>
      <c r="I2" s="9"/>
      <c r="J2" s="9"/>
    </row>
    <row r="3" spans="1:13" ht="27.75" customHeight="1">
      <c r="A3" s="62" t="s">
        <v>4</v>
      </c>
      <c r="B3" s="50"/>
      <c r="C3" s="77" t="str">
        <f>IF(基本情報・出品料!C4="","",基本情報・出品料!C4)</f>
        <v>※個人出品の場合は「個人」と記入</v>
      </c>
      <c r="D3" s="54"/>
      <c r="E3" s="54"/>
      <c r="F3" s="54"/>
      <c r="G3" s="54"/>
      <c r="H3" s="54"/>
      <c r="I3" s="10" t="s">
        <v>6</v>
      </c>
      <c r="J3" s="11" t="str">
        <f>IF(基本情報・出品料!J4="","",基本情報・出品料!J4)</f>
        <v/>
      </c>
      <c r="K3" s="56"/>
      <c r="L3" s="56"/>
      <c r="M3" s="56"/>
    </row>
    <row r="4" spans="1:13" ht="25.5" customHeight="1">
      <c r="A4" s="80" t="s">
        <v>8</v>
      </c>
      <c r="B4" s="81"/>
      <c r="C4" s="77" t="str">
        <f>IF(基本情報・出品料!C5="","",基本情報・出品料!C5)</f>
        <v>※個人出品の場合は保護者名</v>
      </c>
      <c r="D4" s="54"/>
      <c r="E4" s="54"/>
      <c r="F4" s="54"/>
      <c r="G4" s="54"/>
      <c r="H4" s="54"/>
      <c r="I4" s="12" t="s">
        <v>10</v>
      </c>
      <c r="J4" s="11" t="str">
        <f>IF(基本情報・出品料!J5="","",基本情報・出品料!J5)</f>
        <v/>
      </c>
      <c r="K4" s="56"/>
      <c r="L4" s="56"/>
      <c r="M4" s="56"/>
    </row>
    <row r="5" spans="1:13" ht="30" customHeight="1">
      <c r="A5" s="62" t="s">
        <v>12</v>
      </c>
      <c r="B5" s="50"/>
      <c r="C5" s="77" t="str">
        <f>IF(基本情報・出品料!C6="","",基本情報・出品料!C6)</f>
        <v/>
      </c>
      <c r="D5" s="54"/>
      <c r="E5" s="54"/>
      <c r="F5" s="54"/>
      <c r="G5" s="54"/>
      <c r="H5" s="54"/>
      <c r="I5" s="62" t="s">
        <v>13</v>
      </c>
      <c r="J5" s="50"/>
      <c r="K5" s="56"/>
      <c r="L5" s="56"/>
      <c r="M5" s="56"/>
    </row>
    <row r="6" spans="1:13" ht="27.75" customHeight="1">
      <c r="A6" s="62" t="s">
        <v>14</v>
      </c>
      <c r="B6" s="50"/>
      <c r="C6" s="77" t="str">
        <f>基本情報・出品料!C7</f>
        <v>▼ 選択してください</v>
      </c>
      <c r="D6" s="54"/>
      <c r="E6" s="62" t="s">
        <v>16</v>
      </c>
      <c r="F6" s="50"/>
      <c r="G6" s="77" t="str">
        <f>基本情報・出品料!G7</f>
        <v>▼ 選択してください</v>
      </c>
      <c r="H6" s="54"/>
      <c r="I6" s="56"/>
      <c r="J6" s="56"/>
      <c r="K6" s="56"/>
      <c r="L6" s="56"/>
      <c r="M6" s="56"/>
    </row>
    <row r="7" spans="1:13" ht="6" customHeight="1"/>
    <row r="8" spans="1:13" ht="42" customHeight="1">
      <c r="A8" s="78" t="s">
        <v>35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3" ht="36" customHeight="1">
      <c r="A9" s="29" t="s">
        <v>36</v>
      </c>
      <c r="B9" s="30" t="s">
        <v>37</v>
      </c>
      <c r="C9" s="30" t="s">
        <v>38</v>
      </c>
      <c r="D9" s="42" t="s">
        <v>39</v>
      </c>
      <c r="E9" s="42" t="s">
        <v>40</v>
      </c>
      <c r="F9" s="30" t="s">
        <v>41</v>
      </c>
      <c r="G9" s="30" t="s">
        <v>42</v>
      </c>
      <c r="H9" s="30" t="s">
        <v>43</v>
      </c>
      <c r="I9" s="30" t="s">
        <v>44</v>
      </c>
      <c r="J9" s="30" t="s">
        <v>45</v>
      </c>
      <c r="K9" s="15" t="s">
        <v>46</v>
      </c>
    </row>
    <row r="10" spans="1:13" ht="19.5" customHeight="1">
      <c r="A10" s="16" t="s">
        <v>47</v>
      </c>
      <c r="B10" s="17" t="s">
        <v>48</v>
      </c>
      <c r="C10" s="17" t="s">
        <v>49</v>
      </c>
      <c r="D10" s="17" t="s">
        <v>50</v>
      </c>
      <c r="E10" s="41" t="s">
        <v>51</v>
      </c>
      <c r="F10" s="17" t="s">
        <v>52</v>
      </c>
      <c r="G10" s="18" t="s">
        <v>53</v>
      </c>
      <c r="H10" s="17" t="s">
        <v>54</v>
      </c>
      <c r="I10" s="17" t="s">
        <v>55</v>
      </c>
      <c r="J10" s="17" t="s">
        <v>56</v>
      </c>
      <c r="K10" s="31" t="s">
        <v>57</v>
      </c>
    </row>
    <row r="11" spans="1:13" ht="19.5" customHeight="1">
      <c r="A11" s="20">
        <v>1</v>
      </c>
      <c r="B11" s="21"/>
      <c r="C11" s="21"/>
      <c r="D11" s="21" t="str">
        <f t="shared" ref="D11:D74" si="0">IF(B11="","",PHONETIC(B11))</f>
        <v/>
      </c>
      <c r="E11" s="21" t="str">
        <f t="shared" ref="E11:E74" si="1">IF(C11="","",PHONETIC(C11))</f>
        <v/>
      </c>
      <c r="F11" s="21"/>
      <c r="G11" s="21"/>
      <c r="H11" s="21"/>
      <c r="I11" s="22"/>
      <c r="J11" s="21"/>
      <c r="K11" s="23"/>
    </row>
    <row r="12" spans="1:13" ht="19.5" customHeight="1">
      <c r="A12" s="20">
        <v>2</v>
      </c>
      <c r="B12" s="24"/>
      <c r="C12" s="24"/>
      <c r="D12" s="24" t="str">
        <f t="shared" si="0"/>
        <v/>
      </c>
      <c r="E12" s="24" t="str">
        <f t="shared" si="1"/>
        <v/>
      </c>
      <c r="F12" s="24"/>
      <c r="G12" s="24"/>
      <c r="H12" s="24"/>
      <c r="I12" s="22"/>
      <c r="J12" s="24"/>
      <c r="K12" s="25"/>
    </row>
    <row r="13" spans="1:13" ht="19.5" customHeight="1">
      <c r="A13" s="20">
        <v>3</v>
      </c>
      <c r="B13" s="21"/>
      <c r="C13" s="21"/>
      <c r="D13" s="21" t="str">
        <f t="shared" si="0"/>
        <v/>
      </c>
      <c r="E13" s="21" t="str">
        <f t="shared" si="1"/>
        <v/>
      </c>
      <c r="F13" s="21"/>
      <c r="G13" s="21"/>
      <c r="H13" s="21"/>
      <c r="I13" s="22"/>
      <c r="J13" s="21"/>
      <c r="K13" s="23"/>
    </row>
    <row r="14" spans="1:13" ht="19.5" customHeight="1">
      <c r="A14" s="20">
        <v>4</v>
      </c>
      <c r="B14" s="24"/>
      <c r="C14" s="24"/>
      <c r="D14" s="24" t="str">
        <f t="shared" si="0"/>
        <v/>
      </c>
      <c r="E14" s="24" t="str">
        <f t="shared" si="1"/>
        <v/>
      </c>
      <c r="F14" s="24"/>
      <c r="G14" s="24"/>
      <c r="H14" s="24"/>
      <c r="I14" s="22"/>
      <c r="J14" s="24"/>
      <c r="K14" s="25"/>
    </row>
    <row r="15" spans="1:13" ht="19.5" customHeight="1">
      <c r="A15" s="20">
        <v>5</v>
      </c>
      <c r="B15" s="21"/>
      <c r="C15" s="21"/>
      <c r="D15" s="21" t="str">
        <f t="shared" si="0"/>
        <v/>
      </c>
      <c r="E15" s="21" t="str">
        <f t="shared" si="1"/>
        <v/>
      </c>
      <c r="F15" s="21"/>
      <c r="G15" s="21"/>
      <c r="H15" s="21"/>
      <c r="I15" s="22"/>
      <c r="J15" s="21"/>
      <c r="K15" s="23"/>
    </row>
    <row r="16" spans="1:13" ht="19.5" customHeight="1">
      <c r="A16" s="20">
        <v>6</v>
      </c>
      <c r="B16" s="24"/>
      <c r="C16" s="24"/>
      <c r="D16" s="24" t="str">
        <f t="shared" si="0"/>
        <v/>
      </c>
      <c r="E16" s="24" t="str">
        <f t="shared" si="1"/>
        <v/>
      </c>
      <c r="F16" s="24"/>
      <c r="G16" s="24"/>
      <c r="H16" s="24"/>
      <c r="I16" s="22"/>
      <c r="J16" s="24"/>
      <c r="K16" s="25"/>
    </row>
    <row r="17" spans="1:11" ht="19.5" customHeight="1">
      <c r="A17" s="20">
        <v>7</v>
      </c>
      <c r="B17" s="21"/>
      <c r="C17" s="21"/>
      <c r="D17" s="21" t="str">
        <f t="shared" si="0"/>
        <v/>
      </c>
      <c r="E17" s="21" t="str">
        <f t="shared" si="1"/>
        <v/>
      </c>
      <c r="F17" s="21"/>
      <c r="G17" s="21"/>
      <c r="H17" s="21"/>
      <c r="I17" s="22"/>
      <c r="J17" s="21"/>
      <c r="K17" s="23"/>
    </row>
    <row r="18" spans="1:11" ht="19.5" customHeight="1">
      <c r="A18" s="20">
        <v>8</v>
      </c>
      <c r="B18" s="24"/>
      <c r="C18" s="24"/>
      <c r="D18" s="24" t="str">
        <f t="shared" si="0"/>
        <v/>
      </c>
      <c r="E18" s="24" t="str">
        <f t="shared" si="1"/>
        <v/>
      </c>
      <c r="F18" s="24"/>
      <c r="G18" s="24"/>
      <c r="H18" s="24"/>
      <c r="I18" s="22"/>
      <c r="J18" s="24"/>
      <c r="K18" s="25"/>
    </row>
    <row r="19" spans="1:11" ht="19.5" customHeight="1">
      <c r="A19" s="20">
        <v>9</v>
      </c>
      <c r="B19" s="21"/>
      <c r="C19" s="21"/>
      <c r="D19" s="21" t="str">
        <f t="shared" si="0"/>
        <v/>
      </c>
      <c r="E19" s="21" t="str">
        <f t="shared" si="1"/>
        <v/>
      </c>
      <c r="F19" s="21"/>
      <c r="G19" s="21"/>
      <c r="H19" s="21"/>
      <c r="I19" s="22"/>
      <c r="J19" s="21"/>
      <c r="K19" s="23"/>
    </row>
    <row r="20" spans="1:11" ht="19.5" customHeight="1">
      <c r="A20" s="20">
        <v>10</v>
      </c>
      <c r="B20" s="24"/>
      <c r="C20" s="24"/>
      <c r="D20" s="24" t="str">
        <f t="shared" si="0"/>
        <v/>
      </c>
      <c r="E20" s="24" t="str">
        <f t="shared" si="1"/>
        <v/>
      </c>
      <c r="F20" s="24"/>
      <c r="G20" s="24"/>
      <c r="H20" s="24"/>
      <c r="I20" s="22"/>
      <c r="J20" s="24"/>
      <c r="K20" s="25"/>
    </row>
    <row r="21" spans="1:11" ht="19.5" customHeight="1">
      <c r="A21" s="20">
        <v>11</v>
      </c>
      <c r="B21" s="21"/>
      <c r="C21" s="21"/>
      <c r="D21" s="21" t="str">
        <f t="shared" si="0"/>
        <v/>
      </c>
      <c r="E21" s="21" t="str">
        <f t="shared" si="1"/>
        <v/>
      </c>
      <c r="F21" s="21"/>
      <c r="G21" s="21"/>
      <c r="H21" s="21"/>
      <c r="I21" s="22"/>
      <c r="J21" s="21"/>
      <c r="K21" s="23"/>
    </row>
    <row r="22" spans="1:11" ht="19.5" customHeight="1">
      <c r="A22" s="20">
        <v>12</v>
      </c>
      <c r="B22" s="24"/>
      <c r="C22" s="24"/>
      <c r="D22" s="24" t="str">
        <f t="shared" si="0"/>
        <v/>
      </c>
      <c r="E22" s="24" t="str">
        <f t="shared" si="1"/>
        <v/>
      </c>
      <c r="F22" s="24"/>
      <c r="G22" s="24"/>
      <c r="H22" s="24"/>
      <c r="I22" s="22"/>
      <c r="J22" s="24"/>
      <c r="K22" s="25"/>
    </row>
    <row r="23" spans="1:11" ht="19.5" customHeight="1">
      <c r="A23" s="20">
        <v>13</v>
      </c>
      <c r="B23" s="21"/>
      <c r="C23" s="21"/>
      <c r="D23" s="21" t="str">
        <f t="shared" si="0"/>
        <v/>
      </c>
      <c r="E23" s="21" t="str">
        <f t="shared" si="1"/>
        <v/>
      </c>
      <c r="F23" s="21"/>
      <c r="G23" s="21"/>
      <c r="H23" s="21"/>
      <c r="I23" s="22"/>
      <c r="J23" s="21"/>
      <c r="K23" s="23"/>
    </row>
    <row r="24" spans="1:11" ht="19.5" customHeight="1">
      <c r="A24" s="20">
        <v>14</v>
      </c>
      <c r="B24" s="24"/>
      <c r="C24" s="24"/>
      <c r="D24" s="24" t="str">
        <f t="shared" si="0"/>
        <v/>
      </c>
      <c r="E24" s="24" t="str">
        <f t="shared" si="1"/>
        <v/>
      </c>
      <c r="F24" s="24"/>
      <c r="G24" s="24"/>
      <c r="H24" s="24"/>
      <c r="I24" s="22"/>
      <c r="J24" s="24"/>
      <c r="K24" s="25"/>
    </row>
    <row r="25" spans="1:11" ht="19.5" customHeight="1">
      <c r="A25" s="20">
        <v>15</v>
      </c>
      <c r="B25" s="21"/>
      <c r="C25" s="21"/>
      <c r="D25" s="21" t="str">
        <f t="shared" si="0"/>
        <v/>
      </c>
      <c r="E25" s="21" t="str">
        <f t="shared" si="1"/>
        <v/>
      </c>
      <c r="F25" s="21"/>
      <c r="G25" s="21"/>
      <c r="H25" s="21"/>
      <c r="I25" s="22"/>
      <c r="J25" s="21"/>
      <c r="K25" s="23"/>
    </row>
    <row r="26" spans="1:11" ht="19.5" customHeight="1">
      <c r="A26" s="20">
        <v>16</v>
      </c>
      <c r="B26" s="24"/>
      <c r="C26" s="24"/>
      <c r="D26" s="24" t="str">
        <f t="shared" si="0"/>
        <v/>
      </c>
      <c r="E26" s="24" t="str">
        <f t="shared" si="1"/>
        <v/>
      </c>
      <c r="F26" s="24"/>
      <c r="G26" s="24"/>
      <c r="H26" s="24"/>
      <c r="I26" s="22"/>
      <c r="J26" s="24"/>
      <c r="K26" s="25"/>
    </row>
    <row r="27" spans="1:11" ht="19.5" customHeight="1">
      <c r="A27" s="20">
        <v>17</v>
      </c>
      <c r="B27" s="21"/>
      <c r="C27" s="21"/>
      <c r="D27" s="21" t="str">
        <f t="shared" si="0"/>
        <v/>
      </c>
      <c r="E27" s="21" t="str">
        <f t="shared" si="1"/>
        <v/>
      </c>
      <c r="F27" s="21"/>
      <c r="G27" s="21"/>
      <c r="H27" s="21"/>
      <c r="I27" s="22"/>
      <c r="J27" s="21"/>
      <c r="K27" s="23"/>
    </row>
    <row r="28" spans="1:11" ht="19.5" customHeight="1">
      <c r="A28" s="20">
        <v>18</v>
      </c>
      <c r="B28" s="24"/>
      <c r="C28" s="24"/>
      <c r="D28" s="24" t="str">
        <f t="shared" si="0"/>
        <v/>
      </c>
      <c r="E28" s="24" t="str">
        <f t="shared" si="1"/>
        <v/>
      </c>
      <c r="F28" s="24"/>
      <c r="G28" s="24"/>
      <c r="H28" s="24"/>
      <c r="I28" s="22"/>
      <c r="J28" s="24"/>
      <c r="K28" s="25"/>
    </row>
    <row r="29" spans="1:11" ht="19.5" customHeight="1">
      <c r="A29" s="20">
        <v>19</v>
      </c>
      <c r="B29" s="21"/>
      <c r="C29" s="21"/>
      <c r="D29" s="21" t="str">
        <f t="shared" si="0"/>
        <v/>
      </c>
      <c r="E29" s="21" t="str">
        <f t="shared" si="1"/>
        <v/>
      </c>
      <c r="F29" s="21"/>
      <c r="G29" s="21"/>
      <c r="H29" s="21"/>
      <c r="I29" s="22"/>
      <c r="J29" s="21"/>
      <c r="K29" s="23"/>
    </row>
    <row r="30" spans="1:11" ht="19.5" customHeight="1">
      <c r="A30" s="20">
        <v>20</v>
      </c>
      <c r="B30" s="24"/>
      <c r="C30" s="24"/>
      <c r="D30" s="24" t="str">
        <f t="shared" si="0"/>
        <v/>
      </c>
      <c r="E30" s="24" t="str">
        <f t="shared" si="1"/>
        <v/>
      </c>
      <c r="F30" s="24"/>
      <c r="G30" s="24"/>
      <c r="H30" s="24"/>
      <c r="I30" s="22"/>
      <c r="J30" s="24"/>
      <c r="K30" s="25"/>
    </row>
    <row r="31" spans="1:11" ht="19.5" customHeight="1">
      <c r="A31" s="20">
        <v>21</v>
      </c>
      <c r="B31" s="21"/>
      <c r="C31" s="21"/>
      <c r="D31" s="21" t="str">
        <f t="shared" si="0"/>
        <v/>
      </c>
      <c r="E31" s="21" t="str">
        <f t="shared" si="1"/>
        <v/>
      </c>
      <c r="F31" s="21"/>
      <c r="G31" s="21"/>
      <c r="H31" s="21"/>
      <c r="I31" s="22"/>
      <c r="J31" s="21"/>
      <c r="K31" s="23"/>
    </row>
    <row r="32" spans="1:11" ht="19.5" customHeight="1">
      <c r="A32" s="20">
        <v>22</v>
      </c>
      <c r="B32" s="24"/>
      <c r="C32" s="24"/>
      <c r="D32" s="24" t="str">
        <f t="shared" si="0"/>
        <v/>
      </c>
      <c r="E32" s="24" t="str">
        <f t="shared" si="1"/>
        <v/>
      </c>
      <c r="F32" s="24"/>
      <c r="G32" s="24"/>
      <c r="H32" s="24"/>
      <c r="I32" s="22"/>
      <c r="J32" s="24"/>
      <c r="K32" s="25"/>
    </row>
    <row r="33" spans="1:11" ht="19.5" customHeight="1">
      <c r="A33" s="20">
        <v>23</v>
      </c>
      <c r="B33" s="21"/>
      <c r="C33" s="21"/>
      <c r="D33" s="21" t="str">
        <f t="shared" si="0"/>
        <v/>
      </c>
      <c r="E33" s="21" t="str">
        <f t="shared" si="1"/>
        <v/>
      </c>
      <c r="F33" s="21"/>
      <c r="G33" s="21"/>
      <c r="H33" s="21"/>
      <c r="I33" s="22"/>
      <c r="J33" s="21"/>
      <c r="K33" s="23"/>
    </row>
    <row r="34" spans="1:11" ht="19.5" customHeight="1">
      <c r="A34" s="20">
        <v>24</v>
      </c>
      <c r="B34" s="24"/>
      <c r="C34" s="24"/>
      <c r="D34" s="24" t="str">
        <f t="shared" si="0"/>
        <v/>
      </c>
      <c r="E34" s="24" t="str">
        <f t="shared" si="1"/>
        <v/>
      </c>
      <c r="F34" s="24"/>
      <c r="G34" s="24"/>
      <c r="H34" s="24"/>
      <c r="I34" s="22"/>
      <c r="J34" s="24"/>
      <c r="K34" s="25"/>
    </row>
    <row r="35" spans="1:11" ht="19.5" customHeight="1">
      <c r="A35" s="20">
        <v>25</v>
      </c>
      <c r="B35" s="21"/>
      <c r="C35" s="21"/>
      <c r="D35" s="21" t="str">
        <f t="shared" si="0"/>
        <v/>
      </c>
      <c r="E35" s="21" t="str">
        <f t="shared" si="1"/>
        <v/>
      </c>
      <c r="F35" s="21"/>
      <c r="G35" s="21"/>
      <c r="H35" s="21"/>
      <c r="I35" s="22"/>
      <c r="J35" s="21"/>
      <c r="K35" s="23"/>
    </row>
    <row r="36" spans="1:11" ht="19.5" customHeight="1">
      <c r="A36" s="20">
        <v>26</v>
      </c>
      <c r="B36" s="24"/>
      <c r="C36" s="24"/>
      <c r="D36" s="24" t="str">
        <f t="shared" si="0"/>
        <v/>
      </c>
      <c r="E36" s="24" t="str">
        <f t="shared" si="1"/>
        <v/>
      </c>
      <c r="F36" s="24"/>
      <c r="G36" s="24"/>
      <c r="H36" s="24"/>
      <c r="I36" s="22"/>
      <c r="J36" s="24"/>
      <c r="K36" s="25"/>
    </row>
    <row r="37" spans="1:11" ht="19.5" customHeight="1">
      <c r="A37" s="20">
        <v>27</v>
      </c>
      <c r="B37" s="21"/>
      <c r="C37" s="21"/>
      <c r="D37" s="21" t="str">
        <f t="shared" si="0"/>
        <v/>
      </c>
      <c r="E37" s="21" t="str">
        <f t="shared" si="1"/>
        <v/>
      </c>
      <c r="F37" s="21"/>
      <c r="G37" s="21"/>
      <c r="H37" s="21"/>
      <c r="I37" s="22"/>
      <c r="J37" s="21"/>
      <c r="K37" s="23"/>
    </row>
    <row r="38" spans="1:11" ht="19.5" customHeight="1">
      <c r="A38" s="20">
        <v>28</v>
      </c>
      <c r="B38" s="24"/>
      <c r="C38" s="24"/>
      <c r="D38" s="24" t="str">
        <f t="shared" si="0"/>
        <v/>
      </c>
      <c r="E38" s="24" t="str">
        <f t="shared" si="1"/>
        <v/>
      </c>
      <c r="F38" s="24"/>
      <c r="G38" s="24"/>
      <c r="H38" s="24"/>
      <c r="I38" s="22"/>
      <c r="J38" s="24"/>
      <c r="K38" s="25"/>
    </row>
    <row r="39" spans="1:11" ht="19.5" customHeight="1">
      <c r="A39" s="20">
        <v>29</v>
      </c>
      <c r="B39" s="21"/>
      <c r="C39" s="21"/>
      <c r="D39" s="21" t="str">
        <f t="shared" si="0"/>
        <v/>
      </c>
      <c r="E39" s="21" t="str">
        <f t="shared" si="1"/>
        <v/>
      </c>
      <c r="F39" s="21"/>
      <c r="G39" s="21"/>
      <c r="H39" s="21"/>
      <c r="I39" s="22"/>
      <c r="J39" s="21"/>
      <c r="K39" s="23"/>
    </row>
    <row r="40" spans="1:11" ht="19.5" customHeight="1">
      <c r="A40" s="20">
        <v>30</v>
      </c>
      <c r="B40" s="24"/>
      <c r="C40" s="24"/>
      <c r="D40" s="24" t="str">
        <f t="shared" si="0"/>
        <v/>
      </c>
      <c r="E40" s="24" t="str">
        <f t="shared" si="1"/>
        <v/>
      </c>
      <c r="F40" s="24"/>
      <c r="G40" s="24"/>
      <c r="H40" s="24"/>
      <c r="I40" s="22"/>
      <c r="J40" s="24"/>
      <c r="K40" s="25"/>
    </row>
    <row r="41" spans="1:11" ht="19.5" customHeight="1">
      <c r="A41" s="20">
        <v>31</v>
      </c>
      <c r="B41" s="21"/>
      <c r="C41" s="21"/>
      <c r="D41" s="21" t="str">
        <f t="shared" si="0"/>
        <v/>
      </c>
      <c r="E41" s="21" t="str">
        <f t="shared" si="1"/>
        <v/>
      </c>
      <c r="F41" s="21"/>
      <c r="G41" s="21"/>
      <c r="H41" s="21"/>
      <c r="I41" s="22"/>
      <c r="J41" s="21"/>
      <c r="K41" s="23"/>
    </row>
    <row r="42" spans="1:11" ht="19.5" customHeight="1">
      <c r="A42" s="20">
        <v>32</v>
      </c>
      <c r="B42" s="24"/>
      <c r="C42" s="24"/>
      <c r="D42" s="24" t="str">
        <f t="shared" si="0"/>
        <v/>
      </c>
      <c r="E42" s="24" t="str">
        <f t="shared" si="1"/>
        <v/>
      </c>
      <c r="F42" s="24"/>
      <c r="G42" s="24"/>
      <c r="H42" s="24"/>
      <c r="I42" s="22"/>
      <c r="J42" s="24"/>
      <c r="K42" s="25"/>
    </row>
    <row r="43" spans="1:11" ht="19.5" customHeight="1">
      <c r="A43" s="20">
        <v>33</v>
      </c>
      <c r="B43" s="21"/>
      <c r="C43" s="21"/>
      <c r="D43" s="21" t="str">
        <f t="shared" si="0"/>
        <v/>
      </c>
      <c r="E43" s="21" t="str">
        <f t="shared" si="1"/>
        <v/>
      </c>
      <c r="F43" s="21"/>
      <c r="G43" s="21"/>
      <c r="H43" s="21"/>
      <c r="I43" s="22"/>
      <c r="J43" s="21"/>
      <c r="K43" s="23"/>
    </row>
    <row r="44" spans="1:11" ht="19.5" customHeight="1">
      <c r="A44" s="20">
        <v>34</v>
      </c>
      <c r="B44" s="24"/>
      <c r="C44" s="24"/>
      <c r="D44" s="24" t="str">
        <f t="shared" si="0"/>
        <v/>
      </c>
      <c r="E44" s="24" t="str">
        <f t="shared" si="1"/>
        <v/>
      </c>
      <c r="F44" s="24"/>
      <c r="G44" s="24"/>
      <c r="H44" s="24"/>
      <c r="I44" s="22"/>
      <c r="J44" s="24"/>
      <c r="K44" s="25"/>
    </row>
    <row r="45" spans="1:11" ht="19.5" customHeight="1">
      <c r="A45" s="20">
        <v>35</v>
      </c>
      <c r="B45" s="21"/>
      <c r="C45" s="21"/>
      <c r="D45" s="21" t="str">
        <f t="shared" si="0"/>
        <v/>
      </c>
      <c r="E45" s="21" t="str">
        <f t="shared" si="1"/>
        <v/>
      </c>
      <c r="F45" s="21"/>
      <c r="G45" s="21"/>
      <c r="H45" s="21"/>
      <c r="I45" s="22"/>
      <c r="J45" s="21"/>
      <c r="K45" s="23"/>
    </row>
    <row r="46" spans="1:11" ht="19.5" customHeight="1">
      <c r="A46" s="20">
        <v>36</v>
      </c>
      <c r="B46" s="24"/>
      <c r="C46" s="24"/>
      <c r="D46" s="24" t="str">
        <f t="shared" si="0"/>
        <v/>
      </c>
      <c r="E46" s="24" t="str">
        <f t="shared" si="1"/>
        <v/>
      </c>
      <c r="F46" s="24"/>
      <c r="G46" s="24"/>
      <c r="H46" s="24"/>
      <c r="I46" s="22"/>
      <c r="J46" s="24"/>
      <c r="K46" s="25"/>
    </row>
    <row r="47" spans="1:11" ht="19.5" customHeight="1">
      <c r="A47" s="20">
        <v>37</v>
      </c>
      <c r="B47" s="21"/>
      <c r="C47" s="21"/>
      <c r="D47" s="21" t="str">
        <f t="shared" si="0"/>
        <v/>
      </c>
      <c r="E47" s="21" t="str">
        <f t="shared" si="1"/>
        <v/>
      </c>
      <c r="F47" s="21"/>
      <c r="G47" s="21"/>
      <c r="H47" s="21"/>
      <c r="I47" s="22"/>
      <c r="J47" s="21"/>
      <c r="K47" s="23"/>
    </row>
    <row r="48" spans="1:11" ht="19.5" customHeight="1">
      <c r="A48" s="20">
        <v>38</v>
      </c>
      <c r="B48" s="24"/>
      <c r="C48" s="24"/>
      <c r="D48" s="24" t="str">
        <f t="shared" si="0"/>
        <v/>
      </c>
      <c r="E48" s="24" t="str">
        <f t="shared" si="1"/>
        <v/>
      </c>
      <c r="F48" s="24"/>
      <c r="G48" s="24"/>
      <c r="H48" s="24"/>
      <c r="I48" s="22"/>
      <c r="J48" s="24"/>
      <c r="K48" s="25"/>
    </row>
    <row r="49" spans="1:11" ht="19.5" customHeight="1">
      <c r="A49" s="20">
        <v>39</v>
      </c>
      <c r="B49" s="21"/>
      <c r="C49" s="21"/>
      <c r="D49" s="21" t="str">
        <f t="shared" si="0"/>
        <v/>
      </c>
      <c r="E49" s="21" t="str">
        <f t="shared" si="1"/>
        <v/>
      </c>
      <c r="F49" s="21"/>
      <c r="G49" s="21"/>
      <c r="H49" s="21"/>
      <c r="I49" s="22"/>
      <c r="J49" s="21"/>
      <c r="K49" s="23"/>
    </row>
    <row r="50" spans="1:11" ht="19.5" customHeight="1">
      <c r="A50" s="20">
        <v>40</v>
      </c>
      <c r="B50" s="24"/>
      <c r="C50" s="24"/>
      <c r="D50" s="24" t="str">
        <f t="shared" si="0"/>
        <v/>
      </c>
      <c r="E50" s="24" t="str">
        <f t="shared" si="1"/>
        <v/>
      </c>
      <c r="F50" s="24"/>
      <c r="G50" s="24"/>
      <c r="H50" s="24"/>
      <c r="I50" s="22"/>
      <c r="J50" s="24"/>
      <c r="K50" s="25"/>
    </row>
    <row r="51" spans="1:11" ht="19.5" customHeight="1">
      <c r="A51" s="20">
        <v>41</v>
      </c>
      <c r="B51" s="21"/>
      <c r="C51" s="21"/>
      <c r="D51" s="21" t="str">
        <f t="shared" si="0"/>
        <v/>
      </c>
      <c r="E51" s="21" t="str">
        <f t="shared" si="1"/>
        <v/>
      </c>
      <c r="F51" s="21"/>
      <c r="G51" s="21"/>
      <c r="H51" s="21"/>
      <c r="I51" s="22"/>
      <c r="J51" s="21"/>
      <c r="K51" s="23"/>
    </row>
    <row r="52" spans="1:11" ht="19.5" customHeight="1">
      <c r="A52" s="20">
        <v>42</v>
      </c>
      <c r="B52" s="24"/>
      <c r="C52" s="24"/>
      <c r="D52" s="24" t="str">
        <f t="shared" si="0"/>
        <v/>
      </c>
      <c r="E52" s="24" t="str">
        <f t="shared" si="1"/>
        <v/>
      </c>
      <c r="F52" s="24"/>
      <c r="G52" s="24"/>
      <c r="H52" s="24"/>
      <c r="I52" s="22"/>
      <c r="J52" s="24"/>
      <c r="K52" s="25"/>
    </row>
    <row r="53" spans="1:11" ht="19.5" customHeight="1">
      <c r="A53" s="20">
        <v>43</v>
      </c>
      <c r="B53" s="21"/>
      <c r="C53" s="21"/>
      <c r="D53" s="21" t="str">
        <f t="shared" si="0"/>
        <v/>
      </c>
      <c r="E53" s="21" t="str">
        <f t="shared" si="1"/>
        <v/>
      </c>
      <c r="F53" s="21"/>
      <c r="G53" s="21"/>
      <c r="H53" s="21"/>
      <c r="I53" s="22"/>
      <c r="J53" s="21"/>
      <c r="K53" s="23"/>
    </row>
    <row r="54" spans="1:11" ht="19.5" customHeight="1">
      <c r="A54" s="20">
        <v>44</v>
      </c>
      <c r="B54" s="24"/>
      <c r="C54" s="24"/>
      <c r="D54" s="24" t="str">
        <f t="shared" si="0"/>
        <v/>
      </c>
      <c r="E54" s="24" t="str">
        <f t="shared" si="1"/>
        <v/>
      </c>
      <c r="F54" s="24"/>
      <c r="G54" s="24"/>
      <c r="H54" s="24"/>
      <c r="I54" s="22"/>
      <c r="J54" s="24"/>
      <c r="K54" s="25"/>
    </row>
    <row r="55" spans="1:11" ht="19.5" customHeight="1">
      <c r="A55" s="20">
        <v>45</v>
      </c>
      <c r="B55" s="21"/>
      <c r="C55" s="21"/>
      <c r="D55" s="21" t="str">
        <f t="shared" si="0"/>
        <v/>
      </c>
      <c r="E55" s="21" t="str">
        <f t="shared" si="1"/>
        <v/>
      </c>
      <c r="F55" s="21"/>
      <c r="G55" s="21"/>
      <c r="H55" s="21"/>
      <c r="I55" s="22"/>
      <c r="J55" s="21"/>
      <c r="K55" s="23"/>
    </row>
    <row r="56" spans="1:11" ht="19.5" customHeight="1">
      <c r="A56" s="20">
        <v>46</v>
      </c>
      <c r="B56" s="24"/>
      <c r="C56" s="24"/>
      <c r="D56" s="24" t="str">
        <f t="shared" si="0"/>
        <v/>
      </c>
      <c r="E56" s="24" t="str">
        <f t="shared" si="1"/>
        <v/>
      </c>
      <c r="F56" s="24"/>
      <c r="G56" s="24"/>
      <c r="H56" s="24"/>
      <c r="I56" s="22"/>
      <c r="J56" s="24"/>
      <c r="K56" s="25"/>
    </row>
    <row r="57" spans="1:11" ht="19.5" customHeight="1">
      <c r="A57" s="20">
        <v>47</v>
      </c>
      <c r="B57" s="21"/>
      <c r="C57" s="21"/>
      <c r="D57" s="21" t="str">
        <f t="shared" si="0"/>
        <v/>
      </c>
      <c r="E57" s="21" t="str">
        <f t="shared" si="1"/>
        <v/>
      </c>
      <c r="F57" s="21"/>
      <c r="G57" s="21"/>
      <c r="H57" s="21"/>
      <c r="I57" s="22"/>
      <c r="J57" s="21"/>
      <c r="K57" s="23"/>
    </row>
    <row r="58" spans="1:11" ht="19.5" customHeight="1">
      <c r="A58" s="20">
        <v>48</v>
      </c>
      <c r="B58" s="24"/>
      <c r="C58" s="24"/>
      <c r="D58" s="24" t="str">
        <f t="shared" si="0"/>
        <v/>
      </c>
      <c r="E58" s="24" t="str">
        <f t="shared" si="1"/>
        <v/>
      </c>
      <c r="F58" s="24"/>
      <c r="G58" s="24"/>
      <c r="H58" s="24"/>
      <c r="I58" s="22"/>
      <c r="J58" s="24"/>
      <c r="K58" s="25"/>
    </row>
    <row r="59" spans="1:11" ht="19.5" customHeight="1">
      <c r="A59" s="20">
        <v>49</v>
      </c>
      <c r="B59" s="21"/>
      <c r="C59" s="21"/>
      <c r="D59" s="21" t="str">
        <f t="shared" si="0"/>
        <v/>
      </c>
      <c r="E59" s="21" t="str">
        <f t="shared" si="1"/>
        <v/>
      </c>
      <c r="F59" s="21"/>
      <c r="G59" s="21"/>
      <c r="H59" s="21"/>
      <c r="I59" s="22"/>
      <c r="J59" s="21"/>
      <c r="K59" s="23"/>
    </row>
    <row r="60" spans="1:11" ht="19.5" customHeight="1">
      <c r="A60" s="20">
        <v>50</v>
      </c>
      <c r="B60" s="24"/>
      <c r="C60" s="24"/>
      <c r="D60" s="24" t="str">
        <f t="shared" si="0"/>
        <v/>
      </c>
      <c r="E60" s="24" t="str">
        <f t="shared" si="1"/>
        <v/>
      </c>
      <c r="F60" s="24"/>
      <c r="G60" s="24"/>
      <c r="H60" s="24"/>
      <c r="I60" s="22"/>
      <c r="J60" s="24"/>
      <c r="K60" s="25"/>
    </row>
    <row r="61" spans="1:11" ht="19.5" customHeight="1">
      <c r="A61" s="20">
        <v>51</v>
      </c>
      <c r="B61" s="21"/>
      <c r="C61" s="21"/>
      <c r="D61" s="21" t="str">
        <f t="shared" si="0"/>
        <v/>
      </c>
      <c r="E61" s="21" t="str">
        <f t="shared" si="1"/>
        <v/>
      </c>
      <c r="F61" s="21"/>
      <c r="G61" s="21"/>
      <c r="H61" s="21"/>
      <c r="I61" s="22"/>
      <c r="J61" s="21"/>
      <c r="K61" s="23"/>
    </row>
    <row r="62" spans="1:11" ht="19.5" customHeight="1">
      <c r="A62" s="20">
        <v>52</v>
      </c>
      <c r="B62" s="24"/>
      <c r="C62" s="24"/>
      <c r="D62" s="24" t="str">
        <f t="shared" si="0"/>
        <v/>
      </c>
      <c r="E62" s="24" t="str">
        <f t="shared" si="1"/>
        <v/>
      </c>
      <c r="F62" s="24"/>
      <c r="G62" s="24"/>
      <c r="H62" s="24"/>
      <c r="I62" s="22"/>
      <c r="J62" s="24"/>
      <c r="K62" s="25"/>
    </row>
    <row r="63" spans="1:11" ht="19.5" customHeight="1">
      <c r="A63" s="20">
        <v>53</v>
      </c>
      <c r="B63" s="21"/>
      <c r="C63" s="21"/>
      <c r="D63" s="21" t="str">
        <f t="shared" si="0"/>
        <v/>
      </c>
      <c r="E63" s="21" t="str">
        <f t="shared" si="1"/>
        <v/>
      </c>
      <c r="F63" s="21"/>
      <c r="G63" s="21"/>
      <c r="H63" s="21"/>
      <c r="I63" s="22"/>
      <c r="J63" s="21"/>
      <c r="K63" s="23"/>
    </row>
    <row r="64" spans="1:11" ht="19.5" customHeight="1">
      <c r="A64" s="20">
        <v>54</v>
      </c>
      <c r="B64" s="24"/>
      <c r="C64" s="24"/>
      <c r="D64" s="24" t="str">
        <f t="shared" si="0"/>
        <v/>
      </c>
      <c r="E64" s="24" t="str">
        <f t="shared" si="1"/>
        <v/>
      </c>
      <c r="F64" s="24"/>
      <c r="G64" s="24"/>
      <c r="H64" s="24"/>
      <c r="I64" s="22"/>
      <c r="J64" s="24"/>
      <c r="K64" s="25"/>
    </row>
    <row r="65" spans="1:11" ht="19.5" customHeight="1">
      <c r="A65" s="20">
        <v>55</v>
      </c>
      <c r="B65" s="21"/>
      <c r="C65" s="21"/>
      <c r="D65" s="21" t="str">
        <f t="shared" si="0"/>
        <v/>
      </c>
      <c r="E65" s="21" t="str">
        <f t="shared" si="1"/>
        <v/>
      </c>
      <c r="F65" s="21"/>
      <c r="G65" s="21"/>
      <c r="H65" s="21"/>
      <c r="I65" s="22"/>
      <c r="J65" s="21"/>
      <c r="K65" s="23"/>
    </row>
    <row r="66" spans="1:11" ht="19.5" customHeight="1">
      <c r="A66" s="20">
        <v>56</v>
      </c>
      <c r="B66" s="24"/>
      <c r="C66" s="24"/>
      <c r="D66" s="24" t="str">
        <f t="shared" si="0"/>
        <v/>
      </c>
      <c r="E66" s="24" t="str">
        <f t="shared" si="1"/>
        <v/>
      </c>
      <c r="F66" s="24"/>
      <c r="G66" s="24"/>
      <c r="H66" s="24"/>
      <c r="I66" s="22"/>
      <c r="J66" s="24"/>
      <c r="K66" s="25"/>
    </row>
    <row r="67" spans="1:11" ht="19.5" customHeight="1">
      <c r="A67" s="20">
        <v>57</v>
      </c>
      <c r="B67" s="21"/>
      <c r="C67" s="21"/>
      <c r="D67" s="21" t="str">
        <f t="shared" si="0"/>
        <v/>
      </c>
      <c r="E67" s="21" t="str">
        <f t="shared" si="1"/>
        <v/>
      </c>
      <c r="F67" s="21"/>
      <c r="G67" s="21"/>
      <c r="H67" s="21"/>
      <c r="I67" s="22"/>
      <c r="J67" s="21"/>
      <c r="K67" s="23"/>
    </row>
    <row r="68" spans="1:11" ht="19.5" customHeight="1">
      <c r="A68" s="20">
        <v>58</v>
      </c>
      <c r="B68" s="24"/>
      <c r="C68" s="24"/>
      <c r="D68" s="24" t="str">
        <f t="shared" si="0"/>
        <v/>
      </c>
      <c r="E68" s="24" t="str">
        <f t="shared" si="1"/>
        <v/>
      </c>
      <c r="F68" s="24"/>
      <c r="G68" s="24"/>
      <c r="H68" s="24"/>
      <c r="I68" s="22"/>
      <c r="J68" s="24"/>
      <c r="K68" s="25"/>
    </row>
    <row r="69" spans="1:11" ht="19.5" customHeight="1">
      <c r="A69" s="20">
        <v>59</v>
      </c>
      <c r="B69" s="21"/>
      <c r="C69" s="21"/>
      <c r="D69" s="21" t="str">
        <f t="shared" si="0"/>
        <v/>
      </c>
      <c r="E69" s="21" t="str">
        <f t="shared" si="1"/>
        <v/>
      </c>
      <c r="F69" s="21"/>
      <c r="G69" s="21"/>
      <c r="H69" s="21"/>
      <c r="I69" s="22"/>
      <c r="J69" s="21"/>
      <c r="K69" s="23"/>
    </row>
    <row r="70" spans="1:11" ht="19.5" customHeight="1">
      <c r="A70" s="20">
        <v>60</v>
      </c>
      <c r="B70" s="24"/>
      <c r="C70" s="24"/>
      <c r="D70" s="24" t="str">
        <f t="shared" si="0"/>
        <v/>
      </c>
      <c r="E70" s="24" t="str">
        <f t="shared" si="1"/>
        <v/>
      </c>
      <c r="F70" s="24"/>
      <c r="G70" s="24"/>
      <c r="H70" s="24"/>
      <c r="I70" s="22"/>
      <c r="J70" s="24"/>
      <c r="K70" s="25"/>
    </row>
    <row r="71" spans="1:11" ht="19.5" customHeight="1">
      <c r="A71" s="20">
        <v>61</v>
      </c>
      <c r="B71" s="21"/>
      <c r="C71" s="21"/>
      <c r="D71" s="21" t="str">
        <f t="shared" si="0"/>
        <v/>
      </c>
      <c r="E71" s="21" t="str">
        <f t="shared" si="1"/>
        <v/>
      </c>
      <c r="F71" s="21"/>
      <c r="G71" s="21"/>
      <c r="H71" s="21"/>
      <c r="I71" s="22"/>
      <c r="J71" s="21"/>
      <c r="K71" s="23"/>
    </row>
    <row r="72" spans="1:11" ht="19.5" customHeight="1">
      <c r="A72" s="20">
        <v>62</v>
      </c>
      <c r="B72" s="24"/>
      <c r="C72" s="24"/>
      <c r="D72" s="24" t="str">
        <f t="shared" si="0"/>
        <v/>
      </c>
      <c r="E72" s="24" t="str">
        <f t="shared" si="1"/>
        <v/>
      </c>
      <c r="F72" s="24"/>
      <c r="G72" s="24"/>
      <c r="H72" s="24"/>
      <c r="I72" s="22"/>
      <c r="J72" s="24"/>
      <c r="K72" s="25"/>
    </row>
    <row r="73" spans="1:11" ht="19.5" customHeight="1">
      <c r="A73" s="20">
        <v>63</v>
      </c>
      <c r="B73" s="21"/>
      <c r="C73" s="21"/>
      <c r="D73" s="21" t="str">
        <f t="shared" si="0"/>
        <v/>
      </c>
      <c r="E73" s="21" t="str">
        <f t="shared" si="1"/>
        <v/>
      </c>
      <c r="F73" s="21"/>
      <c r="G73" s="21"/>
      <c r="H73" s="21"/>
      <c r="I73" s="22"/>
      <c r="J73" s="21"/>
      <c r="K73" s="23"/>
    </row>
    <row r="74" spans="1:11" ht="19.5" customHeight="1">
      <c r="A74" s="20">
        <v>64</v>
      </c>
      <c r="B74" s="24"/>
      <c r="C74" s="24"/>
      <c r="D74" s="24" t="str">
        <f t="shared" si="0"/>
        <v/>
      </c>
      <c r="E74" s="24" t="str">
        <f t="shared" si="1"/>
        <v/>
      </c>
      <c r="F74" s="24"/>
      <c r="G74" s="24"/>
      <c r="H74" s="24"/>
      <c r="I74" s="22"/>
      <c r="J74" s="24"/>
      <c r="K74" s="25"/>
    </row>
    <row r="75" spans="1:11" ht="19.5" customHeight="1">
      <c r="A75" s="20">
        <v>65</v>
      </c>
      <c r="B75" s="21"/>
      <c r="C75" s="21"/>
      <c r="D75" s="21" t="str">
        <f t="shared" ref="D75:D138" si="2">IF(B75="","",PHONETIC(B75))</f>
        <v/>
      </c>
      <c r="E75" s="21" t="str">
        <f t="shared" ref="E75:E138" si="3">IF(C75="","",PHONETIC(C75))</f>
        <v/>
      </c>
      <c r="F75" s="21"/>
      <c r="G75" s="21"/>
      <c r="H75" s="21"/>
      <c r="I75" s="22"/>
      <c r="J75" s="21"/>
      <c r="K75" s="23"/>
    </row>
    <row r="76" spans="1:11" ht="19.5" customHeight="1">
      <c r="A76" s="20">
        <v>66</v>
      </c>
      <c r="B76" s="24"/>
      <c r="C76" s="24"/>
      <c r="D76" s="24" t="str">
        <f t="shared" si="2"/>
        <v/>
      </c>
      <c r="E76" s="24" t="str">
        <f t="shared" si="3"/>
        <v/>
      </c>
      <c r="F76" s="24"/>
      <c r="G76" s="24"/>
      <c r="H76" s="24"/>
      <c r="I76" s="22"/>
      <c r="J76" s="24"/>
      <c r="K76" s="25"/>
    </row>
    <row r="77" spans="1:11" ht="19.5" customHeight="1">
      <c r="A77" s="20">
        <v>67</v>
      </c>
      <c r="B77" s="21"/>
      <c r="C77" s="21"/>
      <c r="D77" s="21" t="str">
        <f t="shared" si="2"/>
        <v/>
      </c>
      <c r="E77" s="21" t="str">
        <f t="shared" si="3"/>
        <v/>
      </c>
      <c r="F77" s="21"/>
      <c r="G77" s="21"/>
      <c r="H77" s="21"/>
      <c r="I77" s="22"/>
      <c r="J77" s="21"/>
      <c r="K77" s="23"/>
    </row>
    <row r="78" spans="1:11" ht="19.5" customHeight="1">
      <c r="A78" s="20">
        <v>68</v>
      </c>
      <c r="B78" s="24"/>
      <c r="C78" s="24"/>
      <c r="D78" s="24" t="str">
        <f t="shared" si="2"/>
        <v/>
      </c>
      <c r="E78" s="24" t="str">
        <f t="shared" si="3"/>
        <v/>
      </c>
      <c r="F78" s="24"/>
      <c r="G78" s="24"/>
      <c r="H78" s="24"/>
      <c r="I78" s="22"/>
      <c r="J78" s="24"/>
      <c r="K78" s="25"/>
    </row>
    <row r="79" spans="1:11" ht="19.5" customHeight="1">
      <c r="A79" s="20">
        <v>69</v>
      </c>
      <c r="B79" s="21"/>
      <c r="C79" s="21"/>
      <c r="D79" s="21" t="str">
        <f t="shared" si="2"/>
        <v/>
      </c>
      <c r="E79" s="21" t="str">
        <f t="shared" si="3"/>
        <v/>
      </c>
      <c r="F79" s="21"/>
      <c r="G79" s="21"/>
      <c r="H79" s="21"/>
      <c r="I79" s="22"/>
      <c r="J79" s="21"/>
      <c r="K79" s="23"/>
    </row>
    <row r="80" spans="1:11" ht="19.5" customHeight="1">
      <c r="A80" s="20">
        <v>70</v>
      </c>
      <c r="B80" s="24"/>
      <c r="C80" s="24"/>
      <c r="D80" s="24" t="str">
        <f t="shared" si="2"/>
        <v/>
      </c>
      <c r="E80" s="24" t="str">
        <f t="shared" si="3"/>
        <v/>
      </c>
      <c r="F80" s="24"/>
      <c r="G80" s="24"/>
      <c r="H80" s="24"/>
      <c r="I80" s="22"/>
      <c r="J80" s="24"/>
      <c r="K80" s="25"/>
    </row>
    <row r="81" spans="1:11" ht="19.5" customHeight="1">
      <c r="A81" s="20">
        <v>71</v>
      </c>
      <c r="B81" s="21"/>
      <c r="C81" s="21"/>
      <c r="D81" s="21" t="str">
        <f t="shared" si="2"/>
        <v/>
      </c>
      <c r="E81" s="21" t="str">
        <f t="shared" si="3"/>
        <v/>
      </c>
      <c r="F81" s="21"/>
      <c r="G81" s="21"/>
      <c r="H81" s="21"/>
      <c r="I81" s="22"/>
      <c r="J81" s="21"/>
      <c r="K81" s="23"/>
    </row>
    <row r="82" spans="1:11" ht="19.5" customHeight="1">
      <c r="A82" s="20">
        <v>72</v>
      </c>
      <c r="B82" s="24"/>
      <c r="C82" s="24"/>
      <c r="D82" s="24" t="str">
        <f t="shared" si="2"/>
        <v/>
      </c>
      <c r="E82" s="24" t="str">
        <f t="shared" si="3"/>
        <v/>
      </c>
      <c r="F82" s="24"/>
      <c r="G82" s="24"/>
      <c r="H82" s="24"/>
      <c r="I82" s="22"/>
      <c r="J82" s="24"/>
      <c r="K82" s="25"/>
    </row>
    <row r="83" spans="1:11" ht="19.5" customHeight="1">
      <c r="A83" s="20">
        <v>73</v>
      </c>
      <c r="B83" s="21"/>
      <c r="C83" s="21"/>
      <c r="D83" s="21" t="str">
        <f t="shared" si="2"/>
        <v/>
      </c>
      <c r="E83" s="21" t="str">
        <f t="shared" si="3"/>
        <v/>
      </c>
      <c r="F83" s="21"/>
      <c r="G83" s="21"/>
      <c r="H83" s="21"/>
      <c r="I83" s="22"/>
      <c r="J83" s="21"/>
      <c r="K83" s="23"/>
    </row>
    <row r="84" spans="1:11" ht="19.5" customHeight="1">
      <c r="A84" s="20">
        <v>74</v>
      </c>
      <c r="B84" s="24"/>
      <c r="C84" s="24"/>
      <c r="D84" s="24" t="str">
        <f t="shared" si="2"/>
        <v/>
      </c>
      <c r="E84" s="24" t="str">
        <f t="shared" si="3"/>
        <v/>
      </c>
      <c r="F84" s="24"/>
      <c r="G84" s="24"/>
      <c r="H84" s="24"/>
      <c r="I84" s="22"/>
      <c r="J84" s="24"/>
      <c r="K84" s="25"/>
    </row>
    <row r="85" spans="1:11" ht="19.5" customHeight="1">
      <c r="A85" s="20">
        <v>75</v>
      </c>
      <c r="B85" s="21"/>
      <c r="C85" s="21"/>
      <c r="D85" s="21" t="str">
        <f t="shared" si="2"/>
        <v/>
      </c>
      <c r="E85" s="21" t="str">
        <f t="shared" si="3"/>
        <v/>
      </c>
      <c r="F85" s="21"/>
      <c r="G85" s="21"/>
      <c r="H85" s="21"/>
      <c r="I85" s="22"/>
      <c r="J85" s="21"/>
      <c r="K85" s="23"/>
    </row>
    <row r="86" spans="1:11" ht="19.5" customHeight="1">
      <c r="A86" s="20">
        <v>76</v>
      </c>
      <c r="B86" s="24"/>
      <c r="C86" s="24"/>
      <c r="D86" s="24" t="str">
        <f t="shared" si="2"/>
        <v/>
      </c>
      <c r="E86" s="24" t="str">
        <f t="shared" si="3"/>
        <v/>
      </c>
      <c r="F86" s="24"/>
      <c r="G86" s="24"/>
      <c r="H86" s="24"/>
      <c r="I86" s="22"/>
      <c r="J86" s="24"/>
      <c r="K86" s="25"/>
    </row>
    <row r="87" spans="1:11" ht="19.5" customHeight="1">
      <c r="A87" s="20">
        <v>77</v>
      </c>
      <c r="B87" s="21"/>
      <c r="C87" s="21"/>
      <c r="D87" s="21" t="str">
        <f t="shared" si="2"/>
        <v/>
      </c>
      <c r="E87" s="21" t="str">
        <f t="shared" si="3"/>
        <v/>
      </c>
      <c r="F87" s="21"/>
      <c r="G87" s="21"/>
      <c r="H87" s="21"/>
      <c r="I87" s="22"/>
      <c r="J87" s="21"/>
      <c r="K87" s="23"/>
    </row>
    <row r="88" spans="1:11" ht="19.5" customHeight="1">
      <c r="A88" s="20">
        <v>78</v>
      </c>
      <c r="B88" s="24"/>
      <c r="C88" s="24"/>
      <c r="D88" s="24" t="str">
        <f t="shared" si="2"/>
        <v/>
      </c>
      <c r="E88" s="24" t="str">
        <f t="shared" si="3"/>
        <v/>
      </c>
      <c r="F88" s="24"/>
      <c r="G88" s="24"/>
      <c r="H88" s="24"/>
      <c r="I88" s="22"/>
      <c r="J88" s="24"/>
      <c r="K88" s="25"/>
    </row>
    <row r="89" spans="1:11" ht="19.5" customHeight="1">
      <c r="A89" s="20">
        <v>79</v>
      </c>
      <c r="B89" s="21"/>
      <c r="C89" s="21"/>
      <c r="D89" s="21" t="str">
        <f t="shared" si="2"/>
        <v/>
      </c>
      <c r="E89" s="21" t="str">
        <f t="shared" si="3"/>
        <v/>
      </c>
      <c r="F89" s="21"/>
      <c r="G89" s="21"/>
      <c r="H89" s="21"/>
      <c r="I89" s="22"/>
      <c r="J89" s="21"/>
      <c r="K89" s="23"/>
    </row>
    <row r="90" spans="1:11" ht="19.5" customHeight="1">
      <c r="A90" s="20">
        <v>80</v>
      </c>
      <c r="B90" s="24"/>
      <c r="C90" s="24"/>
      <c r="D90" s="24" t="str">
        <f t="shared" si="2"/>
        <v/>
      </c>
      <c r="E90" s="24" t="str">
        <f t="shared" si="3"/>
        <v/>
      </c>
      <c r="F90" s="24"/>
      <c r="G90" s="24"/>
      <c r="H90" s="24"/>
      <c r="I90" s="22"/>
      <c r="J90" s="24"/>
      <c r="K90" s="25"/>
    </row>
    <row r="91" spans="1:11" ht="19.5" customHeight="1">
      <c r="A91" s="20">
        <v>81</v>
      </c>
      <c r="B91" s="21"/>
      <c r="C91" s="21"/>
      <c r="D91" s="21" t="str">
        <f t="shared" si="2"/>
        <v/>
      </c>
      <c r="E91" s="21" t="str">
        <f t="shared" si="3"/>
        <v/>
      </c>
      <c r="F91" s="21"/>
      <c r="G91" s="21"/>
      <c r="H91" s="21"/>
      <c r="I91" s="22"/>
      <c r="J91" s="21"/>
      <c r="K91" s="23"/>
    </row>
    <row r="92" spans="1:11" ht="19.5" customHeight="1">
      <c r="A92" s="20">
        <v>82</v>
      </c>
      <c r="B92" s="24"/>
      <c r="C92" s="24"/>
      <c r="D92" s="24" t="str">
        <f t="shared" si="2"/>
        <v/>
      </c>
      <c r="E92" s="24" t="str">
        <f t="shared" si="3"/>
        <v/>
      </c>
      <c r="F92" s="24"/>
      <c r="G92" s="24"/>
      <c r="H92" s="24"/>
      <c r="I92" s="22"/>
      <c r="J92" s="24"/>
      <c r="K92" s="25"/>
    </row>
    <row r="93" spans="1:11" ht="19.5" customHeight="1">
      <c r="A93" s="20">
        <v>83</v>
      </c>
      <c r="B93" s="21"/>
      <c r="C93" s="21"/>
      <c r="D93" s="21" t="str">
        <f t="shared" si="2"/>
        <v/>
      </c>
      <c r="E93" s="21" t="str">
        <f t="shared" si="3"/>
        <v/>
      </c>
      <c r="F93" s="21"/>
      <c r="G93" s="21"/>
      <c r="H93" s="21"/>
      <c r="I93" s="22"/>
      <c r="J93" s="21"/>
      <c r="K93" s="23"/>
    </row>
    <row r="94" spans="1:11" ht="19.5" customHeight="1">
      <c r="A94" s="20">
        <v>84</v>
      </c>
      <c r="B94" s="24"/>
      <c r="C94" s="24"/>
      <c r="D94" s="24" t="str">
        <f t="shared" si="2"/>
        <v/>
      </c>
      <c r="E94" s="24" t="str">
        <f t="shared" si="3"/>
        <v/>
      </c>
      <c r="F94" s="24"/>
      <c r="G94" s="24"/>
      <c r="H94" s="24"/>
      <c r="I94" s="22"/>
      <c r="J94" s="24"/>
      <c r="K94" s="25"/>
    </row>
    <row r="95" spans="1:11" ht="19.5" customHeight="1">
      <c r="A95" s="20">
        <v>85</v>
      </c>
      <c r="B95" s="21"/>
      <c r="C95" s="21"/>
      <c r="D95" s="21" t="str">
        <f t="shared" si="2"/>
        <v/>
      </c>
      <c r="E95" s="21" t="str">
        <f t="shared" si="3"/>
        <v/>
      </c>
      <c r="F95" s="21"/>
      <c r="G95" s="21"/>
      <c r="H95" s="21"/>
      <c r="I95" s="22"/>
      <c r="J95" s="21"/>
      <c r="K95" s="23"/>
    </row>
    <row r="96" spans="1:11" ht="19.5" customHeight="1">
      <c r="A96" s="20">
        <v>86</v>
      </c>
      <c r="B96" s="24"/>
      <c r="C96" s="24"/>
      <c r="D96" s="24" t="str">
        <f t="shared" si="2"/>
        <v/>
      </c>
      <c r="E96" s="24" t="str">
        <f t="shared" si="3"/>
        <v/>
      </c>
      <c r="F96" s="24"/>
      <c r="G96" s="24"/>
      <c r="H96" s="24"/>
      <c r="I96" s="22"/>
      <c r="J96" s="24"/>
      <c r="K96" s="25"/>
    </row>
    <row r="97" spans="1:11" ht="19.5" customHeight="1">
      <c r="A97" s="20">
        <v>87</v>
      </c>
      <c r="B97" s="21"/>
      <c r="C97" s="21"/>
      <c r="D97" s="21" t="str">
        <f t="shared" si="2"/>
        <v/>
      </c>
      <c r="E97" s="21" t="str">
        <f t="shared" si="3"/>
        <v/>
      </c>
      <c r="F97" s="21"/>
      <c r="G97" s="21"/>
      <c r="H97" s="21"/>
      <c r="I97" s="22"/>
      <c r="J97" s="21"/>
      <c r="K97" s="23"/>
    </row>
    <row r="98" spans="1:11" ht="19.5" customHeight="1">
      <c r="A98" s="20">
        <v>88</v>
      </c>
      <c r="B98" s="24"/>
      <c r="C98" s="24"/>
      <c r="D98" s="24" t="str">
        <f t="shared" si="2"/>
        <v/>
      </c>
      <c r="E98" s="24" t="str">
        <f t="shared" si="3"/>
        <v/>
      </c>
      <c r="F98" s="24"/>
      <c r="G98" s="24"/>
      <c r="H98" s="24"/>
      <c r="I98" s="22"/>
      <c r="J98" s="24"/>
      <c r="K98" s="25"/>
    </row>
    <row r="99" spans="1:11" ht="19.5" customHeight="1">
      <c r="A99" s="20">
        <v>89</v>
      </c>
      <c r="B99" s="21"/>
      <c r="C99" s="21"/>
      <c r="D99" s="21" t="str">
        <f t="shared" si="2"/>
        <v/>
      </c>
      <c r="E99" s="21" t="str">
        <f t="shared" si="3"/>
        <v/>
      </c>
      <c r="F99" s="21"/>
      <c r="G99" s="21"/>
      <c r="H99" s="21"/>
      <c r="I99" s="22"/>
      <c r="J99" s="21"/>
      <c r="K99" s="23"/>
    </row>
    <row r="100" spans="1:11" ht="19.5" customHeight="1">
      <c r="A100" s="20">
        <v>90</v>
      </c>
      <c r="B100" s="24"/>
      <c r="C100" s="24"/>
      <c r="D100" s="24" t="str">
        <f t="shared" si="2"/>
        <v/>
      </c>
      <c r="E100" s="24" t="str">
        <f t="shared" si="3"/>
        <v/>
      </c>
      <c r="F100" s="24"/>
      <c r="G100" s="24"/>
      <c r="H100" s="24"/>
      <c r="I100" s="22"/>
      <c r="J100" s="24"/>
      <c r="K100" s="25"/>
    </row>
    <row r="101" spans="1:11" ht="19.5" customHeight="1">
      <c r="A101" s="20">
        <v>91</v>
      </c>
      <c r="B101" s="21"/>
      <c r="C101" s="21"/>
      <c r="D101" s="21" t="str">
        <f t="shared" si="2"/>
        <v/>
      </c>
      <c r="E101" s="21" t="str">
        <f t="shared" si="3"/>
        <v/>
      </c>
      <c r="F101" s="21"/>
      <c r="G101" s="21"/>
      <c r="H101" s="21"/>
      <c r="I101" s="22"/>
      <c r="J101" s="21"/>
      <c r="K101" s="23"/>
    </row>
    <row r="102" spans="1:11" ht="19.5" customHeight="1">
      <c r="A102" s="20">
        <v>92</v>
      </c>
      <c r="B102" s="24"/>
      <c r="C102" s="24"/>
      <c r="D102" s="24" t="str">
        <f t="shared" si="2"/>
        <v/>
      </c>
      <c r="E102" s="24" t="str">
        <f t="shared" si="3"/>
        <v/>
      </c>
      <c r="F102" s="24"/>
      <c r="G102" s="24"/>
      <c r="H102" s="24"/>
      <c r="I102" s="22"/>
      <c r="J102" s="24"/>
      <c r="K102" s="25"/>
    </row>
    <row r="103" spans="1:11" ht="19.5" customHeight="1">
      <c r="A103" s="20">
        <v>93</v>
      </c>
      <c r="B103" s="21"/>
      <c r="C103" s="21"/>
      <c r="D103" s="21" t="str">
        <f t="shared" si="2"/>
        <v/>
      </c>
      <c r="E103" s="21" t="str">
        <f t="shared" si="3"/>
        <v/>
      </c>
      <c r="F103" s="21"/>
      <c r="G103" s="21"/>
      <c r="H103" s="21"/>
      <c r="I103" s="22"/>
      <c r="J103" s="21"/>
      <c r="K103" s="23"/>
    </row>
    <row r="104" spans="1:11" ht="19.5" customHeight="1">
      <c r="A104" s="20">
        <v>94</v>
      </c>
      <c r="B104" s="24"/>
      <c r="C104" s="24"/>
      <c r="D104" s="24" t="str">
        <f t="shared" si="2"/>
        <v/>
      </c>
      <c r="E104" s="24" t="str">
        <f t="shared" si="3"/>
        <v/>
      </c>
      <c r="F104" s="24"/>
      <c r="G104" s="24"/>
      <c r="H104" s="24"/>
      <c r="I104" s="22"/>
      <c r="J104" s="24"/>
      <c r="K104" s="25"/>
    </row>
    <row r="105" spans="1:11" ht="19.5" customHeight="1">
      <c r="A105" s="20">
        <v>95</v>
      </c>
      <c r="B105" s="21"/>
      <c r="C105" s="21"/>
      <c r="D105" s="21" t="str">
        <f t="shared" si="2"/>
        <v/>
      </c>
      <c r="E105" s="21" t="str">
        <f t="shared" si="3"/>
        <v/>
      </c>
      <c r="F105" s="21"/>
      <c r="G105" s="21"/>
      <c r="H105" s="21"/>
      <c r="I105" s="22"/>
      <c r="J105" s="21"/>
      <c r="K105" s="23"/>
    </row>
    <row r="106" spans="1:11" ht="19.5" customHeight="1">
      <c r="A106" s="20">
        <v>96</v>
      </c>
      <c r="B106" s="24"/>
      <c r="C106" s="24"/>
      <c r="D106" s="24" t="str">
        <f t="shared" si="2"/>
        <v/>
      </c>
      <c r="E106" s="24" t="str">
        <f t="shared" si="3"/>
        <v/>
      </c>
      <c r="F106" s="24"/>
      <c r="G106" s="24"/>
      <c r="H106" s="24"/>
      <c r="I106" s="22"/>
      <c r="J106" s="24"/>
      <c r="K106" s="25"/>
    </row>
    <row r="107" spans="1:11" ht="19.5" customHeight="1">
      <c r="A107" s="20">
        <v>97</v>
      </c>
      <c r="B107" s="21"/>
      <c r="C107" s="21"/>
      <c r="D107" s="21" t="str">
        <f t="shared" si="2"/>
        <v/>
      </c>
      <c r="E107" s="21" t="str">
        <f t="shared" si="3"/>
        <v/>
      </c>
      <c r="F107" s="21"/>
      <c r="G107" s="21"/>
      <c r="H107" s="21"/>
      <c r="I107" s="22"/>
      <c r="J107" s="21"/>
      <c r="K107" s="23"/>
    </row>
    <row r="108" spans="1:11" ht="19.5" customHeight="1">
      <c r="A108" s="20">
        <v>98</v>
      </c>
      <c r="B108" s="24"/>
      <c r="C108" s="24"/>
      <c r="D108" s="24" t="str">
        <f t="shared" si="2"/>
        <v/>
      </c>
      <c r="E108" s="24" t="str">
        <f t="shared" si="3"/>
        <v/>
      </c>
      <c r="F108" s="24"/>
      <c r="G108" s="24"/>
      <c r="H108" s="24"/>
      <c r="I108" s="22"/>
      <c r="J108" s="24"/>
      <c r="K108" s="25"/>
    </row>
    <row r="109" spans="1:11" ht="19.5" customHeight="1">
      <c r="A109" s="20">
        <v>99</v>
      </c>
      <c r="B109" s="21"/>
      <c r="C109" s="21"/>
      <c r="D109" s="21" t="str">
        <f t="shared" si="2"/>
        <v/>
      </c>
      <c r="E109" s="21" t="str">
        <f t="shared" si="3"/>
        <v/>
      </c>
      <c r="F109" s="21"/>
      <c r="G109" s="21"/>
      <c r="H109" s="21"/>
      <c r="I109" s="22"/>
      <c r="J109" s="21"/>
      <c r="K109" s="23"/>
    </row>
    <row r="110" spans="1:11" ht="19.5" customHeight="1">
      <c r="A110" s="20">
        <v>100</v>
      </c>
      <c r="B110" s="24"/>
      <c r="C110" s="24"/>
      <c r="D110" s="24" t="str">
        <f t="shared" si="2"/>
        <v/>
      </c>
      <c r="E110" s="24" t="str">
        <f t="shared" si="3"/>
        <v/>
      </c>
      <c r="F110" s="24"/>
      <c r="G110" s="24"/>
      <c r="H110" s="24"/>
      <c r="I110" s="22"/>
      <c r="J110" s="24"/>
      <c r="K110" s="25"/>
    </row>
    <row r="111" spans="1:11" ht="19.5" customHeight="1">
      <c r="A111" s="20">
        <v>101</v>
      </c>
      <c r="B111" s="21"/>
      <c r="C111" s="21"/>
      <c r="D111" s="21" t="str">
        <f t="shared" si="2"/>
        <v/>
      </c>
      <c r="E111" s="21" t="str">
        <f t="shared" si="3"/>
        <v/>
      </c>
      <c r="F111" s="21"/>
      <c r="G111" s="21"/>
      <c r="H111" s="21"/>
      <c r="I111" s="22"/>
      <c r="J111" s="21"/>
      <c r="K111" s="23"/>
    </row>
    <row r="112" spans="1:11" ht="19.5" customHeight="1">
      <c r="A112" s="20">
        <v>102</v>
      </c>
      <c r="B112" s="24"/>
      <c r="C112" s="24"/>
      <c r="D112" s="24" t="str">
        <f t="shared" si="2"/>
        <v/>
      </c>
      <c r="E112" s="24" t="str">
        <f t="shared" si="3"/>
        <v/>
      </c>
      <c r="F112" s="24"/>
      <c r="G112" s="24"/>
      <c r="H112" s="24"/>
      <c r="I112" s="22"/>
      <c r="J112" s="24"/>
      <c r="K112" s="25"/>
    </row>
    <row r="113" spans="1:11" ht="19.5" customHeight="1">
      <c r="A113" s="20">
        <v>103</v>
      </c>
      <c r="B113" s="21"/>
      <c r="C113" s="21"/>
      <c r="D113" s="21" t="str">
        <f t="shared" si="2"/>
        <v/>
      </c>
      <c r="E113" s="21" t="str">
        <f t="shared" si="3"/>
        <v/>
      </c>
      <c r="F113" s="21"/>
      <c r="G113" s="21"/>
      <c r="H113" s="21"/>
      <c r="I113" s="22"/>
      <c r="J113" s="21"/>
      <c r="K113" s="23"/>
    </row>
    <row r="114" spans="1:11" ht="19.5" customHeight="1">
      <c r="A114" s="20">
        <v>104</v>
      </c>
      <c r="B114" s="24"/>
      <c r="C114" s="24"/>
      <c r="D114" s="24" t="str">
        <f t="shared" si="2"/>
        <v/>
      </c>
      <c r="E114" s="24" t="str">
        <f t="shared" si="3"/>
        <v/>
      </c>
      <c r="F114" s="24"/>
      <c r="G114" s="24"/>
      <c r="H114" s="24"/>
      <c r="I114" s="22"/>
      <c r="J114" s="24"/>
      <c r="K114" s="25"/>
    </row>
    <row r="115" spans="1:11" ht="19.5" customHeight="1">
      <c r="A115" s="20">
        <v>105</v>
      </c>
      <c r="B115" s="21"/>
      <c r="C115" s="21"/>
      <c r="D115" s="21" t="str">
        <f t="shared" si="2"/>
        <v/>
      </c>
      <c r="E115" s="21" t="str">
        <f t="shared" si="3"/>
        <v/>
      </c>
      <c r="F115" s="21"/>
      <c r="G115" s="21"/>
      <c r="H115" s="21"/>
      <c r="I115" s="22"/>
      <c r="J115" s="21"/>
      <c r="K115" s="23"/>
    </row>
    <row r="116" spans="1:11" ht="19.5" customHeight="1">
      <c r="A116" s="20">
        <v>106</v>
      </c>
      <c r="B116" s="24"/>
      <c r="C116" s="24"/>
      <c r="D116" s="24" t="str">
        <f t="shared" si="2"/>
        <v/>
      </c>
      <c r="E116" s="24" t="str">
        <f t="shared" si="3"/>
        <v/>
      </c>
      <c r="F116" s="24"/>
      <c r="G116" s="24"/>
      <c r="H116" s="24"/>
      <c r="I116" s="22"/>
      <c r="J116" s="24"/>
      <c r="K116" s="25"/>
    </row>
    <row r="117" spans="1:11" ht="19.5" customHeight="1">
      <c r="A117" s="20">
        <v>107</v>
      </c>
      <c r="B117" s="21"/>
      <c r="C117" s="21"/>
      <c r="D117" s="21" t="str">
        <f t="shared" si="2"/>
        <v/>
      </c>
      <c r="E117" s="21" t="str">
        <f t="shared" si="3"/>
        <v/>
      </c>
      <c r="F117" s="21"/>
      <c r="G117" s="21"/>
      <c r="H117" s="21"/>
      <c r="I117" s="22"/>
      <c r="J117" s="21"/>
      <c r="K117" s="23"/>
    </row>
    <row r="118" spans="1:11" ht="19.5" customHeight="1">
      <c r="A118" s="20">
        <v>108</v>
      </c>
      <c r="B118" s="24"/>
      <c r="C118" s="24"/>
      <c r="D118" s="24" t="str">
        <f t="shared" si="2"/>
        <v/>
      </c>
      <c r="E118" s="24" t="str">
        <f t="shared" si="3"/>
        <v/>
      </c>
      <c r="F118" s="24"/>
      <c r="G118" s="24"/>
      <c r="H118" s="24"/>
      <c r="I118" s="22"/>
      <c r="J118" s="24"/>
      <c r="K118" s="25"/>
    </row>
    <row r="119" spans="1:11" ht="19.5" customHeight="1">
      <c r="A119" s="20">
        <v>109</v>
      </c>
      <c r="B119" s="21"/>
      <c r="C119" s="21"/>
      <c r="D119" s="21" t="str">
        <f t="shared" si="2"/>
        <v/>
      </c>
      <c r="E119" s="21" t="str">
        <f t="shared" si="3"/>
        <v/>
      </c>
      <c r="F119" s="21"/>
      <c r="G119" s="21"/>
      <c r="H119" s="21"/>
      <c r="I119" s="22"/>
      <c r="J119" s="21"/>
      <c r="K119" s="23"/>
    </row>
    <row r="120" spans="1:11" ht="19.5" customHeight="1">
      <c r="A120" s="20">
        <v>110</v>
      </c>
      <c r="B120" s="24"/>
      <c r="C120" s="24"/>
      <c r="D120" s="24" t="str">
        <f t="shared" si="2"/>
        <v/>
      </c>
      <c r="E120" s="24" t="str">
        <f t="shared" si="3"/>
        <v/>
      </c>
      <c r="F120" s="24"/>
      <c r="G120" s="24"/>
      <c r="H120" s="24"/>
      <c r="I120" s="22"/>
      <c r="J120" s="24"/>
      <c r="K120" s="25"/>
    </row>
    <row r="121" spans="1:11" ht="19.5" customHeight="1">
      <c r="A121" s="20">
        <v>111</v>
      </c>
      <c r="B121" s="21"/>
      <c r="C121" s="21"/>
      <c r="D121" s="21" t="str">
        <f t="shared" si="2"/>
        <v/>
      </c>
      <c r="E121" s="21" t="str">
        <f t="shared" si="3"/>
        <v/>
      </c>
      <c r="F121" s="21"/>
      <c r="G121" s="21"/>
      <c r="H121" s="21"/>
      <c r="I121" s="22"/>
      <c r="J121" s="21"/>
      <c r="K121" s="23"/>
    </row>
    <row r="122" spans="1:11" ht="19.5" customHeight="1">
      <c r="A122" s="20">
        <v>112</v>
      </c>
      <c r="B122" s="24"/>
      <c r="C122" s="24"/>
      <c r="D122" s="24" t="str">
        <f t="shared" si="2"/>
        <v/>
      </c>
      <c r="E122" s="24" t="str">
        <f t="shared" si="3"/>
        <v/>
      </c>
      <c r="F122" s="24"/>
      <c r="G122" s="24"/>
      <c r="H122" s="24"/>
      <c r="I122" s="22"/>
      <c r="J122" s="24"/>
      <c r="K122" s="25"/>
    </row>
    <row r="123" spans="1:11" ht="19.5" customHeight="1">
      <c r="A123" s="20">
        <v>113</v>
      </c>
      <c r="B123" s="21"/>
      <c r="C123" s="21"/>
      <c r="D123" s="21" t="str">
        <f t="shared" si="2"/>
        <v/>
      </c>
      <c r="E123" s="21" t="str">
        <f t="shared" si="3"/>
        <v/>
      </c>
      <c r="F123" s="21"/>
      <c r="G123" s="21"/>
      <c r="H123" s="21"/>
      <c r="I123" s="22"/>
      <c r="J123" s="21"/>
      <c r="K123" s="23"/>
    </row>
    <row r="124" spans="1:11" ht="19.5" customHeight="1">
      <c r="A124" s="20">
        <v>114</v>
      </c>
      <c r="B124" s="24"/>
      <c r="C124" s="24"/>
      <c r="D124" s="24" t="str">
        <f t="shared" si="2"/>
        <v/>
      </c>
      <c r="E124" s="24" t="str">
        <f t="shared" si="3"/>
        <v/>
      </c>
      <c r="F124" s="24"/>
      <c r="G124" s="24"/>
      <c r="H124" s="24"/>
      <c r="I124" s="22"/>
      <c r="J124" s="24"/>
      <c r="K124" s="25"/>
    </row>
    <row r="125" spans="1:11" ht="19.5" customHeight="1">
      <c r="A125" s="20">
        <v>115</v>
      </c>
      <c r="B125" s="21"/>
      <c r="C125" s="21"/>
      <c r="D125" s="21" t="str">
        <f t="shared" si="2"/>
        <v/>
      </c>
      <c r="E125" s="21" t="str">
        <f t="shared" si="3"/>
        <v/>
      </c>
      <c r="F125" s="21"/>
      <c r="G125" s="21"/>
      <c r="H125" s="21"/>
      <c r="I125" s="22"/>
      <c r="J125" s="21"/>
      <c r="K125" s="23"/>
    </row>
    <row r="126" spans="1:11" ht="19.5" customHeight="1">
      <c r="A126" s="20">
        <v>116</v>
      </c>
      <c r="B126" s="24"/>
      <c r="C126" s="24"/>
      <c r="D126" s="24" t="str">
        <f t="shared" si="2"/>
        <v/>
      </c>
      <c r="E126" s="24" t="str">
        <f t="shared" si="3"/>
        <v/>
      </c>
      <c r="F126" s="24"/>
      <c r="G126" s="24"/>
      <c r="H126" s="24"/>
      <c r="I126" s="22"/>
      <c r="J126" s="24"/>
      <c r="K126" s="25"/>
    </row>
    <row r="127" spans="1:11" ht="19.5" customHeight="1">
      <c r="A127" s="20">
        <v>117</v>
      </c>
      <c r="B127" s="21"/>
      <c r="C127" s="21"/>
      <c r="D127" s="21" t="str">
        <f t="shared" si="2"/>
        <v/>
      </c>
      <c r="E127" s="21" t="str">
        <f t="shared" si="3"/>
        <v/>
      </c>
      <c r="F127" s="21"/>
      <c r="G127" s="21"/>
      <c r="H127" s="21"/>
      <c r="I127" s="22"/>
      <c r="J127" s="21"/>
      <c r="K127" s="23"/>
    </row>
    <row r="128" spans="1:11" ht="19.5" customHeight="1">
      <c r="A128" s="20">
        <v>118</v>
      </c>
      <c r="B128" s="24"/>
      <c r="C128" s="24"/>
      <c r="D128" s="24" t="str">
        <f t="shared" si="2"/>
        <v/>
      </c>
      <c r="E128" s="24" t="str">
        <f t="shared" si="3"/>
        <v/>
      </c>
      <c r="F128" s="24"/>
      <c r="G128" s="24"/>
      <c r="H128" s="24"/>
      <c r="I128" s="22"/>
      <c r="J128" s="24"/>
      <c r="K128" s="25"/>
    </row>
    <row r="129" spans="1:11" ht="19.5" customHeight="1">
      <c r="A129" s="20">
        <v>119</v>
      </c>
      <c r="B129" s="21"/>
      <c r="C129" s="21"/>
      <c r="D129" s="21" t="str">
        <f t="shared" si="2"/>
        <v/>
      </c>
      <c r="E129" s="21" t="str">
        <f t="shared" si="3"/>
        <v/>
      </c>
      <c r="F129" s="21"/>
      <c r="G129" s="21"/>
      <c r="H129" s="21"/>
      <c r="I129" s="22"/>
      <c r="J129" s="21"/>
      <c r="K129" s="23"/>
    </row>
    <row r="130" spans="1:11" ht="19.5" customHeight="1">
      <c r="A130" s="20">
        <v>120</v>
      </c>
      <c r="B130" s="24"/>
      <c r="C130" s="24"/>
      <c r="D130" s="24" t="str">
        <f t="shared" si="2"/>
        <v/>
      </c>
      <c r="E130" s="24" t="str">
        <f t="shared" si="3"/>
        <v/>
      </c>
      <c r="F130" s="24"/>
      <c r="G130" s="24"/>
      <c r="H130" s="24"/>
      <c r="I130" s="22"/>
      <c r="J130" s="24"/>
      <c r="K130" s="25"/>
    </row>
    <row r="131" spans="1:11" ht="19.5" customHeight="1">
      <c r="A131" s="20">
        <v>121</v>
      </c>
      <c r="B131" s="21"/>
      <c r="C131" s="21"/>
      <c r="D131" s="21" t="str">
        <f t="shared" si="2"/>
        <v/>
      </c>
      <c r="E131" s="21" t="str">
        <f t="shared" si="3"/>
        <v/>
      </c>
      <c r="F131" s="21"/>
      <c r="G131" s="21"/>
      <c r="H131" s="21"/>
      <c r="I131" s="22"/>
      <c r="J131" s="21"/>
      <c r="K131" s="23"/>
    </row>
    <row r="132" spans="1:11" ht="19.5" customHeight="1">
      <c r="A132" s="20">
        <v>122</v>
      </c>
      <c r="B132" s="24"/>
      <c r="C132" s="24"/>
      <c r="D132" s="24" t="str">
        <f t="shared" si="2"/>
        <v/>
      </c>
      <c r="E132" s="24" t="str">
        <f t="shared" si="3"/>
        <v/>
      </c>
      <c r="F132" s="24"/>
      <c r="G132" s="24"/>
      <c r="H132" s="24"/>
      <c r="I132" s="22"/>
      <c r="J132" s="24"/>
      <c r="K132" s="25"/>
    </row>
    <row r="133" spans="1:11" ht="19.5" customHeight="1">
      <c r="A133" s="20">
        <v>123</v>
      </c>
      <c r="B133" s="21"/>
      <c r="C133" s="21"/>
      <c r="D133" s="21" t="str">
        <f t="shared" si="2"/>
        <v/>
      </c>
      <c r="E133" s="21" t="str">
        <f t="shared" si="3"/>
        <v/>
      </c>
      <c r="F133" s="21"/>
      <c r="G133" s="21"/>
      <c r="H133" s="21"/>
      <c r="I133" s="22"/>
      <c r="J133" s="21"/>
      <c r="K133" s="23"/>
    </row>
    <row r="134" spans="1:11" ht="19.5" customHeight="1">
      <c r="A134" s="20">
        <v>124</v>
      </c>
      <c r="B134" s="24"/>
      <c r="C134" s="24"/>
      <c r="D134" s="24" t="str">
        <f t="shared" si="2"/>
        <v/>
      </c>
      <c r="E134" s="24" t="str">
        <f t="shared" si="3"/>
        <v/>
      </c>
      <c r="F134" s="24"/>
      <c r="G134" s="24"/>
      <c r="H134" s="24"/>
      <c r="I134" s="22"/>
      <c r="J134" s="24"/>
      <c r="K134" s="25"/>
    </row>
    <row r="135" spans="1:11" ht="19.5" customHeight="1">
      <c r="A135" s="20">
        <v>125</v>
      </c>
      <c r="B135" s="21"/>
      <c r="C135" s="21"/>
      <c r="D135" s="21" t="str">
        <f t="shared" si="2"/>
        <v/>
      </c>
      <c r="E135" s="21" t="str">
        <f t="shared" si="3"/>
        <v/>
      </c>
      <c r="F135" s="21"/>
      <c r="G135" s="21"/>
      <c r="H135" s="21"/>
      <c r="I135" s="22"/>
      <c r="J135" s="21"/>
      <c r="K135" s="23"/>
    </row>
    <row r="136" spans="1:11" ht="19.5" customHeight="1">
      <c r="A136" s="20">
        <v>126</v>
      </c>
      <c r="B136" s="24"/>
      <c r="C136" s="24"/>
      <c r="D136" s="24" t="str">
        <f t="shared" si="2"/>
        <v/>
      </c>
      <c r="E136" s="24" t="str">
        <f t="shared" si="3"/>
        <v/>
      </c>
      <c r="F136" s="24"/>
      <c r="G136" s="24"/>
      <c r="H136" s="24"/>
      <c r="I136" s="22"/>
      <c r="J136" s="24"/>
      <c r="K136" s="25"/>
    </row>
    <row r="137" spans="1:11" ht="19.5" customHeight="1">
      <c r="A137" s="20">
        <v>127</v>
      </c>
      <c r="B137" s="21"/>
      <c r="C137" s="21"/>
      <c r="D137" s="21" t="str">
        <f t="shared" si="2"/>
        <v/>
      </c>
      <c r="E137" s="21" t="str">
        <f t="shared" si="3"/>
        <v/>
      </c>
      <c r="F137" s="21"/>
      <c r="G137" s="21"/>
      <c r="H137" s="21"/>
      <c r="I137" s="22"/>
      <c r="J137" s="21"/>
      <c r="K137" s="23"/>
    </row>
    <row r="138" spans="1:11" ht="19.5" customHeight="1">
      <c r="A138" s="20">
        <v>128</v>
      </c>
      <c r="B138" s="24"/>
      <c r="C138" s="24"/>
      <c r="D138" s="24" t="str">
        <f t="shared" si="2"/>
        <v/>
      </c>
      <c r="E138" s="24" t="str">
        <f t="shared" si="3"/>
        <v/>
      </c>
      <c r="F138" s="24"/>
      <c r="G138" s="24"/>
      <c r="H138" s="24"/>
      <c r="I138" s="22"/>
      <c r="J138" s="24"/>
      <c r="K138" s="25"/>
    </row>
    <row r="139" spans="1:11" ht="19.5" customHeight="1">
      <c r="A139" s="20">
        <v>129</v>
      </c>
      <c r="B139" s="21"/>
      <c r="C139" s="21"/>
      <c r="D139" s="21" t="str">
        <f t="shared" ref="D139:D202" si="4">IF(B139="","",PHONETIC(B139))</f>
        <v/>
      </c>
      <c r="E139" s="21" t="str">
        <f t="shared" ref="E139:E202" si="5">IF(C139="","",PHONETIC(C139))</f>
        <v/>
      </c>
      <c r="F139" s="21"/>
      <c r="G139" s="21"/>
      <c r="H139" s="21"/>
      <c r="I139" s="22"/>
      <c r="J139" s="21"/>
      <c r="K139" s="23"/>
    </row>
    <row r="140" spans="1:11" ht="19.5" customHeight="1">
      <c r="A140" s="20">
        <v>130</v>
      </c>
      <c r="B140" s="24"/>
      <c r="C140" s="24"/>
      <c r="D140" s="24" t="str">
        <f t="shared" si="4"/>
        <v/>
      </c>
      <c r="E140" s="24" t="str">
        <f t="shared" si="5"/>
        <v/>
      </c>
      <c r="F140" s="24"/>
      <c r="G140" s="24"/>
      <c r="H140" s="24"/>
      <c r="I140" s="22"/>
      <c r="J140" s="24"/>
      <c r="K140" s="25"/>
    </row>
    <row r="141" spans="1:11" ht="19.5" customHeight="1">
      <c r="A141" s="20">
        <v>131</v>
      </c>
      <c r="B141" s="21"/>
      <c r="C141" s="21"/>
      <c r="D141" s="21" t="str">
        <f t="shared" si="4"/>
        <v/>
      </c>
      <c r="E141" s="21" t="str">
        <f t="shared" si="5"/>
        <v/>
      </c>
      <c r="F141" s="21"/>
      <c r="G141" s="21"/>
      <c r="H141" s="21"/>
      <c r="I141" s="22"/>
      <c r="J141" s="21"/>
      <c r="K141" s="23"/>
    </row>
    <row r="142" spans="1:11" ht="19.5" customHeight="1">
      <c r="A142" s="20">
        <v>132</v>
      </c>
      <c r="B142" s="24"/>
      <c r="C142" s="24"/>
      <c r="D142" s="24" t="str">
        <f t="shared" si="4"/>
        <v/>
      </c>
      <c r="E142" s="24" t="str">
        <f t="shared" si="5"/>
        <v/>
      </c>
      <c r="F142" s="24"/>
      <c r="G142" s="24"/>
      <c r="H142" s="24"/>
      <c r="I142" s="22"/>
      <c r="J142" s="24"/>
      <c r="K142" s="25"/>
    </row>
    <row r="143" spans="1:11" ht="19.5" customHeight="1">
      <c r="A143" s="20">
        <v>133</v>
      </c>
      <c r="B143" s="21"/>
      <c r="C143" s="21"/>
      <c r="D143" s="21" t="str">
        <f t="shared" si="4"/>
        <v/>
      </c>
      <c r="E143" s="21" t="str">
        <f t="shared" si="5"/>
        <v/>
      </c>
      <c r="F143" s="21"/>
      <c r="G143" s="21"/>
      <c r="H143" s="21"/>
      <c r="I143" s="22"/>
      <c r="J143" s="21"/>
      <c r="K143" s="23"/>
    </row>
    <row r="144" spans="1:11" ht="19.5" customHeight="1">
      <c r="A144" s="20">
        <v>134</v>
      </c>
      <c r="B144" s="24"/>
      <c r="C144" s="24"/>
      <c r="D144" s="24" t="str">
        <f t="shared" si="4"/>
        <v/>
      </c>
      <c r="E144" s="24" t="str">
        <f t="shared" si="5"/>
        <v/>
      </c>
      <c r="F144" s="24"/>
      <c r="G144" s="24"/>
      <c r="H144" s="24"/>
      <c r="I144" s="22"/>
      <c r="J144" s="24"/>
      <c r="K144" s="25"/>
    </row>
    <row r="145" spans="1:11" ht="19.5" customHeight="1">
      <c r="A145" s="20">
        <v>135</v>
      </c>
      <c r="B145" s="21"/>
      <c r="C145" s="21"/>
      <c r="D145" s="21" t="str">
        <f t="shared" si="4"/>
        <v/>
      </c>
      <c r="E145" s="21" t="str">
        <f t="shared" si="5"/>
        <v/>
      </c>
      <c r="F145" s="21"/>
      <c r="G145" s="21"/>
      <c r="H145" s="21"/>
      <c r="I145" s="22"/>
      <c r="J145" s="21"/>
      <c r="K145" s="23"/>
    </row>
    <row r="146" spans="1:11" ht="19.5" customHeight="1">
      <c r="A146" s="20">
        <v>136</v>
      </c>
      <c r="B146" s="24"/>
      <c r="C146" s="24"/>
      <c r="D146" s="24" t="str">
        <f t="shared" si="4"/>
        <v/>
      </c>
      <c r="E146" s="24" t="str">
        <f t="shared" si="5"/>
        <v/>
      </c>
      <c r="F146" s="24"/>
      <c r="G146" s="24"/>
      <c r="H146" s="24"/>
      <c r="I146" s="22"/>
      <c r="J146" s="24"/>
      <c r="K146" s="25"/>
    </row>
    <row r="147" spans="1:11" ht="19.5" customHeight="1">
      <c r="A147" s="20">
        <v>137</v>
      </c>
      <c r="B147" s="21"/>
      <c r="C147" s="21"/>
      <c r="D147" s="21" t="str">
        <f t="shared" si="4"/>
        <v/>
      </c>
      <c r="E147" s="21" t="str">
        <f t="shared" si="5"/>
        <v/>
      </c>
      <c r="F147" s="21"/>
      <c r="G147" s="21"/>
      <c r="H147" s="21"/>
      <c r="I147" s="22"/>
      <c r="J147" s="21"/>
      <c r="K147" s="23"/>
    </row>
    <row r="148" spans="1:11" ht="19.5" customHeight="1">
      <c r="A148" s="20">
        <v>138</v>
      </c>
      <c r="B148" s="24"/>
      <c r="C148" s="24"/>
      <c r="D148" s="24" t="str">
        <f t="shared" si="4"/>
        <v/>
      </c>
      <c r="E148" s="24" t="str">
        <f t="shared" si="5"/>
        <v/>
      </c>
      <c r="F148" s="24"/>
      <c r="G148" s="24"/>
      <c r="H148" s="24"/>
      <c r="I148" s="22"/>
      <c r="J148" s="24"/>
      <c r="K148" s="25"/>
    </row>
    <row r="149" spans="1:11" ht="19.5" customHeight="1">
      <c r="A149" s="20">
        <v>139</v>
      </c>
      <c r="B149" s="21"/>
      <c r="C149" s="21"/>
      <c r="D149" s="21" t="str">
        <f t="shared" si="4"/>
        <v/>
      </c>
      <c r="E149" s="21" t="str">
        <f t="shared" si="5"/>
        <v/>
      </c>
      <c r="F149" s="21"/>
      <c r="G149" s="21"/>
      <c r="H149" s="21"/>
      <c r="I149" s="22"/>
      <c r="J149" s="21"/>
      <c r="K149" s="23"/>
    </row>
    <row r="150" spans="1:11" ht="19.5" customHeight="1">
      <c r="A150" s="20">
        <v>140</v>
      </c>
      <c r="B150" s="24"/>
      <c r="C150" s="24"/>
      <c r="D150" s="24" t="str">
        <f t="shared" si="4"/>
        <v/>
      </c>
      <c r="E150" s="24" t="str">
        <f t="shared" si="5"/>
        <v/>
      </c>
      <c r="F150" s="24"/>
      <c r="G150" s="24"/>
      <c r="H150" s="24"/>
      <c r="I150" s="22"/>
      <c r="J150" s="24"/>
      <c r="K150" s="25"/>
    </row>
    <row r="151" spans="1:11" ht="19.5" customHeight="1">
      <c r="A151" s="20">
        <v>141</v>
      </c>
      <c r="B151" s="21"/>
      <c r="C151" s="21"/>
      <c r="D151" s="21" t="str">
        <f t="shared" si="4"/>
        <v/>
      </c>
      <c r="E151" s="21" t="str">
        <f t="shared" si="5"/>
        <v/>
      </c>
      <c r="F151" s="21"/>
      <c r="G151" s="21"/>
      <c r="H151" s="21"/>
      <c r="I151" s="22"/>
      <c r="J151" s="21"/>
      <c r="K151" s="23"/>
    </row>
    <row r="152" spans="1:11" ht="19.5" customHeight="1">
      <c r="A152" s="20">
        <v>142</v>
      </c>
      <c r="B152" s="24"/>
      <c r="C152" s="24"/>
      <c r="D152" s="24" t="str">
        <f t="shared" si="4"/>
        <v/>
      </c>
      <c r="E152" s="24" t="str">
        <f t="shared" si="5"/>
        <v/>
      </c>
      <c r="F152" s="24"/>
      <c r="G152" s="24"/>
      <c r="H152" s="24"/>
      <c r="I152" s="22"/>
      <c r="J152" s="24"/>
      <c r="K152" s="25"/>
    </row>
    <row r="153" spans="1:11" ht="19.5" customHeight="1">
      <c r="A153" s="20">
        <v>143</v>
      </c>
      <c r="B153" s="21"/>
      <c r="C153" s="21"/>
      <c r="D153" s="21" t="str">
        <f t="shared" si="4"/>
        <v/>
      </c>
      <c r="E153" s="21" t="str">
        <f t="shared" si="5"/>
        <v/>
      </c>
      <c r="F153" s="21"/>
      <c r="G153" s="21"/>
      <c r="H153" s="21"/>
      <c r="I153" s="22"/>
      <c r="J153" s="21"/>
      <c r="K153" s="23"/>
    </row>
    <row r="154" spans="1:11" ht="19.5" customHeight="1">
      <c r="A154" s="20">
        <v>144</v>
      </c>
      <c r="B154" s="24"/>
      <c r="C154" s="24"/>
      <c r="D154" s="24" t="str">
        <f t="shared" si="4"/>
        <v/>
      </c>
      <c r="E154" s="24" t="str">
        <f t="shared" si="5"/>
        <v/>
      </c>
      <c r="F154" s="24"/>
      <c r="G154" s="24"/>
      <c r="H154" s="24"/>
      <c r="I154" s="22"/>
      <c r="J154" s="24"/>
      <c r="K154" s="25"/>
    </row>
    <row r="155" spans="1:11" ht="19.5" customHeight="1">
      <c r="A155" s="20">
        <v>145</v>
      </c>
      <c r="B155" s="21"/>
      <c r="C155" s="21"/>
      <c r="D155" s="21" t="str">
        <f t="shared" si="4"/>
        <v/>
      </c>
      <c r="E155" s="21" t="str">
        <f t="shared" si="5"/>
        <v/>
      </c>
      <c r="F155" s="21"/>
      <c r="G155" s="21"/>
      <c r="H155" s="21"/>
      <c r="I155" s="22"/>
      <c r="J155" s="21"/>
      <c r="K155" s="23"/>
    </row>
    <row r="156" spans="1:11" ht="19.5" customHeight="1">
      <c r="A156" s="20">
        <v>146</v>
      </c>
      <c r="B156" s="24"/>
      <c r="C156" s="24"/>
      <c r="D156" s="24" t="str">
        <f t="shared" si="4"/>
        <v/>
      </c>
      <c r="E156" s="24" t="str">
        <f t="shared" si="5"/>
        <v/>
      </c>
      <c r="F156" s="24"/>
      <c r="G156" s="24"/>
      <c r="H156" s="24"/>
      <c r="I156" s="22"/>
      <c r="J156" s="24"/>
      <c r="K156" s="25"/>
    </row>
    <row r="157" spans="1:11" ht="19.5" customHeight="1">
      <c r="A157" s="20">
        <v>147</v>
      </c>
      <c r="B157" s="21"/>
      <c r="C157" s="21"/>
      <c r="D157" s="21" t="str">
        <f t="shared" si="4"/>
        <v/>
      </c>
      <c r="E157" s="21" t="str">
        <f t="shared" si="5"/>
        <v/>
      </c>
      <c r="F157" s="21"/>
      <c r="G157" s="21"/>
      <c r="H157" s="21"/>
      <c r="I157" s="22"/>
      <c r="J157" s="21"/>
      <c r="K157" s="23"/>
    </row>
    <row r="158" spans="1:11" ht="19.5" customHeight="1">
      <c r="A158" s="20">
        <v>148</v>
      </c>
      <c r="B158" s="24"/>
      <c r="C158" s="24"/>
      <c r="D158" s="24" t="str">
        <f t="shared" si="4"/>
        <v/>
      </c>
      <c r="E158" s="24" t="str">
        <f t="shared" si="5"/>
        <v/>
      </c>
      <c r="F158" s="24"/>
      <c r="G158" s="24"/>
      <c r="H158" s="24"/>
      <c r="I158" s="22"/>
      <c r="J158" s="24"/>
      <c r="K158" s="25"/>
    </row>
    <row r="159" spans="1:11" ht="19.5" customHeight="1">
      <c r="A159" s="20">
        <v>149</v>
      </c>
      <c r="B159" s="21"/>
      <c r="C159" s="21"/>
      <c r="D159" s="21" t="str">
        <f t="shared" si="4"/>
        <v/>
      </c>
      <c r="E159" s="21" t="str">
        <f t="shared" si="5"/>
        <v/>
      </c>
      <c r="F159" s="21"/>
      <c r="G159" s="21"/>
      <c r="H159" s="21"/>
      <c r="I159" s="22"/>
      <c r="J159" s="21"/>
      <c r="K159" s="23"/>
    </row>
    <row r="160" spans="1:11" ht="19.5" customHeight="1">
      <c r="A160" s="20">
        <v>150</v>
      </c>
      <c r="B160" s="24"/>
      <c r="C160" s="24"/>
      <c r="D160" s="24" t="str">
        <f t="shared" si="4"/>
        <v/>
      </c>
      <c r="E160" s="24" t="str">
        <f t="shared" si="5"/>
        <v/>
      </c>
      <c r="F160" s="24"/>
      <c r="G160" s="24"/>
      <c r="H160" s="24"/>
      <c r="I160" s="22"/>
      <c r="J160" s="24"/>
      <c r="K160" s="25"/>
    </row>
    <row r="161" spans="1:11" ht="19.5" customHeight="1">
      <c r="A161" s="20">
        <v>151</v>
      </c>
      <c r="B161" s="21"/>
      <c r="C161" s="21"/>
      <c r="D161" s="21" t="str">
        <f t="shared" si="4"/>
        <v/>
      </c>
      <c r="E161" s="21" t="str">
        <f t="shared" si="5"/>
        <v/>
      </c>
      <c r="F161" s="21"/>
      <c r="G161" s="21"/>
      <c r="H161" s="21"/>
      <c r="I161" s="22"/>
      <c r="J161" s="21"/>
      <c r="K161" s="23"/>
    </row>
    <row r="162" spans="1:11" ht="19.5" customHeight="1">
      <c r="A162" s="20">
        <v>152</v>
      </c>
      <c r="B162" s="24"/>
      <c r="C162" s="24"/>
      <c r="D162" s="24" t="str">
        <f t="shared" si="4"/>
        <v/>
      </c>
      <c r="E162" s="24" t="str">
        <f t="shared" si="5"/>
        <v/>
      </c>
      <c r="F162" s="24"/>
      <c r="G162" s="24"/>
      <c r="H162" s="24"/>
      <c r="I162" s="22"/>
      <c r="J162" s="24"/>
      <c r="K162" s="25"/>
    </row>
    <row r="163" spans="1:11" ht="19.5" customHeight="1">
      <c r="A163" s="20">
        <v>153</v>
      </c>
      <c r="B163" s="21"/>
      <c r="C163" s="21"/>
      <c r="D163" s="21" t="str">
        <f t="shared" si="4"/>
        <v/>
      </c>
      <c r="E163" s="21" t="str">
        <f t="shared" si="5"/>
        <v/>
      </c>
      <c r="F163" s="21"/>
      <c r="G163" s="21"/>
      <c r="H163" s="21"/>
      <c r="I163" s="22"/>
      <c r="J163" s="21"/>
      <c r="K163" s="23"/>
    </row>
    <row r="164" spans="1:11" ht="19.5" customHeight="1">
      <c r="A164" s="20">
        <v>154</v>
      </c>
      <c r="B164" s="24"/>
      <c r="C164" s="24"/>
      <c r="D164" s="24" t="str">
        <f t="shared" si="4"/>
        <v/>
      </c>
      <c r="E164" s="24" t="str">
        <f t="shared" si="5"/>
        <v/>
      </c>
      <c r="F164" s="24"/>
      <c r="G164" s="24"/>
      <c r="H164" s="24"/>
      <c r="I164" s="22"/>
      <c r="J164" s="24"/>
      <c r="K164" s="25"/>
    </row>
    <row r="165" spans="1:11" ht="19.5" customHeight="1">
      <c r="A165" s="20">
        <v>155</v>
      </c>
      <c r="B165" s="21"/>
      <c r="C165" s="21"/>
      <c r="D165" s="21" t="str">
        <f t="shared" si="4"/>
        <v/>
      </c>
      <c r="E165" s="21" t="str">
        <f t="shared" si="5"/>
        <v/>
      </c>
      <c r="F165" s="21"/>
      <c r="G165" s="21"/>
      <c r="H165" s="21"/>
      <c r="I165" s="22"/>
      <c r="J165" s="21"/>
      <c r="K165" s="23"/>
    </row>
    <row r="166" spans="1:11" ht="19.5" customHeight="1">
      <c r="A166" s="20">
        <v>156</v>
      </c>
      <c r="B166" s="24"/>
      <c r="C166" s="24"/>
      <c r="D166" s="24" t="str">
        <f t="shared" si="4"/>
        <v/>
      </c>
      <c r="E166" s="24" t="str">
        <f t="shared" si="5"/>
        <v/>
      </c>
      <c r="F166" s="24"/>
      <c r="G166" s="24"/>
      <c r="H166" s="24"/>
      <c r="I166" s="22"/>
      <c r="J166" s="24"/>
      <c r="K166" s="25"/>
    </row>
    <row r="167" spans="1:11" ht="19.5" customHeight="1">
      <c r="A167" s="20">
        <v>157</v>
      </c>
      <c r="B167" s="21"/>
      <c r="C167" s="21"/>
      <c r="D167" s="21" t="str">
        <f t="shared" si="4"/>
        <v/>
      </c>
      <c r="E167" s="21" t="str">
        <f t="shared" si="5"/>
        <v/>
      </c>
      <c r="F167" s="21"/>
      <c r="G167" s="21"/>
      <c r="H167" s="21"/>
      <c r="I167" s="22"/>
      <c r="J167" s="21"/>
      <c r="K167" s="23"/>
    </row>
    <row r="168" spans="1:11" ht="19.5" customHeight="1">
      <c r="A168" s="20">
        <v>158</v>
      </c>
      <c r="B168" s="24"/>
      <c r="C168" s="24"/>
      <c r="D168" s="24" t="str">
        <f t="shared" si="4"/>
        <v/>
      </c>
      <c r="E168" s="24" t="str">
        <f t="shared" si="5"/>
        <v/>
      </c>
      <c r="F168" s="24"/>
      <c r="G168" s="24"/>
      <c r="H168" s="24"/>
      <c r="I168" s="22"/>
      <c r="J168" s="24"/>
      <c r="K168" s="25"/>
    </row>
    <row r="169" spans="1:11" ht="19.5" customHeight="1">
      <c r="A169" s="20">
        <v>159</v>
      </c>
      <c r="B169" s="21"/>
      <c r="C169" s="21"/>
      <c r="D169" s="21" t="str">
        <f t="shared" si="4"/>
        <v/>
      </c>
      <c r="E169" s="21" t="str">
        <f t="shared" si="5"/>
        <v/>
      </c>
      <c r="F169" s="21"/>
      <c r="G169" s="21"/>
      <c r="H169" s="21"/>
      <c r="I169" s="22"/>
      <c r="J169" s="21"/>
      <c r="K169" s="23"/>
    </row>
    <row r="170" spans="1:11" ht="19.5" customHeight="1">
      <c r="A170" s="20">
        <v>160</v>
      </c>
      <c r="B170" s="24"/>
      <c r="C170" s="24"/>
      <c r="D170" s="24" t="str">
        <f t="shared" si="4"/>
        <v/>
      </c>
      <c r="E170" s="24" t="str">
        <f t="shared" si="5"/>
        <v/>
      </c>
      <c r="F170" s="24"/>
      <c r="G170" s="24"/>
      <c r="H170" s="24"/>
      <c r="I170" s="22"/>
      <c r="J170" s="24"/>
      <c r="K170" s="25"/>
    </row>
    <row r="171" spans="1:11" ht="19.5" customHeight="1">
      <c r="A171" s="20">
        <v>161</v>
      </c>
      <c r="B171" s="21"/>
      <c r="C171" s="21"/>
      <c r="D171" s="21" t="str">
        <f t="shared" si="4"/>
        <v/>
      </c>
      <c r="E171" s="21" t="str">
        <f t="shared" si="5"/>
        <v/>
      </c>
      <c r="F171" s="21"/>
      <c r="G171" s="21"/>
      <c r="H171" s="21"/>
      <c r="I171" s="22"/>
      <c r="J171" s="21"/>
      <c r="K171" s="23"/>
    </row>
    <row r="172" spans="1:11" ht="19.5" customHeight="1">
      <c r="A172" s="20">
        <v>162</v>
      </c>
      <c r="B172" s="24"/>
      <c r="C172" s="24"/>
      <c r="D172" s="24" t="str">
        <f t="shared" si="4"/>
        <v/>
      </c>
      <c r="E172" s="24" t="str">
        <f t="shared" si="5"/>
        <v/>
      </c>
      <c r="F172" s="24"/>
      <c r="G172" s="24"/>
      <c r="H172" s="24"/>
      <c r="I172" s="22"/>
      <c r="J172" s="24"/>
      <c r="K172" s="25"/>
    </row>
    <row r="173" spans="1:11" ht="19.5" customHeight="1">
      <c r="A173" s="20">
        <v>163</v>
      </c>
      <c r="B173" s="21"/>
      <c r="C173" s="21"/>
      <c r="D173" s="21" t="str">
        <f t="shared" si="4"/>
        <v/>
      </c>
      <c r="E173" s="21" t="str">
        <f t="shared" si="5"/>
        <v/>
      </c>
      <c r="F173" s="21"/>
      <c r="G173" s="21"/>
      <c r="H173" s="21"/>
      <c r="I173" s="22"/>
      <c r="J173" s="21"/>
      <c r="K173" s="23"/>
    </row>
    <row r="174" spans="1:11" ht="19.5" customHeight="1">
      <c r="A174" s="20">
        <v>164</v>
      </c>
      <c r="B174" s="24"/>
      <c r="C174" s="24"/>
      <c r="D174" s="24" t="str">
        <f t="shared" si="4"/>
        <v/>
      </c>
      <c r="E174" s="24" t="str">
        <f t="shared" si="5"/>
        <v/>
      </c>
      <c r="F174" s="24"/>
      <c r="G174" s="24"/>
      <c r="H174" s="24"/>
      <c r="I174" s="22"/>
      <c r="J174" s="24"/>
      <c r="K174" s="25"/>
    </row>
    <row r="175" spans="1:11" ht="19.5" customHeight="1">
      <c r="A175" s="20">
        <v>165</v>
      </c>
      <c r="B175" s="21"/>
      <c r="C175" s="21"/>
      <c r="D175" s="21" t="str">
        <f t="shared" si="4"/>
        <v/>
      </c>
      <c r="E175" s="21" t="str">
        <f t="shared" si="5"/>
        <v/>
      </c>
      <c r="F175" s="21"/>
      <c r="G175" s="21"/>
      <c r="H175" s="21"/>
      <c r="I175" s="22"/>
      <c r="J175" s="21"/>
      <c r="K175" s="23"/>
    </row>
    <row r="176" spans="1:11" ht="19.5" customHeight="1">
      <c r="A176" s="20">
        <v>166</v>
      </c>
      <c r="B176" s="24"/>
      <c r="C176" s="24"/>
      <c r="D176" s="24" t="str">
        <f t="shared" si="4"/>
        <v/>
      </c>
      <c r="E176" s="24" t="str">
        <f t="shared" si="5"/>
        <v/>
      </c>
      <c r="F176" s="24"/>
      <c r="G176" s="24"/>
      <c r="H176" s="24"/>
      <c r="I176" s="22"/>
      <c r="J176" s="24"/>
      <c r="K176" s="25"/>
    </row>
    <row r="177" spans="1:11" ht="19.5" customHeight="1">
      <c r="A177" s="20">
        <v>167</v>
      </c>
      <c r="B177" s="21"/>
      <c r="C177" s="21"/>
      <c r="D177" s="21" t="str">
        <f t="shared" si="4"/>
        <v/>
      </c>
      <c r="E177" s="21" t="str">
        <f t="shared" si="5"/>
        <v/>
      </c>
      <c r="F177" s="21"/>
      <c r="G177" s="21"/>
      <c r="H177" s="21"/>
      <c r="I177" s="22"/>
      <c r="J177" s="21"/>
      <c r="K177" s="23"/>
    </row>
    <row r="178" spans="1:11" ht="19.5" customHeight="1">
      <c r="A178" s="20">
        <v>168</v>
      </c>
      <c r="B178" s="24"/>
      <c r="C178" s="24"/>
      <c r="D178" s="24" t="str">
        <f t="shared" si="4"/>
        <v/>
      </c>
      <c r="E178" s="24" t="str">
        <f t="shared" si="5"/>
        <v/>
      </c>
      <c r="F178" s="24"/>
      <c r="G178" s="24"/>
      <c r="H178" s="24"/>
      <c r="I178" s="22"/>
      <c r="J178" s="24"/>
      <c r="K178" s="25"/>
    </row>
    <row r="179" spans="1:11" ht="19.5" customHeight="1">
      <c r="A179" s="20">
        <v>169</v>
      </c>
      <c r="B179" s="21"/>
      <c r="C179" s="21"/>
      <c r="D179" s="21" t="str">
        <f t="shared" si="4"/>
        <v/>
      </c>
      <c r="E179" s="21" t="str">
        <f t="shared" si="5"/>
        <v/>
      </c>
      <c r="F179" s="21"/>
      <c r="G179" s="21"/>
      <c r="H179" s="21"/>
      <c r="I179" s="22"/>
      <c r="J179" s="21"/>
      <c r="K179" s="23"/>
    </row>
    <row r="180" spans="1:11" ht="19.5" customHeight="1">
      <c r="A180" s="20">
        <v>170</v>
      </c>
      <c r="B180" s="24"/>
      <c r="C180" s="24"/>
      <c r="D180" s="24" t="str">
        <f t="shared" si="4"/>
        <v/>
      </c>
      <c r="E180" s="24" t="str">
        <f t="shared" si="5"/>
        <v/>
      </c>
      <c r="F180" s="24"/>
      <c r="G180" s="24"/>
      <c r="H180" s="24"/>
      <c r="I180" s="22"/>
      <c r="J180" s="24"/>
      <c r="K180" s="25"/>
    </row>
    <row r="181" spans="1:11" ht="19.5" customHeight="1">
      <c r="A181" s="20">
        <v>171</v>
      </c>
      <c r="B181" s="21"/>
      <c r="C181" s="21"/>
      <c r="D181" s="21" t="str">
        <f t="shared" si="4"/>
        <v/>
      </c>
      <c r="E181" s="21" t="str">
        <f t="shared" si="5"/>
        <v/>
      </c>
      <c r="F181" s="21"/>
      <c r="G181" s="21"/>
      <c r="H181" s="21"/>
      <c r="I181" s="22"/>
      <c r="J181" s="21"/>
      <c r="K181" s="23"/>
    </row>
    <row r="182" spans="1:11" ht="19.5" customHeight="1">
      <c r="A182" s="20">
        <v>172</v>
      </c>
      <c r="B182" s="24"/>
      <c r="C182" s="24"/>
      <c r="D182" s="24" t="str">
        <f t="shared" si="4"/>
        <v/>
      </c>
      <c r="E182" s="24" t="str">
        <f t="shared" si="5"/>
        <v/>
      </c>
      <c r="F182" s="24"/>
      <c r="G182" s="24"/>
      <c r="H182" s="24"/>
      <c r="I182" s="22"/>
      <c r="J182" s="24"/>
      <c r="K182" s="25"/>
    </row>
    <row r="183" spans="1:11" ht="19.5" customHeight="1">
      <c r="A183" s="20">
        <v>173</v>
      </c>
      <c r="B183" s="21"/>
      <c r="C183" s="21"/>
      <c r="D183" s="21" t="str">
        <f t="shared" si="4"/>
        <v/>
      </c>
      <c r="E183" s="21" t="str">
        <f t="shared" si="5"/>
        <v/>
      </c>
      <c r="F183" s="21"/>
      <c r="G183" s="21"/>
      <c r="H183" s="21"/>
      <c r="I183" s="22"/>
      <c r="J183" s="21"/>
      <c r="K183" s="23"/>
    </row>
    <row r="184" spans="1:11" ht="19.5" customHeight="1">
      <c r="A184" s="20">
        <v>174</v>
      </c>
      <c r="B184" s="24"/>
      <c r="C184" s="24"/>
      <c r="D184" s="24" t="str">
        <f t="shared" si="4"/>
        <v/>
      </c>
      <c r="E184" s="24" t="str">
        <f t="shared" si="5"/>
        <v/>
      </c>
      <c r="F184" s="24"/>
      <c r="G184" s="24"/>
      <c r="H184" s="24"/>
      <c r="I184" s="22"/>
      <c r="J184" s="24"/>
      <c r="K184" s="25"/>
    </row>
    <row r="185" spans="1:11" ht="19.5" customHeight="1">
      <c r="A185" s="20">
        <v>175</v>
      </c>
      <c r="B185" s="21"/>
      <c r="C185" s="21"/>
      <c r="D185" s="21" t="str">
        <f t="shared" si="4"/>
        <v/>
      </c>
      <c r="E185" s="21" t="str">
        <f t="shared" si="5"/>
        <v/>
      </c>
      <c r="F185" s="21"/>
      <c r="G185" s="21"/>
      <c r="H185" s="21"/>
      <c r="I185" s="22"/>
      <c r="J185" s="21"/>
      <c r="K185" s="23"/>
    </row>
    <row r="186" spans="1:11" ht="19.5" customHeight="1">
      <c r="A186" s="20">
        <v>176</v>
      </c>
      <c r="B186" s="24"/>
      <c r="C186" s="24"/>
      <c r="D186" s="24" t="str">
        <f t="shared" si="4"/>
        <v/>
      </c>
      <c r="E186" s="24" t="str">
        <f t="shared" si="5"/>
        <v/>
      </c>
      <c r="F186" s="24"/>
      <c r="G186" s="24"/>
      <c r="H186" s="24"/>
      <c r="I186" s="22"/>
      <c r="J186" s="24"/>
      <c r="K186" s="25"/>
    </row>
    <row r="187" spans="1:11" ht="19.5" customHeight="1">
      <c r="A187" s="20">
        <v>177</v>
      </c>
      <c r="B187" s="21"/>
      <c r="C187" s="21"/>
      <c r="D187" s="21" t="str">
        <f t="shared" si="4"/>
        <v/>
      </c>
      <c r="E187" s="21" t="str">
        <f t="shared" si="5"/>
        <v/>
      </c>
      <c r="F187" s="21"/>
      <c r="G187" s="21"/>
      <c r="H187" s="21"/>
      <c r="I187" s="22"/>
      <c r="J187" s="21"/>
      <c r="K187" s="23"/>
    </row>
    <row r="188" spans="1:11" ht="19.5" customHeight="1">
      <c r="A188" s="20">
        <v>178</v>
      </c>
      <c r="B188" s="24"/>
      <c r="C188" s="24"/>
      <c r="D188" s="24" t="str">
        <f t="shared" si="4"/>
        <v/>
      </c>
      <c r="E188" s="24" t="str">
        <f t="shared" si="5"/>
        <v/>
      </c>
      <c r="F188" s="24"/>
      <c r="G188" s="24"/>
      <c r="H188" s="24"/>
      <c r="I188" s="22"/>
      <c r="J188" s="24"/>
      <c r="K188" s="25"/>
    </row>
    <row r="189" spans="1:11" ht="19.5" customHeight="1">
      <c r="A189" s="20">
        <v>179</v>
      </c>
      <c r="B189" s="21"/>
      <c r="C189" s="21"/>
      <c r="D189" s="21" t="str">
        <f t="shared" si="4"/>
        <v/>
      </c>
      <c r="E189" s="21" t="str">
        <f t="shared" si="5"/>
        <v/>
      </c>
      <c r="F189" s="21"/>
      <c r="G189" s="21"/>
      <c r="H189" s="21"/>
      <c r="I189" s="22"/>
      <c r="J189" s="21"/>
      <c r="K189" s="23"/>
    </row>
    <row r="190" spans="1:11" ht="19.5" customHeight="1">
      <c r="A190" s="20">
        <v>180</v>
      </c>
      <c r="B190" s="24"/>
      <c r="C190" s="24"/>
      <c r="D190" s="24" t="str">
        <f t="shared" si="4"/>
        <v/>
      </c>
      <c r="E190" s="24" t="str">
        <f t="shared" si="5"/>
        <v/>
      </c>
      <c r="F190" s="24"/>
      <c r="G190" s="24"/>
      <c r="H190" s="24"/>
      <c r="I190" s="22"/>
      <c r="J190" s="24"/>
      <c r="K190" s="25"/>
    </row>
    <row r="191" spans="1:11" ht="19.5" customHeight="1">
      <c r="A191" s="20">
        <v>181</v>
      </c>
      <c r="B191" s="21"/>
      <c r="C191" s="21"/>
      <c r="D191" s="21" t="str">
        <f t="shared" si="4"/>
        <v/>
      </c>
      <c r="E191" s="21" t="str">
        <f t="shared" si="5"/>
        <v/>
      </c>
      <c r="F191" s="21"/>
      <c r="G191" s="21"/>
      <c r="H191" s="21"/>
      <c r="I191" s="22"/>
      <c r="J191" s="21"/>
      <c r="K191" s="23"/>
    </row>
    <row r="192" spans="1:11" ht="19.5" customHeight="1">
      <c r="A192" s="20">
        <v>182</v>
      </c>
      <c r="B192" s="24"/>
      <c r="C192" s="24"/>
      <c r="D192" s="24" t="str">
        <f t="shared" si="4"/>
        <v/>
      </c>
      <c r="E192" s="24" t="str">
        <f t="shared" si="5"/>
        <v/>
      </c>
      <c r="F192" s="24"/>
      <c r="G192" s="24"/>
      <c r="H192" s="24"/>
      <c r="I192" s="22"/>
      <c r="J192" s="24"/>
      <c r="K192" s="25"/>
    </row>
    <row r="193" spans="1:11" ht="19.5" customHeight="1">
      <c r="A193" s="20">
        <v>183</v>
      </c>
      <c r="B193" s="21"/>
      <c r="C193" s="21"/>
      <c r="D193" s="21" t="str">
        <f t="shared" si="4"/>
        <v/>
      </c>
      <c r="E193" s="21" t="str">
        <f t="shared" si="5"/>
        <v/>
      </c>
      <c r="F193" s="21"/>
      <c r="G193" s="21"/>
      <c r="H193" s="21"/>
      <c r="I193" s="22"/>
      <c r="J193" s="21"/>
      <c r="K193" s="23"/>
    </row>
    <row r="194" spans="1:11" ht="19.5" customHeight="1">
      <c r="A194" s="20">
        <v>184</v>
      </c>
      <c r="B194" s="24"/>
      <c r="C194" s="24"/>
      <c r="D194" s="24" t="str">
        <f t="shared" si="4"/>
        <v/>
      </c>
      <c r="E194" s="24" t="str">
        <f t="shared" si="5"/>
        <v/>
      </c>
      <c r="F194" s="24"/>
      <c r="G194" s="24"/>
      <c r="H194" s="24"/>
      <c r="I194" s="22"/>
      <c r="J194" s="24"/>
      <c r="K194" s="25"/>
    </row>
    <row r="195" spans="1:11" ht="19.5" customHeight="1">
      <c r="A195" s="20">
        <v>185</v>
      </c>
      <c r="B195" s="21"/>
      <c r="C195" s="21"/>
      <c r="D195" s="21" t="str">
        <f t="shared" si="4"/>
        <v/>
      </c>
      <c r="E195" s="21" t="str">
        <f t="shared" si="5"/>
        <v/>
      </c>
      <c r="F195" s="21"/>
      <c r="G195" s="21"/>
      <c r="H195" s="21"/>
      <c r="I195" s="22"/>
      <c r="J195" s="21"/>
      <c r="K195" s="23"/>
    </row>
    <row r="196" spans="1:11" ht="19.5" customHeight="1">
      <c r="A196" s="20">
        <v>186</v>
      </c>
      <c r="B196" s="24"/>
      <c r="C196" s="24"/>
      <c r="D196" s="24" t="str">
        <f t="shared" si="4"/>
        <v/>
      </c>
      <c r="E196" s="24" t="str">
        <f t="shared" si="5"/>
        <v/>
      </c>
      <c r="F196" s="24"/>
      <c r="G196" s="24"/>
      <c r="H196" s="24"/>
      <c r="I196" s="22"/>
      <c r="J196" s="24"/>
      <c r="K196" s="25"/>
    </row>
    <row r="197" spans="1:11" ht="19.5" customHeight="1">
      <c r="A197" s="20">
        <v>187</v>
      </c>
      <c r="B197" s="21"/>
      <c r="C197" s="21"/>
      <c r="D197" s="21" t="str">
        <f t="shared" si="4"/>
        <v/>
      </c>
      <c r="E197" s="21" t="str">
        <f t="shared" si="5"/>
        <v/>
      </c>
      <c r="F197" s="21"/>
      <c r="G197" s="21"/>
      <c r="H197" s="21"/>
      <c r="I197" s="22"/>
      <c r="J197" s="21"/>
      <c r="K197" s="23"/>
    </row>
    <row r="198" spans="1:11" ht="19.5" customHeight="1">
      <c r="A198" s="20">
        <v>188</v>
      </c>
      <c r="B198" s="24"/>
      <c r="C198" s="24"/>
      <c r="D198" s="24" t="str">
        <f t="shared" si="4"/>
        <v/>
      </c>
      <c r="E198" s="24" t="str">
        <f t="shared" si="5"/>
        <v/>
      </c>
      <c r="F198" s="24"/>
      <c r="G198" s="24"/>
      <c r="H198" s="24"/>
      <c r="I198" s="22"/>
      <c r="J198" s="24"/>
      <c r="K198" s="25"/>
    </row>
    <row r="199" spans="1:11" ht="19.5" customHeight="1">
      <c r="A199" s="20">
        <v>189</v>
      </c>
      <c r="B199" s="21"/>
      <c r="C199" s="21"/>
      <c r="D199" s="21" t="str">
        <f t="shared" si="4"/>
        <v/>
      </c>
      <c r="E199" s="21" t="str">
        <f t="shared" si="5"/>
        <v/>
      </c>
      <c r="F199" s="21"/>
      <c r="G199" s="21"/>
      <c r="H199" s="21"/>
      <c r="I199" s="22"/>
      <c r="J199" s="21"/>
      <c r="K199" s="23"/>
    </row>
    <row r="200" spans="1:11" ht="19.5" customHeight="1">
      <c r="A200" s="20">
        <v>190</v>
      </c>
      <c r="B200" s="24"/>
      <c r="C200" s="24"/>
      <c r="D200" s="24" t="str">
        <f t="shared" si="4"/>
        <v/>
      </c>
      <c r="E200" s="24" t="str">
        <f t="shared" si="5"/>
        <v/>
      </c>
      <c r="F200" s="24"/>
      <c r="G200" s="24"/>
      <c r="H200" s="24"/>
      <c r="I200" s="22"/>
      <c r="J200" s="24"/>
      <c r="K200" s="25"/>
    </row>
    <row r="201" spans="1:11" ht="19.5" customHeight="1">
      <c r="A201" s="20">
        <v>191</v>
      </c>
      <c r="B201" s="21"/>
      <c r="C201" s="21"/>
      <c r="D201" s="21" t="str">
        <f t="shared" si="4"/>
        <v/>
      </c>
      <c r="E201" s="21" t="str">
        <f t="shared" si="5"/>
        <v/>
      </c>
      <c r="F201" s="21"/>
      <c r="G201" s="21"/>
      <c r="H201" s="21"/>
      <c r="I201" s="22"/>
      <c r="J201" s="21"/>
      <c r="K201" s="23"/>
    </row>
    <row r="202" spans="1:11" ht="19.5" customHeight="1">
      <c r="A202" s="20">
        <v>192</v>
      </c>
      <c r="B202" s="24"/>
      <c r="C202" s="24"/>
      <c r="D202" s="24" t="str">
        <f t="shared" si="4"/>
        <v/>
      </c>
      <c r="E202" s="24" t="str">
        <f t="shared" si="5"/>
        <v/>
      </c>
      <c r="F202" s="24"/>
      <c r="G202" s="24"/>
      <c r="H202" s="24"/>
      <c r="I202" s="22"/>
      <c r="J202" s="24"/>
      <c r="K202" s="25"/>
    </row>
    <row r="203" spans="1:11" ht="19.5" customHeight="1">
      <c r="A203" s="20">
        <v>193</v>
      </c>
      <c r="B203" s="21"/>
      <c r="C203" s="21"/>
      <c r="D203" s="21" t="str">
        <f t="shared" ref="D203:D266" si="6">IF(B203="","",PHONETIC(B203))</f>
        <v/>
      </c>
      <c r="E203" s="21" t="str">
        <f t="shared" ref="E203:E266" si="7">IF(C203="","",PHONETIC(C203))</f>
        <v/>
      </c>
      <c r="F203" s="21"/>
      <c r="G203" s="21"/>
      <c r="H203" s="21"/>
      <c r="I203" s="22"/>
      <c r="J203" s="21"/>
      <c r="K203" s="23"/>
    </row>
    <row r="204" spans="1:11" ht="19.5" customHeight="1">
      <c r="A204" s="20">
        <v>194</v>
      </c>
      <c r="B204" s="24"/>
      <c r="C204" s="24"/>
      <c r="D204" s="24" t="str">
        <f t="shared" si="6"/>
        <v/>
      </c>
      <c r="E204" s="24" t="str">
        <f t="shared" si="7"/>
        <v/>
      </c>
      <c r="F204" s="24"/>
      <c r="G204" s="24"/>
      <c r="H204" s="24"/>
      <c r="I204" s="22"/>
      <c r="J204" s="24"/>
      <c r="K204" s="25"/>
    </row>
    <row r="205" spans="1:11" ht="19.5" customHeight="1">
      <c r="A205" s="20">
        <v>195</v>
      </c>
      <c r="B205" s="21"/>
      <c r="C205" s="21"/>
      <c r="D205" s="21" t="str">
        <f t="shared" si="6"/>
        <v/>
      </c>
      <c r="E205" s="21" t="str">
        <f t="shared" si="7"/>
        <v/>
      </c>
      <c r="F205" s="21"/>
      <c r="G205" s="21"/>
      <c r="H205" s="21"/>
      <c r="I205" s="22"/>
      <c r="J205" s="21"/>
      <c r="K205" s="23"/>
    </row>
    <row r="206" spans="1:11" ht="19.5" customHeight="1">
      <c r="A206" s="20">
        <v>196</v>
      </c>
      <c r="B206" s="24"/>
      <c r="C206" s="24"/>
      <c r="D206" s="24" t="str">
        <f t="shared" si="6"/>
        <v/>
      </c>
      <c r="E206" s="24" t="str">
        <f t="shared" si="7"/>
        <v/>
      </c>
      <c r="F206" s="24"/>
      <c r="G206" s="24"/>
      <c r="H206" s="24"/>
      <c r="I206" s="22"/>
      <c r="J206" s="24"/>
      <c r="K206" s="25"/>
    </row>
    <row r="207" spans="1:11" ht="19.5" customHeight="1">
      <c r="A207" s="20">
        <v>197</v>
      </c>
      <c r="B207" s="21"/>
      <c r="C207" s="21"/>
      <c r="D207" s="21" t="str">
        <f t="shared" si="6"/>
        <v/>
      </c>
      <c r="E207" s="21" t="str">
        <f t="shared" si="7"/>
        <v/>
      </c>
      <c r="F207" s="21"/>
      <c r="G207" s="21"/>
      <c r="H207" s="21"/>
      <c r="I207" s="22"/>
      <c r="J207" s="21"/>
      <c r="K207" s="23"/>
    </row>
    <row r="208" spans="1:11" ht="19.5" customHeight="1">
      <c r="A208" s="20">
        <v>198</v>
      </c>
      <c r="B208" s="24"/>
      <c r="C208" s="24"/>
      <c r="D208" s="24" t="str">
        <f t="shared" si="6"/>
        <v/>
      </c>
      <c r="E208" s="24" t="str">
        <f t="shared" si="7"/>
        <v/>
      </c>
      <c r="F208" s="24"/>
      <c r="G208" s="24"/>
      <c r="H208" s="24"/>
      <c r="I208" s="22"/>
      <c r="J208" s="24"/>
      <c r="K208" s="25"/>
    </row>
    <row r="209" spans="1:11" ht="19.5" customHeight="1">
      <c r="A209" s="20">
        <v>199</v>
      </c>
      <c r="B209" s="21"/>
      <c r="C209" s="21"/>
      <c r="D209" s="21" t="str">
        <f t="shared" si="6"/>
        <v/>
      </c>
      <c r="E209" s="21" t="str">
        <f t="shared" si="7"/>
        <v/>
      </c>
      <c r="F209" s="21"/>
      <c r="G209" s="21"/>
      <c r="H209" s="21"/>
      <c r="I209" s="22"/>
      <c r="J209" s="21"/>
      <c r="K209" s="23"/>
    </row>
    <row r="210" spans="1:11" ht="19.5" customHeight="1">
      <c r="A210" s="20">
        <v>200</v>
      </c>
      <c r="B210" s="24"/>
      <c r="C210" s="24"/>
      <c r="D210" s="24" t="str">
        <f t="shared" si="6"/>
        <v/>
      </c>
      <c r="E210" s="24" t="str">
        <f t="shared" si="7"/>
        <v/>
      </c>
      <c r="F210" s="24"/>
      <c r="G210" s="24"/>
      <c r="H210" s="24"/>
      <c r="I210" s="22"/>
      <c r="J210" s="24"/>
      <c r="K210" s="25"/>
    </row>
    <row r="211" spans="1:11" ht="19.5" customHeight="1">
      <c r="A211" s="20">
        <v>201</v>
      </c>
      <c r="B211" s="21"/>
      <c r="C211" s="21"/>
      <c r="D211" s="21" t="str">
        <f t="shared" si="6"/>
        <v/>
      </c>
      <c r="E211" s="21" t="str">
        <f t="shared" si="7"/>
        <v/>
      </c>
      <c r="F211" s="21"/>
      <c r="G211" s="21"/>
      <c r="H211" s="21"/>
      <c r="I211" s="22"/>
      <c r="J211" s="21"/>
      <c r="K211" s="23"/>
    </row>
    <row r="212" spans="1:11" ht="19.5" customHeight="1">
      <c r="A212" s="20">
        <v>202</v>
      </c>
      <c r="B212" s="24"/>
      <c r="C212" s="24"/>
      <c r="D212" s="24" t="str">
        <f t="shared" si="6"/>
        <v/>
      </c>
      <c r="E212" s="24" t="str">
        <f t="shared" si="7"/>
        <v/>
      </c>
      <c r="F212" s="24"/>
      <c r="G212" s="24"/>
      <c r="H212" s="24"/>
      <c r="I212" s="22"/>
      <c r="J212" s="24"/>
      <c r="K212" s="25"/>
    </row>
    <row r="213" spans="1:11" ht="19.5" customHeight="1">
      <c r="A213" s="20">
        <v>203</v>
      </c>
      <c r="B213" s="21"/>
      <c r="C213" s="21"/>
      <c r="D213" s="21" t="str">
        <f t="shared" si="6"/>
        <v/>
      </c>
      <c r="E213" s="21" t="str">
        <f t="shared" si="7"/>
        <v/>
      </c>
      <c r="F213" s="21"/>
      <c r="G213" s="21"/>
      <c r="H213" s="21"/>
      <c r="I213" s="22"/>
      <c r="J213" s="21"/>
      <c r="K213" s="23"/>
    </row>
    <row r="214" spans="1:11" ht="19.5" customHeight="1">
      <c r="A214" s="20">
        <v>204</v>
      </c>
      <c r="B214" s="24"/>
      <c r="C214" s="24"/>
      <c r="D214" s="24" t="str">
        <f t="shared" si="6"/>
        <v/>
      </c>
      <c r="E214" s="24" t="str">
        <f t="shared" si="7"/>
        <v/>
      </c>
      <c r="F214" s="24"/>
      <c r="G214" s="24"/>
      <c r="H214" s="24"/>
      <c r="I214" s="22"/>
      <c r="J214" s="24"/>
      <c r="K214" s="25"/>
    </row>
    <row r="215" spans="1:11" ht="19.5" customHeight="1">
      <c r="A215" s="20">
        <v>205</v>
      </c>
      <c r="B215" s="21"/>
      <c r="C215" s="21"/>
      <c r="D215" s="21" t="str">
        <f t="shared" si="6"/>
        <v/>
      </c>
      <c r="E215" s="21" t="str">
        <f t="shared" si="7"/>
        <v/>
      </c>
      <c r="F215" s="21"/>
      <c r="G215" s="21"/>
      <c r="H215" s="21"/>
      <c r="I215" s="22"/>
      <c r="J215" s="21"/>
      <c r="K215" s="23"/>
    </row>
    <row r="216" spans="1:11" ht="19.5" customHeight="1">
      <c r="A216" s="20">
        <v>206</v>
      </c>
      <c r="B216" s="24"/>
      <c r="C216" s="24"/>
      <c r="D216" s="24" t="str">
        <f t="shared" si="6"/>
        <v/>
      </c>
      <c r="E216" s="24" t="str">
        <f t="shared" si="7"/>
        <v/>
      </c>
      <c r="F216" s="24"/>
      <c r="G216" s="24"/>
      <c r="H216" s="24"/>
      <c r="I216" s="22"/>
      <c r="J216" s="24"/>
      <c r="K216" s="25"/>
    </row>
    <row r="217" spans="1:11" ht="19.5" customHeight="1">
      <c r="A217" s="20">
        <v>207</v>
      </c>
      <c r="B217" s="21"/>
      <c r="C217" s="21"/>
      <c r="D217" s="21" t="str">
        <f t="shared" si="6"/>
        <v/>
      </c>
      <c r="E217" s="21" t="str">
        <f t="shared" si="7"/>
        <v/>
      </c>
      <c r="F217" s="21"/>
      <c r="G217" s="21"/>
      <c r="H217" s="21"/>
      <c r="I217" s="22"/>
      <c r="J217" s="21"/>
      <c r="K217" s="23"/>
    </row>
    <row r="218" spans="1:11" ht="19.5" customHeight="1">
      <c r="A218" s="20">
        <v>208</v>
      </c>
      <c r="B218" s="24"/>
      <c r="C218" s="24"/>
      <c r="D218" s="24" t="str">
        <f t="shared" si="6"/>
        <v/>
      </c>
      <c r="E218" s="24" t="str">
        <f t="shared" si="7"/>
        <v/>
      </c>
      <c r="F218" s="24"/>
      <c r="G218" s="24"/>
      <c r="H218" s="24"/>
      <c r="I218" s="22"/>
      <c r="J218" s="24"/>
      <c r="K218" s="25"/>
    </row>
    <row r="219" spans="1:11" ht="19.5" customHeight="1">
      <c r="A219" s="20">
        <v>209</v>
      </c>
      <c r="B219" s="21"/>
      <c r="C219" s="21"/>
      <c r="D219" s="21" t="str">
        <f t="shared" si="6"/>
        <v/>
      </c>
      <c r="E219" s="21" t="str">
        <f t="shared" si="7"/>
        <v/>
      </c>
      <c r="F219" s="21"/>
      <c r="G219" s="21"/>
      <c r="H219" s="21"/>
      <c r="I219" s="22"/>
      <c r="J219" s="21"/>
      <c r="K219" s="23"/>
    </row>
    <row r="220" spans="1:11" ht="19.5" customHeight="1">
      <c r="A220" s="20">
        <v>210</v>
      </c>
      <c r="B220" s="24"/>
      <c r="C220" s="24"/>
      <c r="D220" s="24" t="str">
        <f t="shared" si="6"/>
        <v/>
      </c>
      <c r="E220" s="24" t="str">
        <f t="shared" si="7"/>
        <v/>
      </c>
      <c r="F220" s="24"/>
      <c r="G220" s="24"/>
      <c r="H220" s="24"/>
      <c r="I220" s="22"/>
      <c r="J220" s="24"/>
      <c r="K220" s="25"/>
    </row>
    <row r="221" spans="1:11" ht="19.5" customHeight="1">
      <c r="A221" s="20">
        <v>211</v>
      </c>
      <c r="B221" s="21"/>
      <c r="C221" s="21"/>
      <c r="D221" s="21" t="str">
        <f t="shared" si="6"/>
        <v/>
      </c>
      <c r="E221" s="21" t="str">
        <f t="shared" si="7"/>
        <v/>
      </c>
      <c r="F221" s="21"/>
      <c r="G221" s="21"/>
      <c r="H221" s="21"/>
      <c r="I221" s="22"/>
      <c r="J221" s="21"/>
      <c r="K221" s="23"/>
    </row>
    <row r="222" spans="1:11" ht="19.5" customHeight="1">
      <c r="A222" s="20">
        <v>212</v>
      </c>
      <c r="B222" s="24"/>
      <c r="C222" s="24"/>
      <c r="D222" s="24" t="str">
        <f t="shared" si="6"/>
        <v/>
      </c>
      <c r="E222" s="24" t="str">
        <f t="shared" si="7"/>
        <v/>
      </c>
      <c r="F222" s="24"/>
      <c r="G222" s="24"/>
      <c r="H222" s="24"/>
      <c r="I222" s="22"/>
      <c r="J222" s="24"/>
      <c r="K222" s="25"/>
    </row>
    <row r="223" spans="1:11" ht="19.5" customHeight="1">
      <c r="A223" s="20">
        <v>213</v>
      </c>
      <c r="B223" s="21"/>
      <c r="C223" s="21"/>
      <c r="D223" s="21" t="str">
        <f t="shared" si="6"/>
        <v/>
      </c>
      <c r="E223" s="21" t="str">
        <f t="shared" si="7"/>
        <v/>
      </c>
      <c r="F223" s="21"/>
      <c r="G223" s="21"/>
      <c r="H223" s="21"/>
      <c r="I223" s="22"/>
      <c r="J223" s="21"/>
      <c r="K223" s="23"/>
    </row>
    <row r="224" spans="1:11" ht="19.5" customHeight="1">
      <c r="A224" s="20">
        <v>214</v>
      </c>
      <c r="B224" s="24"/>
      <c r="C224" s="24"/>
      <c r="D224" s="24" t="str">
        <f t="shared" si="6"/>
        <v/>
      </c>
      <c r="E224" s="24" t="str">
        <f t="shared" si="7"/>
        <v/>
      </c>
      <c r="F224" s="24"/>
      <c r="G224" s="24"/>
      <c r="H224" s="24"/>
      <c r="I224" s="22"/>
      <c r="J224" s="24"/>
      <c r="K224" s="25"/>
    </row>
    <row r="225" spans="1:11" ht="19.5" customHeight="1">
      <c r="A225" s="20">
        <v>215</v>
      </c>
      <c r="B225" s="21"/>
      <c r="C225" s="21"/>
      <c r="D225" s="21" t="str">
        <f t="shared" si="6"/>
        <v/>
      </c>
      <c r="E225" s="21" t="str">
        <f t="shared" si="7"/>
        <v/>
      </c>
      <c r="F225" s="21"/>
      <c r="G225" s="21"/>
      <c r="H225" s="21"/>
      <c r="I225" s="22"/>
      <c r="J225" s="21"/>
      <c r="K225" s="23"/>
    </row>
    <row r="226" spans="1:11" ht="19.5" customHeight="1">
      <c r="A226" s="20">
        <v>216</v>
      </c>
      <c r="B226" s="24"/>
      <c r="C226" s="24"/>
      <c r="D226" s="24" t="str">
        <f t="shared" si="6"/>
        <v/>
      </c>
      <c r="E226" s="24" t="str">
        <f t="shared" si="7"/>
        <v/>
      </c>
      <c r="F226" s="24"/>
      <c r="G226" s="24"/>
      <c r="H226" s="24"/>
      <c r="I226" s="22"/>
      <c r="J226" s="24"/>
      <c r="K226" s="25"/>
    </row>
    <row r="227" spans="1:11" ht="19.5" customHeight="1">
      <c r="A227" s="20">
        <v>217</v>
      </c>
      <c r="B227" s="21"/>
      <c r="C227" s="21"/>
      <c r="D227" s="21" t="str">
        <f t="shared" si="6"/>
        <v/>
      </c>
      <c r="E227" s="21" t="str">
        <f t="shared" si="7"/>
        <v/>
      </c>
      <c r="F227" s="21"/>
      <c r="G227" s="21"/>
      <c r="H227" s="21"/>
      <c r="I227" s="22"/>
      <c r="J227" s="21"/>
      <c r="K227" s="23"/>
    </row>
    <row r="228" spans="1:11" ht="19.5" customHeight="1">
      <c r="A228" s="20">
        <v>218</v>
      </c>
      <c r="B228" s="24"/>
      <c r="C228" s="24"/>
      <c r="D228" s="24" t="str">
        <f t="shared" si="6"/>
        <v/>
      </c>
      <c r="E228" s="24" t="str">
        <f t="shared" si="7"/>
        <v/>
      </c>
      <c r="F228" s="24"/>
      <c r="G228" s="24"/>
      <c r="H228" s="24"/>
      <c r="I228" s="22"/>
      <c r="J228" s="24"/>
      <c r="K228" s="25"/>
    </row>
    <row r="229" spans="1:11" ht="19.5" customHeight="1">
      <c r="A229" s="20">
        <v>219</v>
      </c>
      <c r="B229" s="21"/>
      <c r="C229" s="21"/>
      <c r="D229" s="21" t="str">
        <f t="shared" si="6"/>
        <v/>
      </c>
      <c r="E229" s="21" t="str">
        <f t="shared" si="7"/>
        <v/>
      </c>
      <c r="F229" s="21"/>
      <c r="G229" s="21"/>
      <c r="H229" s="21"/>
      <c r="I229" s="22"/>
      <c r="J229" s="21"/>
      <c r="K229" s="23"/>
    </row>
    <row r="230" spans="1:11" ht="19.5" customHeight="1">
      <c r="A230" s="20">
        <v>220</v>
      </c>
      <c r="B230" s="24"/>
      <c r="C230" s="24"/>
      <c r="D230" s="24" t="str">
        <f t="shared" si="6"/>
        <v/>
      </c>
      <c r="E230" s="24" t="str">
        <f t="shared" si="7"/>
        <v/>
      </c>
      <c r="F230" s="24"/>
      <c r="G230" s="24"/>
      <c r="H230" s="24"/>
      <c r="I230" s="22"/>
      <c r="J230" s="24"/>
      <c r="K230" s="25"/>
    </row>
    <row r="231" spans="1:11" ht="19.5" customHeight="1">
      <c r="A231" s="20">
        <v>221</v>
      </c>
      <c r="B231" s="21"/>
      <c r="C231" s="21"/>
      <c r="D231" s="21" t="str">
        <f t="shared" si="6"/>
        <v/>
      </c>
      <c r="E231" s="21" t="str">
        <f t="shared" si="7"/>
        <v/>
      </c>
      <c r="F231" s="21"/>
      <c r="G231" s="21"/>
      <c r="H231" s="21"/>
      <c r="I231" s="22"/>
      <c r="J231" s="21"/>
      <c r="K231" s="23"/>
    </row>
    <row r="232" spans="1:11" ht="19.5" customHeight="1">
      <c r="A232" s="20">
        <v>222</v>
      </c>
      <c r="B232" s="24"/>
      <c r="C232" s="24"/>
      <c r="D232" s="24" t="str">
        <f t="shared" si="6"/>
        <v/>
      </c>
      <c r="E232" s="24" t="str">
        <f t="shared" si="7"/>
        <v/>
      </c>
      <c r="F232" s="24"/>
      <c r="G232" s="24"/>
      <c r="H232" s="24"/>
      <c r="I232" s="22"/>
      <c r="J232" s="24"/>
      <c r="K232" s="25"/>
    </row>
    <row r="233" spans="1:11" ht="19.5" customHeight="1">
      <c r="A233" s="20">
        <v>223</v>
      </c>
      <c r="B233" s="21"/>
      <c r="C233" s="21"/>
      <c r="D233" s="21" t="str">
        <f t="shared" si="6"/>
        <v/>
      </c>
      <c r="E233" s="21" t="str">
        <f t="shared" si="7"/>
        <v/>
      </c>
      <c r="F233" s="21"/>
      <c r="G233" s="21"/>
      <c r="H233" s="21"/>
      <c r="I233" s="22"/>
      <c r="J233" s="21"/>
      <c r="K233" s="23"/>
    </row>
    <row r="234" spans="1:11" ht="19.5" customHeight="1">
      <c r="A234" s="20">
        <v>224</v>
      </c>
      <c r="B234" s="24"/>
      <c r="C234" s="24"/>
      <c r="D234" s="24" t="str">
        <f t="shared" si="6"/>
        <v/>
      </c>
      <c r="E234" s="24" t="str">
        <f t="shared" si="7"/>
        <v/>
      </c>
      <c r="F234" s="24"/>
      <c r="G234" s="24"/>
      <c r="H234" s="24"/>
      <c r="I234" s="22"/>
      <c r="J234" s="24"/>
      <c r="K234" s="25"/>
    </row>
    <row r="235" spans="1:11" ht="19.5" customHeight="1">
      <c r="A235" s="20">
        <v>225</v>
      </c>
      <c r="B235" s="21"/>
      <c r="C235" s="21"/>
      <c r="D235" s="21" t="str">
        <f t="shared" si="6"/>
        <v/>
      </c>
      <c r="E235" s="21" t="str">
        <f t="shared" si="7"/>
        <v/>
      </c>
      <c r="F235" s="21"/>
      <c r="G235" s="21"/>
      <c r="H235" s="21"/>
      <c r="I235" s="22"/>
      <c r="J235" s="21"/>
      <c r="K235" s="23"/>
    </row>
    <row r="236" spans="1:11" ht="19.5" customHeight="1">
      <c r="A236" s="20">
        <v>226</v>
      </c>
      <c r="B236" s="24"/>
      <c r="C236" s="24"/>
      <c r="D236" s="24" t="str">
        <f t="shared" si="6"/>
        <v/>
      </c>
      <c r="E236" s="24" t="str">
        <f t="shared" si="7"/>
        <v/>
      </c>
      <c r="F236" s="24"/>
      <c r="G236" s="24"/>
      <c r="H236" s="24"/>
      <c r="I236" s="22"/>
      <c r="J236" s="24"/>
      <c r="K236" s="25"/>
    </row>
    <row r="237" spans="1:11" ht="19.5" customHeight="1">
      <c r="A237" s="20">
        <v>227</v>
      </c>
      <c r="B237" s="21"/>
      <c r="C237" s="21"/>
      <c r="D237" s="21" t="str">
        <f t="shared" si="6"/>
        <v/>
      </c>
      <c r="E237" s="21" t="str">
        <f t="shared" si="7"/>
        <v/>
      </c>
      <c r="F237" s="21"/>
      <c r="G237" s="21"/>
      <c r="H237" s="21"/>
      <c r="I237" s="22"/>
      <c r="J237" s="21"/>
      <c r="K237" s="23"/>
    </row>
    <row r="238" spans="1:11" ht="19.5" customHeight="1">
      <c r="A238" s="20">
        <v>228</v>
      </c>
      <c r="B238" s="24"/>
      <c r="C238" s="24"/>
      <c r="D238" s="24" t="str">
        <f t="shared" si="6"/>
        <v/>
      </c>
      <c r="E238" s="24" t="str">
        <f t="shared" si="7"/>
        <v/>
      </c>
      <c r="F238" s="24"/>
      <c r="G238" s="24"/>
      <c r="H238" s="24"/>
      <c r="I238" s="22"/>
      <c r="J238" s="24"/>
      <c r="K238" s="25"/>
    </row>
    <row r="239" spans="1:11" ht="19.5" customHeight="1">
      <c r="A239" s="20">
        <v>229</v>
      </c>
      <c r="B239" s="21"/>
      <c r="C239" s="21"/>
      <c r="D239" s="21" t="str">
        <f t="shared" si="6"/>
        <v/>
      </c>
      <c r="E239" s="21" t="str">
        <f t="shared" si="7"/>
        <v/>
      </c>
      <c r="F239" s="21"/>
      <c r="G239" s="21"/>
      <c r="H239" s="21"/>
      <c r="I239" s="22"/>
      <c r="J239" s="21"/>
      <c r="K239" s="23"/>
    </row>
    <row r="240" spans="1:11" ht="19.5" customHeight="1">
      <c r="A240" s="20">
        <v>230</v>
      </c>
      <c r="B240" s="24"/>
      <c r="C240" s="24"/>
      <c r="D240" s="24" t="str">
        <f t="shared" si="6"/>
        <v/>
      </c>
      <c r="E240" s="24" t="str">
        <f t="shared" si="7"/>
        <v/>
      </c>
      <c r="F240" s="24"/>
      <c r="G240" s="24"/>
      <c r="H240" s="24"/>
      <c r="I240" s="22"/>
      <c r="J240" s="24"/>
      <c r="K240" s="25"/>
    </row>
    <row r="241" spans="1:11" ht="19.5" customHeight="1">
      <c r="A241" s="20">
        <v>231</v>
      </c>
      <c r="B241" s="21"/>
      <c r="C241" s="21"/>
      <c r="D241" s="21" t="str">
        <f t="shared" si="6"/>
        <v/>
      </c>
      <c r="E241" s="21" t="str">
        <f t="shared" si="7"/>
        <v/>
      </c>
      <c r="F241" s="21"/>
      <c r="G241" s="21"/>
      <c r="H241" s="21"/>
      <c r="I241" s="22"/>
      <c r="J241" s="21"/>
      <c r="K241" s="23"/>
    </row>
    <row r="242" spans="1:11" ht="19.5" customHeight="1">
      <c r="A242" s="20">
        <v>232</v>
      </c>
      <c r="B242" s="24"/>
      <c r="C242" s="24"/>
      <c r="D242" s="24" t="str">
        <f t="shared" si="6"/>
        <v/>
      </c>
      <c r="E242" s="24" t="str">
        <f t="shared" si="7"/>
        <v/>
      </c>
      <c r="F242" s="24"/>
      <c r="G242" s="24"/>
      <c r="H242" s="24"/>
      <c r="I242" s="22"/>
      <c r="J242" s="24"/>
      <c r="K242" s="25"/>
    </row>
    <row r="243" spans="1:11" ht="19.5" customHeight="1">
      <c r="A243" s="20">
        <v>233</v>
      </c>
      <c r="B243" s="21"/>
      <c r="C243" s="21"/>
      <c r="D243" s="21" t="str">
        <f t="shared" si="6"/>
        <v/>
      </c>
      <c r="E243" s="21" t="str">
        <f t="shared" si="7"/>
        <v/>
      </c>
      <c r="F243" s="21"/>
      <c r="G243" s="21"/>
      <c r="H243" s="21"/>
      <c r="I243" s="22"/>
      <c r="J243" s="21"/>
      <c r="K243" s="23"/>
    </row>
    <row r="244" spans="1:11" ht="19.5" customHeight="1">
      <c r="A244" s="20">
        <v>234</v>
      </c>
      <c r="B244" s="24"/>
      <c r="C244" s="24"/>
      <c r="D244" s="24" t="str">
        <f t="shared" si="6"/>
        <v/>
      </c>
      <c r="E244" s="24" t="str">
        <f t="shared" si="7"/>
        <v/>
      </c>
      <c r="F244" s="24"/>
      <c r="G244" s="24"/>
      <c r="H244" s="24"/>
      <c r="I244" s="22"/>
      <c r="J244" s="24"/>
      <c r="K244" s="25"/>
    </row>
    <row r="245" spans="1:11" ht="19.5" customHeight="1">
      <c r="A245" s="20">
        <v>235</v>
      </c>
      <c r="B245" s="21"/>
      <c r="C245" s="21"/>
      <c r="D245" s="21" t="str">
        <f t="shared" si="6"/>
        <v/>
      </c>
      <c r="E245" s="21" t="str">
        <f t="shared" si="7"/>
        <v/>
      </c>
      <c r="F245" s="21"/>
      <c r="G245" s="21"/>
      <c r="H245" s="21"/>
      <c r="I245" s="22"/>
      <c r="J245" s="21"/>
      <c r="K245" s="23"/>
    </row>
    <row r="246" spans="1:11" ht="19.5" customHeight="1">
      <c r="A246" s="20">
        <v>236</v>
      </c>
      <c r="B246" s="24"/>
      <c r="C246" s="24"/>
      <c r="D246" s="24" t="str">
        <f t="shared" si="6"/>
        <v/>
      </c>
      <c r="E246" s="24" t="str">
        <f t="shared" si="7"/>
        <v/>
      </c>
      <c r="F246" s="24"/>
      <c r="G246" s="24"/>
      <c r="H246" s="24"/>
      <c r="I246" s="22"/>
      <c r="J246" s="24"/>
      <c r="K246" s="25"/>
    </row>
    <row r="247" spans="1:11" ht="19.5" customHeight="1">
      <c r="A247" s="20">
        <v>237</v>
      </c>
      <c r="B247" s="21"/>
      <c r="C247" s="21"/>
      <c r="D247" s="21" t="str">
        <f t="shared" si="6"/>
        <v/>
      </c>
      <c r="E247" s="21" t="str">
        <f t="shared" si="7"/>
        <v/>
      </c>
      <c r="F247" s="21"/>
      <c r="G247" s="21"/>
      <c r="H247" s="21"/>
      <c r="I247" s="22"/>
      <c r="J247" s="21"/>
      <c r="K247" s="23"/>
    </row>
    <row r="248" spans="1:11" ht="19.5" customHeight="1">
      <c r="A248" s="20">
        <v>238</v>
      </c>
      <c r="B248" s="24"/>
      <c r="C248" s="24"/>
      <c r="D248" s="24" t="str">
        <f t="shared" si="6"/>
        <v/>
      </c>
      <c r="E248" s="24" t="str">
        <f t="shared" si="7"/>
        <v/>
      </c>
      <c r="F248" s="24"/>
      <c r="G248" s="24"/>
      <c r="H248" s="24"/>
      <c r="I248" s="22"/>
      <c r="J248" s="24"/>
      <c r="K248" s="25"/>
    </row>
    <row r="249" spans="1:11" ht="19.5" customHeight="1">
      <c r="A249" s="20">
        <v>239</v>
      </c>
      <c r="B249" s="21"/>
      <c r="C249" s="21"/>
      <c r="D249" s="21" t="str">
        <f t="shared" si="6"/>
        <v/>
      </c>
      <c r="E249" s="21" t="str">
        <f t="shared" si="7"/>
        <v/>
      </c>
      <c r="F249" s="21"/>
      <c r="G249" s="21"/>
      <c r="H249" s="21"/>
      <c r="I249" s="22"/>
      <c r="J249" s="21"/>
      <c r="K249" s="23"/>
    </row>
    <row r="250" spans="1:11" ht="19.5" customHeight="1">
      <c r="A250" s="20">
        <v>240</v>
      </c>
      <c r="B250" s="24"/>
      <c r="C250" s="24"/>
      <c r="D250" s="24" t="str">
        <f t="shared" si="6"/>
        <v/>
      </c>
      <c r="E250" s="24" t="str">
        <f t="shared" si="7"/>
        <v/>
      </c>
      <c r="F250" s="24"/>
      <c r="G250" s="24"/>
      <c r="H250" s="24"/>
      <c r="I250" s="22"/>
      <c r="J250" s="24"/>
      <c r="K250" s="25"/>
    </row>
    <row r="251" spans="1:11" ht="19.5" customHeight="1">
      <c r="A251" s="20">
        <v>241</v>
      </c>
      <c r="B251" s="21"/>
      <c r="C251" s="21"/>
      <c r="D251" s="21" t="str">
        <f t="shared" si="6"/>
        <v/>
      </c>
      <c r="E251" s="21" t="str">
        <f t="shared" si="7"/>
        <v/>
      </c>
      <c r="F251" s="21"/>
      <c r="G251" s="21"/>
      <c r="H251" s="21"/>
      <c r="I251" s="22"/>
      <c r="J251" s="21"/>
      <c r="K251" s="23"/>
    </row>
    <row r="252" spans="1:11" ht="19.5" customHeight="1">
      <c r="A252" s="20">
        <v>242</v>
      </c>
      <c r="B252" s="24"/>
      <c r="C252" s="24"/>
      <c r="D252" s="24" t="str">
        <f t="shared" si="6"/>
        <v/>
      </c>
      <c r="E252" s="24" t="str">
        <f t="shared" si="7"/>
        <v/>
      </c>
      <c r="F252" s="24"/>
      <c r="G252" s="24"/>
      <c r="H252" s="24"/>
      <c r="I252" s="22"/>
      <c r="J252" s="24"/>
      <c r="K252" s="25"/>
    </row>
    <row r="253" spans="1:11" ht="19.5" customHeight="1">
      <c r="A253" s="20">
        <v>243</v>
      </c>
      <c r="B253" s="21"/>
      <c r="C253" s="21"/>
      <c r="D253" s="21" t="str">
        <f t="shared" si="6"/>
        <v/>
      </c>
      <c r="E253" s="21" t="str">
        <f t="shared" si="7"/>
        <v/>
      </c>
      <c r="F253" s="21"/>
      <c r="G253" s="21"/>
      <c r="H253" s="21"/>
      <c r="I253" s="22"/>
      <c r="J253" s="21"/>
      <c r="K253" s="23"/>
    </row>
    <row r="254" spans="1:11" ht="19.5" customHeight="1">
      <c r="A254" s="20">
        <v>244</v>
      </c>
      <c r="B254" s="24"/>
      <c r="C254" s="24"/>
      <c r="D254" s="24" t="str">
        <f t="shared" si="6"/>
        <v/>
      </c>
      <c r="E254" s="24" t="str">
        <f t="shared" si="7"/>
        <v/>
      </c>
      <c r="F254" s="24"/>
      <c r="G254" s="24"/>
      <c r="H254" s="24"/>
      <c r="I254" s="22"/>
      <c r="J254" s="24"/>
      <c r="K254" s="25"/>
    </row>
    <row r="255" spans="1:11" ht="19.5" customHeight="1">
      <c r="A255" s="20">
        <v>245</v>
      </c>
      <c r="B255" s="21"/>
      <c r="C255" s="21"/>
      <c r="D255" s="21" t="str">
        <f t="shared" si="6"/>
        <v/>
      </c>
      <c r="E255" s="21" t="str">
        <f t="shared" si="7"/>
        <v/>
      </c>
      <c r="F255" s="21"/>
      <c r="G255" s="21"/>
      <c r="H255" s="21"/>
      <c r="I255" s="22"/>
      <c r="J255" s="21"/>
      <c r="K255" s="23"/>
    </row>
    <row r="256" spans="1:11" ht="19.5" customHeight="1">
      <c r="A256" s="20">
        <v>246</v>
      </c>
      <c r="B256" s="26"/>
      <c r="C256" s="26"/>
      <c r="D256" s="26" t="str">
        <f t="shared" si="6"/>
        <v/>
      </c>
      <c r="E256" s="26" t="str">
        <f t="shared" si="7"/>
        <v/>
      </c>
      <c r="F256" s="26"/>
      <c r="G256" s="26"/>
      <c r="H256" s="26"/>
      <c r="I256" s="27"/>
      <c r="J256" s="26"/>
      <c r="K256" s="25"/>
    </row>
    <row r="257" spans="1:11" ht="19.5" customHeight="1">
      <c r="A257" s="20">
        <v>247</v>
      </c>
      <c r="B257" s="21"/>
      <c r="C257" s="21"/>
      <c r="D257" s="21" t="str">
        <f t="shared" si="6"/>
        <v/>
      </c>
      <c r="E257" s="21" t="str">
        <f t="shared" si="7"/>
        <v/>
      </c>
      <c r="F257" s="21"/>
      <c r="G257" s="21"/>
      <c r="H257" s="21"/>
      <c r="I257" s="22"/>
      <c r="J257" s="21"/>
      <c r="K257" s="23"/>
    </row>
    <row r="258" spans="1:11" ht="19.5" customHeight="1">
      <c r="A258" s="20">
        <v>248</v>
      </c>
      <c r="B258" s="24"/>
      <c r="C258" s="24"/>
      <c r="D258" s="24" t="str">
        <f t="shared" si="6"/>
        <v/>
      </c>
      <c r="E258" s="24" t="str">
        <f t="shared" si="7"/>
        <v/>
      </c>
      <c r="F258" s="24"/>
      <c r="G258" s="24"/>
      <c r="H258" s="24"/>
      <c r="I258" s="22"/>
      <c r="J258" s="24"/>
      <c r="K258" s="25"/>
    </row>
    <row r="259" spans="1:11" ht="19.5" customHeight="1">
      <c r="A259" s="28">
        <v>249</v>
      </c>
      <c r="D259" t="str">
        <f t="shared" si="6"/>
        <v/>
      </c>
      <c r="E259" t="str">
        <f t="shared" si="7"/>
        <v/>
      </c>
    </row>
    <row r="260" spans="1:11" ht="19.5" customHeight="1">
      <c r="A260" s="20">
        <v>250</v>
      </c>
      <c r="B260" s="24"/>
      <c r="C260" s="24"/>
      <c r="D260" s="24" t="str">
        <f t="shared" si="6"/>
        <v/>
      </c>
      <c r="E260" s="24" t="str">
        <f t="shared" si="7"/>
        <v/>
      </c>
      <c r="F260" s="24"/>
      <c r="G260" s="24"/>
      <c r="H260" s="24"/>
      <c r="I260" s="22"/>
      <c r="J260" s="24"/>
      <c r="K260" s="25"/>
    </row>
    <row r="261" spans="1:11" ht="19.5" customHeight="1">
      <c r="A261" s="20">
        <v>251</v>
      </c>
      <c r="B261" s="21"/>
      <c r="C261" s="21"/>
      <c r="D261" s="21" t="str">
        <f t="shared" si="6"/>
        <v/>
      </c>
      <c r="E261" s="21" t="str">
        <f t="shared" si="7"/>
        <v/>
      </c>
      <c r="F261" s="21"/>
      <c r="G261" s="21"/>
      <c r="H261" s="21"/>
      <c r="I261" s="22"/>
      <c r="J261" s="21"/>
      <c r="K261" s="23"/>
    </row>
    <row r="262" spans="1:11" ht="19.5" customHeight="1">
      <c r="A262" s="20">
        <v>252</v>
      </c>
      <c r="B262" s="24"/>
      <c r="C262" s="24"/>
      <c r="D262" s="24" t="str">
        <f t="shared" si="6"/>
        <v/>
      </c>
      <c r="E262" s="24" t="str">
        <f t="shared" si="7"/>
        <v/>
      </c>
      <c r="F262" s="24"/>
      <c r="G262" s="24"/>
      <c r="H262" s="24"/>
      <c r="I262" s="22"/>
      <c r="J262" s="24"/>
      <c r="K262" s="25"/>
    </row>
    <row r="263" spans="1:11" ht="19.5" customHeight="1">
      <c r="A263" s="20">
        <v>253</v>
      </c>
      <c r="B263" s="21"/>
      <c r="C263" s="21"/>
      <c r="D263" s="21" t="str">
        <f t="shared" si="6"/>
        <v/>
      </c>
      <c r="E263" s="21" t="str">
        <f t="shared" si="7"/>
        <v/>
      </c>
      <c r="F263" s="21"/>
      <c r="G263" s="21"/>
      <c r="H263" s="21"/>
      <c r="I263" s="22"/>
      <c r="J263" s="21"/>
      <c r="K263" s="23"/>
    </row>
    <row r="264" spans="1:11" ht="19.5" customHeight="1">
      <c r="A264" s="20">
        <v>254</v>
      </c>
      <c r="B264" s="24"/>
      <c r="C264" s="24"/>
      <c r="D264" s="24" t="str">
        <f t="shared" si="6"/>
        <v/>
      </c>
      <c r="E264" s="24" t="str">
        <f t="shared" si="7"/>
        <v/>
      </c>
      <c r="F264" s="24"/>
      <c r="G264" s="24"/>
      <c r="H264" s="24"/>
      <c r="I264" s="22"/>
      <c r="J264" s="24"/>
      <c r="K264" s="25"/>
    </row>
    <row r="265" spans="1:11" ht="19.5" customHeight="1">
      <c r="A265" s="20">
        <v>255</v>
      </c>
      <c r="B265" s="21"/>
      <c r="C265" s="21"/>
      <c r="D265" s="21" t="str">
        <f t="shared" si="6"/>
        <v/>
      </c>
      <c r="E265" s="21" t="str">
        <f t="shared" si="7"/>
        <v/>
      </c>
      <c r="F265" s="21"/>
      <c r="G265" s="21"/>
      <c r="H265" s="21"/>
      <c r="I265" s="22"/>
      <c r="J265" s="21"/>
      <c r="K265" s="23"/>
    </row>
    <row r="266" spans="1:11" ht="19.5" customHeight="1">
      <c r="A266" s="20">
        <v>256</v>
      </c>
      <c r="B266" s="24"/>
      <c r="C266" s="24"/>
      <c r="D266" s="24" t="str">
        <f t="shared" si="6"/>
        <v/>
      </c>
      <c r="E266" s="24" t="str">
        <f t="shared" si="7"/>
        <v/>
      </c>
      <c r="F266" s="24"/>
      <c r="G266" s="24"/>
      <c r="H266" s="24"/>
      <c r="I266" s="22"/>
      <c r="J266" s="24"/>
      <c r="K266" s="25"/>
    </row>
    <row r="267" spans="1:11" ht="19.5" customHeight="1">
      <c r="A267" s="20">
        <v>257</v>
      </c>
      <c r="B267" s="21"/>
      <c r="C267" s="21"/>
      <c r="D267" s="21" t="str">
        <f t="shared" ref="D267:D310" si="8">IF(B267="","",PHONETIC(B267))</f>
        <v/>
      </c>
      <c r="E267" s="21" t="str">
        <f t="shared" ref="E267:E310" si="9">IF(C267="","",PHONETIC(C267))</f>
        <v/>
      </c>
      <c r="F267" s="21"/>
      <c r="G267" s="21"/>
      <c r="H267" s="21"/>
      <c r="I267" s="22"/>
      <c r="J267" s="21"/>
      <c r="K267" s="23"/>
    </row>
    <row r="268" spans="1:11" ht="19.5" customHeight="1">
      <c r="A268" s="20">
        <v>258</v>
      </c>
      <c r="B268" s="24"/>
      <c r="C268" s="24"/>
      <c r="D268" s="24" t="str">
        <f t="shared" si="8"/>
        <v/>
      </c>
      <c r="E268" s="24" t="str">
        <f t="shared" si="9"/>
        <v/>
      </c>
      <c r="F268" s="24"/>
      <c r="G268" s="24"/>
      <c r="H268" s="24"/>
      <c r="I268" s="22"/>
      <c r="J268" s="24"/>
      <c r="K268" s="25"/>
    </row>
    <row r="269" spans="1:11" ht="19.5" customHeight="1">
      <c r="A269" s="20">
        <v>259</v>
      </c>
      <c r="B269" s="21"/>
      <c r="C269" s="21"/>
      <c r="D269" s="21" t="str">
        <f t="shared" si="8"/>
        <v/>
      </c>
      <c r="E269" s="21" t="str">
        <f t="shared" si="9"/>
        <v/>
      </c>
      <c r="F269" s="21"/>
      <c r="G269" s="21"/>
      <c r="H269" s="21"/>
      <c r="I269" s="22"/>
      <c r="J269" s="21"/>
      <c r="K269" s="23"/>
    </row>
    <row r="270" spans="1:11" ht="19.5" customHeight="1">
      <c r="A270" s="20">
        <v>260</v>
      </c>
      <c r="B270" s="24"/>
      <c r="C270" s="24"/>
      <c r="D270" s="24" t="str">
        <f t="shared" si="8"/>
        <v/>
      </c>
      <c r="E270" s="24" t="str">
        <f t="shared" si="9"/>
        <v/>
      </c>
      <c r="F270" s="24"/>
      <c r="G270" s="24"/>
      <c r="H270" s="24"/>
      <c r="I270" s="22"/>
      <c r="J270" s="24"/>
      <c r="K270" s="25"/>
    </row>
    <row r="271" spans="1:11" ht="19.5" customHeight="1">
      <c r="A271" s="20">
        <v>261</v>
      </c>
      <c r="B271" s="21"/>
      <c r="C271" s="21"/>
      <c r="D271" s="21" t="str">
        <f t="shared" si="8"/>
        <v/>
      </c>
      <c r="E271" s="21" t="str">
        <f t="shared" si="9"/>
        <v/>
      </c>
      <c r="F271" s="21"/>
      <c r="G271" s="21"/>
      <c r="H271" s="21"/>
      <c r="I271" s="22"/>
      <c r="J271" s="21"/>
      <c r="K271" s="23"/>
    </row>
    <row r="272" spans="1:11" ht="19.5" customHeight="1">
      <c r="A272" s="20">
        <v>262</v>
      </c>
      <c r="B272" s="24"/>
      <c r="C272" s="24"/>
      <c r="D272" s="24" t="str">
        <f t="shared" si="8"/>
        <v/>
      </c>
      <c r="E272" s="24" t="str">
        <f t="shared" si="9"/>
        <v/>
      </c>
      <c r="F272" s="24"/>
      <c r="G272" s="24"/>
      <c r="H272" s="24"/>
      <c r="I272" s="22"/>
      <c r="J272" s="24"/>
      <c r="K272" s="25"/>
    </row>
    <row r="273" spans="1:11" ht="19.5" customHeight="1">
      <c r="A273" s="20">
        <v>263</v>
      </c>
      <c r="B273" s="21"/>
      <c r="C273" s="21"/>
      <c r="D273" s="21" t="str">
        <f t="shared" si="8"/>
        <v/>
      </c>
      <c r="E273" s="21" t="str">
        <f t="shared" si="9"/>
        <v/>
      </c>
      <c r="F273" s="21"/>
      <c r="G273" s="21"/>
      <c r="H273" s="21"/>
      <c r="I273" s="22"/>
      <c r="J273" s="21"/>
      <c r="K273" s="23"/>
    </row>
    <row r="274" spans="1:11" ht="19.5" customHeight="1">
      <c r="A274" s="20">
        <v>264</v>
      </c>
      <c r="B274" s="24"/>
      <c r="C274" s="24"/>
      <c r="D274" s="24" t="str">
        <f t="shared" si="8"/>
        <v/>
      </c>
      <c r="E274" s="24" t="str">
        <f t="shared" si="9"/>
        <v/>
      </c>
      <c r="F274" s="24"/>
      <c r="G274" s="24"/>
      <c r="H274" s="24"/>
      <c r="I274" s="22"/>
      <c r="J274" s="24"/>
      <c r="K274" s="25"/>
    </row>
    <row r="275" spans="1:11" ht="19.5" customHeight="1">
      <c r="A275" s="20">
        <v>265</v>
      </c>
      <c r="B275" s="21"/>
      <c r="C275" s="21"/>
      <c r="D275" s="21" t="str">
        <f t="shared" si="8"/>
        <v/>
      </c>
      <c r="E275" s="21" t="str">
        <f t="shared" si="9"/>
        <v/>
      </c>
      <c r="F275" s="21"/>
      <c r="G275" s="21"/>
      <c r="H275" s="21"/>
      <c r="I275" s="22"/>
      <c r="J275" s="21"/>
      <c r="K275" s="23"/>
    </row>
    <row r="276" spans="1:11" ht="19.5" customHeight="1">
      <c r="A276" s="20">
        <v>266</v>
      </c>
      <c r="B276" s="24"/>
      <c r="C276" s="24"/>
      <c r="D276" s="24" t="str">
        <f t="shared" si="8"/>
        <v/>
      </c>
      <c r="E276" s="24" t="str">
        <f t="shared" si="9"/>
        <v/>
      </c>
      <c r="F276" s="24"/>
      <c r="G276" s="24"/>
      <c r="H276" s="24"/>
      <c r="I276" s="22"/>
      <c r="J276" s="24"/>
      <c r="K276" s="25"/>
    </row>
    <row r="277" spans="1:11" ht="19.5" customHeight="1">
      <c r="A277" s="20">
        <v>267</v>
      </c>
      <c r="B277" s="21"/>
      <c r="C277" s="21"/>
      <c r="D277" s="21" t="str">
        <f t="shared" si="8"/>
        <v/>
      </c>
      <c r="E277" s="21" t="str">
        <f t="shared" si="9"/>
        <v/>
      </c>
      <c r="F277" s="21"/>
      <c r="G277" s="21"/>
      <c r="H277" s="21"/>
      <c r="I277" s="22"/>
      <c r="J277" s="21"/>
      <c r="K277" s="23"/>
    </row>
    <row r="278" spans="1:11" ht="19.5" customHeight="1">
      <c r="A278" s="20">
        <v>268</v>
      </c>
      <c r="B278" s="24"/>
      <c r="C278" s="24"/>
      <c r="D278" s="24" t="str">
        <f t="shared" si="8"/>
        <v/>
      </c>
      <c r="E278" s="24" t="str">
        <f t="shared" si="9"/>
        <v/>
      </c>
      <c r="F278" s="24"/>
      <c r="G278" s="24"/>
      <c r="H278" s="24"/>
      <c r="I278" s="22"/>
      <c r="J278" s="24"/>
      <c r="K278" s="25"/>
    </row>
    <row r="279" spans="1:11" ht="19.5" customHeight="1">
      <c r="A279" s="20">
        <v>269</v>
      </c>
      <c r="B279" s="21"/>
      <c r="C279" s="21"/>
      <c r="D279" s="21" t="str">
        <f t="shared" si="8"/>
        <v/>
      </c>
      <c r="E279" s="21" t="str">
        <f t="shared" si="9"/>
        <v/>
      </c>
      <c r="F279" s="21"/>
      <c r="G279" s="21"/>
      <c r="H279" s="21"/>
      <c r="I279" s="22"/>
      <c r="J279" s="21"/>
      <c r="K279" s="23"/>
    </row>
    <row r="280" spans="1:11" ht="19.5" customHeight="1">
      <c r="A280" s="20">
        <v>270</v>
      </c>
      <c r="B280" s="24"/>
      <c r="C280" s="24"/>
      <c r="D280" s="24" t="str">
        <f t="shared" si="8"/>
        <v/>
      </c>
      <c r="E280" s="24" t="str">
        <f t="shared" si="9"/>
        <v/>
      </c>
      <c r="F280" s="24"/>
      <c r="G280" s="24"/>
      <c r="H280" s="24"/>
      <c r="I280" s="22"/>
      <c r="J280" s="24"/>
      <c r="K280" s="25"/>
    </row>
    <row r="281" spans="1:11" ht="19.5" customHeight="1">
      <c r="A281" s="20">
        <v>271</v>
      </c>
      <c r="B281" s="21"/>
      <c r="C281" s="21"/>
      <c r="D281" s="21" t="str">
        <f t="shared" si="8"/>
        <v/>
      </c>
      <c r="E281" s="21" t="str">
        <f t="shared" si="9"/>
        <v/>
      </c>
      <c r="F281" s="21"/>
      <c r="G281" s="21"/>
      <c r="H281" s="21"/>
      <c r="I281" s="22"/>
      <c r="J281" s="21"/>
      <c r="K281" s="23"/>
    </row>
    <row r="282" spans="1:11" ht="19.5" customHeight="1">
      <c r="A282" s="20">
        <v>272</v>
      </c>
      <c r="B282" s="24"/>
      <c r="C282" s="24"/>
      <c r="D282" s="24" t="str">
        <f t="shared" si="8"/>
        <v/>
      </c>
      <c r="E282" s="24" t="str">
        <f t="shared" si="9"/>
        <v/>
      </c>
      <c r="F282" s="24"/>
      <c r="G282" s="24"/>
      <c r="H282" s="24"/>
      <c r="I282" s="22"/>
      <c r="J282" s="24"/>
      <c r="K282" s="25"/>
    </row>
    <row r="283" spans="1:11" ht="19.5" customHeight="1">
      <c r="A283" s="20">
        <v>273</v>
      </c>
      <c r="B283" s="21"/>
      <c r="C283" s="21"/>
      <c r="D283" s="21" t="str">
        <f t="shared" si="8"/>
        <v/>
      </c>
      <c r="E283" s="21" t="str">
        <f t="shared" si="9"/>
        <v/>
      </c>
      <c r="F283" s="21"/>
      <c r="G283" s="21"/>
      <c r="H283" s="21"/>
      <c r="I283" s="22"/>
      <c r="J283" s="21"/>
      <c r="K283" s="23"/>
    </row>
    <row r="284" spans="1:11" ht="19.5" customHeight="1">
      <c r="A284" s="20">
        <v>274</v>
      </c>
      <c r="B284" s="24"/>
      <c r="C284" s="24"/>
      <c r="D284" s="24" t="str">
        <f t="shared" si="8"/>
        <v/>
      </c>
      <c r="E284" s="24" t="str">
        <f t="shared" si="9"/>
        <v/>
      </c>
      <c r="F284" s="24"/>
      <c r="G284" s="24"/>
      <c r="H284" s="24"/>
      <c r="I284" s="22"/>
      <c r="J284" s="24"/>
      <c r="K284" s="25"/>
    </row>
    <row r="285" spans="1:11" ht="19.5" customHeight="1">
      <c r="A285" s="20">
        <v>275</v>
      </c>
      <c r="B285" s="21"/>
      <c r="C285" s="21"/>
      <c r="D285" s="21" t="str">
        <f t="shared" si="8"/>
        <v/>
      </c>
      <c r="E285" s="21" t="str">
        <f t="shared" si="9"/>
        <v/>
      </c>
      <c r="F285" s="21"/>
      <c r="G285" s="21"/>
      <c r="H285" s="21"/>
      <c r="I285" s="22"/>
      <c r="J285" s="21"/>
      <c r="K285" s="23"/>
    </row>
    <row r="286" spans="1:11" ht="19.5" customHeight="1">
      <c r="A286" s="20">
        <v>276</v>
      </c>
      <c r="B286" s="24"/>
      <c r="C286" s="24"/>
      <c r="D286" s="24" t="str">
        <f t="shared" si="8"/>
        <v/>
      </c>
      <c r="E286" s="24" t="str">
        <f t="shared" si="9"/>
        <v/>
      </c>
      <c r="F286" s="24"/>
      <c r="G286" s="24"/>
      <c r="H286" s="24"/>
      <c r="I286" s="22"/>
      <c r="J286" s="24"/>
      <c r="K286" s="25"/>
    </row>
    <row r="287" spans="1:11" ht="19.5" customHeight="1">
      <c r="A287" s="20">
        <v>277</v>
      </c>
      <c r="B287" s="21"/>
      <c r="C287" s="21"/>
      <c r="D287" s="21" t="str">
        <f t="shared" si="8"/>
        <v/>
      </c>
      <c r="E287" s="21" t="str">
        <f t="shared" si="9"/>
        <v/>
      </c>
      <c r="F287" s="21"/>
      <c r="G287" s="21"/>
      <c r="H287" s="21"/>
      <c r="I287" s="22"/>
      <c r="J287" s="21"/>
      <c r="K287" s="23"/>
    </row>
    <row r="288" spans="1:11" ht="19.5" customHeight="1">
      <c r="A288" s="20">
        <v>278</v>
      </c>
      <c r="B288" s="24"/>
      <c r="C288" s="24"/>
      <c r="D288" s="24" t="str">
        <f t="shared" si="8"/>
        <v/>
      </c>
      <c r="E288" s="24" t="str">
        <f t="shared" si="9"/>
        <v/>
      </c>
      <c r="F288" s="24"/>
      <c r="G288" s="24"/>
      <c r="H288" s="24"/>
      <c r="I288" s="22"/>
      <c r="J288" s="24"/>
      <c r="K288" s="25"/>
    </row>
    <row r="289" spans="1:11" ht="19.5" customHeight="1">
      <c r="A289" s="20">
        <v>279</v>
      </c>
      <c r="B289" s="21"/>
      <c r="C289" s="21"/>
      <c r="D289" s="21" t="str">
        <f t="shared" si="8"/>
        <v/>
      </c>
      <c r="E289" s="21" t="str">
        <f t="shared" si="9"/>
        <v/>
      </c>
      <c r="F289" s="21"/>
      <c r="G289" s="21"/>
      <c r="H289" s="21"/>
      <c r="I289" s="22"/>
      <c r="J289" s="21"/>
      <c r="K289" s="23"/>
    </row>
    <row r="290" spans="1:11" ht="19.5" customHeight="1">
      <c r="A290" s="20">
        <v>280</v>
      </c>
      <c r="B290" s="24"/>
      <c r="C290" s="24"/>
      <c r="D290" s="24" t="str">
        <f t="shared" si="8"/>
        <v/>
      </c>
      <c r="E290" s="24" t="str">
        <f t="shared" si="9"/>
        <v/>
      </c>
      <c r="F290" s="24"/>
      <c r="G290" s="24"/>
      <c r="H290" s="24"/>
      <c r="I290" s="22"/>
      <c r="J290" s="24"/>
      <c r="K290" s="25"/>
    </row>
    <row r="291" spans="1:11" ht="19.5" customHeight="1">
      <c r="A291" s="20">
        <v>281</v>
      </c>
      <c r="B291" s="21"/>
      <c r="C291" s="21"/>
      <c r="D291" s="21" t="str">
        <f t="shared" si="8"/>
        <v/>
      </c>
      <c r="E291" s="21" t="str">
        <f t="shared" si="9"/>
        <v/>
      </c>
      <c r="F291" s="21"/>
      <c r="G291" s="21"/>
      <c r="H291" s="21"/>
      <c r="I291" s="22"/>
      <c r="J291" s="21"/>
      <c r="K291" s="23"/>
    </row>
    <row r="292" spans="1:11" ht="19.5" customHeight="1">
      <c r="A292" s="20">
        <v>282</v>
      </c>
      <c r="B292" s="24"/>
      <c r="C292" s="24"/>
      <c r="D292" s="24" t="str">
        <f t="shared" si="8"/>
        <v/>
      </c>
      <c r="E292" s="24" t="str">
        <f t="shared" si="9"/>
        <v/>
      </c>
      <c r="F292" s="24"/>
      <c r="G292" s="24"/>
      <c r="H292" s="24"/>
      <c r="I292" s="22"/>
      <c r="J292" s="24"/>
      <c r="K292" s="25"/>
    </row>
    <row r="293" spans="1:11" ht="19.5" customHeight="1">
      <c r="A293" s="20">
        <v>283</v>
      </c>
      <c r="B293" s="21"/>
      <c r="C293" s="21"/>
      <c r="D293" s="21" t="str">
        <f t="shared" si="8"/>
        <v/>
      </c>
      <c r="E293" s="21" t="str">
        <f t="shared" si="9"/>
        <v/>
      </c>
      <c r="F293" s="21"/>
      <c r="G293" s="21"/>
      <c r="H293" s="21"/>
      <c r="I293" s="22"/>
      <c r="J293" s="21"/>
      <c r="K293" s="23"/>
    </row>
    <row r="294" spans="1:11" ht="19.5" customHeight="1">
      <c r="A294" s="20">
        <v>284</v>
      </c>
      <c r="B294" s="24"/>
      <c r="C294" s="24"/>
      <c r="D294" s="24" t="str">
        <f t="shared" si="8"/>
        <v/>
      </c>
      <c r="E294" s="24" t="str">
        <f t="shared" si="9"/>
        <v/>
      </c>
      <c r="F294" s="24"/>
      <c r="G294" s="24"/>
      <c r="H294" s="24"/>
      <c r="I294" s="22"/>
      <c r="J294" s="24"/>
      <c r="K294" s="25"/>
    </row>
    <row r="295" spans="1:11" ht="19.5" customHeight="1">
      <c r="A295" s="20">
        <v>285</v>
      </c>
      <c r="B295" s="21"/>
      <c r="C295" s="21"/>
      <c r="D295" s="21" t="str">
        <f t="shared" si="8"/>
        <v/>
      </c>
      <c r="E295" s="21" t="str">
        <f t="shared" si="9"/>
        <v/>
      </c>
      <c r="F295" s="21"/>
      <c r="G295" s="21"/>
      <c r="H295" s="21"/>
      <c r="I295" s="22"/>
      <c r="J295" s="21"/>
      <c r="K295" s="23"/>
    </row>
    <row r="296" spans="1:11" ht="19.5" customHeight="1">
      <c r="A296" s="20">
        <v>286</v>
      </c>
      <c r="B296" s="24"/>
      <c r="C296" s="24"/>
      <c r="D296" s="24" t="str">
        <f t="shared" si="8"/>
        <v/>
      </c>
      <c r="E296" s="24" t="str">
        <f t="shared" si="9"/>
        <v/>
      </c>
      <c r="F296" s="24"/>
      <c r="G296" s="24"/>
      <c r="H296" s="24"/>
      <c r="I296" s="22"/>
      <c r="J296" s="24"/>
      <c r="K296" s="25"/>
    </row>
    <row r="297" spans="1:11" ht="19.5" customHeight="1">
      <c r="A297" s="20">
        <v>287</v>
      </c>
      <c r="B297" s="21"/>
      <c r="C297" s="21"/>
      <c r="D297" s="21" t="str">
        <f t="shared" si="8"/>
        <v/>
      </c>
      <c r="E297" s="21" t="str">
        <f t="shared" si="9"/>
        <v/>
      </c>
      <c r="F297" s="21"/>
      <c r="G297" s="21"/>
      <c r="H297" s="21"/>
      <c r="I297" s="22"/>
      <c r="J297" s="21"/>
      <c r="K297" s="23"/>
    </row>
    <row r="298" spans="1:11" ht="19.5" customHeight="1">
      <c r="A298" s="20">
        <v>288</v>
      </c>
      <c r="B298" s="24"/>
      <c r="C298" s="24"/>
      <c r="D298" s="24" t="str">
        <f t="shared" si="8"/>
        <v/>
      </c>
      <c r="E298" s="24" t="str">
        <f t="shared" si="9"/>
        <v/>
      </c>
      <c r="F298" s="24"/>
      <c r="G298" s="24"/>
      <c r="H298" s="24"/>
      <c r="I298" s="22"/>
      <c r="J298" s="24"/>
      <c r="K298" s="25"/>
    </row>
    <row r="299" spans="1:11" ht="19.5" customHeight="1">
      <c r="A299" s="20">
        <v>289</v>
      </c>
      <c r="B299" s="21"/>
      <c r="C299" s="21"/>
      <c r="D299" s="21" t="str">
        <f t="shared" si="8"/>
        <v/>
      </c>
      <c r="E299" s="21" t="str">
        <f t="shared" si="9"/>
        <v/>
      </c>
      <c r="F299" s="21"/>
      <c r="G299" s="21"/>
      <c r="H299" s="21"/>
      <c r="I299" s="22"/>
      <c r="J299" s="21"/>
      <c r="K299" s="23"/>
    </row>
    <row r="300" spans="1:11" ht="19.5" customHeight="1">
      <c r="A300" s="20">
        <v>290</v>
      </c>
      <c r="B300" s="24"/>
      <c r="C300" s="24"/>
      <c r="D300" s="24" t="str">
        <f t="shared" si="8"/>
        <v/>
      </c>
      <c r="E300" s="24" t="str">
        <f t="shared" si="9"/>
        <v/>
      </c>
      <c r="F300" s="24"/>
      <c r="G300" s="24"/>
      <c r="H300" s="24"/>
      <c r="I300" s="22"/>
      <c r="J300" s="24"/>
      <c r="K300" s="25"/>
    </row>
    <row r="301" spans="1:11" ht="19.5" customHeight="1">
      <c r="A301" s="20">
        <v>291</v>
      </c>
      <c r="B301" s="21"/>
      <c r="C301" s="21"/>
      <c r="D301" s="21" t="str">
        <f t="shared" si="8"/>
        <v/>
      </c>
      <c r="E301" s="21" t="str">
        <f t="shared" si="9"/>
        <v/>
      </c>
      <c r="F301" s="21"/>
      <c r="G301" s="21"/>
      <c r="H301" s="21"/>
      <c r="I301" s="22"/>
      <c r="J301" s="21"/>
      <c r="K301" s="23"/>
    </row>
    <row r="302" spans="1:11" ht="19.5" customHeight="1">
      <c r="A302" s="20">
        <v>292</v>
      </c>
      <c r="B302" s="24"/>
      <c r="C302" s="24"/>
      <c r="D302" s="24" t="str">
        <f t="shared" si="8"/>
        <v/>
      </c>
      <c r="E302" s="24" t="str">
        <f t="shared" si="9"/>
        <v/>
      </c>
      <c r="F302" s="24"/>
      <c r="G302" s="24"/>
      <c r="H302" s="24"/>
      <c r="I302" s="22"/>
      <c r="J302" s="24"/>
      <c r="K302" s="25"/>
    </row>
    <row r="303" spans="1:11" ht="19.5" customHeight="1">
      <c r="A303" s="20">
        <v>293</v>
      </c>
      <c r="B303" s="21"/>
      <c r="C303" s="21"/>
      <c r="D303" s="21" t="str">
        <f t="shared" si="8"/>
        <v/>
      </c>
      <c r="E303" s="21" t="str">
        <f t="shared" si="9"/>
        <v/>
      </c>
      <c r="F303" s="21"/>
      <c r="G303" s="21"/>
      <c r="H303" s="21"/>
      <c r="I303" s="22"/>
      <c r="J303" s="21"/>
      <c r="K303" s="23"/>
    </row>
    <row r="304" spans="1:11" ht="19.5" customHeight="1">
      <c r="A304" s="20">
        <v>294</v>
      </c>
      <c r="B304" s="24"/>
      <c r="C304" s="24"/>
      <c r="D304" s="24" t="str">
        <f t="shared" si="8"/>
        <v/>
      </c>
      <c r="E304" s="24" t="str">
        <f t="shared" si="9"/>
        <v/>
      </c>
      <c r="F304" s="24"/>
      <c r="G304" s="24"/>
      <c r="H304" s="24"/>
      <c r="I304" s="22"/>
      <c r="J304" s="24"/>
      <c r="K304" s="25"/>
    </row>
    <row r="305" spans="1:11" ht="19.5" customHeight="1">
      <c r="A305" s="20">
        <v>295</v>
      </c>
      <c r="B305" s="21"/>
      <c r="C305" s="21"/>
      <c r="D305" s="21" t="str">
        <f t="shared" si="8"/>
        <v/>
      </c>
      <c r="E305" s="21" t="str">
        <f t="shared" si="9"/>
        <v/>
      </c>
      <c r="F305" s="21"/>
      <c r="G305" s="21"/>
      <c r="H305" s="21"/>
      <c r="I305" s="22"/>
      <c r="J305" s="21"/>
      <c r="K305" s="23"/>
    </row>
    <row r="306" spans="1:11" ht="19.5" customHeight="1">
      <c r="A306" s="20">
        <v>296</v>
      </c>
      <c r="B306" s="24"/>
      <c r="C306" s="24"/>
      <c r="D306" s="24" t="str">
        <f t="shared" si="8"/>
        <v/>
      </c>
      <c r="E306" s="24" t="str">
        <f t="shared" si="9"/>
        <v/>
      </c>
      <c r="F306" s="24"/>
      <c r="G306" s="24"/>
      <c r="H306" s="24"/>
      <c r="I306" s="22"/>
      <c r="J306" s="24"/>
      <c r="K306" s="25"/>
    </row>
    <row r="307" spans="1:11" ht="19.5" customHeight="1">
      <c r="A307" s="20">
        <v>297</v>
      </c>
      <c r="B307" s="21"/>
      <c r="C307" s="21"/>
      <c r="D307" s="21" t="str">
        <f t="shared" si="8"/>
        <v/>
      </c>
      <c r="E307" s="21" t="str">
        <f t="shared" si="9"/>
        <v/>
      </c>
      <c r="F307" s="21"/>
      <c r="G307" s="21"/>
      <c r="H307" s="21"/>
      <c r="I307" s="22"/>
      <c r="J307" s="21"/>
      <c r="K307" s="23"/>
    </row>
    <row r="308" spans="1:11" ht="19.5" customHeight="1">
      <c r="A308" s="20">
        <v>298</v>
      </c>
      <c r="B308" s="24"/>
      <c r="C308" s="24"/>
      <c r="D308" s="24" t="str">
        <f t="shared" si="8"/>
        <v/>
      </c>
      <c r="E308" s="24" t="str">
        <f t="shared" si="9"/>
        <v/>
      </c>
      <c r="F308" s="24"/>
      <c r="G308" s="24"/>
      <c r="H308" s="24"/>
      <c r="I308" s="22"/>
      <c r="J308" s="24"/>
      <c r="K308" s="25"/>
    </row>
    <row r="309" spans="1:11" ht="19.5" customHeight="1">
      <c r="A309" s="20">
        <v>299</v>
      </c>
      <c r="B309" s="21"/>
      <c r="C309" s="21"/>
      <c r="D309" s="21" t="str">
        <f t="shared" si="8"/>
        <v/>
      </c>
      <c r="E309" s="21" t="str">
        <f t="shared" si="9"/>
        <v/>
      </c>
      <c r="F309" s="21"/>
      <c r="G309" s="21"/>
      <c r="H309" s="21"/>
      <c r="I309" s="22"/>
      <c r="J309" s="21"/>
      <c r="K309" s="23"/>
    </row>
    <row r="310" spans="1:11" ht="19.5" customHeight="1">
      <c r="A310" s="20">
        <v>300</v>
      </c>
      <c r="B310" s="24"/>
      <c r="C310" s="24"/>
      <c r="D310" s="24" t="str">
        <f t="shared" si="8"/>
        <v/>
      </c>
      <c r="E310" s="24" t="str">
        <f t="shared" si="9"/>
        <v/>
      </c>
      <c r="F310" s="24"/>
      <c r="G310" s="24"/>
      <c r="H310" s="24"/>
      <c r="I310" s="22"/>
      <c r="J310" s="24"/>
      <c r="K310" s="25"/>
    </row>
    <row r="312" spans="1:11" ht="15" customHeight="1">
      <c r="A312" s="76" t="s">
        <v>58</v>
      </c>
      <c r="B312" s="56"/>
      <c r="C312" s="56"/>
      <c r="D312" s="56"/>
      <c r="E312" s="56"/>
      <c r="F312" s="56"/>
      <c r="G312" s="56"/>
      <c r="H312" s="56"/>
      <c r="I312" s="56"/>
      <c r="J312" s="56"/>
      <c r="K312" s="56"/>
    </row>
  </sheetData>
  <mergeCells count="18">
    <mergeCell ref="A1:K1"/>
    <mergeCell ref="C3:H3"/>
    <mergeCell ref="I5:J5"/>
    <mergeCell ref="C4:H4"/>
    <mergeCell ref="G6:H6"/>
    <mergeCell ref="K3:M3"/>
    <mergeCell ref="A3:B3"/>
    <mergeCell ref="A6:B6"/>
    <mergeCell ref="A4:B4"/>
    <mergeCell ref="K4:M4"/>
    <mergeCell ref="A312:K312"/>
    <mergeCell ref="E6:F6"/>
    <mergeCell ref="C6:D6"/>
    <mergeCell ref="A8:M8"/>
    <mergeCell ref="C5:H5"/>
    <mergeCell ref="K5:M5"/>
    <mergeCell ref="I6:M6"/>
    <mergeCell ref="A5:B5"/>
  </mergeCells>
  <phoneticPr fontId="37"/>
  <conditionalFormatting sqref="B11:C310">
    <cfRule type="expression" dxfId="3" priority="3">
      <formula>AND($B11&lt;&gt;"",COUNTIFS($B$11:$B$310,$B11,$C$11:$C$310,$C11)&gt;1)</formula>
    </cfRule>
  </conditionalFormatting>
  <conditionalFormatting sqref="I11:I310">
    <cfRule type="expression" dxfId="2" priority="2">
      <formula>AND(B11&lt;&gt;"",I11="")</formula>
    </cfRule>
  </conditionalFormatting>
  <dataValidations count="4">
    <dataValidation type="list" allowBlank="1" promptTitle="賞状印刷" prompt="賞状印刷を希望する人のみ「○」。空欄は希望なし。" sqref="K11:K310" xr:uid="{00000000-0002-0000-0200-000000000000}">
      <formula1>"○"</formula1>
      <formula2>0</formula2>
    </dataValidation>
    <dataValidation type="list" allowBlank="1" sqref="F11:F310" xr:uid="{00000000-0002-0000-0200-000001000000}">
      <formula1>"国立,県立,市町村立,私立,その他"</formula1>
      <formula2>0</formula2>
    </dataValidation>
    <dataValidation type="list" allowBlank="1" sqref="I11:I310" xr:uid="{00000000-0002-0000-0200-000002000000}">
      <formula1>"1,2,3,4,5,6,7,8,9"</formula1>
      <formula2>0</formula2>
    </dataValidation>
    <dataValidation type="list" allowBlank="1" sqref="H11:H310" xr:uid="{00000000-0002-0000-0200-000003000000}">
      <formula1>"小学校,中学校,高等学校,中等教育学校,高等専門学校,その他"</formula1>
    </dataValidation>
  </dataValidations>
  <pageMargins left="0.75" right="0.75" top="1" bottom="1" header="0.511811023622047" footer="0.511811023622047"/>
  <pageSetup paperSize="9" fitToHeight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12"/>
  <sheetViews>
    <sheetView zoomScaleNormal="100" workbookViewId="0">
      <selection activeCell="E11" sqref="E11"/>
    </sheetView>
  </sheetViews>
  <sheetFormatPr defaultColWidth="8.7265625" defaultRowHeight="14.5"/>
  <cols>
    <col min="1" max="1" width="5" customWidth="1"/>
    <col min="2" max="3" width="10" customWidth="1"/>
    <col min="4" max="6" width="13" customWidth="1"/>
    <col min="7" max="7" width="22" customWidth="1"/>
    <col min="8" max="8" width="13" customWidth="1"/>
    <col min="9" max="9" width="7" customWidth="1"/>
    <col min="10" max="10" width="12" customWidth="1"/>
    <col min="11" max="11" width="18" customWidth="1"/>
    <col min="12" max="12" width="8" customWidth="1"/>
    <col min="13" max="13" width="16" customWidth="1"/>
  </cols>
  <sheetData>
    <row r="1" spans="1:13" ht="27.75" customHeight="1">
      <c r="A1" s="83" t="s">
        <v>61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3" ht="19.5" customHeight="1">
      <c r="A2" s="8" t="s">
        <v>62</v>
      </c>
      <c r="B2" s="9"/>
      <c r="C2" s="9"/>
      <c r="D2" s="9"/>
      <c r="E2" s="9"/>
      <c r="F2" s="9"/>
      <c r="G2" s="9"/>
      <c r="H2" s="9"/>
      <c r="I2" s="9"/>
      <c r="J2" s="9"/>
    </row>
    <row r="3" spans="1:13" ht="27.75" customHeight="1">
      <c r="A3" s="62" t="s">
        <v>4</v>
      </c>
      <c r="B3" s="50"/>
      <c r="C3" s="77" t="str">
        <f>IF(基本情報・出品料!C4="","",基本情報・出品料!C4)</f>
        <v>※個人出品の場合は「個人」と記入</v>
      </c>
      <c r="D3" s="54"/>
      <c r="E3" s="54"/>
      <c r="F3" s="54"/>
      <c r="G3" s="54"/>
      <c r="H3" s="54"/>
      <c r="I3" s="10" t="s">
        <v>6</v>
      </c>
      <c r="J3" s="11" t="str">
        <f>IF(基本情報・出品料!J4="","",基本情報・出品料!J4)</f>
        <v/>
      </c>
      <c r="K3" s="56"/>
      <c r="L3" s="56"/>
      <c r="M3" s="56"/>
    </row>
    <row r="4" spans="1:13" ht="25.5" customHeight="1">
      <c r="A4" s="80" t="s">
        <v>8</v>
      </c>
      <c r="B4" s="81"/>
      <c r="C4" s="77" t="str">
        <f>IF(基本情報・出品料!C5="","",基本情報・出品料!C5)</f>
        <v>※個人出品の場合は保護者名</v>
      </c>
      <c r="D4" s="54"/>
      <c r="E4" s="54"/>
      <c r="F4" s="54"/>
      <c r="G4" s="54"/>
      <c r="H4" s="54"/>
      <c r="I4" s="12" t="s">
        <v>10</v>
      </c>
      <c r="J4" s="11" t="str">
        <f>IF(基本情報・出品料!J5="","",基本情報・出品料!J5)</f>
        <v/>
      </c>
      <c r="K4" s="56"/>
      <c r="L4" s="56"/>
      <c r="M4" s="56"/>
    </row>
    <row r="5" spans="1:13" ht="30" customHeight="1">
      <c r="A5" s="62" t="s">
        <v>12</v>
      </c>
      <c r="B5" s="50"/>
      <c r="C5" s="77" t="str">
        <f>IF(基本情報・出品料!C6="","",基本情報・出品料!C6)</f>
        <v/>
      </c>
      <c r="D5" s="54"/>
      <c r="E5" s="54"/>
      <c r="F5" s="54"/>
      <c r="G5" s="54"/>
      <c r="H5" s="54"/>
      <c r="I5" s="62" t="s">
        <v>13</v>
      </c>
      <c r="J5" s="50"/>
      <c r="K5" s="56"/>
      <c r="L5" s="56"/>
      <c r="M5" s="56"/>
    </row>
    <row r="6" spans="1:13" ht="27.75" customHeight="1">
      <c r="A6" s="62" t="s">
        <v>14</v>
      </c>
      <c r="B6" s="50"/>
      <c r="C6" s="77" t="str">
        <f>基本情報・出品料!C7</f>
        <v>▼ 選択してください</v>
      </c>
      <c r="D6" s="54"/>
      <c r="E6" s="62" t="s">
        <v>16</v>
      </c>
      <c r="F6" s="50"/>
      <c r="G6" s="77" t="str">
        <f>基本情報・出品料!G7</f>
        <v>▼ 選択してください</v>
      </c>
      <c r="H6" s="54"/>
      <c r="I6" s="56"/>
      <c r="J6" s="56"/>
      <c r="K6" s="56"/>
      <c r="L6" s="56"/>
      <c r="M6" s="56"/>
    </row>
    <row r="7" spans="1:13" ht="6" customHeight="1"/>
    <row r="8" spans="1:13" ht="42" customHeight="1">
      <c r="A8" s="78" t="s">
        <v>35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3" ht="36" customHeight="1">
      <c r="A9" s="32" t="s">
        <v>36</v>
      </c>
      <c r="B9" s="33" t="s">
        <v>37</v>
      </c>
      <c r="C9" s="33" t="s">
        <v>38</v>
      </c>
      <c r="D9" s="43" t="s">
        <v>39</v>
      </c>
      <c r="E9" s="43" t="s">
        <v>40</v>
      </c>
      <c r="F9" s="33" t="s">
        <v>41</v>
      </c>
      <c r="G9" s="33" t="s">
        <v>42</v>
      </c>
      <c r="H9" s="33" t="s">
        <v>43</v>
      </c>
      <c r="I9" s="33" t="s">
        <v>44</v>
      </c>
      <c r="J9" s="33" t="s">
        <v>45</v>
      </c>
      <c r="K9" s="15" t="s">
        <v>46</v>
      </c>
    </row>
    <row r="10" spans="1:13" ht="19.5" customHeight="1">
      <c r="A10" s="16" t="s">
        <v>47</v>
      </c>
      <c r="B10" s="17" t="s">
        <v>48</v>
      </c>
      <c r="C10" s="17" t="s">
        <v>49</v>
      </c>
      <c r="D10" s="17" t="s">
        <v>50</v>
      </c>
      <c r="E10" s="41" t="s">
        <v>51</v>
      </c>
      <c r="F10" s="17" t="s">
        <v>52</v>
      </c>
      <c r="G10" s="18" t="s">
        <v>53</v>
      </c>
      <c r="H10" s="17" t="s">
        <v>54</v>
      </c>
      <c r="I10" s="17" t="s">
        <v>55</v>
      </c>
      <c r="J10" s="17" t="s">
        <v>56</v>
      </c>
      <c r="K10" s="31" t="s">
        <v>57</v>
      </c>
    </row>
    <row r="11" spans="1:13" ht="19.5" customHeight="1">
      <c r="A11" s="20">
        <v>1</v>
      </c>
      <c r="B11" s="21"/>
      <c r="C11" s="21"/>
      <c r="D11" s="21" t="str">
        <f t="shared" ref="D11:D74" si="0">IF(B11="","",PHONETIC(B11))</f>
        <v/>
      </c>
      <c r="E11" s="21" t="str">
        <f t="shared" ref="E11:E74" si="1">IF(C11="","",PHONETIC(C11))</f>
        <v/>
      </c>
      <c r="F11" s="21"/>
      <c r="G11" s="21"/>
      <c r="H11" s="21"/>
      <c r="I11" s="22"/>
      <c r="J11" s="21"/>
      <c r="K11" s="23"/>
    </row>
    <row r="12" spans="1:13" ht="19.5" customHeight="1">
      <c r="A12" s="20">
        <v>2</v>
      </c>
      <c r="B12" s="24"/>
      <c r="C12" s="24"/>
      <c r="D12" s="24" t="str">
        <f t="shared" si="0"/>
        <v/>
      </c>
      <c r="E12" s="24" t="str">
        <f t="shared" si="1"/>
        <v/>
      </c>
      <c r="F12" s="24"/>
      <c r="G12" s="24"/>
      <c r="H12" s="24"/>
      <c r="I12" s="22"/>
      <c r="J12" s="24"/>
      <c r="K12" s="25"/>
    </row>
    <row r="13" spans="1:13" ht="19.5" customHeight="1">
      <c r="A13" s="20">
        <v>3</v>
      </c>
      <c r="B13" s="21"/>
      <c r="C13" s="21"/>
      <c r="D13" s="21" t="str">
        <f t="shared" si="0"/>
        <v/>
      </c>
      <c r="E13" s="21" t="str">
        <f t="shared" si="1"/>
        <v/>
      </c>
      <c r="F13" s="21"/>
      <c r="G13" s="21"/>
      <c r="H13" s="21"/>
      <c r="I13" s="22"/>
      <c r="J13" s="21"/>
      <c r="K13" s="23"/>
    </row>
    <row r="14" spans="1:13" ht="19.5" customHeight="1">
      <c r="A14" s="20">
        <v>4</v>
      </c>
      <c r="B14" s="24"/>
      <c r="C14" s="24"/>
      <c r="D14" s="24" t="str">
        <f t="shared" si="0"/>
        <v/>
      </c>
      <c r="E14" s="24" t="str">
        <f t="shared" si="1"/>
        <v/>
      </c>
      <c r="F14" s="24"/>
      <c r="G14" s="24"/>
      <c r="H14" s="24"/>
      <c r="I14" s="22"/>
      <c r="J14" s="24"/>
      <c r="K14" s="25"/>
    </row>
    <row r="15" spans="1:13" ht="19.5" customHeight="1">
      <c r="A15" s="20">
        <v>5</v>
      </c>
      <c r="B15" s="21"/>
      <c r="C15" s="21"/>
      <c r="D15" s="21" t="str">
        <f t="shared" si="0"/>
        <v/>
      </c>
      <c r="E15" s="21" t="str">
        <f t="shared" si="1"/>
        <v/>
      </c>
      <c r="F15" s="21"/>
      <c r="G15" s="21"/>
      <c r="H15" s="21"/>
      <c r="I15" s="22"/>
      <c r="J15" s="21"/>
      <c r="K15" s="23"/>
    </row>
    <row r="16" spans="1:13" ht="19.5" customHeight="1">
      <c r="A16" s="20">
        <v>6</v>
      </c>
      <c r="B16" s="24"/>
      <c r="C16" s="24"/>
      <c r="D16" s="24" t="str">
        <f t="shared" si="0"/>
        <v/>
      </c>
      <c r="E16" s="24" t="str">
        <f t="shared" si="1"/>
        <v/>
      </c>
      <c r="F16" s="24"/>
      <c r="G16" s="24"/>
      <c r="H16" s="24"/>
      <c r="I16" s="22"/>
      <c r="J16" s="24"/>
      <c r="K16" s="25"/>
    </row>
    <row r="17" spans="1:11" ht="19.5" customHeight="1">
      <c r="A17" s="20">
        <v>7</v>
      </c>
      <c r="B17" s="21"/>
      <c r="C17" s="21"/>
      <c r="D17" s="21" t="str">
        <f t="shared" si="0"/>
        <v/>
      </c>
      <c r="E17" s="21" t="str">
        <f t="shared" si="1"/>
        <v/>
      </c>
      <c r="F17" s="21"/>
      <c r="G17" s="21"/>
      <c r="H17" s="21"/>
      <c r="I17" s="22"/>
      <c r="J17" s="21"/>
      <c r="K17" s="23"/>
    </row>
    <row r="18" spans="1:11" ht="19.5" customHeight="1">
      <c r="A18" s="20">
        <v>8</v>
      </c>
      <c r="B18" s="24"/>
      <c r="C18" s="24"/>
      <c r="D18" s="24" t="str">
        <f t="shared" si="0"/>
        <v/>
      </c>
      <c r="E18" s="24" t="str">
        <f t="shared" si="1"/>
        <v/>
      </c>
      <c r="F18" s="24"/>
      <c r="G18" s="24"/>
      <c r="H18" s="24"/>
      <c r="I18" s="22"/>
      <c r="J18" s="24"/>
      <c r="K18" s="25"/>
    </row>
    <row r="19" spans="1:11" ht="19.5" customHeight="1">
      <c r="A19" s="20">
        <v>9</v>
      </c>
      <c r="B19" s="21"/>
      <c r="C19" s="21"/>
      <c r="D19" s="21" t="str">
        <f t="shared" si="0"/>
        <v/>
      </c>
      <c r="E19" s="21" t="str">
        <f t="shared" si="1"/>
        <v/>
      </c>
      <c r="F19" s="21"/>
      <c r="G19" s="21"/>
      <c r="H19" s="21"/>
      <c r="I19" s="22"/>
      <c r="J19" s="21"/>
      <c r="K19" s="23"/>
    </row>
    <row r="20" spans="1:11" ht="19.5" customHeight="1">
      <c r="A20" s="20">
        <v>10</v>
      </c>
      <c r="B20" s="24"/>
      <c r="C20" s="24"/>
      <c r="D20" s="24" t="str">
        <f t="shared" si="0"/>
        <v/>
      </c>
      <c r="E20" s="24" t="str">
        <f t="shared" si="1"/>
        <v/>
      </c>
      <c r="F20" s="24"/>
      <c r="G20" s="24"/>
      <c r="H20" s="24"/>
      <c r="I20" s="22"/>
      <c r="J20" s="24"/>
      <c r="K20" s="25"/>
    </row>
    <row r="21" spans="1:11" ht="19.5" customHeight="1">
      <c r="A21" s="20">
        <v>11</v>
      </c>
      <c r="B21" s="21"/>
      <c r="C21" s="21"/>
      <c r="D21" s="21" t="str">
        <f t="shared" si="0"/>
        <v/>
      </c>
      <c r="E21" s="21" t="str">
        <f t="shared" si="1"/>
        <v/>
      </c>
      <c r="F21" s="21"/>
      <c r="G21" s="21"/>
      <c r="H21" s="21"/>
      <c r="I21" s="22"/>
      <c r="J21" s="21"/>
      <c r="K21" s="23"/>
    </row>
    <row r="22" spans="1:11" ht="19.5" customHeight="1">
      <c r="A22" s="20">
        <v>12</v>
      </c>
      <c r="B22" s="24"/>
      <c r="C22" s="24"/>
      <c r="D22" s="24" t="str">
        <f t="shared" si="0"/>
        <v/>
      </c>
      <c r="E22" s="24" t="str">
        <f t="shared" si="1"/>
        <v/>
      </c>
      <c r="F22" s="24"/>
      <c r="G22" s="24"/>
      <c r="H22" s="24"/>
      <c r="I22" s="22"/>
      <c r="J22" s="24"/>
      <c r="K22" s="25"/>
    </row>
    <row r="23" spans="1:11" ht="19.5" customHeight="1">
      <c r="A23" s="20">
        <v>13</v>
      </c>
      <c r="B23" s="21"/>
      <c r="C23" s="21"/>
      <c r="D23" s="21" t="str">
        <f t="shared" si="0"/>
        <v/>
      </c>
      <c r="E23" s="21" t="str">
        <f t="shared" si="1"/>
        <v/>
      </c>
      <c r="F23" s="21"/>
      <c r="G23" s="21"/>
      <c r="H23" s="21"/>
      <c r="I23" s="22"/>
      <c r="J23" s="21"/>
      <c r="K23" s="23"/>
    </row>
    <row r="24" spans="1:11" ht="19.5" customHeight="1">
      <c r="A24" s="20">
        <v>14</v>
      </c>
      <c r="B24" s="24"/>
      <c r="C24" s="24"/>
      <c r="D24" s="24" t="str">
        <f t="shared" si="0"/>
        <v/>
      </c>
      <c r="E24" s="24" t="str">
        <f t="shared" si="1"/>
        <v/>
      </c>
      <c r="F24" s="24"/>
      <c r="G24" s="24"/>
      <c r="H24" s="24"/>
      <c r="I24" s="22"/>
      <c r="J24" s="24"/>
      <c r="K24" s="25"/>
    </row>
    <row r="25" spans="1:11" ht="19.5" customHeight="1">
      <c r="A25" s="20">
        <v>15</v>
      </c>
      <c r="B25" s="21"/>
      <c r="C25" s="21"/>
      <c r="D25" s="21" t="str">
        <f t="shared" si="0"/>
        <v/>
      </c>
      <c r="E25" s="21" t="str">
        <f t="shared" si="1"/>
        <v/>
      </c>
      <c r="F25" s="21"/>
      <c r="G25" s="21"/>
      <c r="H25" s="21"/>
      <c r="I25" s="22"/>
      <c r="J25" s="21"/>
      <c r="K25" s="23"/>
    </row>
    <row r="26" spans="1:11" ht="19.5" customHeight="1">
      <c r="A26" s="20">
        <v>16</v>
      </c>
      <c r="B26" s="24"/>
      <c r="C26" s="24"/>
      <c r="D26" s="24" t="str">
        <f t="shared" si="0"/>
        <v/>
      </c>
      <c r="E26" s="24" t="str">
        <f t="shared" si="1"/>
        <v/>
      </c>
      <c r="F26" s="24"/>
      <c r="G26" s="24"/>
      <c r="H26" s="24"/>
      <c r="I26" s="22"/>
      <c r="J26" s="24"/>
      <c r="K26" s="25"/>
    </row>
    <row r="27" spans="1:11" ht="19.5" customHeight="1">
      <c r="A27" s="20">
        <v>17</v>
      </c>
      <c r="B27" s="21"/>
      <c r="C27" s="21"/>
      <c r="D27" s="21" t="str">
        <f t="shared" si="0"/>
        <v/>
      </c>
      <c r="E27" s="21" t="str">
        <f t="shared" si="1"/>
        <v/>
      </c>
      <c r="F27" s="21"/>
      <c r="G27" s="21"/>
      <c r="H27" s="21"/>
      <c r="I27" s="22"/>
      <c r="J27" s="21"/>
      <c r="K27" s="23"/>
    </row>
    <row r="28" spans="1:11" ht="19.5" customHeight="1">
      <c r="A28" s="20">
        <v>18</v>
      </c>
      <c r="B28" s="24"/>
      <c r="C28" s="24"/>
      <c r="D28" s="24" t="str">
        <f t="shared" si="0"/>
        <v/>
      </c>
      <c r="E28" s="24" t="str">
        <f t="shared" si="1"/>
        <v/>
      </c>
      <c r="F28" s="24"/>
      <c r="G28" s="24"/>
      <c r="H28" s="24"/>
      <c r="I28" s="22"/>
      <c r="J28" s="24"/>
      <c r="K28" s="25"/>
    </row>
    <row r="29" spans="1:11" ht="19.5" customHeight="1">
      <c r="A29" s="20">
        <v>19</v>
      </c>
      <c r="B29" s="21"/>
      <c r="C29" s="21"/>
      <c r="D29" s="21" t="str">
        <f t="shared" si="0"/>
        <v/>
      </c>
      <c r="E29" s="21" t="str">
        <f t="shared" si="1"/>
        <v/>
      </c>
      <c r="F29" s="21"/>
      <c r="G29" s="21"/>
      <c r="H29" s="21"/>
      <c r="I29" s="22"/>
      <c r="J29" s="21"/>
      <c r="K29" s="23"/>
    </row>
    <row r="30" spans="1:11" ht="19.5" customHeight="1">
      <c r="A30" s="20">
        <v>20</v>
      </c>
      <c r="B30" s="24"/>
      <c r="C30" s="24"/>
      <c r="D30" s="24" t="str">
        <f t="shared" si="0"/>
        <v/>
      </c>
      <c r="E30" s="24" t="str">
        <f t="shared" si="1"/>
        <v/>
      </c>
      <c r="F30" s="24"/>
      <c r="G30" s="24"/>
      <c r="H30" s="24"/>
      <c r="I30" s="22"/>
      <c r="J30" s="24"/>
      <c r="K30" s="25"/>
    </row>
    <row r="31" spans="1:11" ht="19.5" customHeight="1">
      <c r="A31" s="20">
        <v>21</v>
      </c>
      <c r="B31" s="21"/>
      <c r="C31" s="21"/>
      <c r="D31" s="21" t="str">
        <f t="shared" si="0"/>
        <v/>
      </c>
      <c r="E31" s="21" t="str">
        <f t="shared" si="1"/>
        <v/>
      </c>
      <c r="F31" s="21"/>
      <c r="G31" s="21"/>
      <c r="H31" s="21"/>
      <c r="I31" s="22"/>
      <c r="J31" s="21"/>
      <c r="K31" s="23"/>
    </row>
    <row r="32" spans="1:11" ht="19.5" customHeight="1">
      <c r="A32" s="20">
        <v>22</v>
      </c>
      <c r="B32" s="24"/>
      <c r="C32" s="24"/>
      <c r="D32" s="24" t="str">
        <f t="shared" si="0"/>
        <v/>
      </c>
      <c r="E32" s="24" t="str">
        <f t="shared" si="1"/>
        <v/>
      </c>
      <c r="F32" s="24"/>
      <c r="G32" s="24"/>
      <c r="H32" s="24"/>
      <c r="I32" s="22"/>
      <c r="J32" s="24"/>
      <c r="K32" s="25"/>
    </row>
    <row r="33" spans="1:11" ht="19.5" customHeight="1">
      <c r="A33" s="20">
        <v>23</v>
      </c>
      <c r="B33" s="21"/>
      <c r="C33" s="21"/>
      <c r="D33" s="21" t="str">
        <f t="shared" si="0"/>
        <v/>
      </c>
      <c r="E33" s="21" t="str">
        <f t="shared" si="1"/>
        <v/>
      </c>
      <c r="F33" s="21"/>
      <c r="G33" s="21"/>
      <c r="H33" s="21"/>
      <c r="I33" s="22"/>
      <c r="J33" s="21"/>
      <c r="K33" s="23"/>
    </row>
    <row r="34" spans="1:11" ht="19.5" customHeight="1">
      <c r="A34" s="20">
        <v>24</v>
      </c>
      <c r="B34" s="24"/>
      <c r="C34" s="24"/>
      <c r="D34" s="24" t="str">
        <f t="shared" si="0"/>
        <v/>
      </c>
      <c r="E34" s="24" t="str">
        <f t="shared" si="1"/>
        <v/>
      </c>
      <c r="F34" s="24"/>
      <c r="G34" s="24"/>
      <c r="H34" s="24"/>
      <c r="I34" s="22"/>
      <c r="J34" s="24"/>
      <c r="K34" s="25"/>
    </row>
    <row r="35" spans="1:11" ht="19.5" customHeight="1">
      <c r="A35" s="20">
        <v>25</v>
      </c>
      <c r="B35" s="21"/>
      <c r="C35" s="21"/>
      <c r="D35" s="21" t="str">
        <f t="shared" si="0"/>
        <v/>
      </c>
      <c r="E35" s="21" t="str">
        <f t="shared" si="1"/>
        <v/>
      </c>
      <c r="F35" s="21"/>
      <c r="G35" s="21"/>
      <c r="H35" s="21"/>
      <c r="I35" s="22"/>
      <c r="J35" s="21"/>
      <c r="K35" s="23"/>
    </row>
    <row r="36" spans="1:11" ht="19.5" customHeight="1">
      <c r="A36" s="20">
        <v>26</v>
      </c>
      <c r="B36" s="24"/>
      <c r="C36" s="24"/>
      <c r="D36" s="24" t="str">
        <f t="shared" si="0"/>
        <v/>
      </c>
      <c r="E36" s="24" t="str">
        <f t="shared" si="1"/>
        <v/>
      </c>
      <c r="F36" s="24"/>
      <c r="G36" s="24"/>
      <c r="H36" s="24"/>
      <c r="I36" s="22"/>
      <c r="J36" s="24"/>
      <c r="K36" s="25"/>
    </row>
    <row r="37" spans="1:11" ht="19.5" customHeight="1">
      <c r="A37" s="20">
        <v>27</v>
      </c>
      <c r="B37" s="21"/>
      <c r="C37" s="21"/>
      <c r="D37" s="21" t="str">
        <f t="shared" si="0"/>
        <v/>
      </c>
      <c r="E37" s="21" t="str">
        <f t="shared" si="1"/>
        <v/>
      </c>
      <c r="F37" s="21"/>
      <c r="G37" s="21"/>
      <c r="H37" s="21"/>
      <c r="I37" s="22"/>
      <c r="J37" s="21"/>
      <c r="K37" s="23"/>
    </row>
    <row r="38" spans="1:11" ht="19.5" customHeight="1">
      <c r="A38" s="20">
        <v>28</v>
      </c>
      <c r="B38" s="24"/>
      <c r="C38" s="24"/>
      <c r="D38" s="24" t="str">
        <f t="shared" si="0"/>
        <v/>
      </c>
      <c r="E38" s="24" t="str">
        <f t="shared" si="1"/>
        <v/>
      </c>
      <c r="F38" s="24"/>
      <c r="G38" s="24"/>
      <c r="H38" s="24"/>
      <c r="I38" s="22"/>
      <c r="J38" s="24"/>
      <c r="K38" s="25"/>
    </row>
    <row r="39" spans="1:11" ht="19.5" customHeight="1">
      <c r="A39" s="20">
        <v>29</v>
      </c>
      <c r="B39" s="21"/>
      <c r="C39" s="21"/>
      <c r="D39" s="21" t="str">
        <f t="shared" si="0"/>
        <v/>
      </c>
      <c r="E39" s="21" t="str">
        <f t="shared" si="1"/>
        <v/>
      </c>
      <c r="F39" s="21"/>
      <c r="G39" s="21"/>
      <c r="H39" s="21"/>
      <c r="I39" s="22"/>
      <c r="J39" s="21"/>
      <c r="K39" s="23"/>
    </row>
    <row r="40" spans="1:11" ht="19.5" customHeight="1">
      <c r="A40" s="20">
        <v>30</v>
      </c>
      <c r="B40" s="24"/>
      <c r="C40" s="24"/>
      <c r="D40" s="24" t="str">
        <f t="shared" si="0"/>
        <v/>
      </c>
      <c r="E40" s="24" t="str">
        <f t="shared" si="1"/>
        <v/>
      </c>
      <c r="F40" s="24"/>
      <c r="G40" s="24"/>
      <c r="H40" s="24"/>
      <c r="I40" s="22"/>
      <c r="J40" s="24"/>
      <c r="K40" s="25"/>
    </row>
    <row r="41" spans="1:11" ht="19.5" customHeight="1">
      <c r="A41" s="20">
        <v>31</v>
      </c>
      <c r="B41" s="21"/>
      <c r="C41" s="21"/>
      <c r="D41" s="21" t="str">
        <f t="shared" si="0"/>
        <v/>
      </c>
      <c r="E41" s="21" t="str">
        <f t="shared" si="1"/>
        <v/>
      </c>
      <c r="F41" s="21"/>
      <c r="G41" s="21"/>
      <c r="H41" s="21"/>
      <c r="I41" s="22"/>
      <c r="J41" s="21"/>
      <c r="K41" s="23"/>
    </row>
    <row r="42" spans="1:11" ht="19.5" customHeight="1">
      <c r="A42" s="20">
        <v>32</v>
      </c>
      <c r="B42" s="24"/>
      <c r="C42" s="24"/>
      <c r="D42" s="24" t="str">
        <f t="shared" si="0"/>
        <v/>
      </c>
      <c r="E42" s="24" t="str">
        <f t="shared" si="1"/>
        <v/>
      </c>
      <c r="F42" s="24"/>
      <c r="G42" s="24"/>
      <c r="H42" s="24"/>
      <c r="I42" s="22"/>
      <c r="J42" s="24"/>
      <c r="K42" s="25"/>
    </row>
    <row r="43" spans="1:11" ht="19.5" customHeight="1">
      <c r="A43" s="20">
        <v>33</v>
      </c>
      <c r="B43" s="21"/>
      <c r="C43" s="21"/>
      <c r="D43" s="21" t="str">
        <f t="shared" si="0"/>
        <v/>
      </c>
      <c r="E43" s="21" t="str">
        <f t="shared" si="1"/>
        <v/>
      </c>
      <c r="F43" s="21"/>
      <c r="G43" s="21"/>
      <c r="H43" s="21"/>
      <c r="I43" s="22"/>
      <c r="J43" s="21"/>
      <c r="K43" s="23"/>
    </row>
    <row r="44" spans="1:11" ht="19.5" customHeight="1">
      <c r="A44" s="20">
        <v>34</v>
      </c>
      <c r="B44" s="24"/>
      <c r="C44" s="24"/>
      <c r="D44" s="24" t="str">
        <f t="shared" si="0"/>
        <v/>
      </c>
      <c r="E44" s="24" t="str">
        <f t="shared" si="1"/>
        <v/>
      </c>
      <c r="F44" s="24"/>
      <c r="G44" s="24"/>
      <c r="H44" s="24"/>
      <c r="I44" s="22"/>
      <c r="J44" s="24"/>
      <c r="K44" s="25"/>
    </row>
    <row r="45" spans="1:11" ht="19.5" customHeight="1">
      <c r="A45" s="20">
        <v>35</v>
      </c>
      <c r="B45" s="21"/>
      <c r="C45" s="21"/>
      <c r="D45" s="21" t="str">
        <f t="shared" si="0"/>
        <v/>
      </c>
      <c r="E45" s="21" t="str">
        <f t="shared" si="1"/>
        <v/>
      </c>
      <c r="F45" s="21"/>
      <c r="G45" s="21"/>
      <c r="H45" s="21"/>
      <c r="I45" s="22"/>
      <c r="J45" s="21"/>
      <c r="K45" s="23"/>
    </row>
    <row r="46" spans="1:11" ht="19.5" customHeight="1">
      <c r="A46" s="20">
        <v>36</v>
      </c>
      <c r="B46" s="24"/>
      <c r="C46" s="24"/>
      <c r="D46" s="24" t="str">
        <f t="shared" si="0"/>
        <v/>
      </c>
      <c r="E46" s="24" t="str">
        <f t="shared" si="1"/>
        <v/>
      </c>
      <c r="F46" s="24"/>
      <c r="G46" s="24"/>
      <c r="H46" s="24"/>
      <c r="I46" s="22"/>
      <c r="J46" s="24"/>
      <c r="K46" s="25"/>
    </row>
    <row r="47" spans="1:11" ht="19.5" customHeight="1">
      <c r="A47" s="20">
        <v>37</v>
      </c>
      <c r="B47" s="21"/>
      <c r="C47" s="21"/>
      <c r="D47" s="21" t="str">
        <f t="shared" si="0"/>
        <v/>
      </c>
      <c r="E47" s="21" t="str">
        <f t="shared" si="1"/>
        <v/>
      </c>
      <c r="F47" s="21"/>
      <c r="G47" s="21"/>
      <c r="H47" s="21"/>
      <c r="I47" s="22"/>
      <c r="J47" s="21"/>
      <c r="K47" s="23"/>
    </row>
    <row r="48" spans="1:11" ht="19.5" customHeight="1">
      <c r="A48" s="20">
        <v>38</v>
      </c>
      <c r="B48" s="24"/>
      <c r="C48" s="24"/>
      <c r="D48" s="24" t="str">
        <f t="shared" si="0"/>
        <v/>
      </c>
      <c r="E48" s="24" t="str">
        <f t="shared" si="1"/>
        <v/>
      </c>
      <c r="F48" s="24"/>
      <c r="G48" s="24"/>
      <c r="H48" s="24"/>
      <c r="I48" s="22"/>
      <c r="J48" s="24"/>
      <c r="K48" s="25"/>
    </row>
    <row r="49" spans="1:11" ht="19.5" customHeight="1">
      <c r="A49" s="20">
        <v>39</v>
      </c>
      <c r="B49" s="21"/>
      <c r="C49" s="21"/>
      <c r="D49" s="21" t="str">
        <f t="shared" si="0"/>
        <v/>
      </c>
      <c r="E49" s="21" t="str">
        <f t="shared" si="1"/>
        <v/>
      </c>
      <c r="F49" s="21"/>
      <c r="G49" s="21"/>
      <c r="H49" s="21"/>
      <c r="I49" s="22"/>
      <c r="J49" s="21"/>
      <c r="K49" s="23"/>
    </row>
    <row r="50" spans="1:11" ht="19.5" customHeight="1">
      <c r="A50" s="20">
        <v>40</v>
      </c>
      <c r="B50" s="24"/>
      <c r="C50" s="24"/>
      <c r="D50" s="24" t="str">
        <f t="shared" si="0"/>
        <v/>
      </c>
      <c r="E50" s="24" t="str">
        <f t="shared" si="1"/>
        <v/>
      </c>
      <c r="F50" s="24"/>
      <c r="G50" s="24"/>
      <c r="H50" s="24"/>
      <c r="I50" s="22"/>
      <c r="J50" s="24"/>
      <c r="K50" s="25"/>
    </row>
    <row r="51" spans="1:11" ht="19.5" customHeight="1">
      <c r="A51" s="20">
        <v>41</v>
      </c>
      <c r="B51" s="21"/>
      <c r="C51" s="21"/>
      <c r="D51" s="21" t="str">
        <f t="shared" si="0"/>
        <v/>
      </c>
      <c r="E51" s="21" t="str">
        <f t="shared" si="1"/>
        <v/>
      </c>
      <c r="F51" s="21"/>
      <c r="G51" s="21"/>
      <c r="H51" s="21"/>
      <c r="I51" s="22"/>
      <c r="J51" s="21"/>
      <c r="K51" s="23"/>
    </row>
    <row r="52" spans="1:11" ht="19.5" customHeight="1">
      <c r="A52" s="20">
        <v>42</v>
      </c>
      <c r="B52" s="24"/>
      <c r="C52" s="24"/>
      <c r="D52" s="24" t="str">
        <f t="shared" si="0"/>
        <v/>
      </c>
      <c r="E52" s="24" t="str">
        <f t="shared" si="1"/>
        <v/>
      </c>
      <c r="F52" s="24"/>
      <c r="G52" s="24"/>
      <c r="H52" s="24"/>
      <c r="I52" s="22"/>
      <c r="J52" s="24"/>
      <c r="K52" s="25"/>
    </row>
    <row r="53" spans="1:11" ht="19.5" customHeight="1">
      <c r="A53" s="20">
        <v>43</v>
      </c>
      <c r="B53" s="21"/>
      <c r="C53" s="21"/>
      <c r="D53" s="21" t="str">
        <f t="shared" si="0"/>
        <v/>
      </c>
      <c r="E53" s="21" t="str">
        <f t="shared" si="1"/>
        <v/>
      </c>
      <c r="F53" s="21"/>
      <c r="G53" s="21"/>
      <c r="H53" s="21"/>
      <c r="I53" s="22"/>
      <c r="J53" s="21"/>
      <c r="K53" s="23"/>
    </row>
    <row r="54" spans="1:11" ht="19.5" customHeight="1">
      <c r="A54" s="20">
        <v>44</v>
      </c>
      <c r="B54" s="24"/>
      <c r="C54" s="24"/>
      <c r="D54" s="24" t="str">
        <f t="shared" si="0"/>
        <v/>
      </c>
      <c r="E54" s="24" t="str">
        <f t="shared" si="1"/>
        <v/>
      </c>
      <c r="F54" s="24"/>
      <c r="G54" s="24"/>
      <c r="H54" s="24"/>
      <c r="I54" s="22"/>
      <c r="J54" s="24"/>
      <c r="K54" s="25"/>
    </row>
    <row r="55" spans="1:11" ht="19.5" customHeight="1">
      <c r="A55" s="20">
        <v>45</v>
      </c>
      <c r="B55" s="21"/>
      <c r="C55" s="21"/>
      <c r="D55" s="21" t="str">
        <f t="shared" si="0"/>
        <v/>
      </c>
      <c r="E55" s="21" t="str">
        <f t="shared" si="1"/>
        <v/>
      </c>
      <c r="F55" s="21"/>
      <c r="G55" s="21"/>
      <c r="H55" s="21"/>
      <c r="I55" s="22"/>
      <c r="J55" s="21"/>
      <c r="K55" s="23"/>
    </row>
    <row r="56" spans="1:11" ht="19.5" customHeight="1">
      <c r="A56" s="20">
        <v>46</v>
      </c>
      <c r="B56" s="24"/>
      <c r="C56" s="24"/>
      <c r="D56" s="24" t="str">
        <f t="shared" si="0"/>
        <v/>
      </c>
      <c r="E56" s="24" t="str">
        <f t="shared" si="1"/>
        <v/>
      </c>
      <c r="F56" s="24"/>
      <c r="G56" s="24"/>
      <c r="H56" s="24"/>
      <c r="I56" s="22"/>
      <c r="J56" s="24"/>
      <c r="K56" s="25"/>
    </row>
    <row r="57" spans="1:11" ht="19.5" customHeight="1">
      <c r="A57" s="20">
        <v>47</v>
      </c>
      <c r="B57" s="21"/>
      <c r="C57" s="21"/>
      <c r="D57" s="21" t="str">
        <f t="shared" si="0"/>
        <v/>
      </c>
      <c r="E57" s="21" t="str">
        <f t="shared" si="1"/>
        <v/>
      </c>
      <c r="F57" s="21"/>
      <c r="G57" s="21"/>
      <c r="H57" s="21"/>
      <c r="I57" s="22"/>
      <c r="J57" s="21"/>
      <c r="K57" s="23"/>
    </row>
    <row r="58" spans="1:11" ht="19.5" customHeight="1">
      <c r="A58" s="20">
        <v>48</v>
      </c>
      <c r="B58" s="24"/>
      <c r="C58" s="24"/>
      <c r="D58" s="24" t="str">
        <f t="shared" si="0"/>
        <v/>
      </c>
      <c r="E58" s="24" t="str">
        <f t="shared" si="1"/>
        <v/>
      </c>
      <c r="F58" s="24"/>
      <c r="G58" s="24"/>
      <c r="H58" s="24"/>
      <c r="I58" s="22"/>
      <c r="J58" s="24"/>
      <c r="K58" s="25"/>
    </row>
    <row r="59" spans="1:11" ht="19.5" customHeight="1">
      <c r="A59" s="20">
        <v>49</v>
      </c>
      <c r="B59" s="21"/>
      <c r="C59" s="21"/>
      <c r="D59" s="21" t="str">
        <f t="shared" si="0"/>
        <v/>
      </c>
      <c r="E59" s="21" t="str">
        <f t="shared" si="1"/>
        <v/>
      </c>
      <c r="F59" s="21"/>
      <c r="G59" s="21"/>
      <c r="H59" s="21"/>
      <c r="I59" s="22"/>
      <c r="J59" s="21"/>
      <c r="K59" s="23"/>
    </row>
    <row r="60" spans="1:11" ht="19.5" customHeight="1">
      <c r="A60" s="20">
        <v>50</v>
      </c>
      <c r="B60" s="24"/>
      <c r="C60" s="24"/>
      <c r="D60" s="24" t="str">
        <f t="shared" si="0"/>
        <v/>
      </c>
      <c r="E60" s="24" t="str">
        <f t="shared" si="1"/>
        <v/>
      </c>
      <c r="F60" s="24"/>
      <c r="G60" s="24"/>
      <c r="H60" s="24"/>
      <c r="I60" s="22"/>
      <c r="J60" s="24"/>
      <c r="K60" s="25"/>
    </row>
    <row r="61" spans="1:11" ht="19.5" customHeight="1">
      <c r="A61" s="20">
        <v>51</v>
      </c>
      <c r="B61" s="21"/>
      <c r="C61" s="21"/>
      <c r="D61" s="21" t="str">
        <f t="shared" si="0"/>
        <v/>
      </c>
      <c r="E61" s="21" t="str">
        <f t="shared" si="1"/>
        <v/>
      </c>
      <c r="F61" s="21"/>
      <c r="G61" s="21"/>
      <c r="H61" s="21"/>
      <c r="I61" s="22"/>
      <c r="J61" s="21"/>
      <c r="K61" s="23"/>
    </row>
    <row r="62" spans="1:11" ht="19.5" customHeight="1">
      <c r="A62" s="20">
        <v>52</v>
      </c>
      <c r="B62" s="24"/>
      <c r="C62" s="24"/>
      <c r="D62" s="24" t="str">
        <f t="shared" si="0"/>
        <v/>
      </c>
      <c r="E62" s="24" t="str">
        <f t="shared" si="1"/>
        <v/>
      </c>
      <c r="F62" s="24"/>
      <c r="G62" s="24"/>
      <c r="H62" s="24"/>
      <c r="I62" s="22"/>
      <c r="J62" s="24"/>
      <c r="K62" s="25"/>
    </row>
    <row r="63" spans="1:11" ht="19.5" customHeight="1">
      <c r="A63" s="20">
        <v>53</v>
      </c>
      <c r="B63" s="21"/>
      <c r="C63" s="21"/>
      <c r="D63" s="21" t="str">
        <f t="shared" si="0"/>
        <v/>
      </c>
      <c r="E63" s="21" t="str">
        <f t="shared" si="1"/>
        <v/>
      </c>
      <c r="F63" s="21"/>
      <c r="G63" s="21"/>
      <c r="H63" s="21"/>
      <c r="I63" s="22"/>
      <c r="J63" s="21"/>
      <c r="K63" s="23"/>
    </row>
    <row r="64" spans="1:11" ht="19.5" customHeight="1">
      <c r="A64" s="20">
        <v>54</v>
      </c>
      <c r="B64" s="24"/>
      <c r="C64" s="24"/>
      <c r="D64" s="24" t="str">
        <f t="shared" si="0"/>
        <v/>
      </c>
      <c r="E64" s="24" t="str">
        <f t="shared" si="1"/>
        <v/>
      </c>
      <c r="F64" s="24"/>
      <c r="G64" s="24"/>
      <c r="H64" s="24"/>
      <c r="I64" s="22"/>
      <c r="J64" s="24"/>
      <c r="K64" s="25"/>
    </row>
    <row r="65" spans="1:11" ht="19.5" customHeight="1">
      <c r="A65" s="20">
        <v>55</v>
      </c>
      <c r="B65" s="21"/>
      <c r="C65" s="21"/>
      <c r="D65" s="21" t="str">
        <f t="shared" si="0"/>
        <v/>
      </c>
      <c r="E65" s="21" t="str">
        <f t="shared" si="1"/>
        <v/>
      </c>
      <c r="F65" s="21"/>
      <c r="G65" s="21"/>
      <c r="H65" s="21"/>
      <c r="I65" s="22"/>
      <c r="J65" s="21"/>
      <c r="K65" s="23"/>
    </row>
    <row r="66" spans="1:11" ht="19.5" customHeight="1">
      <c r="A66" s="20">
        <v>56</v>
      </c>
      <c r="B66" s="24"/>
      <c r="C66" s="24"/>
      <c r="D66" s="24" t="str">
        <f t="shared" si="0"/>
        <v/>
      </c>
      <c r="E66" s="24" t="str">
        <f t="shared" si="1"/>
        <v/>
      </c>
      <c r="F66" s="24"/>
      <c r="G66" s="24"/>
      <c r="H66" s="24"/>
      <c r="I66" s="22"/>
      <c r="J66" s="24"/>
      <c r="K66" s="25"/>
    </row>
    <row r="67" spans="1:11" ht="19.5" customHeight="1">
      <c r="A67" s="20">
        <v>57</v>
      </c>
      <c r="B67" s="21"/>
      <c r="C67" s="21"/>
      <c r="D67" s="21" t="str">
        <f t="shared" si="0"/>
        <v/>
      </c>
      <c r="E67" s="21" t="str">
        <f t="shared" si="1"/>
        <v/>
      </c>
      <c r="F67" s="21"/>
      <c r="G67" s="21"/>
      <c r="H67" s="21"/>
      <c r="I67" s="22"/>
      <c r="J67" s="21"/>
      <c r="K67" s="23"/>
    </row>
    <row r="68" spans="1:11" ht="19.5" customHeight="1">
      <c r="A68" s="20">
        <v>58</v>
      </c>
      <c r="B68" s="24"/>
      <c r="C68" s="24"/>
      <c r="D68" s="24" t="str">
        <f t="shared" si="0"/>
        <v/>
      </c>
      <c r="E68" s="24" t="str">
        <f t="shared" si="1"/>
        <v/>
      </c>
      <c r="F68" s="24"/>
      <c r="G68" s="24"/>
      <c r="H68" s="24"/>
      <c r="I68" s="22"/>
      <c r="J68" s="24"/>
      <c r="K68" s="25"/>
    </row>
    <row r="69" spans="1:11" ht="19.5" customHeight="1">
      <c r="A69" s="20">
        <v>59</v>
      </c>
      <c r="B69" s="21"/>
      <c r="C69" s="21"/>
      <c r="D69" s="21" t="str">
        <f t="shared" si="0"/>
        <v/>
      </c>
      <c r="E69" s="21" t="str">
        <f t="shared" si="1"/>
        <v/>
      </c>
      <c r="F69" s="21"/>
      <c r="G69" s="21"/>
      <c r="H69" s="21"/>
      <c r="I69" s="22"/>
      <c r="J69" s="21"/>
      <c r="K69" s="23"/>
    </row>
    <row r="70" spans="1:11" ht="19.5" customHeight="1">
      <c r="A70" s="20">
        <v>60</v>
      </c>
      <c r="B70" s="24"/>
      <c r="C70" s="24"/>
      <c r="D70" s="24" t="str">
        <f t="shared" si="0"/>
        <v/>
      </c>
      <c r="E70" s="24" t="str">
        <f t="shared" si="1"/>
        <v/>
      </c>
      <c r="F70" s="24"/>
      <c r="G70" s="24"/>
      <c r="H70" s="24"/>
      <c r="I70" s="22"/>
      <c r="J70" s="24"/>
      <c r="K70" s="25"/>
    </row>
    <row r="71" spans="1:11" ht="19.5" customHeight="1">
      <c r="A71" s="20">
        <v>61</v>
      </c>
      <c r="B71" s="21"/>
      <c r="C71" s="21"/>
      <c r="D71" s="21" t="str">
        <f t="shared" si="0"/>
        <v/>
      </c>
      <c r="E71" s="21" t="str">
        <f t="shared" si="1"/>
        <v/>
      </c>
      <c r="F71" s="21"/>
      <c r="G71" s="21"/>
      <c r="H71" s="21"/>
      <c r="I71" s="22"/>
      <c r="J71" s="21"/>
      <c r="K71" s="23"/>
    </row>
    <row r="72" spans="1:11" ht="19.5" customHeight="1">
      <c r="A72" s="20">
        <v>62</v>
      </c>
      <c r="B72" s="24"/>
      <c r="C72" s="24"/>
      <c r="D72" s="24" t="str">
        <f t="shared" si="0"/>
        <v/>
      </c>
      <c r="E72" s="24" t="str">
        <f t="shared" si="1"/>
        <v/>
      </c>
      <c r="F72" s="24"/>
      <c r="G72" s="24"/>
      <c r="H72" s="24"/>
      <c r="I72" s="22"/>
      <c r="J72" s="24"/>
      <c r="K72" s="25"/>
    </row>
    <row r="73" spans="1:11" ht="19.5" customHeight="1">
      <c r="A73" s="20">
        <v>63</v>
      </c>
      <c r="B73" s="21"/>
      <c r="C73" s="21"/>
      <c r="D73" s="21" t="str">
        <f t="shared" si="0"/>
        <v/>
      </c>
      <c r="E73" s="21" t="str">
        <f t="shared" si="1"/>
        <v/>
      </c>
      <c r="F73" s="21"/>
      <c r="G73" s="21"/>
      <c r="H73" s="21"/>
      <c r="I73" s="22"/>
      <c r="J73" s="21"/>
      <c r="K73" s="23"/>
    </row>
    <row r="74" spans="1:11" ht="19.5" customHeight="1">
      <c r="A74" s="20">
        <v>64</v>
      </c>
      <c r="B74" s="24"/>
      <c r="C74" s="24"/>
      <c r="D74" s="24" t="str">
        <f t="shared" si="0"/>
        <v/>
      </c>
      <c r="E74" s="24" t="str">
        <f t="shared" si="1"/>
        <v/>
      </c>
      <c r="F74" s="24"/>
      <c r="G74" s="24"/>
      <c r="H74" s="24"/>
      <c r="I74" s="22"/>
      <c r="J74" s="24"/>
      <c r="K74" s="25"/>
    </row>
    <row r="75" spans="1:11" ht="19.5" customHeight="1">
      <c r="A75" s="20">
        <v>65</v>
      </c>
      <c r="B75" s="21"/>
      <c r="C75" s="21"/>
      <c r="D75" s="21" t="str">
        <f t="shared" ref="D75:D138" si="2">IF(B75="","",PHONETIC(B75))</f>
        <v/>
      </c>
      <c r="E75" s="21" t="str">
        <f t="shared" ref="E75:E138" si="3">IF(C75="","",PHONETIC(C75))</f>
        <v/>
      </c>
      <c r="F75" s="21"/>
      <c r="G75" s="21"/>
      <c r="H75" s="21"/>
      <c r="I75" s="22"/>
      <c r="J75" s="21"/>
      <c r="K75" s="23"/>
    </row>
    <row r="76" spans="1:11" ht="19.5" customHeight="1">
      <c r="A76" s="20">
        <v>66</v>
      </c>
      <c r="B76" s="24"/>
      <c r="C76" s="24"/>
      <c r="D76" s="24" t="str">
        <f t="shared" si="2"/>
        <v/>
      </c>
      <c r="E76" s="24" t="str">
        <f t="shared" si="3"/>
        <v/>
      </c>
      <c r="F76" s="24"/>
      <c r="G76" s="24"/>
      <c r="H76" s="24"/>
      <c r="I76" s="22"/>
      <c r="J76" s="24"/>
      <c r="K76" s="25"/>
    </row>
    <row r="77" spans="1:11" ht="19.5" customHeight="1">
      <c r="A77" s="20">
        <v>67</v>
      </c>
      <c r="B77" s="21"/>
      <c r="C77" s="21"/>
      <c r="D77" s="21" t="str">
        <f t="shared" si="2"/>
        <v/>
      </c>
      <c r="E77" s="21" t="str">
        <f t="shared" si="3"/>
        <v/>
      </c>
      <c r="F77" s="21"/>
      <c r="G77" s="21"/>
      <c r="H77" s="21"/>
      <c r="I77" s="22"/>
      <c r="J77" s="21"/>
      <c r="K77" s="23"/>
    </row>
    <row r="78" spans="1:11" ht="19.5" customHeight="1">
      <c r="A78" s="20">
        <v>68</v>
      </c>
      <c r="B78" s="24"/>
      <c r="C78" s="24"/>
      <c r="D78" s="24" t="str">
        <f t="shared" si="2"/>
        <v/>
      </c>
      <c r="E78" s="24" t="str">
        <f t="shared" si="3"/>
        <v/>
      </c>
      <c r="F78" s="24"/>
      <c r="G78" s="24"/>
      <c r="H78" s="24"/>
      <c r="I78" s="22"/>
      <c r="J78" s="24"/>
      <c r="K78" s="25"/>
    </row>
    <row r="79" spans="1:11" ht="19.5" customHeight="1">
      <c r="A79" s="20">
        <v>69</v>
      </c>
      <c r="B79" s="21"/>
      <c r="C79" s="21"/>
      <c r="D79" s="21" t="str">
        <f t="shared" si="2"/>
        <v/>
      </c>
      <c r="E79" s="21" t="str">
        <f t="shared" si="3"/>
        <v/>
      </c>
      <c r="F79" s="21"/>
      <c r="G79" s="21"/>
      <c r="H79" s="21"/>
      <c r="I79" s="22"/>
      <c r="J79" s="21"/>
      <c r="K79" s="23"/>
    </row>
    <row r="80" spans="1:11" ht="19.5" customHeight="1">
      <c r="A80" s="20">
        <v>70</v>
      </c>
      <c r="B80" s="24"/>
      <c r="C80" s="24"/>
      <c r="D80" s="24" t="str">
        <f t="shared" si="2"/>
        <v/>
      </c>
      <c r="E80" s="24" t="str">
        <f t="shared" si="3"/>
        <v/>
      </c>
      <c r="F80" s="24"/>
      <c r="G80" s="24"/>
      <c r="H80" s="24"/>
      <c r="I80" s="22"/>
      <c r="J80" s="24"/>
      <c r="K80" s="25"/>
    </row>
    <row r="81" spans="1:11" ht="19.5" customHeight="1">
      <c r="A81" s="20">
        <v>71</v>
      </c>
      <c r="B81" s="21"/>
      <c r="C81" s="21"/>
      <c r="D81" s="21" t="str">
        <f t="shared" si="2"/>
        <v/>
      </c>
      <c r="E81" s="21" t="str">
        <f t="shared" si="3"/>
        <v/>
      </c>
      <c r="F81" s="21"/>
      <c r="G81" s="21"/>
      <c r="H81" s="21"/>
      <c r="I81" s="22"/>
      <c r="J81" s="21"/>
      <c r="K81" s="23"/>
    </row>
    <row r="82" spans="1:11" ht="19.5" customHeight="1">
      <c r="A82" s="20">
        <v>72</v>
      </c>
      <c r="B82" s="24"/>
      <c r="C82" s="24"/>
      <c r="D82" s="24" t="str">
        <f t="shared" si="2"/>
        <v/>
      </c>
      <c r="E82" s="24" t="str">
        <f t="shared" si="3"/>
        <v/>
      </c>
      <c r="F82" s="24"/>
      <c r="G82" s="24"/>
      <c r="H82" s="24"/>
      <c r="I82" s="22"/>
      <c r="J82" s="24"/>
      <c r="K82" s="25"/>
    </row>
    <row r="83" spans="1:11" ht="19.5" customHeight="1">
      <c r="A83" s="20">
        <v>73</v>
      </c>
      <c r="B83" s="21"/>
      <c r="C83" s="21"/>
      <c r="D83" s="21" t="str">
        <f t="shared" si="2"/>
        <v/>
      </c>
      <c r="E83" s="21" t="str">
        <f t="shared" si="3"/>
        <v/>
      </c>
      <c r="F83" s="21"/>
      <c r="G83" s="21"/>
      <c r="H83" s="21"/>
      <c r="I83" s="22"/>
      <c r="J83" s="21"/>
      <c r="K83" s="23"/>
    </row>
    <row r="84" spans="1:11" ht="19.5" customHeight="1">
      <c r="A84" s="20">
        <v>74</v>
      </c>
      <c r="B84" s="24"/>
      <c r="C84" s="24"/>
      <c r="D84" s="24" t="str">
        <f t="shared" si="2"/>
        <v/>
      </c>
      <c r="E84" s="24" t="str">
        <f t="shared" si="3"/>
        <v/>
      </c>
      <c r="F84" s="24"/>
      <c r="G84" s="24"/>
      <c r="H84" s="24"/>
      <c r="I84" s="22"/>
      <c r="J84" s="24"/>
      <c r="K84" s="25"/>
    </row>
    <row r="85" spans="1:11" ht="19.5" customHeight="1">
      <c r="A85" s="20">
        <v>75</v>
      </c>
      <c r="B85" s="21"/>
      <c r="C85" s="21"/>
      <c r="D85" s="21" t="str">
        <f t="shared" si="2"/>
        <v/>
      </c>
      <c r="E85" s="21" t="str">
        <f t="shared" si="3"/>
        <v/>
      </c>
      <c r="F85" s="21"/>
      <c r="G85" s="21"/>
      <c r="H85" s="21"/>
      <c r="I85" s="22"/>
      <c r="J85" s="21"/>
      <c r="K85" s="23"/>
    </row>
    <row r="86" spans="1:11" ht="19.5" customHeight="1">
      <c r="A86" s="20">
        <v>76</v>
      </c>
      <c r="B86" s="24"/>
      <c r="C86" s="24"/>
      <c r="D86" s="24" t="str">
        <f t="shared" si="2"/>
        <v/>
      </c>
      <c r="E86" s="24" t="str">
        <f t="shared" si="3"/>
        <v/>
      </c>
      <c r="F86" s="24"/>
      <c r="G86" s="24"/>
      <c r="H86" s="24"/>
      <c r="I86" s="22"/>
      <c r="J86" s="24"/>
      <c r="K86" s="25"/>
    </row>
    <row r="87" spans="1:11" ht="19.5" customHeight="1">
      <c r="A87" s="20">
        <v>77</v>
      </c>
      <c r="B87" s="21"/>
      <c r="C87" s="21"/>
      <c r="D87" s="21" t="str">
        <f t="shared" si="2"/>
        <v/>
      </c>
      <c r="E87" s="21" t="str">
        <f t="shared" si="3"/>
        <v/>
      </c>
      <c r="F87" s="21"/>
      <c r="G87" s="21"/>
      <c r="H87" s="21"/>
      <c r="I87" s="22"/>
      <c r="J87" s="21"/>
      <c r="K87" s="23"/>
    </row>
    <row r="88" spans="1:11" ht="19.5" customHeight="1">
      <c r="A88" s="20">
        <v>78</v>
      </c>
      <c r="B88" s="24"/>
      <c r="C88" s="24"/>
      <c r="D88" s="24" t="str">
        <f t="shared" si="2"/>
        <v/>
      </c>
      <c r="E88" s="24" t="str">
        <f t="shared" si="3"/>
        <v/>
      </c>
      <c r="F88" s="24"/>
      <c r="G88" s="24"/>
      <c r="H88" s="24"/>
      <c r="I88" s="22"/>
      <c r="J88" s="24"/>
      <c r="K88" s="25"/>
    </row>
    <row r="89" spans="1:11" ht="19.5" customHeight="1">
      <c r="A89" s="20">
        <v>79</v>
      </c>
      <c r="B89" s="21"/>
      <c r="C89" s="21"/>
      <c r="D89" s="21" t="str">
        <f t="shared" si="2"/>
        <v/>
      </c>
      <c r="E89" s="21" t="str">
        <f t="shared" si="3"/>
        <v/>
      </c>
      <c r="F89" s="21"/>
      <c r="G89" s="21"/>
      <c r="H89" s="21"/>
      <c r="I89" s="22"/>
      <c r="J89" s="21"/>
      <c r="K89" s="23"/>
    </row>
    <row r="90" spans="1:11" ht="19.5" customHeight="1">
      <c r="A90" s="20">
        <v>80</v>
      </c>
      <c r="B90" s="24"/>
      <c r="C90" s="24"/>
      <c r="D90" s="24" t="str">
        <f t="shared" si="2"/>
        <v/>
      </c>
      <c r="E90" s="24" t="str">
        <f t="shared" si="3"/>
        <v/>
      </c>
      <c r="F90" s="24"/>
      <c r="G90" s="24"/>
      <c r="H90" s="24"/>
      <c r="I90" s="22"/>
      <c r="J90" s="24"/>
      <c r="K90" s="25"/>
    </row>
    <row r="91" spans="1:11" ht="19.5" customHeight="1">
      <c r="A91" s="20">
        <v>81</v>
      </c>
      <c r="B91" s="21"/>
      <c r="C91" s="21"/>
      <c r="D91" s="21" t="str">
        <f t="shared" si="2"/>
        <v/>
      </c>
      <c r="E91" s="21" t="str">
        <f t="shared" si="3"/>
        <v/>
      </c>
      <c r="F91" s="21"/>
      <c r="G91" s="21"/>
      <c r="H91" s="21"/>
      <c r="I91" s="22"/>
      <c r="J91" s="21"/>
      <c r="K91" s="23"/>
    </row>
    <row r="92" spans="1:11" ht="19.5" customHeight="1">
      <c r="A92" s="20">
        <v>82</v>
      </c>
      <c r="B92" s="24"/>
      <c r="C92" s="24"/>
      <c r="D92" s="24" t="str">
        <f t="shared" si="2"/>
        <v/>
      </c>
      <c r="E92" s="24" t="str">
        <f t="shared" si="3"/>
        <v/>
      </c>
      <c r="F92" s="24"/>
      <c r="G92" s="24"/>
      <c r="H92" s="24"/>
      <c r="I92" s="22"/>
      <c r="J92" s="24"/>
      <c r="K92" s="25"/>
    </row>
    <row r="93" spans="1:11" ht="19.5" customHeight="1">
      <c r="A93" s="20">
        <v>83</v>
      </c>
      <c r="B93" s="21"/>
      <c r="C93" s="21"/>
      <c r="D93" s="21" t="str">
        <f t="shared" si="2"/>
        <v/>
      </c>
      <c r="E93" s="21" t="str">
        <f t="shared" si="3"/>
        <v/>
      </c>
      <c r="F93" s="21"/>
      <c r="G93" s="21"/>
      <c r="H93" s="21"/>
      <c r="I93" s="22"/>
      <c r="J93" s="21"/>
      <c r="K93" s="23"/>
    </row>
    <row r="94" spans="1:11" ht="19.5" customHeight="1">
      <c r="A94" s="20">
        <v>84</v>
      </c>
      <c r="B94" s="24"/>
      <c r="C94" s="24"/>
      <c r="D94" s="24" t="str">
        <f t="shared" si="2"/>
        <v/>
      </c>
      <c r="E94" s="24" t="str">
        <f t="shared" si="3"/>
        <v/>
      </c>
      <c r="F94" s="24"/>
      <c r="G94" s="24"/>
      <c r="H94" s="24"/>
      <c r="I94" s="22"/>
      <c r="J94" s="24"/>
      <c r="K94" s="25"/>
    </row>
    <row r="95" spans="1:11" ht="19.5" customHeight="1">
      <c r="A95" s="20">
        <v>85</v>
      </c>
      <c r="B95" s="21"/>
      <c r="C95" s="21"/>
      <c r="D95" s="21" t="str">
        <f t="shared" si="2"/>
        <v/>
      </c>
      <c r="E95" s="21" t="str">
        <f t="shared" si="3"/>
        <v/>
      </c>
      <c r="F95" s="21"/>
      <c r="G95" s="21"/>
      <c r="H95" s="21"/>
      <c r="I95" s="22"/>
      <c r="J95" s="21"/>
      <c r="K95" s="23"/>
    </row>
    <row r="96" spans="1:11" ht="19.5" customHeight="1">
      <c r="A96" s="20">
        <v>86</v>
      </c>
      <c r="B96" s="24"/>
      <c r="C96" s="24"/>
      <c r="D96" s="24" t="str">
        <f t="shared" si="2"/>
        <v/>
      </c>
      <c r="E96" s="24" t="str">
        <f t="shared" si="3"/>
        <v/>
      </c>
      <c r="F96" s="24"/>
      <c r="G96" s="24"/>
      <c r="H96" s="24"/>
      <c r="I96" s="22"/>
      <c r="J96" s="24"/>
      <c r="K96" s="25"/>
    </row>
    <row r="97" spans="1:11" ht="19.5" customHeight="1">
      <c r="A97" s="20">
        <v>87</v>
      </c>
      <c r="B97" s="21"/>
      <c r="C97" s="21"/>
      <c r="D97" s="21" t="str">
        <f t="shared" si="2"/>
        <v/>
      </c>
      <c r="E97" s="21" t="str">
        <f t="shared" si="3"/>
        <v/>
      </c>
      <c r="F97" s="21"/>
      <c r="G97" s="21"/>
      <c r="H97" s="21"/>
      <c r="I97" s="22"/>
      <c r="J97" s="21"/>
      <c r="K97" s="23"/>
    </row>
    <row r="98" spans="1:11" ht="19.5" customHeight="1">
      <c r="A98" s="20">
        <v>88</v>
      </c>
      <c r="B98" s="24"/>
      <c r="C98" s="24"/>
      <c r="D98" s="24" t="str">
        <f t="shared" si="2"/>
        <v/>
      </c>
      <c r="E98" s="24" t="str">
        <f t="shared" si="3"/>
        <v/>
      </c>
      <c r="F98" s="24"/>
      <c r="G98" s="24"/>
      <c r="H98" s="24"/>
      <c r="I98" s="22"/>
      <c r="J98" s="24"/>
      <c r="K98" s="25"/>
    </row>
    <row r="99" spans="1:11" ht="19.5" customHeight="1">
      <c r="A99" s="20">
        <v>89</v>
      </c>
      <c r="B99" s="21"/>
      <c r="C99" s="21"/>
      <c r="D99" s="21" t="str">
        <f t="shared" si="2"/>
        <v/>
      </c>
      <c r="E99" s="21" t="str">
        <f t="shared" si="3"/>
        <v/>
      </c>
      <c r="F99" s="21"/>
      <c r="G99" s="21"/>
      <c r="H99" s="21"/>
      <c r="I99" s="22"/>
      <c r="J99" s="21"/>
      <c r="K99" s="23"/>
    </row>
    <row r="100" spans="1:11" ht="19.5" customHeight="1">
      <c r="A100" s="20">
        <v>90</v>
      </c>
      <c r="B100" s="24"/>
      <c r="C100" s="24"/>
      <c r="D100" s="24" t="str">
        <f t="shared" si="2"/>
        <v/>
      </c>
      <c r="E100" s="24" t="str">
        <f t="shared" si="3"/>
        <v/>
      </c>
      <c r="F100" s="24"/>
      <c r="G100" s="24"/>
      <c r="H100" s="24"/>
      <c r="I100" s="22"/>
      <c r="J100" s="24"/>
      <c r="K100" s="25"/>
    </row>
    <row r="101" spans="1:11" ht="19.5" customHeight="1">
      <c r="A101" s="20">
        <v>91</v>
      </c>
      <c r="B101" s="21"/>
      <c r="C101" s="21"/>
      <c r="D101" s="21" t="str">
        <f t="shared" si="2"/>
        <v/>
      </c>
      <c r="E101" s="21" t="str">
        <f t="shared" si="3"/>
        <v/>
      </c>
      <c r="F101" s="21"/>
      <c r="G101" s="21"/>
      <c r="H101" s="21"/>
      <c r="I101" s="22"/>
      <c r="J101" s="21"/>
      <c r="K101" s="23"/>
    </row>
    <row r="102" spans="1:11" ht="19.5" customHeight="1">
      <c r="A102" s="20">
        <v>92</v>
      </c>
      <c r="B102" s="24"/>
      <c r="C102" s="24"/>
      <c r="D102" s="24" t="str">
        <f t="shared" si="2"/>
        <v/>
      </c>
      <c r="E102" s="24" t="str">
        <f t="shared" si="3"/>
        <v/>
      </c>
      <c r="F102" s="24"/>
      <c r="G102" s="24"/>
      <c r="H102" s="24"/>
      <c r="I102" s="22"/>
      <c r="J102" s="24"/>
      <c r="K102" s="25"/>
    </row>
    <row r="103" spans="1:11" ht="19.5" customHeight="1">
      <c r="A103" s="20">
        <v>93</v>
      </c>
      <c r="B103" s="21"/>
      <c r="C103" s="21"/>
      <c r="D103" s="21" t="str">
        <f t="shared" si="2"/>
        <v/>
      </c>
      <c r="E103" s="21" t="str">
        <f t="shared" si="3"/>
        <v/>
      </c>
      <c r="F103" s="21"/>
      <c r="G103" s="21"/>
      <c r="H103" s="21"/>
      <c r="I103" s="22"/>
      <c r="J103" s="21"/>
      <c r="K103" s="23"/>
    </row>
    <row r="104" spans="1:11" ht="19.5" customHeight="1">
      <c r="A104" s="20">
        <v>94</v>
      </c>
      <c r="B104" s="24"/>
      <c r="C104" s="24"/>
      <c r="D104" s="24" t="str">
        <f t="shared" si="2"/>
        <v/>
      </c>
      <c r="E104" s="24" t="str">
        <f t="shared" si="3"/>
        <v/>
      </c>
      <c r="F104" s="24"/>
      <c r="G104" s="24"/>
      <c r="H104" s="24"/>
      <c r="I104" s="22"/>
      <c r="J104" s="24"/>
      <c r="K104" s="25"/>
    </row>
    <row r="105" spans="1:11" ht="19.5" customHeight="1">
      <c r="A105" s="20">
        <v>95</v>
      </c>
      <c r="B105" s="21"/>
      <c r="C105" s="21"/>
      <c r="D105" s="21" t="str">
        <f t="shared" si="2"/>
        <v/>
      </c>
      <c r="E105" s="21" t="str">
        <f t="shared" si="3"/>
        <v/>
      </c>
      <c r="F105" s="21"/>
      <c r="G105" s="21"/>
      <c r="H105" s="21"/>
      <c r="I105" s="22"/>
      <c r="J105" s="21"/>
      <c r="K105" s="23"/>
    </row>
    <row r="106" spans="1:11" ht="19.5" customHeight="1">
      <c r="A106" s="20">
        <v>96</v>
      </c>
      <c r="B106" s="24"/>
      <c r="C106" s="24"/>
      <c r="D106" s="24" t="str">
        <f t="shared" si="2"/>
        <v/>
      </c>
      <c r="E106" s="24" t="str">
        <f t="shared" si="3"/>
        <v/>
      </c>
      <c r="F106" s="24"/>
      <c r="G106" s="24"/>
      <c r="H106" s="24"/>
      <c r="I106" s="22"/>
      <c r="J106" s="24"/>
      <c r="K106" s="25"/>
    </row>
    <row r="107" spans="1:11" ht="19.5" customHeight="1">
      <c r="A107" s="20">
        <v>97</v>
      </c>
      <c r="B107" s="21"/>
      <c r="C107" s="21"/>
      <c r="D107" s="21" t="str">
        <f t="shared" si="2"/>
        <v/>
      </c>
      <c r="E107" s="21" t="str">
        <f t="shared" si="3"/>
        <v/>
      </c>
      <c r="F107" s="21"/>
      <c r="G107" s="21"/>
      <c r="H107" s="21"/>
      <c r="I107" s="22"/>
      <c r="J107" s="21"/>
      <c r="K107" s="23"/>
    </row>
    <row r="108" spans="1:11" ht="19.5" customHeight="1">
      <c r="A108" s="20">
        <v>98</v>
      </c>
      <c r="B108" s="24"/>
      <c r="C108" s="24"/>
      <c r="D108" s="24" t="str">
        <f t="shared" si="2"/>
        <v/>
      </c>
      <c r="E108" s="24" t="str">
        <f t="shared" si="3"/>
        <v/>
      </c>
      <c r="F108" s="24"/>
      <c r="G108" s="24"/>
      <c r="H108" s="24"/>
      <c r="I108" s="22"/>
      <c r="J108" s="24"/>
      <c r="K108" s="25"/>
    </row>
    <row r="109" spans="1:11" ht="19.5" customHeight="1">
      <c r="A109" s="20">
        <v>99</v>
      </c>
      <c r="B109" s="21"/>
      <c r="C109" s="21"/>
      <c r="D109" s="21" t="str">
        <f t="shared" si="2"/>
        <v/>
      </c>
      <c r="E109" s="21" t="str">
        <f t="shared" si="3"/>
        <v/>
      </c>
      <c r="F109" s="21"/>
      <c r="G109" s="21"/>
      <c r="H109" s="21"/>
      <c r="I109" s="22"/>
      <c r="J109" s="21"/>
      <c r="K109" s="23"/>
    </row>
    <row r="110" spans="1:11" ht="19.5" customHeight="1">
      <c r="A110" s="20">
        <v>100</v>
      </c>
      <c r="B110" s="24"/>
      <c r="C110" s="24"/>
      <c r="D110" s="24" t="str">
        <f t="shared" si="2"/>
        <v/>
      </c>
      <c r="E110" s="24" t="str">
        <f t="shared" si="3"/>
        <v/>
      </c>
      <c r="F110" s="24"/>
      <c r="G110" s="24"/>
      <c r="H110" s="24"/>
      <c r="I110" s="22"/>
      <c r="J110" s="24"/>
      <c r="K110" s="25"/>
    </row>
    <row r="111" spans="1:11" ht="19.5" customHeight="1">
      <c r="A111" s="20">
        <v>101</v>
      </c>
      <c r="B111" s="21"/>
      <c r="C111" s="21"/>
      <c r="D111" s="21" t="str">
        <f t="shared" si="2"/>
        <v/>
      </c>
      <c r="E111" s="21" t="str">
        <f t="shared" si="3"/>
        <v/>
      </c>
      <c r="F111" s="21"/>
      <c r="G111" s="21"/>
      <c r="H111" s="21"/>
      <c r="I111" s="22"/>
      <c r="J111" s="21"/>
      <c r="K111" s="23"/>
    </row>
    <row r="112" spans="1:11" ht="19.5" customHeight="1">
      <c r="A112" s="20">
        <v>102</v>
      </c>
      <c r="B112" s="24"/>
      <c r="C112" s="24"/>
      <c r="D112" s="24" t="str">
        <f t="shared" si="2"/>
        <v/>
      </c>
      <c r="E112" s="24" t="str">
        <f t="shared" si="3"/>
        <v/>
      </c>
      <c r="F112" s="24"/>
      <c r="G112" s="24"/>
      <c r="H112" s="24"/>
      <c r="I112" s="22"/>
      <c r="J112" s="24"/>
      <c r="K112" s="25"/>
    </row>
    <row r="113" spans="1:11" ht="19.5" customHeight="1">
      <c r="A113" s="20">
        <v>103</v>
      </c>
      <c r="B113" s="21"/>
      <c r="C113" s="21"/>
      <c r="D113" s="21" t="str">
        <f t="shared" si="2"/>
        <v/>
      </c>
      <c r="E113" s="21" t="str">
        <f t="shared" si="3"/>
        <v/>
      </c>
      <c r="F113" s="21"/>
      <c r="G113" s="21"/>
      <c r="H113" s="21"/>
      <c r="I113" s="22"/>
      <c r="J113" s="21"/>
      <c r="K113" s="23"/>
    </row>
    <row r="114" spans="1:11" ht="19.5" customHeight="1">
      <c r="A114" s="20">
        <v>104</v>
      </c>
      <c r="B114" s="24"/>
      <c r="C114" s="24"/>
      <c r="D114" s="24" t="str">
        <f t="shared" si="2"/>
        <v/>
      </c>
      <c r="E114" s="24" t="str">
        <f t="shared" si="3"/>
        <v/>
      </c>
      <c r="F114" s="24"/>
      <c r="G114" s="24"/>
      <c r="H114" s="24"/>
      <c r="I114" s="22"/>
      <c r="J114" s="24"/>
      <c r="K114" s="25"/>
    </row>
    <row r="115" spans="1:11" ht="19.5" customHeight="1">
      <c r="A115" s="20">
        <v>105</v>
      </c>
      <c r="B115" s="21"/>
      <c r="C115" s="21"/>
      <c r="D115" s="21" t="str">
        <f t="shared" si="2"/>
        <v/>
      </c>
      <c r="E115" s="21" t="str">
        <f t="shared" si="3"/>
        <v/>
      </c>
      <c r="F115" s="21"/>
      <c r="G115" s="21"/>
      <c r="H115" s="21"/>
      <c r="I115" s="22"/>
      <c r="J115" s="21"/>
      <c r="K115" s="23"/>
    </row>
    <row r="116" spans="1:11" ht="19.5" customHeight="1">
      <c r="A116" s="20">
        <v>106</v>
      </c>
      <c r="B116" s="24"/>
      <c r="C116" s="24"/>
      <c r="D116" s="24" t="str">
        <f t="shared" si="2"/>
        <v/>
      </c>
      <c r="E116" s="24" t="str">
        <f t="shared" si="3"/>
        <v/>
      </c>
      <c r="F116" s="24"/>
      <c r="G116" s="24"/>
      <c r="H116" s="24"/>
      <c r="I116" s="22"/>
      <c r="J116" s="24"/>
      <c r="K116" s="25"/>
    </row>
    <row r="117" spans="1:11" ht="19.5" customHeight="1">
      <c r="A117" s="20">
        <v>107</v>
      </c>
      <c r="B117" s="21"/>
      <c r="C117" s="21"/>
      <c r="D117" s="21" t="str">
        <f t="shared" si="2"/>
        <v/>
      </c>
      <c r="E117" s="21" t="str">
        <f t="shared" si="3"/>
        <v/>
      </c>
      <c r="F117" s="21"/>
      <c r="G117" s="21"/>
      <c r="H117" s="21"/>
      <c r="I117" s="22"/>
      <c r="J117" s="21"/>
      <c r="K117" s="23"/>
    </row>
    <row r="118" spans="1:11" ht="19.5" customHeight="1">
      <c r="A118" s="20">
        <v>108</v>
      </c>
      <c r="B118" s="24"/>
      <c r="C118" s="24"/>
      <c r="D118" s="24" t="str">
        <f t="shared" si="2"/>
        <v/>
      </c>
      <c r="E118" s="24" t="str">
        <f t="shared" si="3"/>
        <v/>
      </c>
      <c r="F118" s="24"/>
      <c r="G118" s="24"/>
      <c r="H118" s="24"/>
      <c r="I118" s="22"/>
      <c r="J118" s="24"/>
      <c r="K118" s="25"/>
    </row>
    <row r="119" spans="1:11" ht="19.5" customHeight="1">
      <c r="A119" s="20">
        <v>109</v>
      </c>
      <c r="B119" s="21"/>
      <c r="C119" s="21"/>
      <c r="D119" s="21" t="str">
        <f t="shared" si="2"/>
        <v/>
      </c>
      <c r="E119" s="21" t="str">
        <f t="shared" si="3"/>
        <v/>
      </c>
      <c r="F119" s="21"/>
      <c r="G119" s="21"/>
      <c r="H119" s="21"/>
      <c r="I119" s="22"/>
      <c r="J119" s="21"/>
      <c r="K119" s="23"/>
    </row>
    <row r="120" spans="1:11" ht="19.5" customHeight="1">
      <c r="A120" s="20">
        <v>110</v>
      </c>
      <c r="B120" s="24"/>
      <c r="C120" s="24"/>
      <c r="D120" s="24" t="str">
        <f t="shared" si="2"/>
        <v/>
      </c>
      <c r="E120" s="24" t="str">
        <f t="shared" si="3"/>
        <v/>
      </c>
      <c r="F120" s="24"/>
      <c r="G120" s="24"/>
      <c r="H120" s="24"/>
      <c r="I120" s="22"/>
      <c r="J120" s="24"/>
      <c r="K120" s="25"/>
    </row>
    <row r="121" spans="1:11" ht="19.5" customHeight="1">
      <c r="A121" s="20">
        <v>111</v>
      </c>
      <c r="B121" s="21"/>
      <c r="C121" s="21"/>
      <c r="D121" s="21" t="str">
        <f t="shared" si="2"/>
        <v/>
      </c>
      <c r="E121" s="21" t="str">
        <f t="shared" si="3"/>
        <v/>
      </c>
      <c r="F121" s="21"/>
      <c r="G121" s="21"/>
      <c r="H121" s="21"/>
      <c r="I121" s="22"/>
      <c r="J121" s="21"/>
      <c r="K121" s="23"/>
    </row>
    <row r="122" spans="1:11" ht="19.5" customHeight="1">
      <c r="A122" s="20">
        <v>112</v>
      </c>
      <c r="B122" s="24"/>
      <c r="C122" s="24"/>
      <c r="D122" s="24" t="str">
        <f t="shared" si="2"/>
        <v/>
      </c>
      <c r="E122" s="24" t="str">
        <f t="shared" si="3"/>
        <v/>
      </c>
      <c r="F122" s="24"/>
      <c r="G122" s="24"/>
      <c r="H122" s="24"/>
      <c r="I122" s="22"/>
      <c r="J122" s="24"/>
      <c r="K122" s="25"/>
    </row>
    <row r="123" spans="1:11" ht="19.5" customHeight="1">
      <c r="A123" s="20">
        <v>113</v>
      </c>
      <c r="B123" s="21"/>
      <c r="C123" s="21"/>
      <c r="D123" s="21" t="str">
        <f t="shared" si="2"/>
        <v/>
      </c>
      <c r="E123" s="21" t="str">
        <f t="shared" si="3"/>
        <v/>
      </c>
      <c r="F123" s="21"/>
      <c r="G123" s="21"/>
      <c r="H123" s="21"/>
      <c r="I123" s="22"/>
      <c r="J123" s="21"/>
      <c r="K123" s="23"/>
    </row>
    <row r="124" spans="1:11" ht="19.5" customHeight="1">
      <c r="A124" s="20">
        <v>114</v>
      </c>
      <c r="B124" s="24"/>
      <c r="C124" s="24"/>
      <c r="D124" s="24" t="str">
        <f t="shared" si="2"/>
        <v/>
      </c>
      <c r="E124" s="24" t="str">
        <f t="shared" si="3"/>
        <v/>
      </c>
      <c r="F124" s="24"/>
      <c r="G124" s="24"/>
      <c r="H124" s="24"/>
      <c r="I124" s="22"/>
      <c r="J124" s="24"/>
      <c r="K124" s="25"/>
    </row>
    <row r="125" spans="1:11" ht="19.5" customHeight="1">
      <c r="A125" s="20">
        <v>115</v>
      </c>
      <c r="B125" s="21"/>
      <c r="C125" s="21"/>
      <c r="D125" s="21" t="str">
        <f t="shared" si="2"/>
        <v/>
      </c>
      <c r="E125" s="21" t="str">
        <f t="shared" si="3"/>
        <v/>
      </c>
      <c r="F125" s="21"/>
      <c r="G125" s="21"/>
      <c r="H125" s="21"/>
      <c r="I125" s="22"/>
      <c r="J125" s="21"/>
      <c r="K125" s="23"/>
    </row>
    <row r="126" spans="1:11" ht="19.5" customHeight="1">
      <c r="A126" s="20">
        <v>116</v>
      </c>
      <c r="B126" s="24"/>
      <c r="C126" s="24"/>
      <c r="D126" s="24" t="str">
        <f t="shared" si="2"/>
        <v/>
      </c>
      <c r="E126" s="24" t="str">
        <f t="shared" si="3"/>
        <v/>
      </c>
      <c r="F126" s="24"/>
      <c r="G126" s="24"/>
      <c r="H126" s="24"/>
      <c r="I126" s="22"/>
      <c r="J126" s="24"/>
      <c r="K126" s="25"/>
    </row>
    <row r="127" spans="1:11" ht="19.5" customHeight="1">
      <c r="A127" s="20">
        <v>117</v>
      </c>
      <c r="B127" s="21"/>
      <c r="C127" s="21"/>
      <c r="D127" s="21" t="str">
        <f t="shared" si="2"/>
        <v/>
      </c>
      <c r="E127" s="21" t="str">
        <f t="shared" si="3"/>
        <v/>
      </c>
      <c r="F127" s="21"/>
      <c r="G127" s="21"/>
      <c r="H127" s="21"/>
      <c r="I127" s="22"/>
      <c r="J127" s="21"/>
      <c r="K127" s="23"/>
    </row>
    <row r="128" spans="1:11" ht="19.5" customHeight="1">
      <c r="A128" s="20">
        <v>118</v>
      </c>
      <c r="B128" s="24"/>
      <c r="C128" s="24"/>
      <c r="D128" s="24" t="str">
        <f t="shared" si="2"/>
        <v/>
      </c>
      <c r="E128" s="24" t="str">
        <f t="shared" si="3"/>
        <v/>
      </c>
      <c r="F128" s="24"/>
      <c r="G128" s="24"/>
      <c r="H128" s="24"/>
      <c r="I128" s="22"/>
      <c r="J128" s="24"/>
      <c r="K128" s="25"/>
    </row>
    <row r="129" spans="1:11" ht="19.5" customHeight="1">
      <c r="A129" s="20">
        <v>119</v>
      </c>
      <c r="B129" s="21"/>
      <c r="C129" s="21"/>
      <c r="D129" s="21" t="str">
        <f t="shared" si="2"/>
        <v/>
      </c>
      <c r="E129" s="21" t="str">
        <f t="shared" si="3"/>
        <v/>
      </c>
      <c r="F129" s="21"/>
      <c r="G129" s="21"/>
      <c r="H129" s="21"/>
      <c r="I129" s="22"/>
      <c r="J129" s="21"/>
      <c r="K129" s="23"/>
    </row>
    <row r="130" spans="1:11" ht="19.5" customHeight="1">
      <c r="A130" s="20">
        <v>120</v>
      </c>
      <c r="B130" s="24"/>
      <c r="C130" s="24"/>
      <c r="D130" s="24" t="str">
        <f t="shared" si="2"/>
        <v/>
      </c>
      <c r="E130" s="24" t="str">
        <f t="shared" si="3"/>
        <v/>
      </c>
      <c r="F130" s="24"/>
      <c r="G130" s="24"/>
      <c r="H130" s="24"/>
      <c r="I130" s="22"/>
      <c r="J130" s="24"/>
      <c r="K130" s="25"/>
    </row>
    <row r="131" spans="1:11" ht="19.5" customHeight="1">
      <c r="A131" s="20">
        <v>121</v>
      </c>
      <c r="B131" s="21"/>
      <c r="C131" s="21"/>
      <c r="D131" s="21" t="str">
        <f t="shared" si="2"/>
        <v/>
      </c>
      <c r="E131" s="21" t="str">
        <f t="shared" si="3"/>
        <v/>
      </c>
      <c r="F131" s="21"/>
      <c r="G131" s="21"/>
      <c r="H131" s="21"/>
      <c r="I131" s="22"/>
      <c r="J131" s="21"/>
      <c r="K131" s="23"/>
    </row>
    <row r="132" spans="1:11" ht="19.5" customHeight="1">
      <c r="A132" s="20">
        <v>122</v>
      </c>
      <c r="B132" s="24"/>
      <c r="C132" s="24"/>
      <c r="D132" s="24" t="str">
        <f t="shared" si="2"/>
        <v/>
      </c>
      <c r="E132" s="24" t="str">
        <f t="shared" si="3"/>
        <v/>
      </c>
      <c r="F132" s="24"/>
      <c r="G132" s="24"/>
      <c r="H132" s="24"/>
      <c r="I132" s="22"/>
      <c r="J132" s="24"/>
      <c r="K132" s="25"/>
    </row>
    <row r="133" spans="1:11" ht="19.5" customHeight="1">
      <c r="A133" s="20">
        <v>123</v>
      </c>
      <c r="B133" s="21"/>
      <c r="C133" s="21"/>
      <c r="D133" s="21" t="str">
        <f t="shared" si="2"/>
        <v/>
      </c>
      <c r="E133" s="21" t="str">
        <f t="shared" si="3"/>
        <v/>
      </c>
      <c r="F133" s="21"/>
      <c r="G133" s="21"/>
      <c r="H133" s="21"/>
      <c r="I133" s="22"/>
      <c r="J133" s="21"/>
      <c r="K133" s="23"/>
    </row>
    <row r="134" spans="1:11" ht="19.5" customHeight="1">
      <c r="A134" s="20">
        <v>124</v>
      </c>
      <c r="B134" s="24"/>
      <c r="C134" s="24"/>
      <c r="D134" s="24" t="str">
        <f t="shared" si="2"/>
        <v/>
      </c>
      <c r="E134" s="24" t="str">
        <f t="shared" si="3"/>
        <v/>
      </c>
      <c r="F134" s="24"/>
      <c r="G134" s="24"/>
      <c r="H134" s="24"/>
      <c r="I134" s="22"/>
      <c r="J134" s="24"/>
      <c r="K134" s="25"/>
    </row>
    <row r="135" spans="1:11" ht="19.5" customHeight="1">
      <c r="A135" s="20">
        <v>125</v>
      </c>
      <c r="B135" s="21"/>
      <c r="C135" s="21"/>
      <c r="D135" s="21" t="str">
        <f t="shared" si="2"/>
        <v/>
      </c>
      <c r="E135" s="21" t="str">
        <f t="shared" si="3"/>
        <v/>
      </c>
      <c r="F135" s="21"/>
      <c r="G135" s="21"/>
      <c r="H135" s="21"/>
      <c r="I135" s="22"/>
      <c r="J135" s="21"/>
      <c r="K135" s="23"/>
    </row>
    <row r="136" spans="1:11" ht="19.5" customHeight="1">
      <c r="A136" s="20">
        <v>126</v>
      </c>
      <c r="B136" s="24"/>
      <c r="C136" s="24"/>
      <c r="D136" s="24" t="str">
        <f t="shared" si="2"/>
        <v/>
      </c>
      <c r="E136" s="24" t="str">
        <f t="shared" si="3"/>
        <v/>
      </c>
      <c r="F136" s="24"/>
      <c r="G136" s="24"/>
      <c r="H136" s="24"/>
      <c r="I136" s="22"/>
      <c r="J136" s="24"/>
      <c r="K136" s="25"/>
    </row>
    <row r="137" spans="1:11" ht="19.5" customHeight="1">
      <c r="A137" s="20">
        <v>127</v>
      </c>
      <c r="B137" s="21"/>
      <c r="C137" s="21"/>
      <c r="D137" s="21" t="str">
        <f t="shared" si="2"/>
        <v/>
      </c>
      <c r="E137" s="21" t="str">
        <f t="shared" si="3"/>
        <v/>
      </c>
      <c r="F137" s="21"/>
      <c r="G137" s="21"/>
      <c r="H137" s="21"/>
      <c r="I137" s="22"/>
      <c r="J137" s="21"/>
      <c r="K137" s="23"/>
    </row>
    <row r="138" spans="1:11" ht="19.5" customHeight="1">
      <c r="A138" s="20">
        <v>128</v>
      </c>
      <c r="B138" s="24"/>
      <c r="C138" s="24"/>
      <c r="D138" s="24" t="str">
        <f t="shared" si="2"/>
        <v/>
      </c>
      <c r="E138" s="24" t="str">
        <f t="shared" si="3"/>
        <v/>
      </c>
      <c r="F138" s="24"/>
      <c r="G138" s="24"/>
      <c r="H138" s="24"/>
      <c r="I138" s="22"/>
      <c r="J138" s="24"/>
      <c r="K138" s="25"/>
    </row>
    <row r="139" spans="1:11" ht="19.5" customHeight="1">
      <c r="A139" s="20">
        <v>129</v>
      </c>
      <c r="B139" s="21"/>
      <c r="C139" s="21"/>
      <c r="D139" s="21" t="str">
        <f t="shared" ref="D139:D202" si="4">IF(B139="","",PHONETIC(B139))</f>
        <v/>
      </c>
      <c r="E139" s="21" t="str">
        <f t="shared" ref="E139:E202" si="5">IF(C139="","",PHONETIC(C139))</f>
        <v/>
      </c>
      <c r="F139" s="21"/>
      <c r="G139" s="21"/>
      <c r="H139" s="21"/>
      <c r="I139" s="22"/>
      <c r="J139" s="21"/>
      <c r="K139" s="23"/>
    </row>
    <row r="140" spans="1:11" ht="19.5" customHeight="1">
      <c r="A140" s="20">
        <v>130</v>
      </c>
      <c r="B140" s="24"/>
      <c r="C140" s="24"/>
      <c r="D140" s="24" t="str">
        <f t="shared" si="4"/>
        <v/>
      </c>
      <c r="E140" s="24" t="str">
        <f t="shared" si="5"/>
        <v/>
      </c>
      <c r="F140" s="24"/>
      <c r="G140" s="24"/>
      <c r="H140" s="24"/>
      <c r="I140" s="22"/>
      <c r="J140" s="24"/>
      <c r="K140" s="25"/>
    </row>
    <row r="141" spans="1:11" ht="19.5" customHeight="1">
      <c r="A141" s="20">
        <v>131</v>
      </c>
      <c r="B141" s="21"/>
      <c r="C141" s="21"/>
      <c r="D141" s="21" t="str">
        <f t="shared" si="4"/>
        <v/>
      </c>
      <c r="E141" s="21" t="str">
        <f t="shared" si="5"/>
        <v/>
      </c>
      <c r="F141" s="21"/>
      <c r="G141" s="21"/>
      <c r="H141" s="21"/>
      <c r="I141" s="22"/>
      <c r="J141" s="21"/>
      <c r="K141" s="23"/>
    </row>
    <row r="142" spans="1:11" ht="19.5" customHeight="1">
      <c r="A142" s="20">
        <v>132</v>
      </c>
      <c r="B142" s="24"/>
      <c r="C142" s="24"/>
      <c r="D142" s="24" t="str">
        <f t="shared" si="4"/>
        <v/>
      </c>
      <c r="E142" s="24" t="str">
        <f t="shared" si="5"/>
        <v/>
      </c>
      <c r="F142" s="24"/>
      <c r="G142" s="24"/>
      <c r="H142" s="24"/>
      <c r="I142" s="22"/>
      <c r="J142" s="24"/>
      <c r="K142" s="25"/>
    </row>
    <row r="143" spans="1:11" ht="19.5" customHeight="1">
      <c r="A143" s="20">
        <v>133</v>
      </c>
      <c r="B143" s="21"/>
      <c r="C143" s="21"/>
      <c r="D143" s="21" t="str">
        <f t="shared" si="4"/>
        <v/>
      </c>
      <c r="E143" s="21" t="str">
        <f t="shared" si="5"/>
        <v/>
      </c>
      <c r="F143" s="21"/>
      <c r="G143" s="21"/>
      <c r="H143" s="21"/>
      <c r="I143" s="22"/>
      <c r="J143" s="21"/>
      <c r="K143" s="23"/>
    </row>
    <row r="144" spans="1:11" ht="19.5" customHeight="1">
      <c r="A144" s="20">
        <v>134</v>
      </c>
      <c r="B144" s="24"/>
      <c r="C144" s="24"/>
      <c r="D144" s="24" t="str">
        <f t="shared" si="4"/>
        <v/>
      </c>
      <c r="E144" s="24" t="str">
        <f t="shared" si="5"/>
        <v/>
      </c>
      <c r="F144" s="24"/>
      <c r="G144" s="24"/>
      <c r="H144" s="24"/>
      <c r="I144" s="22"/>
      <c r="J144" s="24"/>
      <c r="K144" s="25"/>
    </row>
    <row r="145" spans="1:11" ht="19.5" customHeight="1">
      <c r="A145" s="20">
        <v>135</v>
      </c>
      <c r="B145" s="21"/>
      <c r="C145" s="21"/>
      <c r="D145" s="21" t="str">
        <f t="shared" si="4"/>
        <v/>
      </c>
      <c r="E145" s="21" t="str">
        <f t="shared" si="5"/>
        <v/>
      </c>
      <c r="F145" s="21"/>
      <c r="G145" s="21"/>
      <c r="H145" s="21"/>
      <c r="I145" s="22"/>
      <c r="J145" s="21"/>
      <c r="K145" s="23"/>
    </row>
    <row r="146" spans="1:11" ht="19.5" customHeight="1">
      <c r="A146" s="20">
        <v>136</v>
      </c>
      <c r="B146" s="24"/>
      <c r="C146" s="24"/>
      <c r="D146" s="24" t="str">
        <f t="shared" si="4"/>
        <v/>
      </c>
      <c r="E146" s="24" t="str">
        <f t="shared" si="5"/>
        <v/>
      </c>
      <c r="F146" s="24"/>
      <c r="G146" s="24"/>
      <c r="H146" s="24"/>
      <c r="I146" s="22"/>
      <c r="J146" s="24"/>
      <c r="K146" s="25"/>
    </row>
    <row r="147" spans="1:11" ht="19.5" customHeight="1">
      <c r="A147" s="20">
        <v>137</v>
      </c>
      <c r="B147" s="21"/>
      <c r="C147" s="21"/>
      <c r="D147" s="21" t="str">
        <f t="shared" si="4"/>
        <v/>
      </c>
      <c r="E147" s="21" t="str">
        <f t="shared" si="5"/>
        <v/>
      </c>
      <c r="F147" s="21"/>
      <c r="G147" s="21"/>
      <c r="H147" s="21"/>
      <c r="I147" s="22"/>
      <c r="J147" s="21"/>
      <c r="K147" s="23"/>
    </row>
    <row r="148" spans="1:11" ht="19.5" customHeight="1">
      <c r="A148" s="20">
        <v>138</v>
      </c>
      <c r="B148" s="24"/>
      <c r="C148" s="24"/>
      <c r="D148" s="24" t="str">
        <f t="shared" si="4"/>
        <v/>
      </c>
      <c r="E148" s="24" t="str">
        <f t="shared" si="5"/>
        <v/>
      </c>
      <c r="F148" s="24"/>
      <c r="G148" s="24"/>
      <c r="H148" s="24"/>
      <c r="I148" s="22"/>
      <c r="J148" s="24"/>
      <c r="K148" s="25"/>
    </row>
    <row r="149" spans="1:11" ht="19.5" customHeight="1">
      <c r="A149" s="20">
        <v>139</v>
      </c>
      <c r="B149" s="21"/>
      <c r="C149" s="21"/>
      <c r="D149" s="21" t="str">
        <f t="shared" si="4"/>
        <v/>
      </c>
      <c r="E149" s="21" t="str">
        <f t="shared" si="5"/>
        <v/>
      </c>
      <c r="F149" s="21"/>
      <c r="G149" s="21"/>
      <c r="H149" s="21"/>
      <c r="I149" s="22"/>
      <c r="J149" s="21"/>
      <c r="K149" s="23"/>
    </row>
    <row r="150" spans="1:11" ht="19.5" customHeight="1">
      <c r="A150" s="20">
        <v>140</v>
      </c>
      <c r="B150" s="24"/>
      <c r="C150" s="24"/>
      <c r="D150" s="24" t="str">
        <f t="shared" si="4"/>
        <v/>
      </c>
      <c r="E150" s="24" t="str">
        <f t="shared" si="5"/>
        <v/>
      </c>
      <c r="F150" s="24"/>
      <c r="G150" s="24"/>
      <c r="H150" s="24"/>
      <c r="I150" s="22"/>
      <c r="J150" s="24"/>
      <c r="K150" s="25"/>
    </row>
    <row r="151" spans="1:11" ht="19.5" customHeight="1">
      <c r="A151" s="20">
        <v>141</v>
      </c>
      <c r="B151" s="21"/>
      <c r="C151" s="21"/>
      <c r="D151" s="21" t="str">
        <f t="shared" si="4"/>
        <v/>
      </c>
      <c r="E151" s="21" t="str">
        <f t="shared" si="5"/>
        <v/>
      </c>
      <c r="F151" s="21"/>
      <c r="G151" s="21"/>
      <c r="H151" s="21"/>
      <c r="I151" s="22"/>
      <c r="J151" s="21"/>
      <c r="K151" s="23"/>
    </row>
    <row r="152" spans="1:11" ht="19.5" customHeight="1">
      <c r="A152" s="20">
        <v>142</v>
      </c>
      <c r="B152" s="24"/>
      <c r="C152" s="24"/>
      <c r="D152" s="24" t="str">
        <f t="shared" si="4"/>
        <v/>
      </c>
      <c r="E152" s="24" t="str">
        <f t="shared" si="5"/>
        <v/>
      </c>
      <c r="F152" s="24"/>
      <c r="G152" s="24"/>
      <c r="H152" s="24"/>
      <c r="I152" s="22"/>
      <c r="J152" s="24"/>
      <c r="K152" s="25"/>
    </row>
    <row r="153" spans="1:11" ht="19.5" customHeight="1">
      <c r="A153" s="20">
        <v>143</v>
      </c>
      <c r="B153" s="21"/>
      <c r="C153" s="21"/>
      <c r="D153" s="21" t="str">
        <f t="shared" si="4"/>
        <v/>
      </c>
      <c r="E153" s="21" t="str">
        <f t="shared" si="5"/>
        <v/>
      </c>
      <c r="F153" s="21"/>
      <c r="G153" s="21"/>
      <c r="H153" s="21"/>
      <c r="I153" s="22"/>
      <c r="J153" s="21"/>
      <c r="K153" s="23"/>
    </row>
    <row r="154" spans="1:11" ht="19.5" customHeight="1">
      <c r="A154" s="20">
        <v>144</v>
      </c>
      <c r="B154" s="24"/>
      <c r="C154" s="24"/>
      <c r="D154" s="24" t="str">
        <f t="shared" si="4"/>
        <v/>
      </c>
      <c r="E154" s="24" t="str">
        <f t="shared" si="5"/>
        <v/>
      </c>
      <c r="F154" s="24"/>
      <c r="G154" s="24"/>
      <c r="H154" s="24"/>
      <c r="I154" s="22"/>
      <c r="J154" s="24"/>
      <c r="K154" s="25"/>
    </row>
    <row r="155" spans="1:11" ht="19.5" customHeight="1">
      <c r="A155" s="20">
        <v>145</v>
      </c>
      <c r="B155" s="21"/>
      <c r="C155" s="21"/>
      <c r="D155" s="21" t="str">
        <f t="shared" si="4"/>
        <v/>
      </c>
      <c r="E155" s="21" t="str">
        <f t="shared" si="5"/>
        <v/>
      </c>
      <c r="F155" s="21"/>
      <c r="G155" s="21"/>
      <c r="H155" s="21"/>
      <c r="I155" s="22"/>
      <c r="J155" s="21"/>
      <c r="K155" s="23"/>
    </row>
    <row r="156" spans="1:11" ht="19.5" customHeight="1">
      <c r="A156" s="20">
        <v>146</v>
      </c>
      <c r="B156" s="24"/>
      <c r="C156" s="24"/>
      <c r="D156" s="24" t="str">
        <f t="shared" si="4"/>
        <v/>
      </c>
      <c r="E156" s="24" t="str">
        <f t="shared" si="5"/>
        <v/>
      </c>
      <c r="F156" s="24"/>
      <c r="G156" s="24"/>
      <c r="H156" s="24"/>
      <c r="I156" s="22"/>
      <c r="J156" s="24"/>
      <c r="K156" s="25"/>
    </row>
    <row r="157" spans="1:11" ht="19.5" customHeight="1">
      <c r="A157" s="20">
        <v>147</v>
      </c>
      <c r="B157" s="21"/>
      <c r="C157" s="21"/>
      <c r="D157" s="21" t="str">
        <f t="shared" si="4"/>
        <v/>
      </c>
      <c r="E157" s="21" t="str">
        <f t="shared" si="5"/>
        <v/>
      </c>
      <c r="F157" s="21"/>
      <c r="G157" s="21"/>
      <c r="H157" s="21"/>
      <c r="I157" s="22"/>
      <c r="J157" s="21"/>
      <c r="K157" s="23"/>
    </row>
    <row r="158" spans="1:11" ht="19.5" customHeight="1">
      <c r="A158" s="20">
        <v>148</v>
      </c>
      <c r="B158" s="24"/>
      <c r="C158" s="24"/>
      <c r="D158" s="24" t="str">
        <f t="shared" si="4"/>
        <v/>
      </c>
      <c r="E158" s="24" t="str">
        <f t="shared" si="5"/>
        <v/>
      </c>
      <c r="F158" s="24"/>
      <c r="G158" s="24"/>
      <c r="H158" s="24"/>
      <c r="I158" s="22"/>
      <c r="J158" s="24"/>
      <c r="K158" s="25"/>
    </row>
    <row r="159" spans="1:11" ht="19.5" customHeight="1">
      <c r="A159" s="20">
        <v>149</v>
      </c>
      <c r="B159" s="21"/>
      <c r="C159" s="21"/>
      <c r="D159" s="21" t="str">
        <f t="shared" si="4"/>
        <v/>
      </c>
      <c r="E159" s="21" t="str">
        <f t="shared" si="5"/>
        <v/>
      </c>
      <c r="F159" s="21"/>
      <c r="G159" s="21"/>
      <c r="H159" s="21"/>
      <c r="I159" s="22"/>
      <c r="J159" s="21"/>
      <c r="K159" s="23"/>
    </row>
    <row r="160" spans="1:11" ht="19.5" customHeight="1">
      <c r="A160" s="20">
        <v>150</v>
      </c>
      <c r="B160" s="24"/>
      <c r="C160" s="24"/>
      <c r="D160" s="24" t="str">
        <f t="shared" si="4"/>
        <v/>
      </c>
      <c r="E160" s="24" t="str">
        <f t="shared" si="5"/>
        <v/>
      </c>
      <c r="F160" s="24"/>
      <c r="G160" s="24"/>
      <c r="H160" s="24"/>
      <c r="I160" s="22"/>
      <c r="J160" s="24"/>
      <c r="K160" s="25"/>
    </row>
    <row r="161" spans="1:11" ht="19.5" customHeight="1">
      <c r="A161" s="20">
        <v>151</v>
      </c>
      <c r="B161" s="21"/>
      <c r="C161" s="21"/>
      <c r="D161" s="21" t="str">
        <f t="shared" si="4"/>
        <v/>
      </c>
      <c r="E161" s="21" t="str">
        <f t="shared" si="5"/>
        <v/>
      </c>
      <c r="F161" s="21"/>
      <c r="G161" s="21"/>
      <c r="H161" s="21"/>
      <c r="I161" s="22"/>
      <c r="J161" s="21"/>
      <c r="K161" s="23"/>
    </row>
    <row r="162" spans="1:11" ht="19.5" customHeight="1">
      <c r="A162" s="20">
        <v>152</v>
      </c>
      <c r="B162" s="24"/>
      <c r="C162" s="24"/>
      <c r="D162" s="24" t="str">
        <f t="shared" si="4"/>
        <v/>
      </c>
      <c r="E162" s="24" t="str">
        <f t="shared" si="5"/>
        <v/>
      </c>
      <c r="F162" s="24"/>
      <c r="G162" s="24"/>
      <c r="H162" s="24"/>
      <c r="I162" s="22"/>
      <c r="J162" s="24"/>
      <c r="K162" s="25"/>
    </row>
    <row r="163" spans="1:11" ht="19.5" customHeight="1">
      <c r="A163" s="20">
        <v>153</v>
      </c>
      <c r="B163" s="21"/>
      <c r="C163" s="21"/>
      <c r="D163" s="21" t="str">
        <f t="shared" si="4"/>
        <v/>
      </c>
      <c r="E163" s="21" t="str">
        <f t="shared" si="5"/>
        <v/>
      </c>
      <c r="F163" s="21"/>
      <c r="G163" s="21"/>
      <c r="H163" s="21"/>
      <c r="I163" s="22"/>
      <c r="J163" s="21"/>
      <c r="K163" s="23"/>
    </row>
    <row r="164" spans="1:11" ht="19.5" customHeight="1">
      <c r="A164" s="20">
        <v>154</v>
      </c>
      <c r="B164" s="24"/>
      <c r="C164" s="24"/>
      <c r="D164" s="24" t="str">
        <f t="shared" si="4"/>
        <v/>
      </c>
      <c r="E164" s="24" t="str">
        <f t="shared" si="5"/>
        <v/>
      </c>
      <c r="F164" s="24"/>
      <c r="G164" s="24"/>
      <c r="H164" s="24"/>
      <c r="I164" s="22"/>
      <c r="J164" s="24"/>
      <c r="K164" s="25"/>
    </row>
    <row r="165" spans="1:11" ht="19.5" customHeight="1">
      <c r="A165" s="20">
        <v>155</v>
      </c>
      <c r="B165" s="21"/>
      <c r="C165" s="21"/>
      <c r="D165" s="21" t="str">
        <f t="shared" si="4"/>
        <v/>
      </c>
      <c r="E165" s="21" t="str">
        <f t="shared" si="5"/>
        <v/>
      </c>
      <c r="F165" s="21"/>
      <c r="G165" s="21"/>
      <c r="H165" s="21"/>
      <c r="I165" s="22"/>
      <c r="J165" s="21"/>
      <c r="K165" s="23"/>
    </row>
    <row r="166" spans="1:11" ht="19.5" customHeight="1">
      <c r="A166" s="20">
        <v>156</v>
      </c>
      <c r="B166" s="24"/>
      <c r="C166" s="24"/>
      <c r="D166" s="24" t="str">
        <f t="shared" si="4"/>
        <v/>
      </c>
      <c r="E166" s="24" t="str">
        <f t="shared" si="5"/>
        <v/>
      </c>
      <c r="F166" s="24"/>
      <c r="G166" s="24"/>
      <c r="H166" s="24"/>
      <c r="I166" s="22"/>
      <c r="J166" s="24"/>
      <c r="K166" s="25"/>
    </row>
    <row r="167" spans="1:11" ht="19.5" customHeight="1">
      <c r="A167" s="20">
        <v>157</v>
      </c>
      <c r="B167" s="21"/>
      <c r="C167" s="21"/>
      <c r="D167" s="21" t="str">
        <f t="shared" si="4"/>
        <v/>
      </c>
      <c r="E167" s="21" t="str">
        <f t="shared" si="5"/>
        <v/>
      </c>
      <c r="F167" s="21"/>
      <c r="G167" s="21"/>
      <c r="H167" s="21"/>
      <c r="I167" s="22"/>
      <c r="J167" s="21"/>
      <c r="K167" s="23"/>
    </row>
    <row r="168" spans="1:11" ht="19.5" customHeight="1">
      <c r="A168" s="20">
        <v>158</v>
      </c>
      <c r="B168" s="24"/>
      <c r="C168" s="24"/>
      <c r="D168" s="24" t="str">
        <f t="shared" si="4"/>
        <v/>
      </c>
      <c r="E168" s="24" t="str">
        <f t="shared" si="5"/>
        <v/>
      </c>
      <c r="F168" s="24"/>
      <c r="G168" s="24"/>
      <c r="H168" s="24"/>
      <c r="I168" s="22"/>
      <c r="J168" s="24"/>
      <c r="K168" s="25"/>
    </row>
    <row r="169" spans="1:11" ht="19.5" customHeight="1">
      <c r="A169" s="20">
        <v>159</v>
      </c>
      <c r="B169" s="21"/>
      <c r="C169" s="21"/>
      <c r="D169" s="21" t="str">
        <f t="shared" si="4"/>
        <v/>
      </c>
      <c r="E169" s="21" t="str">
        <f t="shared" si="5"/>
        <v/>
      </c>
      <c r="F169" s="21"/>
      <c r="G169" s="21"/>
      <c r="H169" s="21"/>
      <c r="I169" s="22"/>
      <c r="J169" s="21"/>
      <c r="K169" s="23"/>
    </row>
    <row r="170" spans="1:11" ht="19.5" customHeight="1">
      <c r="A170" s="20">
        <v>160</v>
      </c>
      <c r="B170" s="24"/>
      <c r="C170" s="24"/>
      <c r="D170" s="24" t="str">
        <f t="shared" si="4"/>
        <v/>
      </c>
      <c r="E170" s="24" t="str">
        <f t="shared" si="5"/>
        <v/>
      </c>
      <c r="F170" s="24"/>
      <c r="G170" s="24"/>
      <c r="H170" s="24"/>
      <c r="I170" s="22"/>
      <c r="J170" s="24"/>
      <c r="K170" s="25"/>
    </row>
    <row r="171" spans="1:11" ht="19.5" customHeight="1">
      <c r="A171" s="20">
        <v>161</v>
      </c>
      <c r="B171" s="21"/>
      <c r="C171" s="21"/>
      <c r="D171" s="21" t="str">
        <f t="shared" si="4"/>
        <v/>
      </c>
      <c r="E171" s="21" t="str">
        <f t="shared" si="5"/>
        <v/>
      </c>
      <c r="F171" s="21"/>
      <c r="G171" s="21"/>
      <c r="H171" s="21"/>
      <c r="I171" s="22"/>
      <c r="J171" s="21"/>
      <c r="K171" s="23"/>
    </row>
    <row r="172" spans="1:11" ht="19.5" customHeight="1">
      <c r="A172" s="20">
        <v>162</v>
      </c>
      <c r="B172" s="24"/>
      <c r="C172" s="24"/>
      <c r="D172" s="24" t="str">
        <f t="shared" si="4"/>
        <v/>
      </c>
      <c r="E172" s="24" t="str">
        <f t="shared" si="5"/>
        <v/>
      </c>
      <c r="F172" s="24"/>
      <c r="G172" s="24"/>
      <c r="H172" s="24"/>
      <c r="I172" s="22"/>
      <c r="J172" s="24"/>
      <c r="K172" s="25"/>
    </row>
    <row r="173" spans="1:11" ht="19.5" customHeight="1">
      <c r="A173" s="20">
        <v>163</v>
      </c>
      <c r="B173" s="21"/>
      <c r="C173" s="21"/>
      <c r="D173" s="21" t="str">
        <f t="shared" si="4"/>
        <v/>
      </c>
      <c r="E173" s="21" t="str">
        <f t="shared" si="5"/>
        <v/>
      </c>
      <c r="F173" s="21"/>
      <c r="G173" s="21"/>
      <c r="H173" s="21"/>
      <c r="I173" s="22"/>
      <c r="J173" s="21"/>
      <c r="K173" s="23"/>
    </row>
    <row r="174" spans="1:11" ht="19.5" customHeight="1">
      <c r="A174" s="20">
        <v>164</v>
      </c>
      <c r="B174" s="24"/>
      <c r="C174" s="24"/>
      <c r="D174" s="24" t="str">
        <f t="shared" si="4"/>
        <v/>
      </c>
      <c r="E174" s="24" t="str">
        <f t="shared" si="5"/>
        <v/>
      </c>
      <c r="F174" s="24"/>
      <c r="G174" s="24"/>
      <c r="H174" s="24"/>
      <c r="I174" s="22"/>
      <c r="J174" s="24"/>
      <c r="K174" s="25"/>
    </row>
    <row r="175" spans="1:11" ht="19.5" customHeight="1">
      <c r="A175" s="20">
        <v>165</v>
      </c>
      <c r="B175" s="21"/>
      <c r="C175" s="21"/>
      <c r="D175" s="21" t="str">
        <f t="shared" si="4"/>
        <v/>
      </c>
      <c r="E175" s="21" t="str">
        <f t="shared" si="5"/>
        <v/>
      </c>
      <c r="F175" s="21"/>
      <c r="G175" s="21"/>
      <c r="H175" s="21"/>
      <c r="I175" s="22"/>
      <c r="J175" s="21"/>
      <c r="K175" s="23"/>
    </row>
    <row r="176" spans="1:11" ht="19.5" customHeight="1">
      <c r="A176" s="20">
        <v>166</v>
      </c>
      <c r="B176" s="24"/>
      <c r="C176" s="24"/>
      <c r="D176" s="24" t="str">
        <f t="shared" si="4"/>
        <v/>
      </c>
      <c r="E176" s="24" t="str">
        <f t="shared" si="5"/>
        <v/>
      </c>
      <c r="F176" s="24"/>
      <c r="G176" s="24"/>
      <c r="H176" s="24"/>
      <c r="I176" s="22"/>
      <c r="J176" s="24"/>
      <c r="K176" s="25"/>
    </row>
    <row r="177" spans="1:11" ht="19.5" customHeight="1">
      <c r="A177" s="20">
        <v>167</v>
      </c>
      <c r="B177" s="21"/>
      <c r="C177" s="21"/>
      <c r="D177" s="21" t="str">
        <f t="shared" si="4"/>
        <v/>
      </c>
      <c r="E177" s="21" t="str">
        <f t="shared" si="5"/>
        <v/>
      </c>
      <c r="F177" s="21"/>
      <c r="G177" s="21"/>
      <c r="H177" s="21"/>
      <c r="I177" s="22"/>
      <c r="J177" s="21"/>
      <c r="K177" s="23"/>
    </row>
    <row r="178" spans="1:11" ht="19.5" customHeight="1">
      <c r="A178" s="20">
        <v>168</v>
      </c>
      <c r="B178" s="24"/>
      <c r="C178" s="24"/>
      <c r="D178" s="24" t="str">
        <f t="shared" si="4"/>
        <v/>
      </c>
      <c r="E178" s="24" t="str">
        <f t="shared" si="5"/>
        <v/>
      </c>
      <c r="F178" s="24"/>
      <c r="G178" s="24"/>
      <c r="H178" s="24"/>
      <c r="I178" s="22"/>
      <c r="J178" s="24"/>
      <c r="K178" s="25"/>
    </row>
    <row r="179" spans="1:11" ht="19.5" customHeight="1">
      <c r="A179" s="20">
        <v>169</v>
      </c>
      <c r="B179" s="21"/>
      <c r="C179" s="21"/>
      <c r="D179" s="21" t="str">
        <f t="shared" si="4"/>
        <v/>
      </c>
      <c r="E179" s="21" t="str">
        <f t="shared" si="5"/>
        <v/>
      </c>
      <c r="F179" s="21"/>
      <c r="G179" s="21"/>
      <c r="H179" s="21"/>
      <c r="I179" s="22"/>
      <c r="J179" s="21"/>
      <c r="K179" s="23"/>
    </row>
    <row r="180" spans="1:11" ht="19.5" customHeight="1">
      <c r="A180" s="20">
        <v>170</v>
      </c>
      <c r="B180" s="24"/>
      <c r="C180" s="24"/>
      <c r="D180" s="24" t="str">
        <f t="shared" si="4"/>
        <v/>
      </c>
      <c r="E180" s="24" t="str">
        <f t="shared" si="5"/>
        <v/>
      </c>
      <c r="F180" s="24"/>
      <c r="G180" s="24"/>
      <c r="H180" s="24"/>
      <c r="I180" s="22"/>
      <c r="J180" s="24"/>
      <c r="K180" s="25"/>
    </row>
    <row r="181" spans="1:11" ht="19.5" customHeight="1">
      <c r="A181" s="20">
        <v>171</v>
      </c>
      <c r="B181" s="21"/>
      <c r="C181" s="21"/>
      <c r="D181" s="21" t="str">
        <f t="shared" si="4"/>
        <v/>
      </c>
      <c r="E181" s="21" t="str">
        <f t="shared" si="5"/>
        <v/>
      </c>
      <c r="F181" s="21"/>
      <c r="G181" s="21"/>
      <c r="H181" s="21"/>
      <c r="I181" s="22"/>
      <c r="J181" s="21"/>
      <c r="K181" s="23"/>
    </row>
    <row r="182" spans="1:11" ht="19.5" customHeight="1">
      <c r="A182" s="20">
        <v>172</v>
      </c>
      <c r="B182" s="24"/>
      <c r="C182" s="24"/>
      <c r="D182" s="24" t="str">
        <f t="shared" si="4"/>
        <v/>
      </c>
      <c r="E182" s="24" t="str">
        <f t="shared" si="5"/>
        <v/>
      </c>
      <c r="F182" s="24"/>
      <c r="G182" s="24"/>
      <c r="H182" s="24"/>
      <c r="I182" s="22"/>
      <c r="J182" s="24"/>
      <c r="K182" s="25"/>
    </row>
    <row r="183" spans="1:11" ht="19.5" customHeight="1">
      <c r="A183" s="20">
        <v>173</v>
      </c>
      <c r="B183" s="21"/>
      <c r="C183" s="21"/>
      <c r="D183" s="21" t="str">
        <f t="shared" si="4"/>
        <v/>
      </c>
      <c r="E183" s="21" t="str">
        <f t="shared" si="5"/>
        <v/>
      </c>
      <c r="F183" s="21"/>
      <c r="G183" s="21"/>
      <c r="H183" s="21"/>
      <c r="I183" s="22"/>
      <c r="J183" s="21"/>
      <c r="K183" s="23"/>
    </row>
    <row r="184" spans="1:11" ht="19.5" customHeight="1">
      <c r="A184" s="20">
        <v>174</v>
      </c>
      <c r="B184" s="24"/>
      <c r="C184" s="24"/>
      <c r="D184" s="24" t="str">
        <f t="shared" si="4"/>
        <v/>
      </c>
      <c r="E184" s="24" t="str">
        <f t="shared" si="5"/>
        <v/>
      </c>
      <c r="F184" s="24"/>
      <c r="G184" s="24"/>
      <c r="H184" s="24"/>
      <c r="I184" s="22"/>
      <c r="J184" s="24"/>
      <c r="K184" s="25"/>
    </row>
    <row r="185" spans="1:11" ht="19.5" customHeight="1">
      <c r="A185" s="20">
        <v>175</v>
      </c>
      <c r="B185" s="21"/>
      <c r="C185" s="21"/>
      <c r="D185" s="21" t="str">
        <f t="shared" si="4"/>
        <v/>
      </c>
      <c r="E185" s="21" t="str">
        <f t="shared" si="5"/>
        <v/>
      </c>
      <c r="F185" s="21"/>
      <c r="G185" s="21"/>
      <c r="H185" s="21"/>
      <c r="I185" s="22"/>
      <c r="J185" s="21"/>
      <c r="K185" s="23"/>
    </row>
    <row r="186" spans="1:11" ht="19.5" customHeight="1">
      <c r="A186" s="20">
        <v>176</v>
      </c>
      <c r="B186" s="24"/>
      <c r="C186" s="24"/>
      <c r="D186" s="24" t="str">
        <f t="shared" si="4"/>
        <v/>
      </c>
      <c r="E186" s="24" t="str">
        <f t="shared" si="5"/>
        <v/>
      </c>
      <c r="F186" s="24"/>
      <c r="G186" s="24"/>
      <c r="H186" s="24"/>
      <c r="I186" s="22"/>
      <c r="J186" s="24"/>
      <c r="K186" s="25"/>
    </row>
    <row r="187" spans="1:11" ht="19.5" customHeight="1">
      <c r="A187" s="20">
        <v>177</v>
      </c>
      <c r="B187" s="21"/>
      <c r="C187" s="21"/>
      <c r="D187" s="21" t="str">
        <f t="shared" si="4"/>
        <v/>
      </c>
      <c r="E187" s="21" t="str">
        <f t="shared" si="5"/>
        <v/>
      </c>
      <c r="F187" s="21"/>
      <c r="G187" s="21"/>
      <c r="H187" s="21"/>
      <c r="I187" s="22"/>
      <c r="J187" s="21"/>
      <c r="K187" s="23"/>
    </row>
    <row r="188" spans="1:11" ht="19.5" customHeight="1">
      <c r="A188" s="20">
        <v>178</v>
      </c>
      <c r="B188" s="24"/>
      <c r="C188" s="24"/>
      <c r="D188" s="24" t="str">
        <f t="shared" si="4"/>
        <v/>
      </c>
      <c r="E188" s="24" t="str">
        <f t="shared" si="5"/>
        <v/>
      </c>
      <c r="F188" s="24"/>
      <c r="G188" s="24"/>
      <c r="H188" s="24"/>
      <c r="I188" s="22"/>
      <c r="J188" s="24"/>
      <c r="K188" s="25"/>
    </row>
    <row r="189" spans="1:11" ht="19.5" customHeight="1">
      <c r="A189" s="20">
        <v>179</v>
      </c>
      <c r="B189" s="21"/>
      <c r="C189" s="21"/>
      <c r="D189" s="21" t="str">
        <f t="shared" si="4"/>
        <v/>
      </c>
      <c r="E189" s="21" t="str">
        <f t="shared" si="5"/>
        <v/>
      </c>
      <c r="F189" s="21"/>
      <c r="G189" s="21"/>
      <c r="H189" s="21"/>
      <c r="I189" s="22"/>
      <c r="J189" s="21"/>
      <c r="K189" s="23"/>
    </row>
    <row r="190" spans="1:11" ht="19.5" customHeight="1">
      <c r="A190" s="20">
        <v>180</v>
      </c>
      <c r="B190" s="24"/>
      <c r="C190" s="24"/>
      <c r="D190" s="24" t="str">
        <f t="shared" si="4"/>
        <v/>
      </c>
      <c r="E190" s="24" t="str">
        <f t="shared" si="5"/>
        <v/>
      </c>
      <c r="F190" s="24"/>
      <c r="G190" s="24"/>
      <c r="H190" s="24"/>
      <c r="I190" s="22"/>
      <c r="J190" s="24"/>
      <c r="K190" s="25"/>
    </row>
    <row r="191" spans="1:11" ht="19.5" customHeight="1">
      <c r="A191" s="20">
        <v>181</v>
      </c>
      <c r="B191" s="21"/>
      <c r="C191" s="21"/>
      <c r="D191" s="21" t="str">
        <f t="shared" si="4"/>
        <v/>
      </c>
      <c r="E191" s="21" t="str">
        <f t="shared" si="5"/>
        <v/>
      </c>
      <c r="F191" s="21"/>
      <c r="G191" s="21"/>
      <c r="H191" s="21"/>
      <c r="I191" s="22"/>
      <c r="J191" s="21"/>
      <c r="K191" s="23"/>
    </row>
    <row r="192" spans="1:11" ht="19.5" customHeight="1">
      <c r="A192" s="20">
        <v>182</v>
      </c>
      <c r="B192" s="24"/>
      <c r="C192" s="24"/>
      <c r="D192" s="24" t="str">
        <f t="shared" si="4"/>
        <v/>
      </c>
      <c r="E192" s="24" t="str">
        <f t="shared" si="5"/>
        <v/>
      </c>
      <c r="F192" s="24"/>
      <c r="G192" s="24"/>
      <c r="H192" s="24"/>
      <c r="I192" s="22"/>
      <c r="J192" s="24"/>
      <c r="K192" s="25"/>
    </row>
    <row r="193" spans="1:11" ht="19.5" customHeight="1">
      <c r="A193" s="20">
        <v>183</v>
      </c>
      <c r="B193" s="21"/>
      <c r="C193" s="21"/>
      <c r="D193" s="21" t="str">
        <f t="shared" si="4"/>
        <v/>
      </c>
      <c r="E193" s="21" t="str">
        <f t="shared" si="5"/>
        <v/>
      </c>
      <c r="F193" s="21"/>
      <c r="G193" s="21"/>
      <c r="H193" s="21"/>
      <c r="I193" s="22"/>
      <c r="J193" s="21"/>
      <c r="K193" s="23"/>
    </row>
    <row r="194" spans="1:11" ht="19.5" customHeight="1">
      <c r="A194" s="20">
        <v>184</v>
      </c>
      <c r="B194" s="24"/>
      <c r="C194" s="24"/>
      <c r="D194" s="24" t="str">
        <f t="shared" si="4"/>
        <v/>
      </c>
      <c r="E194" s="24" t="str">
        <f t="shared" si="5"/>
        <v/>
      </c>
      <c r="F194" s="24"/>
      <c r="G194" s="24"/>
      <c r="H194" s="24"/>
      <c r="I194" s="22"/>
      <c r="J194" s="24"/>
      <c r="K194" s="25"/>
    </row>
    <row r="195" spans="1:11" ht="19.5" customHeight="1">
      <c r="A195" s="20">
        <v>185</v>
      </c>
      <c r="B195" s="21"/>
      <c r="C195" s="21"/>
      <c r="D195" s="21" t="str">
        <f t="shared" si="4"/>
        <v/>
      </c>
      <c r="E195" s="21" t="str">
        <f t="shared" si="5"/>
        <v/>
      </c>
      <c r="F195" s="21"/>
      <c r="G195" s="21"/>
      <c r="H195" s="21"/>
      <c r="I195" s="22"/>
      <c r="J195" s="21"/>
      <c r="K195" s="23"/>
    </row>
    <row r="196" spans="1:11" ht="19.5" customHeight="1">
      <c r="A196" s="20">
        <v>186</v>
      </c>
      <c r="B196" s="24"/>
      <c r="C196" s="24"/>
      <c r="D196" s="24" t="str">
        <f t="shared" si="4"/>
        <v/>
      </c>
      <c r="E196" s="24" t="str">
        <f t="shared" si="5"/>
        <v/>
      </c>
      <c r="F196" s="24"/>
      <c r="G196" s="24"/>
      <c r="H196" s="24"/>
      <c r="I196" s="22"/>
      <c r="J196" s="24"/>
      <c r="K196" s="25"/>
    </row>
    <row r="197" spans="1:11" ht="19.5" customHeight="1">
      <c r="A197" s="20">
        <v>187</v>
      </c>
      <c r="B197" s="21"/>
      <c r="C197" s="21"/>
      <c r="D197" s="21" t="str">
        <f t="shared" si="4"/>
        <v/>
      </c>
      <c r="E197" s="21" t="str">
        <f t="shared" si="5"/>
        <v/>
      </c>
      <c r="F197" s="21"/>
      <c r="G197" s="21"/>
      <c r="H197" s="21"/>
      <c r="I197" s="22"/>
      <c r="J197" s="21"/>
      <c r="K197" s="23"/>
    </row>
    <row r="198" spans="1:11" ht="19.5" customHeight="1">
      <c r="A198" s="20">
        <v>188</v>
      </c>
      <c r="B198" s="24"/>
      <c r="C198" s="24"/>
      <c r="D198" s="24" t="str">
        <f t="shared" si="4"/>
        <v/>
      </c>
      <c r="E198" s="24" t="str">
        <f t="shared" si="5"/>
        <v/>
      </c>
      <c r="F198" s="24"/>
      <c r="G198" s="24"/>
      <c r="H198" s="24"/>
      <c r="I198" s="22"/>
      <c r="J198" s="24"/>
      <c r="K198" s="25"/>
    </row>
    <row r="199" spans="1:11" ht="19.5" customHeight="1">
      <c r="A199" s="20">
        <v>189</v>
      </c>
      <c r="B199" s="21"/>
      <c r="C199" s="21"/>
      <c r="D199" s="21" t="str">
        <f t="shared" si="4"/>
        <v/>
      </c>
      <c r="E199" s="21" t="str">
        <f t="shared" si="5"/>
        <v/>
      </c>
      <c r="F199" s="21"/>
      <c r="G199" s="21"/>
      <c r="H199" s="21"/>
      <c r="I199" s="22"/>
      <c r="J199" s="21"/>
      <c r="K199" s="23"/>
    </row>
    <row r="200" spans="1:11" ht="19.5" customHeight="1">
      <c r="A200" s="20">
        <v>190</v>
      </c>
      <c r="B200" s="24"/>
      <c r="C200" s="24"/>
      <c r="D200" s="24" t="str">
        <f t="shared" si="4"/>
        <v/>
      </c>
      <c r="E200" s="24" t="str">
        <f t="shared" si="5"/>
        <v/>
      </c>
      <c r="F200" s="24"/>
      <c r="G200" s="24"/>
      <c r="H200" s="24"/>
      <c r="I200" s="22"/>
      <c r="J200" s="24"/>
      <c r="K200" s="25"/>
    </row>
    <row r="201" spans="1:11" ht="19.5" customHeight="1">
      <c r="A201" s="20">
        <v>191</v>
      </c>
      <c r="B201" s="21"/>
      <c r="C201" s="21"/>
      <c r="D201" s="21" t="str">
        <f t="shared" si="4"/>
        <v/>
      </c>
      <c r="E201" s="21" t="str">
        <f t="shared" si="5"/>
        <v/>
      </c>
      <c r="F201" s="21"/>
      <c r="G201" s="21"/>
      <c r="H201" s="21"/>
      <c r="I201" s="22"/>
      <c r="J201" s="21"/>
      <c r="K201" s="23"/>
    </row>
    <row r="202" spans="1:11" ht="19.5" customHeight="1">
      <c r="A202" s="20">
        <v>192</v>
      </c>
      <c r="B202" s="24"/>
      <c r="C202" s="24"/>
      <c r="D202" s="24" t="str">
        <f t="shared" si="4"/>
        <v/>
      </c>
      <c r="E202" s="24" t="str">
        <f t="shared" si="5"/>
        <v/>
      </c>
      <c r="F202" s="24"/>
      <c r="G202" s="24"/>
      <c r="H202" s="24"/>
      <c r="I202" s="22"/>
      <c r="J202" s="24"/>
      <c r="K202" s="25"/>
    </row>
    <row r="203" spans="1:11" ht="19.5" customHeight="1">
      <c r="A203" s="20">
        <v>193</v>
      </c>
      <c r="B203" s="21"/>
      <c r="C203" s="21"/>
      <c r="D203" s="21" t="str">
        <f t="shared" ref="D203:D266" si="6">IF(B203="","",PHONETIC(B203))</f>
        <v/>
      </c>
      <c r="E203" s="21" t="str">
        <f t="shared" ref="E203:E266" si="7">IF(C203="","",PHONETIC(C203))</f>
        <v/>
      </c>
      <c r="F203" s="21"/>
      <c r="G203" s="21"/>
      <c r="H203" s="21"/>
      <c r="I203" s="22"/>
      <c r="J203" s="21"/>
      <c r="K203" s="23"/>
    </row>
    <row r="204" spans="1:11" ht="19.5" customHeight="1">
      <c r="A204" s="20">
        <v>194</v>
      </c>
      <c r="B204" s="24"/>
      <c r="C204" s="24"/>
      <c r="D204" s="24" t="str">
        <f t="shared" si="6"/>
        <v/>
      </c>
      <c r="E204" s="24" t="str">
        <f t="shared" si="7"/>
        <v/>
      </c>
      <c r="F204" s="24"/>
      <c r="G204" s="24"/>
      <c r="H204" s="24"/>
      <c r="I204" s="22"/>
      <c r="J204" s="24"/>
      <c r="K204" s="25"/>
    </row>
    <row r="205" spans="1:11" ht="19.5" customHeight="1">
      <c r="A205" s="20">
        <v>195</v>
      </c>
      <c r="B205" s="21"/>
      <c r="C205" s="21"/>
      <c r="D205" s="21" t="str">
        <f t="shared" si="6"/>
        <v/>
      </c>
      <c r="E205" s="21" t="str">
        <f t="shared" si="7"/>
        <v/>
      </c>
      <c r="F205" s="21"/>
      <c r="G205" s="21"/>
      <c r="H205" s="21"/>
      <c r="I205" s="22"/>
      <c r="J205" s="21"/>
      <c r="K205" s="23"/>
    </row>
    <row r="206" spans="1:11" ht="19.5" customHeight="1">
      <c r="A206" s="20">
        <v>196</v>
      </c>
      <c r="B206" s="24"/>
      <c r="C206" s="24"/>
      <c r="D206" s="24" t="str">
        <f t="shared" si="6"/>
        <v/>
      </c>
      <c r="E206" s="24" t="str">
        <f t="shared" si="7"/>
        <v/>
      </c>
      <c r="F206" s="24"/>
      <c r="G206" s="24"/>
      <c r="H206" s="24"/>
      <c r="I206" s="22"/>
      <c r="J206" s="24"/>
      <c r="K206" s="25"/>
    </row>
    <row r="207" spans="1:11" ht="19.5" customHeight="1">
      <c r="A207" s="20">
        <v>197</v>
      </c>
      <c r="B207" s="21"/>
      <c r="C207" s="21"/>
      <c r="D207" s="21" t="str">
        <f t="shared" si="6"/>
        <v/>
      </c>
      <c r="E207" s="21" t="str">
        <f t="shared" si="7"/>
        <v/>
      </c>
      <c r="F207" s="21"/>
      <c r="G207" s="21"/>
      <c r="H207" s="21"/>
      <c r="I207" s="22"/>
      <c r="J207" s="21"/>
      <c r="K207" s="23"/>
    </row>
    <row r="208" spans="1:11" ht="19.5" customHeight="1">
      <c r="A208" s="20">
        <v>198</v>
      </c>
      <c r="B208" s="24"/>
      <c r="C208" s="24"/>
      <c r="D208" s="24" t="str">
        <f t="shared" si="6"/>
        <v/>
      </c>
      <c r="E208" s="24" t="str">
        <f t="shared" si="7"/>
        <v/>
      </c>
      <c r="F208" s="24"/>
      <c r="G208" s="24"/>
      <c r="H208" s="24"/>
      <c r="I208" s="22"/>
      <c r="J208" s="24"/>
      <c r="K208" s="25"/>
    </row>
    <row r="209" spans="1:11" ht="19.5" customHeight="1">
      <c r="A209" s="20">
        <v>199</v>
      </c>
      <c r="B209" s="21"/>
      <c r="C209" s="21"/>
      <c r="D209" s="21" t="str">
        <f t="shared" si="6"/>
        <v/>
      </c>
      <c r="E209" s="21" t="str">
        <f t="shared" si="7"/>
        <v/>
      </c>
      <c r="F209" s="21"/>
      <c r="G209" s="21"/>
      <c r="H209" s="21"/>
      <c r="I209" s="22"/>
      <c r="J209" s="21"/>
      <c r="K209" s="23"/>
    </row>
    <row r="210" spans="1:11" ht="19.5" customHeight="1">
      <c r="A210" s="20">
        <v>200</v>
      </c>
      <c r="B210" s="24"/>
      <c r="C210" s="24"/>
      <c r="D210" s="24" t="str">
        <f t="shared" si="6"/>
        <v/>
      </c>
      <c r="E210" s="24" t="str">
        <f t="shared" si="7"/>
        <v/>
      </c>
      <c r="F210" s="24"/>
      <c r="G210" s="24"/>
      <c r="H210" s="24"/>
      <c r="I210" s="22"/>
      <c r="J210" s="24"/>
      <c r="K210" s="25"/>
    </row>
    <row r="211" spans="1:11" ht="19.5" customHeight="1">
      <c r="A211" s="20">
        <v>201</v>
      </c>
      <c r="B211" s="21"/>
      <c r="C211" s="21"/>
      <c r="D211" s="21" t="str">
        <f t="shared" si="6"/>
        <v/>
      </c>
      <c r="E211" s="21" t="str">
        <f t="shared" si="7"/>
        <v/>
      </c>
      <c r="F211" s="21"/>
      <c r="G211" s="21"/>
      <c r="H211" s="21"/>
      <c r="I211" s="22"/>
      <c r="J211" s="21"/>
      <c r="K211" s="23"/>
    </row>
    <row r="212" spans="1:11" ht="19.5" customHeight="1">
      <c r="A212" s="20">
        <v>202</v>
      </c>
      <c r="B212" s="24"/>
      <c r="C212" s="24"/>
      <c r="D212" s="24" t="str">
        <f t="shared" si="6"/>
        <v/>
      </c>
      <c r="E212" s="24" t="str">
        <f t="shared" si="7"/>
        <v/>
      </c>
      <c r="F212" s="24"/>
      <c r="G212" s="24"/>
      <c r="H212" s="24"/>
      <c r="I212" s="22"/>
      <c r="J212" s="24"/>
      <c r="K212" s="25"/>
    </row>
    <row r="213" spans="1:11" ht="19.5" customHeight="1">
      <c r="A213" s="20">
        <v>203</v>
      </c>
      <c r="B213" s="21"/>
      <c r="C213" s="21"/>
      <c r="D213" s="21" t="str">
        <f t="shared" si="6"/>
        <v/>
      </c>
      <c r="E213" s="21" t="str">
        <f t="shared" si="7"/>
        <v/>
      </c>
      <c r="F213" s="21"/>
      <c r="G213" s="21"/>
      <c r="H213" s="21"/>
      <c r="I213" s="22"/>
      <c r="J213" s="21"/>
      <c r="K213" s="23"/>
    </row>
    <row r="214" spans="1:11" ht="19.5" customHeight="1">
      <c r="A214" s="20">
        <v>204</v>
      </c>
      <c r="B214" s="24"/>
      <c r="C214" s="24"/>
      <c r="D214" s="24" t="str">
        <f t="shared" si="6"/>
        <v/>
      </c>
      <c r="E214" s="24" t="str">
        <f t="shared" si="7"/>
        <v/>
      </c>
      <c r="F214" s="24"/>
      <c r="G214" s="24"/>
      <c r="H214" s="24"/>
      <c r="I214" s="22"/>
      <c r="J214" s="24"/>
      <c r="K214" s="25"/>
    </row>
    <row r="215" spans="1:11" ht="19.5" customHeight="1">
      <c r="A215" s="20">
        <v>205</v>
      </c>
      <c r="B215" s="21"/>
      <c r="C215" s="21"/>
      <c r="D215" s="21" t="str">
        <f t="shared" si="6"/>
        <v/>
      </c>
      <c r="E215" s="21" t="str">
        <f t="shared" si="7"/>
        <v/>
      </c>
      <c r="F215" s="21"/>
      <c r="G215" s="21"/>
      <c r="H215" s="21"/>
      <c r="I215" s="22"/>
      <c r="J215" s="21"/>
      <c r="K215" s="23"/>
    </row>
    <row r="216" spans="1:11" ht="19.5" customHeight="1">
      <c r="A216" s="20">
        <v>206</v>
      </c>
      <c r="B216" s="24"/>
      <c r="C216" s="24"/>
      <c r="D216" s="24" t="str">
        <f t="shared" si="6"/>
        <v/>
      </c>
      <c r="E216" s="24" t="str">
        <f t="shared" si="7"/>
        <v/>
      </c>
      <c r="F216" s="24"/>
      <c r="G216" s="24"/>
      <c r="H216" s="24"/>
      <c r="I216" s="22"/>
      <c r="J216" s="24"/>
      <c r="K216" s="25"/>
    </row>
    <row r="217" spans="1:11" ht="19.5" customHeight="1">
      <c r="A217" s="20">
        <v>207</v>
      </c>
      <c r="B217" s="21"/>
      <c r="C217" s="21"/>
      <c r="D217" s="21" t="str">
        <f t="shared" si="6"/>
        <v/>
      </c>
      <c r="E217" s="21" t="str">
        <f t="shared" si="7"/>
        <v/>
      </c>
      <c r="F217" s="21"/>
      <c r="G217" s="21"/>
      <c r="H217" s="21"/>
      <c r="I217" s="22"/>
      <c r="J217" s="21"/>
      <c r="K217" s="23"/>
    </row>
    <row r="218" spans="1:11" ht="19.5" customHeight="1">
      <c r="A218" s="20">
        <v>208</v>
      </c>
      <c r="B218" s="24"/>
      <c r="C218" s="24"/>
      <c r="D218" s="24" t="str">
        <f t="shared" si="6"/>
        <v/>
      </c>
      <c r="E218" s="24" t="str">
        <f t="shared" si="7"/>
        <v/>
      </c>
      <c r="F218" s="24"/>
      <c r="G218" s="24"/>
      <c r="H218" s="24"/>
      <c r="I218" s="22"/>
      <c r="J218" s="24"/>
      <c r="K218" s="25"/>
    </row>
    <row r="219" spans="1:11" ht="19.5" customHeight="1">
      <c r="A219" s="20">
        <v>209</v>
      </c>
      <c r="B219" s="21"/>
      <c r="C219" s="21"/>
      <c r="D219" s="21" t="str">
        <f t="shared" si="6"/>
        <v/>
      </c>
      <c r="E219" s="21" t="str">
        <f t="shared" si="7"/>
        <v/>
      </c>
      <c r="F219" s="21"/>
      <c r="G219" s="21"/>
      <c r="H219" s="21"/>
      <c r="I219" s="22"/>
      <c r="J219" s="21"/>
      <c r="K219" s="23"/>
    </row>
    <row r="220" spans="1:11" ht="19.5" customHeight="1">
      <c r="A220" s="20">
        <v>210</v>
      </c>
      <c r="B220" s="24"/>
      <c r="C220" s="24"/>
      <c r="D220" s="24" t="str">
        <f t="shared" si="6"/>
        <v/>
      </c>
      <c r="E220" s="24" t="str">
        <f t="shared" si="7"/>
        <v/>
      </c>
      <c r="F220" s="24"/>
      <c r="G220" s="24"/>
      <c r="H220" s="24"/>
      <c r="I220" s="22"/>
      <c r="J220" s="24"/>
      <c r="K220" s="25"/>
    </row>
    <row r="221" spans="1:11" ht="19.5" customHeight="1">
      <c r="A221" s="20">
        <v>211</v>
      </c>
      <c r="B221" s="21"/>
      <c r="C221" s="21"/>
      <c r="D221" s="21" t="str">
        <f t="shared" si="6"/>
        <v/>
      </c>
      <c r="E221" s="21" t="str">
        <f t="shared" si="7"/>
        <v/>
      </c>
      <c r="F221" s="21"/>
      <c r="G221" s="21"/>
      <c r="H221" s="21"/>
      <c r="I221" s="22"/>
      <c r="J221" s="21"/>
      <c r="K221" s="23"/>
    </row>
    <row r="222" spans="1:11" ht="19.5" customHeight="1">
      <c r="A222" s="20">
        <v>212</v>
      </c>
      <c r="B222" s="24"/>
      <c r="C222" s="24"/>
      <c r="D222" s="24" t="str">
        <f t="shared" si="6"/>
        <v/>
      </c>
      <c r="E222" s="24" t="str">
        <f t="shared" si="7"/>
        <v/>
      </c>
      <c r="F222" s="24"/>
      <c r="G222" s="24"/>
      <c r="H222" s="24"/>
      <c r="I222" s="22"/>
      <c r="J222" s="24"/>
      <c r="K222" s="25"/>
    </row>
    <row r="223" spans="1:11" ht="19.5" customHeight="1">
      <c r="A223" s="20">
        <v>213</v>
      </c>
      <c r="B223" s="21"/>
      <c r="C223" s="21"/>
      <c r="D223" s="21" t="str">
        <f t="shared" si="6"/>
        <v/>
      </c>
      <c r="E223" s="21" t="str">
        <f t="shared" si="7"/>
        <v/>
      </c>
      <c r="F223" s="21"/>
      <c r="G223" s="21"/>
      <c r="H223" s="21"/>
      <c r="I223" s="22"/>
      <c r="J223" s="21"/>
      <c r="K223" s="23"/>
    </row>
    <row r="224" spans="1:11" ht="19.5" customHeight="1">
      <c r="A224" s="20">
        <v>214</v>
      </c>
      <c r="B224" s="24"/>
      <c r="C224" s="24"/>
      <c r="D224" s="24" t="str">
        <f t="shared" si="6"/>
        <v/>
      </c>
      <c r="E224" s="24" t="str">
        <f t="shared" si="7"/>
        <v/>
      </c>
      <c r="F224" s="24"/>
      <c r="G224" s="24"/>
      <c r="H224" s="24"/>
      <c r="I224" s="22"/>
      <c r="J224" s="24"/>
      <c r="K224" s="25"/>
    </row>
    <row r="225" spans="1:11" ht="19.5" customHeight="1">
      <c r="A225" s="20">
        <v>215</v>
      </c>
      <c r="B225" s="21"/>
      <c r="C225" s="21"/>
      <c r="D225" s="21" t="str">
        <f t="shared" si="6"/>
        <v/>
      </c>
      <c r="E225" s="21" t="str">
        <f t="shared" si="7"/>
        <v/>
      </c>
      <c r="F225" s="21"/>
      <c r="G225" s="21"/>
      <c r="H225" s="21"/>
      <c r="I225" s="22"/>
      <c r="J225" s="21"/>
      <c r="K225" s="23"/>
    </row>
    <row r="226" spans="1:11" ht="19.5" customHeight="1">
      <c r="A226" s="20">
        <v>216</v>
      </c>
      <c r="B226" s="24"/>
      <c r="C226" s="24"/>
      <c r="D226" s="24" t="str">
        <f t="shared" si="6"/>
        <v/>
      </c>
      <c r="E226" s="24" t="str">
        <f t="shared" si="7"/>
        <v/>
      </c>
      <c r="F226" s="24"/>
      <c r="G226" s="24"/>
      <c r="H226" s="24"/>
      <c r="I226" s="22"/>
      <c r="J226" s="24"/>
      <c r="K226" s="25"/>
    </row>
    <row r="227" spans="1:11" ht="19.5" customHeight="1">
      <c r="A227" s="20">
        <v>217</v>
      </c>
      <c r="B227" s="21"/>
      <c r="C227" s="21"/>
      <c r="D227" s="21" t="str">
        <f t="shared" si="6"/>
        <v/>
      </c>
      <c r="E227" s="21" t="str">
        <f t="shared" si="7"/>
        <v/>
      </c>
      <c r="F227" s="21"/>
      <c r="G227" s="21"/>
      <c r="H227" s="21"/>
      <c r="I227" s="22"/>
      <c r="J227" s="21"/>
      <c r="K227" s="23"/>
    </row>
    <row r="228" spans="1:11" ht="19.5" customHeight="1">
      <c r="A228" s="20">
        <v>218</v>
      </c>
      <c r="B228" s="24"/>
      <c r="C228" s="24"/>
      <c r="D228" s="24" t="str">
        <f t="shared" si="6"/>
        <v/>
      </c>
      <c r="E228" s="24" t="str">
        <f t="shared" si="7"/>
        <v/>
      </c>
      <c r="F228" s="24"/>
      <c r="G228" s="24"/>
      <c r="H228" s="24"/>
      <c r="I228" s="22"/>
      <c r="J228" s="24"/>
      <c r="K228" s="25"/>
    </row>
    <row r="229" spans="1:11" ht="19.5" customHeight="1">
      <c r="A229" s="20">
        <v>219</v>
      </c>
      <c r="B229" s="21"/>
      <c r="C229" s="21"/>
      <c r="D229" s="21" t="str">
        <f t="shared" si="6"/>
        <v/>
      </c>
      <c r="E229" s="21" t="str">
        <f t="shared" si="7"/>
        <v/>
      </c>
      <c r="F229" s="21"/>
      <c r="G229" s="21"/>
      <c r="H229" s="21"/>
      <c r="I229" s="22"/>
      <c r="J229" s="21"/>
      <c r="K229" s="23"/>
    </row>
    <row r="230" spans="1:11" ht="19.5" customHeight="1">
      <c r="A230" s="20">
        <v>220</v>
      </c>
      <c r="B230" s="24"/>
      <c r="C230" s="24"/>
      <c r="D230" s="24" t="str">
        <f t="shared" si="6"/>
        <v/>
      </c>
      <c r="E230" s="24" t="str">
        <f t="shared" si="7"/>
        <v/>
      </c>
      <c r="F230" s="24"/>
      <c r="G230" s="24"/>
      <c r="H230" s="24"/>
      <c r="I230" s="22"/>
      <c r="J230" s="24"/>
      <c r="K230" s="25"/>
    </row>
    <row r="231" spans="1:11" ht="19.5" customHeight="1">
      <c r="A231" s="20">
        <v>221</v>
      </c>
      <c r="B231" s="21"/>
      <c r="C231" s="21"/>
      <c r="D231" s="21" t="str">
        <f t="shared" si="6"/>
        <v/>
      </c>
      <c r="E231" s="21" t="str">
        <f t="shared" si="7"/>
        <v/>
      </c>
      <c r="F231" s="21"/>
      <c r="G231" s="21"/>
      <c r="H231" s="21"/>
      <c r="I231" s="22"/>
      <c r="J231" s="21"/>
      <c r="K231" s="23"/>
    </row>
    <row r="232" spans="1:11" ht="19.5" customHeight="1">
      <c r="A232" s="20">
        <v>222</v>
      </c>
      <c r="B232" s="24"/>
      <c r="C232" s="24"/>
      <c r="D232" s="24" t="str">
        <f t="shared" si="6"/>
        <v/>
      </c>
      <c r="E232" s="24" t="str">
        <f t="shared" si="7"/>
        <v/>
      </c>
      <c r="F232" s="24"/>
      <c r="G232" s="24"/>
      <c r="H232" s="24"/>
      <c r="I232" s="22"/>
      <c r="J232" s="24"/>
      <c r="K232" s="25"/>
    </row>
    <row r="233" spans="1:11" ht="19.5" customHeight="1">
      <c r="A233" s="20">
        <v>223</v>
      </c>
      <c r="B233" s="21"/>
      <c r="C233" s="21"/>
      <c r="D233" s="21" t="str">
        <f t="shared" si="6"/>
        <v/>
      </c>
      <c r="E233" s="21" t="str">
        <f t="shared" si="7"/>
        <v/>
      </c>
      <c r="F233" s="21"/>
      <c r="G233" s="21"/>
      <c r="H233" s="21"/>
      <c r="I233" s="22"/>
      <c r="J233" s="21"/>
      <c r="K233" s="23"/>
    </row>
    <row r="234" spans="1:11" ht="19.5" customHeight="1">
      <c r="A234" s="20">
        <v>224</v>
      </c>
      <c r="B234" s="24"/>
      <c r="C234" s="24"/>
      <c r="D234" s="24" t="str">
        <f t="shared" si="6"/>
        <v/>
      </c>
      <c r="E234" s="24" t="str">
        <f t="shared" si="7"/>
        <v/>
      </c>
      <c r="F234" s="24"/>
      <c r="G234" s="24"/>
      <c r="H234" s="24"/>
      <c r="I234" s="22"/>
      <c r="J234" s="24"/>
      <c r="K234" s="25"/>
    </row>
    <row r="235" spans="1:11" ht="19.5" customHeight="1">
      <c r="A235" s="20">
        <v>225</v>
      </c>
      <c r="B235" s="21"/>
      <c r="C235" s="21"/>
      <c r="D235" s="21" t="str">
        <f t="shared" si="6"/>
        <v/>
      </c>
      <c r="E235" s="21" t="str">
        <f t="shared" si="7"/>
        <v/>
      </c>
      <c r="F235" s="21"/>
      <c r="G235" s="21"/>
      <c r="H235" s="21"/>
      <c r="I235" s="22"/>
      <c r="J235" s="21"/>
      <c r="K235" s="23"/>
    </row>
    <row r="236" spans="1:11" ht="19.5" customHeight="1">
      <c r="A236" s="20">
        <v>226</v>
      </c>
      <c r="B236" s="24"/>
      <c r="C236" s="24"/>
      <c r="D236" s="24" t="str">
        <f t="shared" si="6"/>
        <v/>
      </c>
      <c r="E236" s="24" t="str">
        <f t="shared" si="7"/>
        <v/>
      </c>
      <c r="F236" s="24"/>
      <c r="G236" s="24"/>
      <c r="H236" s="24"/>
      <c r="I236" s="22"/>
      <c r="J236" s="24"/>
      <c r="K236" s="25"/>
    </row>
    <row r="237" spans="1:11" ht="19.5" customHeight="1">
      <c r="A237" s="20">
        <v>227</v>
      </c>
      <c r="B237" s="21"/>
      <c r="C237" s="21"/>
      <c r="D237" s="21" t="str">
        <f t="shared" si="6"/>
        <v/>
      </c>
      <c r="E237" s="21" t="str">
        <f t="shared" si="7"/>
        <v/>
      </c>
      <c r="F237" s="21"/>
      <c r="G237" s="21"/>
      <c r="H237" s="21"/>
      <c r="I237" s="22"/>
      <c r="J237" s="21"/>
      <c r="K237" s="23"/>
    </row>
    <row r="238" spans="1:11" ht="19.5" customHeight="1">
      <c r="A238" s="20">
        <v>228</v>
      </c>
      <c r="B238" s="24"/>
      <c r="C238" s="24"/>
      <c r="D238" s="24" t="str">
        <f t="shared" si="6"/>
        <v/>
      </c>
      <c r="E238" s="24" t="str">
        <f t="shared" si="7"/>
        <v/>
      </c>
      <c r="F238" s="24"/>
      <c r="G238" s="24"/>
      <c r="H238" s="24"/>
      <c r="I238" s="22"/>
      <c r="J238" s="24"/>
      <c r="K238" s="25"/>
    </row>
    <row r="239" spans="1:11" ht="19.5" customHeight="1">
      <c r="A239" s="20">
        <v>229</v>
      </c>
      <c r="B239" s="21"/>
      <c r="C239" s="21"/>
      <c r="D239" s="21" t="str">
        <f t="shared" si="6"/>
        <v/>
      </c>
      <c r="E239" s="21" t="str">
        <f t="shared" si="7"/>
        <v/>
      </c>
      <c r="F239" s="21"/>
      <c r="G239" s="21"/>
      <c r="H239" s="21"/>
      <c r="I239" s="22"/>
      <c r="J239" s="21"/>
      <c r="K239" s="23"/>
    </row>
    <row r="240" spans="1:11" ht="19.5" customHeight="1">
      <c r="A240" s="20">
        <v>230</v>
      </c>
      <c r="B240" s="24"/>
      <c r="C240" s="24"/>
      <c r="D240" s="24" t="str">
        <f t="shared" si="6"/>
        <v/>
      </c>
      <c r="E240" s="24" t="str">
        <f t="shared" si="7"/>
        <v/>
      </c>
      <c r="F240" s="24"/>
      <c r="G240" s="24"/>
      <c r="H240" s="24"/>
      <c r="I240" s="22"/>
      <c r="J240" s="24"/>
      <c r="K240" s="25"/>
    </row>
    <row r="241" spans="1:11" ht="19.5" customHeight="1">
      <c r="A241" s="20">
        <v>231</v>
      </c>
      <c r="B241" s="21"/>
      <c r="C241" s="21"/>
      <c r="D241" s="21" t="str">
        <f t="shared" si="6"/>
        <v/>
      </c>
      <c r="E241" s="21" t="str">
        <f t="shared" si="7"/>
        <v/>
      </c>
      <c r="F241" s="21"/>
      <c r="G241" s="21"/>
      <c r="H241" s="21"/>
      <c r="I241" s="22"/>
      <c r="J241" s="21"/>
      <c r="K241" s="23"/>
    </row>
    <row r="242" spans="1:11" ht="19.5" customHeight="1">
      <c r="A242" s="20">
        <v>232</v>
      </c>
      <c r="B242" s="24"/>
      <c r="C242" s="24"/>
      <c r="D242" s="24" t="str">
        <f t="shared" si="6"/>
        <v/>
      </c>
      <c r="E242" s="24" t="str">
        <f t="shared" si="7"/>
        <v/>
      </c>
      <c r="F242" s="24"/>
      <c r="G242" s="24"/>
      <c r="H242" s="24"/>
      <c r="I242" s="22"/>
      <c r="J242" s="24"/>
      <c r="K242" s="25"/>
    </row>
    <row r="243" spans="1:11" ht="19.5" customHeight="1">
      <c r="A243" s="20">
        <v>233</v>
      </c>
      <c r="B243" s="21"/>
      <c r="C243" s="21"/>
      <c r="D243" s="21" t="str">
        <f t="shared" si="6"/>
        <v/>
      </c>
      <c r="E243" s="21" t="str">
        <f t="shared" si="7"/>
        <v/>
      </c>
      <c r="F243" s="21"/>
      <c r="G243" s="21"/>
      <c r="H243" s="21"/>
      <c r="I243" s="22"/>
      <c r="J243" s="21"/>
      <c r="K243" s="23"/>
    </row>
    <row r="244" spans="1:11" ht="19.5" customHeight="1">
      <c r="A244" s="20">
        <v>234</v>
      </c>
      <c r="B244" s="24"/>
      <c r="C244" s="24"/>
      <c r="D244" s="24" t="str">
        <f t="shared" si="6"/>
        <v/>
      </c>
      <c r="E244" s="24" t="str">
        <f t="shared" si="7"/>
        <v/>
      </c>
      <c r="F244" s="24"/>
      <c r="G244" s="24"/>
      <c r="H244" s="24"/>
      <c r="I244" s="22"/>
      <c r="J244" s="24"/>
      <c r="K244" s="25"/>
    </row>
    <row r="245" spans="1:11" ht="19.5" customHeight="1">
      <c r="A245" s="20">
        <v>235</v>
      </c>
      <c r="B245" s="21"/>
      <c r="C245" s="21"/>
      <c r="D245" s="21" t="str">
        <f t="shared" si="6"/>
        <v/>
      </c>
      <c r="E245" s="21" t="str">
        <f t="shared" si="7"/>
        <v/>
      </c>
      <c r="F245" s="21"/>
      <c r="G245" s="21"/>
      <c r="H245" s="21"/>
      <c r="I245" s="22"/>
      <c r="J245" s="21"/>
      <c r="K245" s="23"/>
    </row>
    <row r="246" spans="1:11" ht="19.5" customHeight="1">
      <c r="A246" s="20">
        <v>236</v>
      </c>
      <c r="B246" s="24"/>
      <c r="C246" s="24"/>
      <c r="D246" s="24" t="str">
        <f t="shared" si="6"/>
        <v/>
      </c>
      <c r="E246" s="24" t="str">
        <f t="shared" si="7"/>
        <v/>
      </c>
      <c r="F246" s="24"/>
      <c r="G246" s="24"/>
      <c r="H246" s="24"/>
      <c r="I246" s="22"/>
      <c r="J246" s="24"/>
      <c r="K246" s="25"/>
    </row>
    <row r="247" spans="1:11" ht="19.5" customHeight="1">
      <c r="A247" s="20">
        <v>237</v>
      </c>
      <c r="B247" s="21"/>
      <c r="C247" s="21"/>
      <c r="D247" s="21" t="str">
        <f t="shared" si="6"/>
        <v/>
      </c>
      <c r="E247" s="21" t="str">
        <f t="shared" si="7"/>
        <v/>
      </c>
      <c r="F247" s="21"/>
      <c r="G247" s="21"/>
      <c r="H247" s="21"/>
      <c r="I247" s="22"/>
      <c r="J247" s="21"/>
      <c r="K247" s="23"/>
    </row>
    <row r="248" spans="1:11" ht="19.5" customHeight="1">
      <c r="A248" s="20">
        <v>238</v>
      </c>
      <c r="B248" s="24"/>
      <c r="C248" s="24"/>
      <c r="D248" s="24" t="str">
        <f t="shared" si="6"/>
        <v/>
      </c>
      <c r="E248" s="24" t="str">
        <f t="shared" si="7"/>
        <v/>
      </c>
      <c r="F248" s="24"/>
      <c r="G248" s="24"/>
      <c r="H248" s="24"/>
      <c r="I248" s="22"/>
      <c r="J248" s="24"/>
      <c r="K248" s="25"/>
    </row>
    <row r="249" spans="1:11" ht="19.5" customHeight="1">
      <c r="A249" s="20">
        <v>239</v>
      </c>
      <c r="B249" s="21"/>
      <c r="C249" s="21"/>
      <c r="D249" s="21" t="str">
        <f t="shared" si="6"/>
        <v/>
      </c>
      <c r="E249" s="21" t="str">
        <f t="shared" si="7"/>
        <v/>
      </c>
      <c r="F249" s="21"/>
      <c r="G249" s="21"/>
      <c r="H249" s="21"/>
      <c r="I249" s="22"/>
      <c r="J249" s="21"/>
      <c r="K249" s="23"/>
    </row>
    <row r="250" spans="1:11" ht="19.5" customHeight="1">
      <c r="A250" s="20">
        <v>240</v>
      </c>
      <c r="B250" s="24"/>
      <c r="C250" s="24"/>
      <c r="D250" s="24" t="str">
        <f t="shared" si="6"/>
        <v/>
      </c>
      <c r="E250" s="24" t="str">
        <f t="shared" si="7"/>
        <v/>
      </c>
      <c r="F250" s="24"/>
      <c r="G250" s="24"/>
      <c r="H250" s="24"/>
      <c r="I250" s="22"/>
      <c r="J250" s="24"/>
      <c r="K250" s="25"/>
    </row>
    <row r="251" spans="1:11" ht="19.5" customHeight="1">
      <c r="A251" s="20">
        <v>241</v>
      </c>
      <c r="B251" s="21"/>
      <c r="C251" s="21"/>
      <c r="D251" s="21" t="str">
        <f t="shared" si="6"/>
        <v/>
      </c>
      <c r="E251" s="21" t="str">
        <f t="shared" si="7"/>
        <v/>
      </c>
      <c r="F251" s="21"/>
      <c r="G251" s="21"/>
      <c r="H251" s="21"/>
      <c r="I251" s="22"/>
      <c r="J251" s="21"/>
      <c r="K251" s="23"/>
    </row>
    <row r="252" spans="1:11" ht="19.5" customHeight="1">
      <c r="A252" s="20">
        <v>242</v>
      </c>
      <c r="B252" s="24"/>
      <c r="C252" s="24"/>
      <c r="D252" s="24" t="str">
        <f t="shared" si="6"/>
        <v/>
      </c>
      <c r="E252" s="24" t="str">
        <f t="shared" si="7"/>
        <v/>
      </c>
      <c r="F252" s="24"/>
      <c r="G252" s="24"/>
      <c r="H252" s="24"/>
      <c r="I252" s="22"/>
      <c r="J252" s="24"/>
      <c r="K252" s="25"/>
    </row>
    <row r="253" spans="1:11" ht="19.5" customHeight="1">
      <c r="A253" s="20">
        <v>243</v>
      </c>
      <c r="B253" s="21"/>
      <c r="C253" s="21"/>
      <c r="D253" s="21" t="str">
        <f t="shared" si="6"/>
        <v/>
      </c>
      <c r="E253" s="21" t="str">
        <f t="shared" si="7"/>
        <v/>
      </c>
      <c r="F253" s="21"/>
      <c r="G253" s="21"/>
      <c r="H253" s="21"/>
      <c r="I253" s="22"/>
      <c r="J253" s="21"/>
      <c r="K253" s="23"/>
    </row>
    <row r="254" spans="1:11" ht="19.5" customHeight="1">
      <c r="A254" s="20">
        <v>244</v>
      </c>
      <c r="B254" s="24"/>
      <c r="C254" s="24"/>
      <c r="D254" s="24" t="str">
        <f t="shared" si="6"/>
        <v/>
      </c>
      <c r="E254" s="24" t="str">
        <f t="shared" si="7"/>
        <v/>
      </c>
      <c r="F254" s="24"/>
      <c r="G254" s="24"/>
      <c r="H254" s="24"/>
      <c r="I254" s="22"/>
      <c r="J254" s="24"/>
      <c r="K254" s="25"/>
    </row>
    <row r="255" spans="1:11" ht="19.5" customHeight="1">
      <c r="A255" s="20">
        <v>245</v>
      </c>
      <c r="B255" s="21"/>
      <c r="C255" s="21"/>
      <c r="D255" s="21" t="str">
        <f t="shared" si="6"/>
        <v/>
      </c>
      <c r="E255" s="21" t="str">
        <f t="shared" si="7"/>
        <v/>
      </c>
      <c r="F255" s="21"/>
      <c r="G255" s="21"/>
      <c r="H255" s="21"/>
      <c r="I255" s="22"/>
      <c r="J255" s="21"/>
      <c r="K255" s="23"/>
    </row>
    <row r="256" spans="1:11" ht="19.5" customHeight="1">
      <c r="A256" s="20">
        <v>246</v>
      </c>
      <c r="B256" s="26"/>
      <c r="C256" s="26"/>
      <c r="D256" s="26" t="str">
        <f t="shared" si="6"/>
        <v/>
      </c>
      <c r="E256" s="26" t="str">
        <f t="shared" si="7"/>
        <v/>
      </c>
      <c r="F256" s="26"/>
      <c r="G256" s="26"/>
      <c r="H256" s="26"/>
      <c r="I256" s="27"/>
      <c r="J256" s="26"/>
      <c r="K256" s="25"/>
    </row>
    <row r="257" spans="1:11" ht="19.5" customHeight="1">
      <c r="A257" s="20">
        <v>247</v>
      </c>
      <c r="B257" s="21"/>
      <c r="C257" s="21"/>
      <c r="D257" s="21" t="str">
        <f t="shared" si="6"/>
        <v/>
      </c>
      <c r="E257" s="21" t="str">
        <f t="shared" si="7"/>
        <v/>
      </c>
      <c r="F257" s="21"/>
      <c r="G257" s="21"/>
      <c r="H257" s="21"/>
      <c r="I257" s="22"/>
      <c r="J257" s="21"/>
      <c r="K257" s="23"/>
    </row>
    <row r="258" spans="1:11" ht="19.5" customHeight="1">
      <c r="A258" s="20">
        <v>248</v>
      </c>
      <c r="B258" s="24"/>
      <c r="C258" s="24"/>
      <c r="D258" s="24" t="str">
        <f t="shared" si="6"/>
        <v/>
      </c>
      <c r="E258" s="24" t="str">
        <f t="shared" si="7"/>
        <v/>
      </c>
      <c r="F258" s="24"/>
      <c r="G258" s="24"/>
      <c r="H258" s="24"/>
      <c r="I258" s="22"/>
      <c r="J258" s="24"/>
      <c r="K258" s="25"/>
    </row>
    <row r="259" spans="1:11" ht="19.5" customHeight="1">
      <c r="A259" s="28">
        <v>249</v>
      </c>
      <c r="D259" t="str">
        <f t="shared" si="6"/>
        <v/>
      </c>
      <c r="E259" t="str">
        <f t="shared" si="7"/>
        <v/>
      </c>
    </row>
    <row r="260" spans="1:11" ht="19.5" customHeight="1">
      <c r="A260" s="20">
        <v>250</v>
      </c>
      <c r="B260" s="24"/>
      <c r="C260" s="24"/>
      <c r="D260" s="24" t="str">
        <f t="shared" si="6"/>
        <v/>
      </c>
      <c r="E260" s="24" t="str">
        <f t="shared" si="7"/>
        <v/>
      </c>
      <c r="F260" s="24"/>
      <c r="G260" s="24"/>
      <c r="H260" s="24"/>
      <c r="I260" s="22"/>
      <c r="J260" s="24"/>
      <c r="K260" s="25"/>
    </row>
    <row r="261" spans="1:11" ht="19.5" customHeight="1">
      <c r="A261" s="20">
        <v>251</v>
      </c>
      <c r="B261" s="21"/>
      <c r="C261" s="21"/>
      <c r="D261" s="21" t="str">
        <f t="shared" si="6"/>
        <v/>
      </c>
      <c r="E261" s="21" t="str">
        <f t="shared" si="7"/>
        <v/>
      </c>
      <c r="F261" s="21"/>
      <c r="G261" s="21"/>
      <c r="H261" s="21"/>
      <c r="I261" s="22"/>
      <c r="J261" s="21"/>
      <c r="K261" s="23"/>
    </row>
    <row r="262" spans="1:11" ht="19.5" customHeight="1">
      <c r="A262" s="20">
        <v>252</v>
      </c>
      <c r="B262" s="24"/>
      <c r="C262" s="24"/>
      <c r="D262" s="24" t="str">
        <f t="shared" si="6"/>
        <v/>
      </c>
      <c r="E262" s="24" t="str">
        <f t="shared" si="7"/>
        <v/>
      </c>
      <c r="F262" s="24"/>
      <c r="G262" s="24"/>
      <c r="H262" s="24"/>
      <c r="I262" s="22"/>
      <c r="J262" s="24"/>
      <c r="K262" s="25"/>
    </row>
    <row r="263" spans="1:11" ht="19.5" customHeight="1">
      <c r="A263" s="20">
        <v>253</v>
      </c>
      <c r="B263" s="21"/>
      <c r="C263" s="21"/>
      <c r="D263" s="21" t="str">
        <f t="shared" si="6"/>
        <v/>
      </c>
      <c r="E263" s="21" t="str">
        <f t="shared" si="7"/>
        <v/>
      </c>
      <c r="F263" s="21"/>
      <c r="G263" s="21"/>
      <c r="H263" s="21"/>
      <c r="I263" s="22"/>
      <c r="J263" s="21"/>
      <c r="K263" s="23"/>
    </row>
    <row r="264" spans="1:11" ht="19.5" customHeight="1">
      <c r="A264" s="20">
        <v>254</v>
      </c>
      <c r="B264" s="24"/>
      <c r="C264" s="24"/>
      <c r="D264" s="24" t="str">
        <f t="shared" si="6"/>
        <v/>
      </c>
      <c r="E264" s="24" t="str">
        <f t="shared" si="7"/>
        <v/>
      </c>
      <c r="F264" s="24"/>
      <c r="G264" s="24"/>
      <c r="H264" s="24"/>
      <c r="I264" s="22"/>
      <c r="J264" s="24"/>
      <c r="K264" s="25"/>
    </row>
    <row r="265" spans="1:11" ht="19.5" customHeight="1">
      <c r="A265" s="20">
        <v>255</v>
      </c>
      <c r="B265" s="21"/>
      <c r="C265" s="21"/>
      <c r="D265" s="21" t="str">
        <f t="shared" si="6"/>
        <v/>
      </c>
      <c r="E265" s="21" t="str">
        <f t="shared" si="7"/>
        <v/>
      </c>
      <c r="F265" s="21"/>
      <c r="G265" s="21"/>
      <c r="H265" s="21"/>
      <c r="I265" s="22"/>
      <c r="J265" s="21"/>
      <c r="K265" s="23"/>
    </row>
    <row r="266" spans="1:11" ht="19.5" customHeight="1">
      <c r="A266" s="20">
        <v>256</v>
      </c>
      <c r="B266" s="24"/>
      <c r="C266" s="24"/>
      <c r="D266" s="24" t="str">
        <f t="shared" si="6"/>
        <v/>
      </c>
      <c r="E266" s="24" t="str">
        <f t="shared" si="7"/>
        <v/>
      </c>
      <c r="F266" s="24"/>
      <c r="G266" s="24"/>
      <c r="H266" s="24"/>
      <c r="I266" s="22"/>
      <c r="J266" s="24"/>
      <c r="K266" s="25"/>
    </row>
    <row r="267" spans="1:11" ht="19.5" customHeight="1">
      <c r="A267" s="20">
        <v>257</v>
      </c>
      <c r="B267" s="21"/>
      <c r="C267" s="21"/>
      <c r="D267" s="21" t="str">
        <f t="shared" ref="D267:D310" si="8">IF(B267="","",PHONETIC(B267))</f>
        <v/>
      </c>
      <c r="E267" s="21" t="str">
        <f t="shared" ref="E267:E310" si="9">IF(C267="","",PHONETIC(C267))</f>
        <v/>
      </c>
      <c r="F267" s="21"/>
      <c r="G267" s="21"/>
      <c r="H267" s="21"/>
      <c r="I267" s="22"/>
      <c r="J267" s="21"/>
      <c r="K267" s="23"/>
    </row>
    <row r="268" spans="1:11" ht="19.5" customHeight="1">
      <c r="A268" s="20">
        <v>258</v>
      </c>
      <c r="B268" s="24"/>
      <c r="C268" s="24"/>
      <c r="D268" s="24" t="str">
        <f t="shared" si="8"/>
        <v/>
      </c>
      <c r="E268" s="24" t="str">
        <f t="shared" si="9"/>
        <v/>
      </c>
      <c r="F268" s="24"/>
      <c r="G268" s="24"/>
      <c r="H268" s="24"/>
      <c r="I268" s="22"/>
      <c r="J268" s="24"/>
      <c r="K268" s="25"/>
    </row>
    <row r="269" spans="1:11" ht="19.5" customHeight="1">
      <c r="A269" s="20">
        <v>259</v>
      </c>
      <c r="B269" s="21"/>
      <c r="C269" s="21"/>
      <c r="D269" s="21" t="str">
        <f t="shared" si="8"/>
        <v/>
      </c>
      <c r="E269" s="21" t="str">
        <f t="shared" si="9"/>
        <v/>
      </c>
      <c r="F269" s="21"/>
      <c r="G269" s="21"/>
      <c r="H269" s="21"/>
      <c r="I269" s="22"/>
      <c r="J269" s="21"/>
      <c r="K269" s="23"/>
    </row>
    <row r="270" spans="1:11" ht="19.5" customHeight="1">
      <c r="A270" s="20">
        <v>260</v>
      </c>
      <c r="B270" s="24"/>
      <c r="C270" s="24"/>
      <c r="D270" s="24" t="str">
        <f t="shared" si="8"/>
        <v/>
      </c>
      <c r="E270" s="24" t="str">
        <f t="shared" si="9"/>
        <v/>
      </c>
      <c r="F270" s="24"/>
      <c r="G270" s="24"/>
      <c r="H270" s="24"/>
      <c r="I270" s="22"/>
      <c r="J270" s="24"/>
      <c r="K270" s="25"/>
    </row>
    <row r="271" spans="1:11" ht="19.5" customHeight="1">
      <c r="A271" s="20">
        <v>261</v>
      </c>
      <c r="B271" s="21"/>
      <c r="C271" s="21"/>
      <c r="D271" s="21" t="str">
        <f t="shared" si="8"/>
        <v/>
      </c>
      <c r="E271" s="21" t="str">
        <f t="shared" si="9"/>
        <v/>
      </c>
      <c r="F271" s="21"/>
      <c r="G271" s="21"/>
      <c r="H271" s="21"/>
      <c r="I271" s="22"/>
      <c r="J271" s="21"/>
      <c r="K271" s="23"/>
    </row>
    <row r="272" spans="1:11" ht="19.5" customHeight="1">
      <c r="A272" s="20">
        <v>262</v>
      </c>
      <c r="B272" s="24"/>
      <c r="C272" s="24"/>
      <c r="D272" s="24" t="str">
        <f t="shared" si="8"/>
        <v/>
      </c>
      <c r="E272" s="24" t="str">
        <f t="shared" si="9"/>
        <v/>
      </c>
      <c r="F272" s="24"/>
      <c r="G272" s="24"/>
      <c r="H272" s="24"/>
      <c r="I272" s="22"/>
      <c r="J272" s="24"/>
      <c r="K272" s="25"/>
    </row>
    <row r="273" spans="1:11" ht="19.5" customHeight="1">
      <c r="A273" s="20">
        <v>263</v>
      </c>
      <c r="B273" s="21"/>
      <c r="C273" s="21"/>
      <c r="D273" s="21" t="str">
        <f t="shared" si="8"/>
        <v/>
      </c>
      <c r="E273" s="21" t="str">
        <f t="shared" si="9"/>
        <v/>
      </c>
      <c r="F273" s="21"/>
      <c r="G273" s="21"/>
      <c r="H273" s="21"/>
      <c r="I273" s="22"/>
      <c r="J273" s="21"/>
      <c r="K273" s="23"/>
    </row>
    <row r="274" spans="1:11" ht="19.5" customHeight="1">
      <c r="A274" s="20">
        <v>264</v>
      </c>
      <c r="B274" s="24"/>
      <c r="C274" s="24"/>
      <c r="D274" s="24" t="str">
        <f t="shared" si="8"/>
        <v/>
      </c>
      <c r="E274" s="24" t="str">
        <f t="shared" si="9"/>
        <v/>
      </c>
      <c r="F274" s="24"/>
      <c r="G274" s="24"/>
      <c r="H274" s="24"/>
      <c r="I274" s="22"/>
      <c r="J274" s="24"/>
      <c r="K274" s="25"/>
    </row>
    <row r="275" spans="1:11" ht="19.5" customHeight="1">
      <c r="A275" s="20">
        <v>265</v>
      </c>
      <c r="B275" s="21"/>
      <c r="C275" s="21"/>
      <c r="D275" s="21" t="str">
        <f t="shared" si="8"/>
        <v/>
      </c>
      <c r="E275" s="21" t="str">
        <f t="shared" si="9"/>
        <v/>
      </c>
      <c r="F275" s="21"/>
      <c r="G275" s="21"/>
      <c r="H275" s="21"/>
      <c r="I275" s="22"/>
      <c r="J275" s="21"/>
      <c r="K275" s="23"/>
    </row>
    <row r="276" spans="1:11" ht="19.5" customHeight="1">
      <c r="A276" s="20">
        <v>266</v>
      </c>
      <c r="B276" s="24"/>
      <c r="C276" s="24"/>
      <c r="D276" s="24" t="str">
        <f t="shared" si="8"/>
        <v/>
      </c>
      <c r="E276" s="24" t="str">
        <f t="shared" si="9"/>
        <v/>
      </c>
      <c r="F276" s="24"/>
      <c r="G276" s="24"/>
      <c r="H276" s="24"/>
      <c r="I276" s="22"/>
      <c r="J276" s="24"/>
      <c r="K276" s="25"/>
    </row>
    <row r="277" spans="1:11" ht="19.5" customHeight="1">
      <c r="A277" s="20">
        <v>267</v>
      </c>
      <c r="B277" s="21"/>
      <c r="C277" s="21"/>
      <c r="D277" s="21" t="str">
        <f t="shared" si="8"/>
        <v/>
      </c>
      <c r="E277" s="21" t="str">
        <f t="shared" si="9"/>
        <v/>
      </c>
      <c r="F277" s="21"/>
      <c r="G277" s="21"/>
      <c r="H277" s="21"/>
      <c r="I277" s="22"/>
      <c r="J277" s="21"/>
      <c r="K277" s="23"/>
    </row>
    <row r="278" spans="1:11" ht="19.5" customHeight="1">
      <c r="A278" s="20">
        <v>268</v>
      </c>
      <c r="B278" s="24"/>
      <c r="C278" s="24"/>
      <c r="D278" s="24" t="str">
        <f t="shared" si="8"/>
        <v/>
      </c>
      <c r="E278" s="24" t="str">
        <f t="shared" si="9"/>
        <v/>
      </c>
      <c r="F278" s="24"/>
      <c r="G278" s="24"/>
      <c r="H278" s="24"/>
      <c r="I278" s="22"/>
      <c r="J278" s="24"/>
      <c r="K278" s="25"/>
    </row>
    <row r="279" spans="1:11" ht="19.5" customHeight="1">
      <c r="A279" s="20">
        <v>269</v>
      </c>
      <c r="B279" s="21"/>
      <c r="C279" s="21"/>
      <c r="D279" s="21" t="str">
        <f t="shared" si="8"/>
        <v/>
      </c>
      <c r="E279" s="21" t="str">
        <f t="shared" si="9"/>
        <v/>
      </c>
      <c r="F279" s="21"/>
      <c r="G279" s="21"/>
      <c r="H279" s="21"/>
      <c r="I279" s="22"/>
      <c r="J279" s="21"/>
      <c r="K279" s="23"/>
    </row>
    <row r="280" spans="1:11" ht="19.5" customHeight="1">
      <c r="A280" s="20">
        <v>270</v>
      </c>
      <c r="B280" s="24"/>
      <c r="C280" s="24"/>
      <c r="D280" s="24" t="str">
        <f t="shared" si="8"/>
        <v/>
      </c>
      <c r="E280" s="24" t="str">
        <f t="shared" si="9"/>
        <v/>
      </c>
      <c r="F280" s="24"/>
      <c r="G280" s="24"/>
      <c r="H280" s="24"/>
      <c r="I280" s="22"/>
      <c r="J280" s="24"/>
      <c r="K280" s="25"/>
    </row>
    <row r="281" spans="1:11" ht="19.5" customHeight="1">
      <c r="A281" s="20">
        <v>271</v>
      </c>
      <c r="B281" s="21"/>
      <c r="C281" s="21"/>
      <c r="D281" s="21" t="str">
        <f t="shared" si="8"/>
        <v/>
      </c>
      <c r="E281" s="21" t="str">
        <f t="shared" si="9"/>
        <v/>
      </c>
      <c r="F281" s="21"/>
      <c r="G281" s="21"/>
      <c r="H281" s="21"/>
      <c r="I281" s="22"/>
      <c r="J281" s="21"/>
      <c r="K281" s="23"/>
    </row>
    <row r="282" spans="1:11" ht="19.5" customHeight="1">
      <c r="A282" s="20">
        <v>272</v>
      </c>
      <c r="B282" s="24"/>
      <c r="C282" s="24"/>
      <c r="D282" s="24" t="str">
        <f t="shared" si="8"/>
        <v/>
      </c>
      <c r="E282" s="24" t="str">
        <f t="shared" si="9"/>
        <v/>
      </c>
      <c r="F282" s="24"/>
      <c r="G282" s="24"/>
      <c r="H282" s="24"/>
      <c r="I282" s="22"/>
      <c r="J282" s="24"/>
      <c r="K282" s="25"/>
    </row>
    <row r="283" spans="1:11" ht="19.5" customHeight="1">
      <c r="A283" s="20">
        <v>273</v>
      </c>
      <c r="B283" s="21"/>
      <c r="C283" s="21"/>
      <c r="D283" s="21" t="str">
        <f t="shared" si="8"/>
        <v/>
      </c>
      <c r="E283" s="21" t="str">
        <f t="shared" si="9"/>
        <v/>
      </c>
      <c r="F283" s="21"/>
      <c r="G283" s="21"/>
      <c r="H283" s="21"/>
      <c r="I283" s="22"/>
      <c r="J283" s="21"/>
      <c r="K283" s="23"/>
    </row>
    <row r="284" spans="1:11" ht="19.5" customHeight="1">
      <c r="A284" s="20">
        <v>274</v>
      </c>
      <c r="B284" s="24"/>
      <c r="C284" s="24"/>
      <c r="D284" s="24" t="str">
        <f t="shared" si="8"/>
        <v/>
      </c>
      <c r="E284" s="24" t="str">
        <f t="shared" si="9"/>
        <v/>
      </c>
      <c r="F284" s="24"/>
      <c r="G284" s="24"/>
      <c r="H284" s="24"/>
      <c r="I284" s="22"/>
      <c r="J284" s="24"/>
      <c r="K284" s="25"/>
    </row>
    <row r="285" spans="1:11" ht="19.5" customHeight="1">
      <c r="A285" s="20">
        <v>275</v>
      </c>
      <c r="B285" s="21"/>
      <c r="C285" s="21"/>
      <c r="D285" s="21" t="str">
        <f t="shared" si="8"/>
        <v/>
      </c>
      <c r="E285" s="21" t="str">
        <f t="shared" si="9"/>
        <v/>
      </c>
      <c r="F285" s="21"/>
      <c r="G285" s="21"/>
      <c r="H285" s="21"/>
      <c r="I285" s="22"/>
      <c r="J285" s="21"/>
      <c r="K285" s="23"/>
    </row>
    <row r="286" spans="1:11" ht="19.5" customHeight="1">
      <c r="A286" s="20">
        <v>276</v>
      </c>
      <c r="B286" s="24"/>
      <c r="C286" s="24"/>
      <c r="D286" s="24" t="str">
        <f t="shared" si="8"/>
        <v/>
      </c>
      <c r="E286" s="24" t="str">
        <f t="shared" si="9"/>
        <v/>
      </c>
      <c r="F286" s="24"/>
      <c r="G286" s="24"/>
      <c r="H286" s="24"/>
      <c r="I286" s="22"/>
      <c r="J286" s="24"/>
      <c r="K286" s="25"/>
    </row>
    <row r="287" spans="1:11" ht="19.5" customHeight="1">
      <c r="A287" s="20">
        <v>277</v>
      </c>
      <c r="B287" s="21"/>
      <c r="C287" s="21"/>
      <c r="D287" s="21" t="str">
        <f t="shared" si="8"/>
        <v/>
      </c>
      <c r="E287" s="21" t="str">
        <f t="shared" si="9"/>
        <v/>
      </c>
      <c r="F287" s="21"/>
      <c r="G287" s="21"/>
      <c r="H287" s="21"/>
      <c r="I287" s="22"/>
      <c r="J287" s="21"/>
      <c r="K287" s="23"/>
    </row>
    <row r="288" spans="1:11" ht="19.5" customHeight="1">
      <c r="A288" s="20">
        <v>278</v>
      </c>
      <c r="B288" s="24"/>
      <c r="C288" s="24"/>
      <c r="D288" s="24" t="str">
        <f t="shared" si="8"/>
        <v/>
      </c>
      <c r="E288" s="24" t="str">
        <f t="shared" si="9"/>
        <v/>
      </c>
      <c r="F288" s="24"/>
      <c r="G288" s="24"/>
      <c r="H288" s="24"/>
      <c r="I288" s="22"/>
      <c r="J288" s="24"/>
      <c r="K288" s="25"/>
    </row>
    <row r="289" spans="1:11" ht="19.5" customHeight="1">
      <c r="A289" s="20">
        <v>279</v>
      </c>
      <c r="B289" s="21"/>
      <c r="C289" s="21"/>
      <c r="D289" s="21" t="str">
        <f t="shared" si="8"/>
        <v/>
      </c>
      <c r="E289" s="21" t="str">
        <f t="shared" si="9"/>
        <v/>
      </c>
      <c r="F289" s="21"/>
      <c r="G289" s="21"/>
      <c r="H289" s="21"/>
      <c r="I289" s="22"/>
      <c r="J289" s="21"/>
      <c r="K289" s="23"/>
    </row>
    <row r="290" spans="1:11" ht="19.5" customHeight="1">
      <c r="A290" s="20">
        <v>280</v>
      </c>
      <c r="B290" s="24"/>
      <c r="C290" s="24"/>
      <c r="D290" s="24" t="str">
        <f t="shared" si="8"/>
        <v/>
      </c>
      <c r="E290" s="24" t="str">
        <f t="shared" si="9"/>
        <v/>
      </c>
      <c r="F290" s="24"/>
      <c r="G290" s="24"/>
      <c r="H290" s="24"/>
      <c r="I290" s="22"/>
      <c r="J290" s="24"/>
      <c r="K290" s="25"/>
    </row>
    <row r="291" spans="1:11" ht="19.5" customHeight="1">
      <c r="A291" s="20">
        <v>281</v>
      </c>
      <c r="B291" s="21"/>
      <c r="C291" s="21"/>
      <c r="D291" s="21" t="str">
        <f t="shared" si="8"/>
        <v/>
      </c>
      <c r="E291" s="21" t="str">
        <f t="shared" si="9"/>
        <v/>
      </c>
      <c r="F291" s="21"/>
      <c r="G291" s="21"/>
      <c r="H291" s="21"/>
      <c r="I291" s="22"/>
      <c r="J291" s="21"/>
      <c r="K291" s="23"/>
    </row>
    <row r="292" spans="1:11" ht="19.5" customHeight="1">
      <c r="A292" s="20">
        <v>282</v>
      </c>
      <c r="B292" s="24"/>
      <c r="C292" s="24"/>
      <c r="D292" s="24" t="str">
        <f t="shared" si="8"/>
        <v/>
      </c>
      <c r="E292" s="24" t="str">
        <f t="shared" si="9"/>
        <v/>
      </c>
      <c r="F292" s="24"/>
      <c r="G292" s="24"/>
      <c r="H292" s="24"/>
      <c r="I292" s="22"/>
      <c r="J292" s="24"/>
      <c r="K292" s="25"/>
    </row>
    <row r="293" spans="1:11" ht="19.5" customHeight="1">
      <c r="A293" s="20">
        <v>283</v>
      </c>
      <c r="B293" s="21"/>
      <c r="C293" s="21"/>
      <c r="D293" s="21" t="str">
        <f t="shared" si="8"/>
        <v/>
      </c>
      <c r="E293" s="21" t="str">
        <f t="shared" si="9"/>
        <v/>
      </c>
      <c r="F293" s="21"/>
      <c r="G293" s="21"/>
      <c r="H293" s="21"/>
      <c r="I293" s="22"/>
      <c r="J293" s="21"/>
      <c r="K293" s="23"/>
    </row>
    <row r="294" spans="1:11" ht="19.5" customHeight="1">
      <c r="A294" s="20">
        <v>284</v>
      </c>
      <c r="B294" s="24"/>
      <c r="C294" s="24"/>
      <c r="D294" s="24" t="str">
        <f t="shared" si="8"/>
        <v/>
      </c>
      <c r="E294" s="24" t="str">
        <f t="shared" si="9"/>
        <v/>
      </c>
      <c r="F294" s="24"/>
      <c r="G294" s="24"/>
      <c r="H294" s="24"/>
      <c r="I294" s="22"/>
      <c r="J294" s="24"/>
      <c r="K294" s="25"/>
    </row>
    <row r="295" spans="1:11" ht="19.5" customHeight="1">
      <c r="A295" s="20">
        <v>285</v>
      </c>
      <c r="B295" s="21"/>
      <c r="C295" s="21"/>
      <c r="D295" s="21" t="str">
        <f t="shared" si="8"/>
        <v/>
      </c>
      <c r="E295" s="21" t="str">
        <f t="shared" si="9"/>
        <v/>
      </c>
      <c r="F295" s="21"/>
      <c r="G295" s="21"/>
      <c r="H295" s="21"/>
      <c r="I295" s="22"/>
      <c r="J295" s="21"/>
      <c r="K295" s="23"/>
    </row>
    <row r="296" spans="1:11" ht="19.5" customHeight="1">
      <c r="A296" s="20">
        <v>286</v>
      </c>
      <c r="B296" s="24"/>
      <c r="C296" s="24"/>
      <c r="D296" s="24" t="str">
        <f t="shared" si="8"/>
        <v/>
      </c>
      <c r="E296" s="24" t="str">
        <f t="shared" si="9"/>
        <v/>
      </c>
      <c r="F296" s="24"/>
      <c r="G296" s="24"/>
      <c r="H296" s="24"/>
      <c r="I296" s="22"/>
      <c r="J296" s="24"/>
      <c r="K296" s="25"/>
    </row>
    <row r="297" spans="1:11" ht="19.5" customHeight="1">
      <c r="A297" s="20">
        <v>287</v>
      </c>
      <c r="B297" s="21"/>
      <c r="C297" s="21"/>
      <c r="D297" s="21" t="str">
        <f t="shared" si="8"/>
        <v/>
      </c>
      <c r="E297" s="21" t="str">
        <f t="shared" si="9"/>
        <v/>
      </c>
      <c r="F297" s="21"/>
      <c r="G297" s="21"/>
      <c r="H297" s="21"/>
      <c r="I297" s="22"/>
      <c r="J297" s="21"/>
      <c r="K297" s="23"/>
    </row>
    <row r="298" spans="1:11" ht="19.5" customHeight="1">
      <c r="A298" s="20">
        <v>288</v>
      </c>
      <c r="B298" s="24"/>
      <c r="C298" s="24"/>
      <c r="D298" s="24" t="str">
        <f t="shared" si="8"/>
        <v/>
      </c>
      <c r="E298" s="24" t="str">
        <f t="shared" si="9"/>
        <v/>
      </c>
      <c r="F298" s="24"/>
      <c r="G298" s="24"/>
      <c r="H298" s="24"/>
      <c r="I298" s="22"/>
      <c r="J298" s="24"/>
      <c r="K298" s="25"/>
    </row>
    <row r="299" spans="1:11" ht="19.5" customHeight="1">
      <c r="A299" s="20">
        <v>289</v>
      </c>
      <c r="B299" s="21"/>
      <c r="C299" s="21"/>
      <c r="D299" s="21" t="str">
        <f t="shared" si="8"/>
        <v/>
      </c>
      <c r="E299" s="21" t="str">
        <f t="shared" si="9"/>
        <v/>
      </c>
      <c r="F299" s="21"/>
      <c r="G299" s="21"/>
      <c r="H299" s="21"/>
      <c r="I299" s="22"/>
      <c r="J299" s="21"/>
      <c r="K299" s="23"/>
    </row>
    <row r="300" spans="1:11" ht="19.5" customHeight="1">
      <c r="A300" s="20">
        <v>290</v>
      </c>
      <c r="B300" s="24"/>
      <c r="C300" s="24"/>
      <c r="D300" s="24" t="str">
        <f t="shared" si="8"/>
        <v/>
      </c>
      <c r="E300" s="24" t="str">
        <f t="shared" si="9"/>
        <v/>
      </c>
      <c r="F300" s="24"/>
      <c r="G300" s="24"/>
      <c r="H300" s="24"/>
      <c r="I300" s="22"/>
      <c r="J300" s="24"/>
      <c r="K300" s="25"/>
    </row>
    <row r="301" spans="1:11" ht="19.5" customHeight="1">
      <c r="A301" s="20">
        <v>291</v>
      </c>
      <c r="B301" s="21"/>
      <c r="C301" s="21"/>
      <c r="D301" s="21" t="str">
        <f t="shared" si="8"/>
        <v/>
      </c>
      <c r="E301" s="21" t="str">
        <f t="shared" si="9"/>
        <v/>
      </c>
      <c r="F301" s="21"/>
      <c r="G301" s="21"/>
      <c r="H301" s="21"/>
      <c r="I301" s="22"/>
      <c r="J301" s="21"/>
      <c r="K301" s="23"/>
    </row>
    <row r="302" spans="1:11" ht="19.5" customHeight="1">
      <c r="A302" s="20">
        <v>292</v>
      </c>
      <c r="B302" s="24"/>
      <c r="C302" s="24"/>
      <c r="D302" s="24" t="str">
        <f t="shared" si="8"/>
        <v/>
      </c>
      <c r="E302" s="24" t="str">
        <f t="shared" si="9"/>
        <v/>
      </c>
      <c r="F302" s="24"/>
      <c r="G302" s="24"/>
      <c r="H302" s="24"/>
      <c r="I302" s="22"/>
      <c r="J302" s="24"/>
      <c r="K302" s="25"/>
    </row>
    <row r="303" spans="1:11" ht="19.5" customHeight="1">
      <c r="A303" s="20">
        <v>293</v>
      </c>
      <c r="B303" s="21"/>
      <c r="C303" s="21"/>
      <c r="D303" s="21" t="str">
        <f t="shared" si="8"/>
        <v/>
      </c>
      <c r="E303" s="21" t="str">
        <f t="shared" si="9"/>
        <v/>
      </c>
      <c r="F303" s="21"/>
      <c r="G303" s="21"/>
      <c r="H303" s="21"/>
      <c r="I303" s="22"/>
      <c r="J303" s="21"/>
      <c r="K303" s="23"/>
    </row>
    <row r="304" spans="1:11" ht="19.5" customHeight="1">
      <c r="A304" s="20">
        <v>294</v>
      </c>
      <c r="B304" s="24"/>
      <c r="C304" s="24"/>
      <c r="D304" s="24" t="str">
        <f t="shared" si="8"/>
        <v/>
      </c>
      <c r="E304" s="24" t="str">
        <f t="shared" si="9"/>
        <v/>
      </c>
      <c r="F304" s="24"/>
      <c r="G304" s="24"/>
      <c r="H304" s="24"/>
      <c r="I304" s="22"/>
      <c r="J304" s="24"/>
      <c r="K304" s="25"/>
    </row>
    <row r="305" spans="1:11" ht="19.5" customHeight="1">
      <c r="A305" s="20">
        <v>295</v>
      </c>
      <c r="B305" s="21"/>
      <c r="C305" s="21"/>
      <c r="D305" s="21" t="str">
        <f t="shared" si="8"/>
        <v/>
      </c>
      <c r="E305" s="21" t="str">
        <f t="shared" si="9"/>
        <v/>
      </c>
      <c r="F305" s="21"/>
      <c r="G305" s="21"/>
      <c r="H305" s="21"/>
      <c r="I305" s="22"/>
      <c r="J305" s="21"/>
      <c r="K305" s="23"/>
    </row>
    <row r="306" spans="1:11" ht="19.5" customHeight="1">
      <c r="A306" s="20">
        <v>296</v>
      </c>
      <c r="B306" s="24"/>
      <c r="C306" s="24"/>
      <c r="D306" s="24" t="str">
        <f t="shared" si="8"/>
        <v/>
      </c>
      <c r="E306" s="24" t="str">
        <f t="shared" si="9"/>
        <v/>
      </c>
      <c r="F306" s="24"/>
      <c r="G306" s="24"/>
      <c r="H306" s="24"/>
      <c r="I306" s="22"/>
      <c r="J306" s="24"/>
      <c r="K306" s="25"/>
    </row>
    <row r="307" spans="1:11" ht="19.5" customHeight="1">
      <c r="A307" s="20">
        <v>297</v>
      </c>
      <c r="B307" s="21"/>
      <c r="C307" s="21"/>
      <c r="D307" s="21" t="str">
        <f t="shared" si="8"/>
        <v/>
      </c>
      <c r="E307" s="21" t="str">
        <f t="shared" si="9"/>
        <v/>
      </c>
      <c r="F307" s="21"/>
      <c r="G307" s="21"/>
      <c r="H307" s="21"/>
      <c r="I307" s="22"/>
      <c r="J307" s="21"/>
      <c r="K307" s="23"/>
    </row>
    <row r="308" spans="1:11" ht="19.5" customHeight="1">
      <c r="A308" s="20">
        <v>298</v>
      </c>
      <c r="B308" s="24"/>
      <c r="C308" s="24"/>
      <c r="D308" s="24" t="str">
        <f t="shared" si="8"/>
        <v/>
      </c>
      <c r="E308" s="24" t="str">
        <f t="shared" si="9"/>
        <v/>
      </c>
      <c r="F308" s="24"/>
      <c r="G308" s="24"/>
      <c r="H308" s="24"/>
      <c r="I308" s="22"/>
      <c r="J308" s="24"/>
      <c r="K308" s="25"/>
    </row>
    <row r="309" spans="1:11" ht="19.5" customHeight="1">
      <c r="A309" s="20">
        <v>299</v>
      </c>
      <c r="B309" s="21"/>
      <c r="C309" s="21"/>
      <c r="D309" s="21" t="str">
        <f t="shared" si="8"/>
        <v/>
      </c>
      <c r="E309" s="21" t="str">
        <f t="shared" si="9"/>
        <v/>
      </c>
      <c r="F309" s="21"/>
      <c r="G309" s="21"/>
      <c r="H309" s="21"/>
      <c r="I309" s="22"/>
      <c r="J309" s="21"/>
      <c r="K309" s="23"/>
    </row>
    <row r="310" spans="1:11" ht="19.5" customHeight="1">
      <c r="A310" s="20">
        <v>300</v>
      </c>
      <c r="B310" s="24"/>
      <c r="C310" s="24"/>
      <c r="D310" s="24" t="str">
        <f t="shared" si="8"/>
        <v/>
      </c>
      <c r="E310" s="24" t="str">
        <f t="shared" si="9"/>
        <v/>
      </c>
      <c r="F310" s="24"/>
      <c r="G310" s="24"/>
      <c r="H310" s="24"/>
      <c r="I310" s="22"/>
      <c r="J310" s="24"/>
      <c r="K310" s="25"/>
    </row>
    <row r="312" spans="1:11" ht="15" customHeight="1">
      <c r="A312" s="76" t="s">
        <v>58</v>
      </c>
      <c r="B312" s="56"/>
      <c r="C312" s="56"/>
      <c r="D312" s="56"/>
      <c r="E312" s="56"/>
      <c r="F312" s="56"/>
      <c r="G312" s="56"/>
      <c r="H312" s="56"/>
      <c r="I312" s="56"/>
      <c r="J312" s="56"/>
      <c r="K312" s="56"/>
    </row>
  </sheetData>
  <mergeCells count="18">
    <mergeCell ref="A1:K1"/>
    <mergeCell ref="C3:H3"/>
    <mergeCell ref="I5:J5"/>
    <mergeCell ref="C4:H4"/>
    <mergeCell ref="G6:H6"/>
    <mergeCell ref="K3:M3"/>
    <mergeCell ref="A3:B3"/>
    <mergeCell ref="A6:B6"/>
    <mergeCell ref="A4:B4"/>
    <mergeCell ref="K4:M4"/>
    <mergeCell ref="A312:K312"/>
    <mergeCell ref="E6:F6"/>
    <mergeCell ref="C6:D6"/>
    <mergeCell ref="A8:M8"/>
    <mergeCell ref="C5:H5"/>
    <mergeCell ref="K5:M5"/>
    <mergeCell ref="I6:M6"/>
    <mergeCell ref="A5:B5"/>
  </mergeCells>
  <phoneticPr fontId="37"/>
  <conditionalFormatting sqref="B11:C310">
    <cfRule type="expression" dxfId="1" priority="3">
      <formula>AND($B11&lt;&gt;"",COUNTIFS($B$11:$B$310,$B11,$C$11:$C$310,$C11)&gt;1)</formula>
    </cfRule>
  </conditionalFormatting>
  <conditionalFormatting sqref="I11:I310">
    <cfRule type="expression" dxfId="0" priority="2">
      <formula>AND(B11&lt;&gt;"",I11="")</formula>
    </cfRule>
  </conditionalFormatting>
  <dataValidations count="4">
    <dataValidation type="list" allowBlank="1" promptTitle="賞状印刷" prompt="賞状印刷を希望する人のみ「○」。空欄は希望なし。" sqref="K11:K310" xr:uid="{00000000-0002-0000-0300-000000000000}">
      <formula1>"○"</formula1>
      <formula2>0</formula2>
    </dataValidation>
    <dataValidation type="list" allowBlank="1" sqref="F11:F310" xr:uid="{00000000-0002-0000-0300-000001000000}">
      <formula1>"国立,県立,市町村立,私立,その他"</formula1>
      <formula2>0</formula2>
    </dataValidation>
    <dataValidation type="list" allowBlank="1" sqref="I11:I310" xr:uid="{00000000-0002-0000-0300-000002000000}">
      <formula1>"1,2,3,4,5,6,7,8,9"</formula1>
      <formula2>0</formula2>
    </dataValidation>
    <dataValidation type="list" allowBlank="1" sqref="H11:H310" xr:uid="{00000000-0002-0000-0300-000003000000}">
      <formula1>"小学校,中学校,高等学校,中等教育学校,高等専門学校,その他"</formula1>
    </dataValidation>
  </dataValidations>
  <pageMargins left="0.75" right="0.75" top="1" bottom="1" header="0.511811023622047" footer="0.511811023622047"/>
  <pageSetup paperSize="9" fitToHeight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L905"/>
  <sheetViews>
    <sheetView zoomScaleNormal="100" workbookViewId="0">
      <pane ySplit="5" topLeftCell="A6" activePane="bottomLeft" state="frozen"/>
      <selection activeCell="Q6" sqref="Q6"/>
      <selection pane="bottomLeft" activeCell="E8" sqref="E8"/>
    </sheetView>
  </sheetViews>
  <sheetFormatPr defaultColWidth="8.7265625" defaultRowHeight="14.5"/>
  <cols>
    <col min="1" max="1" width="12" customWidth="1"/>
    <col min="2" max="3" width="10" customWidth="1"/>
    <col min="4" max="5" width="12" customWidth="1"/>
    <col min="6" max="6" width="11" customWidth="1"/>
    <col min="7" max="7" width="14" customWidth="1"/>
    <col min="8" max="8" width="12" customWidth="1"/>
    <col min="9" max="9" width="6" customWidth="1"/>
    <col min="10" max="10" width="10" customWidth="1"/>
    <col min="11" max="11" width="9" customWidth="1"/>
    <col min="12" max="12" width="18" customWidth="1"/>
  </cols>
  <sheetData>
    <row r="1" spans="1:12" ht="30" customHeight="1">
      <c r="A1" s="84" t="s">
        <v>63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15" customHeight="1">
      <c r="A2" s="34" t="s">
        <v>64</v>
      </c>
    </row>
    <row r="3" spans="1:12" ht="15" customHeight="1">
      <c r="A3" s="1" t="s">
        <v>65</v>
      </c>
    </row>
    <row r="5" spans="1:12" ht="61.9" customHeight="1">
      <c r="A5" s="35" t="s">
        <v>66</v>
      </c>
      <c r="B5" s="35" t="s">
        <v>37</v>
      </c>
      <c r="C5" s="35" t="s">
        <v>38</v>
      </c>
      <c r="D5" s="35" t="s">
        <v>67</v>
      </c>
      <c r="E5" s="35" t="s">
        <v>68</v>
      </c>
      <c r="F5" s="35" t="s">
        <v>69</v>
      </c>
      <c r="G5" s="35" t="s">
        <v>42</v>
      </c>
      <c r="H5" s="35" t="s">
        <v>70</v>
      </c>
      <c r="I5" s="35" t="s">
        <v>44</v>
      </c>
      <c r="J5" s="35" t="s">
        <v>45</v>
      </c>
      <c r="K5" s="35" t="s">
        <v>71</v>
      </c>
      <c r="L5" s="36" t="s">
        <v>72</v>
      </c>
    </row>
    <row r="6" spans="1:12" ht="15" customHeight="1">
      <c r="A6" s="37" t="str">
        <f>IF(1&lt;=COUNTA(半紙!$B$11:$B$310),"半紙",IF(1&lt;=COUNTA(半紙!$B$11:$B$310)+COUNTA(条幅!$B$11:$B$310),"条幅(半切)",IF(1&lt;=COUNTA(半紙!$B$11:$B$310)+COUNTA(条幅!$B$11:$B$310)+COUNTA(条幅4分の1!$B$11:$B$310),"条幅(1/4)","")))</f>
        <v/>
      </c>
      <c r="B6" s="38" t="str">
        <f>IF(IF(1&lt;=COUNTA(半紙!$B$11:$B$310),INDEX(半紙!$B$11:$B$310,1),IF(1&lt;=COUNTA(半紙!$B$11:$B$310)+COUNTA(条幅!$B$11:$B$310),INDEX(条幅!$B$11:$B$310,1-COUNTA(半紙!$B$11:$B$310)),IF(1&lt;=COUNTA(半紙!$B$11:$B$310)+COUNTA(条幅!$B$11:$B$310)+COUNTA(条幅4分の1!$B$11:$B$310),INDEX(条幅4分の1!$B$11:$B$310,1-COUNTA(半紙!$B$11:$B$310)-COUNTA(条幅!$B$11:$B$310)),"")))=0,"",IF(1&lt;=COUNTA(半紙!$B$11:$B$310),INDEX(半紙!$B$11:$B$310,1),IF(1&lt;=COUNTA(半紙!$B$11:$B$310)+COUNTA(条幅!$B$11:$B$310),INDEX(条幅!$B$11:$B$310,1-COUNTA(半紙!$B$11:$B$310)),IF(1&lt;=COUNTA(半紙!$B$11:$B$310)+COUNTA(条幅!$B$11:$B$310)+COUNTA(条幅4分の1!$B$11:$B$310),INDEX(条幅4分の1!$B$11:$B$310,1-COUNTA(半紙!$B$11:$B$310)-COUNTA(条幅!$B$11:$B$310)),""))))</f>
        <v/>
      </c>
      <c r="C6" s="38" t="str">
        <f>IF(IF(1&lt;=COUNTA(半紙!$B$11:$B$310),INDEX(半紙!$C$11:$C$310,1),IF(1&lt;=COUNTA(半紙!$B$11:$B$310)+COUNTA(条幅!$B$11:$B$310),INDEX(条幅!$C$11:$C$310,1-COUNTA(半紙!$B$11:$B$310)),IF(1&lt;=COUNTA(半紙!$B$11:$B$310)+COUNTA(条幅!$B$11:$B$310)+COUNTA(条幅4分の1!$B$11:$B$310),INDEX(条幅4分の1!$C$11:$C$310,1-COUNTA(半紙!$B$11:$B$310)-COUNTA(条幅!$B$11:$B$310)),"")))=0,"",IF(1&lt;=COUNTA(半紙!$B$11:$B$310),INDEX(半紙!$C$11:$C$310,1),IF(1&lt;=COUNTA(半紙!$B$11:$B$310)+COUNTA(条幅!$B$11:$B$310),INDEX(条幅!$C$11:$C$310,1-COUNTA(半紙!$B$11:$B$310)),IF(1&lt;=COUNTA(半紙!$B$11:$B$310)+COUNTA(条幅!$B$11:$B$310)+COUNTA(条幅4分の1!$B$11:$B$310),INDEX(条幅4分の1!$C$11:$C$310,1-COUNTA(半紙!$B$11:$B$310)-COUNTA(条幅!$B$11:$B$310)),""))))</f>
        <v/>
      </c>
      <c r="D6" s="38" t="str">
        <f>IF(IF(1&lt;=COUNTA(半紙!$B$11:$B$310),INDEX(半紙!$D$11:$D$310,1),IF(1&lt;=COUNTA(半紙!$B$11:$B$310)+COUNTA(条幅!$B$11:$B$310),INDEX(条幅!$D$11:$D$310,1-COUNTA(半紙!$B$11:$B$310)),IF(1&lt;=COUNTA(半紙!$B$11:$B$310)+COUNTA(条幅!$B$11:$B$310)+COUNTA(条幅4分の1!$B$11:$B$310),INDEX(条幅4分の1!$D$11:$D$310,1-COUNTA(半紙!$B$11:$B$310)-COUNTA(条幅!$B$11:$B$310)),"")))=0,"",IF(1&lt;=COUNTA(半紙!$B$11:$B$310),INDEX(半紙!$D$11:$D$310,1),IF(1&lt;=COUNTA(半紙!$B$11:$B$310)+COUNTA(条幅!$B$11:$B$310),INDEX(条幅!$D$11:$D$310,1-COUNTA(半紙!$B$11:$B$310)),IF(1&lt;=COUNTA(半紙!$B$11:$B$310)+COUNTA(条幅!$B$11:$B$310)+COUNTA(条幅4分の1!$B$11:$B$310),INDEX(条幅4分の1!$D$11:$D$310,1-COUNTA(半紙!$B$11:$B$310)-COUNTA(条幅!$B$11:$B$310)),""))))</f>
        <v/>
      </c>
      <c r="E6" s="38" t="str">
        <f>IF(IF(1&lt;=COUNTA(半紙!$B$11:$B$310),INDEX(半紙!$E$11:$E$310,1),IF(1&lt;=COUNTA(半紙!$B$11:$B$310)+COUNTA(条幅!$B$11:$B$310),INDEX(条幅!$E$11:$E$310,1-COUNTA(半紙!$B$11:$B$310)),IF(1&lt;=COUNTA(半紙!$B$11:$B$310)+COUNTA(条幅!$B$11:$B$310)+COUNTA(条幅4分の1!$B$11:$B$310),INDEX(条幅4分の1!$E$11:$E$310,1-COUNTA(半紙!$B$11:$B$310)-COUNTA(条幅!$B$11:$B$310)),"")))=0,"",IF(1&lt;=COUNTA(半紙!$B$11:$B$310),INDEX(半紙!$E$11:$E$310,1),IF(1&lt;=COUNTA(半紙!$B$11:$B$310)+COUNTA(条幅!$B$11:$B$310),INDEX(条幅!$E$11:$E$310,1-COUNTA(半紙!$B$11:$B$310)),IF(1&lt;=COUNTA(半紙!$B$11:$B$310)+COUNTA(条幅!$B$11:$B$310)+COUNTA(条幅4分の1!$B$11:$B$310),INDEX(条幅4分の1!$E$11:$E$310,1-COUNTA(半紙!$B$11:$B$310)-COUNTA(条幅!$B$11:$B$310)),""))))</f>
        <v/>
      </c>
      <c r="F6" s="38" t="str">
        <f>IF(IF(1&lt;=COUNTA(半紙!$B$11:$B$310),INDEX(半紙!$F$11:$F$310,1),IF(1&lt;=COUNTA(半紙!$B$11:$B$310)+COUNTA(条幅!$B$11:$B$310),INDEX(条幅!$F$11:$F$310,1-COUNTA(半紙!$B$11:$B$310)),IF(1&lt;=COUNTA(半紙!$B$11:$B$310)+COUNTA(条幅!$B$11:$B$310)+COUNTA(条幅4分の1!$B$11:$B$310),INDEX(条幅4分の1!$F$11:$F$310,1-COUNTA(半紙!$B$11:$B$310)-COUNTA(条幅!$B$11:$B$310)),"")))=0,"",IF(1&lt;=COUNTA(半紙!$B$11:$B$310),INDEX(半紙!$F$11:$F$310,1),IF(1&lt;=COUNTA(半紙!$B$11:$B$310)+COUNTA(条幅!$B$11:$B$310),INDEX(条幅!$F$11:$F$310,1-COUNTA(半紙!$B$11:$B$310)),IF(1&lt;=COUNTA(半紙!$B$11:$B$310)+COUNTA(条幅!$B$11:$B$310)+COUNTA(条幅4分の1!$B$11:$B$310),INDEX(条幅4分の1!$F$11:$F$310,1-COUNTA(半紙!$B$11:$B$310)-COUNTA(条幅!$B$11:$B$310)),""))))</f>
        <v/>
      </c>
      <c r="G6" s="38" t="str">
        <f>IF(IF(1&lt;=COUNTA(半紙!$B$11:$B$310),INDEX(半紙!$G$11:$G$310,1),IF(1&lt;=COUNTA(半紙!$B$11:$B$310)+COUNTA(条幅!$B$11:$B$310),INDEX(条幅!$G$11:$G$310,1-COUNTA(半紙!$B$11:$B$310)),IF(1&lt;=COUNTA(半紙!$B$11:$B$310)+COUNTA(条幅!$B$11:$B$310)+COUNTA(条幅4分の1!$B$11:$B$310),INDEX(条幅4分の1!$G$11:$G$310,1-COUNTA(半紙!$B$11:$B$310)-COUNTA(条幅!$B$11:$B$310)),"")))=0,"",IF(1&lt;=COUNTA(半紙!$B$11:$B$310),INDEX(半紙!$G$11:$G$310,1),IF(1&lt;=COUNTA(半紙!$B$11:$B$310)+COUNTA(条幅!$B$11:$B$310),INDEX(条幅!$G$11:$G$310,1-COUNTA(半紙!$B$11:$B$310)),IF(1&lt;=COUNTA(半紙!$B$11:$B$310)+COUNTA(条幅!$B$11:$B$310)+COUNTA(条幅4分の1!$B$11:$B$310),INDEX(条幅4分の1!$G$11:$G$310,1-COUNTA(半紙!$B$11:$B$310)-COUNTA(条幅!$B$11:$B$310)),""))))</f>
        <v/>
      </c>
      <c r="H6" s="38" t="str">
        <f>IF(IF(1&lt;=COUNTA(半紙!$B$11:$B$310),INDEX(半紙!$H$11:$H$310,1),IF(1&lt;=COUNTA(半紙!$B$11:$B$310)+COUNTA(条幅!$B$11:$B$310),INDEX(条幅!$H$11:$H$310,1-COUNTA(半紙!$B$11:$B$310)),IF(1&lt;=COUNTA(半紙!$B$11:$B$310)+COUNTA(条幅!$B$11:$B$310)+COUNTA(条幅4分の1!$B$11:$B$310),INDEX(条幅4分の1!$H$11:$H$310,1-COUNTA(半紙!$B$11:$B$310)-COUNTA(条幅!$B$11:$B$310)),"")))=0,"",IF(1&lt;=COUNTA(半紙!$B$11:$B$310),INDEX(半紙!$H$11:$H$310,1),IF(1&lt;=COUNTA(半紙!$B$11:$B$310)+COUNTA(条幅!$B$11:$B$310),INDEX(条幅!$H$11:$H$310,1-COUNTA(半紙!$B$11:$B$310)),IF(1&lt;=COUNTA(半紙!$B$11:$B$310)+COUNTA(条幅!$B$11:$B$310)+COUNTA(条幅4分の1!$B$11:$B$310),INDEX(条幅4分の1!$H$11:$H$310,1-COUNTA(半紙!$B$11:$B$310)-COUNTA(条幅!$B$11:$B$310)),""))))</f>
        <v/>
      </c>
      <c r="I6" s="38" t="str">
        <f>IF(IF(1&lt;=COUNTA(半紙!$B$11:$B$310),INDEX(半紙!$I$11:$I$310,1),IF(1&lt;=COUNTA(半紙!$B$11:$B$310)+COUNTA(条幅!$B$11:$B$310),INDEX(条幅!$I$11:$I$310,1-COUNTA(半紙!$B$11:$B$310)),IF(1&lt;=COUNTA(半紙!$B$11:$B$310)+COUNTA(条幅!$B$11:$B$310)+COUNTA(条幅4分の1!$B$11:$B$310),INDEX(条幅4分の1!$I$11:$I$310,1-COUNTA(半紙!$B$11:$B$310)-COUNTA(条幅!$B$11:$B$310)),"")))=0,"",IF(1&lt;=COUNTA(半紙!$B$11:$B$310),INDEX(半紙!$I$11:$I$310,1),IF(1&lt;=COUNTA(半紙!$B$11:$B$310)+COUNTA(条幅!$B$11:$B$310),INDEX(条幅!$I$11:$I$310,1-COUNTA(半紙!$B$11:$B$310)),IF(1&lt;=COUNTA(半紙!$B$11:$B$310)+COUNTA(条幅!$B$11:$B$310)+COUNTA(条幅4分の1!$B$11:$B$310),INDEX(条幅4分の1!$I$11:$I$310,1-COUNTA(半紙!$B$11:$B$310)-COUNTA(条幅!$B$11:$B$310)),""))))</f>
        <v/>
      </c>
      <c r="J6" s="38" t="str">
        <f>IF(IF(1&lt;=COUNTA(半紙!$B$11:$B$310),INDEX(半紙!$J$11:$J$310,1),IF(1&lt;=COUNTA(半紙!$B$11:$B$310)+COUNTA(条幅!$B$11:$B$310),INDEX(条幅!$J$11:$J$310,1-COUNTA(半紙!$B$11:$B$310)),IF(1&lt;=COUNTA(半紙!$B$11:$B$310)+COUNTA(条幅!$B$11:$B$310)+COUNTA(条幅4分の1!$B$11:$B$310),INDEX(条幅4分の1!$J$11:$J$310,1-COUNTA(半紙!$B$11:$B$310)-COUNTA(条幅!$B$11:$B$310)),"")))=0,"",IF(1&lt;=COUNTA(半紙!$B$11:$B$310),INDEX(半紙!$J$11:$J$310,1),IF(1&lt;=COUNTA(半紙!$B$11:$B$310)+COUNTA(条幅!$B$11:$B$310),INDEX(条幅!$J$11:$J$310,1-COUNTA(半紙!$B$11:$B$310)),IF(1&lt;=COUNTA(半紙!$B$11:$B$310)+COUNTA(条幅!$B$11:$B$310)+COUNTA(条幅4分の1!$B$11:$B$310),INDEX(条幅4分の1!$J$11:$J$310,1-COUNTA(半紙!$B$11:$B$310)-COUNTA(条幅!$B$11:$B$310)),""))))</f>
        <v/>
      </c>
      <c r="K6" s="38" t="str">
        <f>IF(IF(1&lt;=COUNTA(半紙!$B$11:$B$310),INDEX(半紙!$K$11:$K$310,1),IF(1&lt;=COUNTA(半紙!$B$11:$B$310)+COUNTA(条幅!$B$11:$B$310),INDEX(条幅!$K$11:$K$310,1-COUNTA(半紙!$B$11:$B$310)),IF(1&lt;=COUNTA(半紙!$B$11:$B$310)+COUNTA(条幅!$B$11:$B$310)+COUNTA(条幅4分の1!$B$11:$B$310),INDEX(条幅4分の1!$K$11:$K$310,1-COUNTA(半紙!$B$11:$B$310)-COUNTA(条幅!$B$11:$B$310)),"")))=0,"",IF(1&lt;=COUNTA(半紙!$B$11:$B$310),INDEX(半紙!$K$11:$K$310,1),IF(1&lt;=COUNTA(半紙!$B$11:$B$310)+COUNTA(条幅!$B$11:$B$310),INDEX(条幅!$K$11:$K$310,1-COUNTA(半紙!$B$11:$B$310)),IF(1&lt;=COUNTA(半紙!$B$11:$B$310)+COUNTA(条幅!$B$11:$B$310)+COUNTA(条幅4分の1!$B$11:$B$310),INDEX(条幅4分の1!$K$11:$K$310,1-COUNTA(半紙!$B$11:$B$310)-COUNTA(条幅!$B$11:$B$310)),""))))</f>
        <v/>
      </c>
      <c r="L6" s="48" t="str">
        <f>IF($B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1))</f>
        <v/>
      </c>
    </row>
    <row r="7" spans="1:12" ht="15" customHeight="1">
      <c r="A7" s="37" t="str">
        <f>IF(2&lt;=COUNTA(半紙!$B$11:$B$310),"半紙",IF(2&lt;=COUNTA(半紙!$B$11:$B$310)+COUNTA(条幅!$B$11:$B$310),"条幅(半切)",IF(2&lt;=COUNTA(半紙!$B$11:$B$310)+COUNTA(条幅!$B$11:$B$310)+COUNTA(条幅4分の1!$B$11:$B$310),"条幅(1/4)","")))</f>
        <v/>
      </c>
      <c r="B7" s="38" t="str">
        <f>IF(IF(2&lt;=COUNTA(半紙!$B$11:$B$310),INDEX(半紙!$B$11:$B$310,2),IF(2&lt;=COUNTA(半紙!$B$11:$B$310)+COUNTA(条幅!$B$11:$B$310),INDEX(条幅!$B$11:$B$310,2-COUNTA(半紙!$B$11:$B$310)),IF(2&lt;=COUNTA(半紙!$B$11:$B$310)+COUNTA(条幅!$B$11:$B$310)+COUNTA(条幅4分の1!$B$11:$B$310),INDEX(条幅4分の1!$B$11:$B$310,2-COUNTA(半紙!$B$11:$B$310)-COUNTA(条幅!$B$11:$B$310)),"")))=0,"",IF(2&lt;=COUNTA(半紙!$B$11:$B$310),INDEX(半紙!$B$11:$B$310,2),IF(2&lt;=COUNTA(半紙!$B$11:$B$310)+COUNTA(条幅!$B$11:$B$310),INDEX(条幅!$B$11:$B$310,2-COUNTA(半紙!$B$11:$B$310)),IF(2&lt;=COUNTA(半紙!$B$11:$B$310)+COUNTA(条幅!$B$11:$B$310)+COUNTA(条幅4分の1!$B$11:$B$310),INDEX(条幅4分の1!$B$11:$B$310,2-COUNTA(半紙!$B$11:$B$310)-COUNTA(条幅!$B$11:$B$310)),""))))</f>
        <v/>
      </c>
      <c r="C7" s="38" t="str">
        <f>IF(IF(2&lt;=COUNTA(半紙!$B$11:$B$310),INDEX(半紙!$C$11:$C$310,2),IF(2&lt;=COUNTA(半紙!$B$11:$B$310)+COUNTA(条幅!$B$11:$B$310),INDEX(条幅!$C$11:$C$310,2-COUNTA(半紙!$B$11:$B$310)),IF(2&lt;=COUNTA(半紙!$B$11:$B$310)+COUNTA(条幅!$B$11:$B$310)+COUNTA(条幅4分の1!$B$11:$B$310),INDEX(条幅4分の1!$C$11:$C$310,2-COUNTA(半紙!$B$11:$B$310)-COUNTA(条幅!$B$11:$B$310)),"")))=0,"",IF(2&lt;=COUNTA(半紙!$B$11:$B$310),INDEX(半紙!$C$11:$C$310,2),IF(2&lt;=COUNTA(半紙!$B$11:$B$310)+COUNTA(条幅!$B$11:$B$310),INDEX(条幅!$C$11:$C$310,2-COUNTA(半紙!$B$11:$B$310)),IF(2&lt;=COUNTA(半紙!$B$11:$B$310)+COUNTA(条幅!$B$11:$B$310)+COUNTA(条幅4分の1!$B$11:$B$310),INDEX(条幅4分の1!$C$11:$C$310,2-COUNTA(半紙!$B$11:$B$310)-COUNTA(条幅!$B$11:$B$310)),""))))</f>
        <v/>
      </c>
      <c r="D7" s="38" t="str">
        <f>IF(IF(2&lt;=COUNTA(半紙!$B$11:$B$310),INDEX(半紙!$D$11:$D$310,2),IF(2&lt;=COUNTA(半紙!$B$11:$B$310)+COUNTA(条幅!$B$11:$B$310),INDEX(条幅!$D$11:$D$310,2-COUNTA(半紙!$B$11:$B$310)),IF(2&lt;=COUNTA(半紙!$B$11:$B$310)+COUNTA(条幅!$B$11:$B$310)+COUNTA(条幅4分の1!$B$11:$B$310),INDEX(条幅4分の1!$D$11:$D$310,2-COUNTA(半紙!$B$11:$B$310)-COUNTA(条幅!$B$11:$B$310)),"")))=0,"",IF(2&lt;=COUNTA(半紙!$B$11:$B$310),INDEX(半紙!$D$11:$D$310,2),IF(2&lt;=COUNTA(半紙!$B$11:$B$310)+COUNTA(条幅!$B$11:$B$310),INDEX(条幅!$D$11:$D$310,2-COUNTA(半紙!$B$11:$B$310)),IF(2&lt;=COUNTA(半紙!$B$11:$B$310)+COUNTA(条幅!$B$11:$B$310)+COUNTA(条幅4分の1!$B$11:$B$310),INDEX(条幅4分の1!$D$11:$D$310,2-COUNTA(半紙!$B$11:$B$310)-COUNTA(条幅!$B$11:$B$310)),""))))</f>
        <v/>
      </c>
      <c r="E7" s="38" t="str">
        <f>IF(IF(2&lt;=COUNTA(半紙!$B$11:$B$310),INDEX(半紙!$E$11:$E$310,2),IF(2&lt;=COUNTA(半紙!$B$11:$B$310)+COUNTA(条幅!$B$11:$B$310),INDEX(条幅!$E$11:$E$310,2-COUNTA(半紙!$B$11:$B$310)),IF(2&lt;=COUNTA(半紙!$B$11:$B$310)+COUNTA(条幅!$B$11:$B$310)+COUNTA(条幅4分の1!$B$11:$B$310),INDEX(条幅4分の1!$E$11:$E$310,2-COUNTA(半紙!$B$11:$B$310)-COUNTA(条幅!$B$11:$B$310)),"")))=0,"",IF(2&lt;=COUNTA(半紙!$B$11:$B$310),INDEX(半紙!$E$11:$E$310,2),IF(2&lt;=COUNTA(半紙!$B$11:$B$310)+COUNTA(条幅!$B$11:$B$310),INDEX(条幅!$E$11:$E$310,2-COUNTA(半紙!$B$11:$B$310)),IF(2&lt;=COUNTA(半紙!$B$11:$B$310)+COUNTA(条幅!$B$11:$B$310)+COUNTA(条幅4分の1!$B$11:$B$310),INDEX(条幅4分の1!$E$11:$E$310,2-COUNTA(半紙!$B$11:$B$310)-COUNTA(条幅!$B$11:$B$310)),""))))</f>
        <v/>
      </c>
      <c r="F7" s="38" t="str">
        <f>IF(IF(2&lt;=COUNTA(半紙!$B$11:$B$310),INDEX(半紙!$F$11:$F$310,2),IF(2&lt;=COUNTA(半紙!$B$11:$B$310)+COUNTA(条幅!$B$11:$B$310),INDEX(条幅!$F$11:$F$310,2-COUNTA(半紙!$B$11:$B$310)),IF(2&lt;=COUNTA(半紙!$B$11:$B$310)+COUNTA(条幅!$B$11:$B$310)+COUNTA(条幅4分の1!$B$11:$B$310),INDEX(条幅4分の1!$F$11:$F$310,2-COUNTA(半紙!$B$11:$B$310)-COUNTA(条幅!$B$11:$B$310)),"")))=0,"",IF(2&lt;=COUNTA(半紙!$B$11:$B$310),INDEX(半紙!$F$11:$F$310,2),IF(2&lt;=COUNTA(半紙!$B$11:$B$310)+COUNTA(条幅!$B$11:$B$310),INDEX(条幅!$F$11:$F$310,2-COUNTA(半紙!$B$11:$B$310)),IF(2&lt;=COUNTA(半紙!$B$11:$B$310)+COUNTA(条幅!$B$11:$B$310)+COUNTA(条幅4分の1!$B$11:$B$310),INDEX(条幅4分の1!$F$11:$F$310,2-COUNTA(半紙!$B$11:$B$310)-COUNTA(条幅!$B$11:$B$310)),""))))</f>
        <v/>
      </c>
      <c r="G7" s="38" t="str">
        <f>IF(IF(2&lt;=COUNTA(半紙!$B$11:$B$310),INDEX(半紙!$G$11:$G$310,2),IF(2&lt;=COUNTA(半紙!$B$11:$B$310)+COUNTA(条幅!$B$11:$B$310),INDEX(条幅!$G$11:$G$310,2-COUNTA(半紙!$B$11:$B$310)),IF(2&lt;=COUNTA(半紙!$B$11:$B$310)+COUNTA(条幅!$B$11:$B$310)+COUNTA(条幅4分の1!$B$11:$B$310),INDEX(条幅4分の1!$G$11:$G$310,2-COUNTA(半紙!$B$11:$B$310)-COUNTA(条幅!$B$11:$B$310)),"")))=0,"",IF(2&lt;=COUNTA(半紙!$B$11:$B$310),INDEX(半紙!$G$11:$G$310,2),IF(2&lt;=COUNTA(半紙!$B$11:$B$310)+COUNTA(条幅!$B$11:$B$310),INDEX(条幅!$G$11:$G$310,2-COUNTA(半紙!$B$11:$B$310)),IF(2&lt;=COUNTA(半紙!$B$11:$B$310)+COUNTA(条幅!$B$11:$B$310)+COUNTA(条幅4分の1!$B$11:$B$310),INDEX(条幅4分の1!$G$11:$G$310,2-COUNTA(半紙!$B$11:$B$310)-COUNTA(条幅!$B$11:$B$310)),""))))</f>
        <v/>
      </c>
      <c r="H7" s="38" t="str">
        <f>IF(IF(2&lt;=COUNTA(半紙!$B$11:$B$310),INDEX(半紙!$H$11:$H$310,2),IF(2&lt;=COUNTA(半紙!$B$11:$B$310)+COUNTA(条幅!$B$11:$B$310),INDEX(条幅!$H$11:$H$310,2-COUNTA(半紙!$B$11:$B$310)),IF(2&lt;=COUNTA(半紙!$B$11:$B$310)+COUNTA(条幅!$B$11:$B$310)+COUNTA(条幅4分の1!$B$11:$B$310),INDEX(条幅4分の1!$H$11:$H$310,2-COUNTA(半紙!$B$11:$B$310)-COUNTA(条幅!$B$11:$B$310)),"")))=0,"",IF(2&lt;=COUNTA(半紙!$B$11:$B$310),INDEX(半紙!$H$11:$H$310,2),IF(2&lt;=COUNTA(半紙!$B$11:$B$310)+COUNTA(条幅!$B$11:$B$310),INDEX(条幅!$H$11:$H$310,2-COUNTA(半紙!$B$11:$B$310)),IF(2&lt;=COUNTA(半紙!$B$11:$B$310)+COUNTA(条幅!$B$11:$B$310)+COUNTA(条幅4分の1!$B$11:$B$310),INDEX(条幅4分の1!$H$11:$H$310,2-COUNTA(半紙!$B$11:$B$310)-COUNTA(条幅!$B$11:$B$310)),""))))</f>
        <v/>
      </c>
      <c r="I7" s="38" t="str">
        <f>IF(IF(2&lt;=COUNTA(半紙!$B$11:$B$310),INDEX(半紙!$I$11:$I$310,2),IF(2&lt;=COUNTA(半紙!$B$11:$B$310)+COUNTA(条幅!$B$11:$B$310),INDEX(条幅!$I$11:$I$310,2-COUNTA(半紙!$B$11:$B$310)),IF(2&lt;=COUNTA(半紙!$B$11:$B$310)+COUNTA(条幅!$B$11:$B$310)+COUNTA(条幅4分の1!$B$11:$B$310),INDEX(条幅4分の1!$I$11:$I$310,2-COUNTA(半紙!$B$11:$B$310)-COUNTA(条幅!$B$11:$B$310)),"")))=0,"",IF(2&lt;=COUNTA(半紙!$B$11:$B$310),INDEX(半紙!$I$11:$I$310,2),IF(2&lt;=COUNTA(半紙!$B$11:$B$310)+COUNTA(条幅!$B$11:$B$310),INDEX(条幅!$I$11:$I$310,2-COUNTA(半紙!$B$11:$B$310)),IF(2&lt;=COUNTA(半紙!$B$11:$B$310)+COUNTA(条幅!$B$11:$B$310)+COUNTA(条幅4分の1!$B$11:$B$310),INDEX(条幅4分の1!$I$11:$I$310,2-COUNTA(半紙!$B$11:$B$310)-COUNTA(条幅!$B$11:$B$310)),""))))</f>
        <v/>
      </c>
      <c r="J7" s="38" t="str">
        <f>IF(IF(2&lt;=COUNTA(半紙!$B$11:$B$310),INDEX(半紙!$J$11:$J$310,2),IF(2&lt;=COUNTA(半紙!$B$11:$B$310)+COUNTA(条幅!$B$11:$B$310),INDEX(条幅!$J$11:$J$310,2-COUNTA(半紙!$B$11:$B$310)),IF(2&lt;=COUNTA(半紙!$B$11:$B$310)+COUNTA(条幅!$B$11:$B$310)+COUNTA(条幅4分の1!$B$11:$B$310),INDEX(条幅4分の1!$J$11:$J$310,2-COUNTA(半紙!$B$11:$B$310)-COUNTA(条幅!$B$11:$B$310)),"")))=0,"",IF(2&lt;=COUNTA(半紙!$B$11:$B$310),INDEX(半紙!$J$11:$J$310,2),IF(2&lt;=COUNTA(半紙!$B$11:$B$310)+COUNTA(条幅!$B$11:$B$310),INDEX(条幅!$J$11:$J$310,2-COUNTA(半紙!$B$11:$B$310)),IF(2&lt;=COUNTA(半紙!$B$11:$B$310)+COUNTA(条幅!$B$11:$B$310)+COUNTA(条幅4分の1!$B$11:$B$310),INDEX(条幅4分の1!$J$11:$J$310,2-COUNTA(半紙!$B$11:$B$310)-COUNTA(条幅!$B$11:$B$310)),""))))</f>
        <v/>
      </c>
      <c r="K7" s="38" t="str">
        <f>IF(IF(2&lt;=COUNTA(半紙!$B$11:$B$310),INDEX(半紙!$K$11:$K$310,2),IF(2&lt;=COUNTA(半紙!$B$11:$B$310)+COUNTA(条幅!$B$11:$B$310),INDEX(条幅!$K$11:$K$310,2-COUNTA(半紙!$B$11:$B$310)),IF(2&lt;=COUNTA(半紙!$B$11:$B$310)+COUNTA(条幅!$B$11:$B$310)+COUNTA(条幅4分の1!$B$11:$B$310),INDEX(条幅4分の1!$K$11:$K$310,2-COUNTA(半紙!$B$11:$B$310)-COUNTA(条幅!$B$11:$B$310)),"")))=0,"",IF(2&lt;=COUNTA(半紙!$B$11:$B$310),INDEX(半紙!$K$11:$K$310,2),IF(2&lt;=COUNTA(半紙!$B$11:$B$310)+COUNTA(条幅!$B$11:$B$310),INDEX(条幅!$K$11:$K$310,2-COUNTA(半紙!$B$11:$B$310)),IF(2&lt;=COUNTA(半紙!$B$11:$B$310)+COUNTA(条幅!$B$11:$B$310)+COUNTA(条幅4分の1!$B$11:$B$310),INDEX(条幅4分の1!$K$11:$K$310,2-COUNTA(半紙!$B$11:$B$310)-COUNTA(条幅!$B$11:$B$310)),""))))</f>
        <v/>
      </c>
      <c r="L7" s="48" t="str">
        <f>IF($B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2))</f>
        <v/>
      </c>
    </row>
    <row r="8" spans="1:12" ht="15" customHeight="1">
      <c r="A8" s="37" t="str">
        <f>IF(3&lt;=COUNTA(半紙!$B$11:$B$310),"半紙",IF(3&lt;=COUNTA(半紙!$B$11:$B$310)+COUNTA(条幅!$B$11:$B$310),"条幅(半切)",IF(3&lt;=COUNTA(半紙!$B$11:$B$310)+COUNTA(条幅!$B$11:$B$310)+COUNTA(条幅4分の1!$B$11:$B$310),"条幅(1/4)","")))</f>
        <v/>
      </c>
      <c r="B8" s="38" t="str">
        <f>IF(IF(3&lt;=COUNTA(半紙!$B$11:$B$310),INDEX(半紙!$B$11:$B$310,3),IF(3&lt;=COUNTA(半紙!$B$11:$B$310)+COUNTA(条幅!$B$11:$B$310),INDEX(条幅!$B$11:$B$310,3-COUNTA(半紙!$B$11:$B$310)),IF(3&lt;=COUNTA(半紙!$B$11:$B$310)+COUNTA(条幅!$B$11:$B$310)+COUNTA(条幅4分の1!$B$11:$B$310),INDEX(条幅4分の1!$B$11:$B$310,3-COUNTA(半紙!$B$11:$B$310)-COUNTA(条幅!$B$11:$B$310)),"")))=0,"",IF(3&lt;=COUNTA(半紙!$B$11:$B$310),INDEX(半紙!$B$11:$B$310,3),IF(3&lt;=COUNTA(半紙!$B$11:$B$310)+COUNTA(条幅!$B$11:$B$310),INDEX(条幅!$B$11:$B$310,3-COUNTA(半紙!$B$11:$B$310)),IF(3&lt;=COUNTA(半紙!$B$11:$B$310)+COUNTA(条幅!$B$11:$B$310)+COUNTA(条幅4分の1!$B$11:$B$310),INDEX(条幅4分の1!$B$11:$B$310,3-COUNTA(半紙!$B$11:$B$310)-COUNTA(条幅!$B$11:$B$310)),""))))</f>
        <v/>
      </c>
      <c r="C8" s="38" t="str">
        <f>IF(IF(3&lt;=COUNTA(半紙!$B$11:$B$310),INDEX(半紙!$C$11:$C$310,3),IF(3&lt;=COUNTA(半紙!$B$11:$B$310)+COUNTA(条幅!$B$11:$B$310),INDEX(条幅!$C$11:$C$310,3-COUNTA(半紙!$B$11:$B$310)),IF(3&lt;=COUNTA(半紙!$B$11:$B$310)+COUNTA(条幅!$B$11:$B$310)+COUNTA(条幅4分の1!$B$11:$B$310),INDEX(条幅4分の1!$C$11:$C$310,3-COUNTA(半紙!$B$11:$B$310)-COUNTA(条幅!$B$11:$B$310)),"")))=0,"",IF(3&lt;=COUNTA(半紙!$B$11:$B$310),INDEX(半紙!$C$11:$C$310,3),IF(3&lt;=COUNTA(半紙!$B$11:$B$310)+COUNTA(条幅!$B$11:$B$310),INDEX(条幅!$C$11:$C$310,3-COUNTA(半紙!$B$11:$B$310)),IF(3&lt;=COUNTA(半紙!$B$11:$B$310)+COUNTA(条幅!$B$11:$B$310)+COUNTA(条幅4分の1!$B$11:$B$310),INDEX(条幅4分の1!$C$11:$C$310,3-COUNTA(半紙!$B$11:$B$310)-COUNTA(条幅!$B$11:$B$310)),""))))</f>
        <v/>
      </c>
      <c r="D8" s="38" t="str">
        <f>IF(IF(3&lt;=COUNTA(半紙!$B$11:$B$310),INDEX(半紙!$D$11:$D$310,3),IF(3&lt;=COUNTA(半紙!$B$11:$B$310)+COUNTA(条幅!$B$11:$B$310),INDEX(条幅!$D$11:$D$310,3-COUNTA(半紙!$B$11:$B$310)),IF(3&lt;=COUNTA(半紙!$B$11:$B$310)+COUNTA(条幅!$B$11:$B$310)+COUNTA(条幅4分の1!$B$11:$B$310),INDEX(条幅4分の1!$D$11:$D$310,3-COUNTA(半紙!$B$11:$B$310)-COUNTA(条幅!$B$11:$B$310)),"")))=0,"",IF(3&lt;=COUNTA(半紙!$B$11:$B$310),INDEX(半紙!$D$11:$D$310,3),IF(3&lt;=COUNTA(半紙!$B$11:$B$310)+COUNTA(条幅!$B$11:$B$310),INDEX(条幅!$D$11:$D$310,3-COUNTA(半紙!$B$11:$B$310)),IF(3&lt;=COUNTA(半紙!$B$11:$B$310)+COUNTA(条幅!$B$11:$B$310)+COUNTA(条幅4分の1!$B$11:$B$310),INDEX(条幅4分の1!$D$11:$D$310,3-COUNTA(半紙!$B$11:$B$310)-COUNTA(条幅!$B$11:$B$310)),""))))</f>
        <v/>
      </c>
      <c r="E8" s="38" t="str">
        <f>IF(IF(3&lt;=COUNTA(半紙!$B$11:$B$310),INDEX(半紙!$E$11:$E$310,3),IF(3&lt;=COUNTA(半紙!$B$11:$B$310)+COUNTA(条幅!$B$11:$B$310),INDEX(条幅!$E$11:$E$310,3-COUNTA(半紙!$B$11:$B$310)),IF(3&lt;=COUNTA(半紙!$B$11:$B$310)+COUNTA(条幅!$B$11:$B$310)+COUNTA(条幅4分の1!$B$11:$B$310),INDEX(条幅4分の1!$E$11:$E$310,3-COUNTA(半紙!$B$11:$B$310)-COUNTA(条幅!$B$11:$B$310)),"")))=0,"",IF(3&lt;=COUNTA(半紙!$B$11:$B$310),INDEX(半紙!$E$11:$E$310,3),IF(3&lt;=COUNTA(半紙!$B$11:$B$310)+COUNTA(条幅!$B$11:$B$310),INDEX(条幅!$E$11:$E$310,3-COUNTA(半紙!$B$11:$B$310)),IF(3&lt;=COUNTA(半紙!$B$11:$B$310)+COUNTA(条幅!$B$11:$B$310)+COUNTA(条幅4分の1!$B$11:$B$310),INDEX(条幅4分の1!$E$11:$E$310,3-COUNTA(半紙!$B$11:$B$310)-COUNTA(条幅!$B$11:$B$310)),""))))</f>
        <v/>
      </c>
      <c r="F8" s="38" t="str">
        <f>IF(IF(3&lt;=COUNTA(半紙!$B$11:$B$310),INDEX(半紙!$F$11:$F$310,3),IF(3&lt;=COUNTA(半紙!$B$11:$B$310)+COUNTA(条幅!$B$11:$B$310),INDEX(条幅!$F$11:$F$310,3-COUNTA(半紙!$B$11:$B$310)),IF(3&lt;=COUNTA(半紙!$B$11:$B$310)+COUNTA(条幅!$B$11:$B$310)+COUNTA(条幅4分の1!$B$11:$B$310),INDEX(条幅4分の1!$F$11:$F$310,3-COUNTA(半紙!$B$11:$B$310)-COUNTA(条幅!$B$11:$B$310)),"")))=0,"",IF(3&lt;=COUNTA(半紙!$B$11:$B$310),INDEX(半紙!$F$11:$F$310,3),IF(3&lt;=COUNTA(半紙!$B$11:$B$310)+COUNTA(条幅!$B$11:$B$310),INDEX(条幅!$F$11:$F$310,3-COUNTA(半紙!$B$11:$B$310)),IF(3&lt;=COUNTA(半紙!$B$11:$B$310)+COUNTA(条幅!$B$11:$B$310)+COUNTA(条幅4分の1!$B$11:$B$310),INDEX(条幅4分の1!$F$11:$F$310,3-COUNTA(半紙!$B$11:$B$310)-COUNTA(条幅!$B$11:$B$310)),""))))</f>
        <v/>
      </c>
      <c r="G8" s="38" t="str">
        <f>IF(IF(3&lt;=COUNTA(半紙!$B$11:$B$310),INDEX(半紙!$G$11:$G$310,3),IF(3&lt;=COUNTA(半紙!$B$11:$B$310)+COUNTA(条幅!$B$11:$B$310),INDEX(条幅!$G$11:$G$310,3-COUNTA(半紙!$B$11:$B$310)),IF(3&lt;=COUNTA(半紙!$B$11:$B$310)+COUNTA(条幅!$B$11:$B$310)+COUNTA(条幅4分の1!$B$11:$B$310),INDEX(条幅4分の1!$G$11:$G$310,3-COUNTA(半紙!$B$11:$B$310)-COUNTA(条幅!$B$11:$B$310)),"")))=0,"",IF(3&lt;=COUNTA(半紙!$B$11:$B$310),INDEX(半紙!$G$11:$G$310,3),IF(3&lt;=COUNTA(半紙!$B$11:$B$310)+COUNTA(条幅!$B$11:$B$310),INDEX(条幅!$G$11:$G$310,3-COUNTA(半紙!$B$11:$B$310)),IF(3&lt;=COUNTA(半紙!$B$11:$B$310)+COUNTA(条幅!$B$11:$B$310)+COUNTA(条幅4分の1!$B$11:$B$310),INDEX(条幅4分の1!$G$11:$G$310,3-COUNTA(半紙!$B$11:$B$310)-COUNTA(条幅!$B$11:$B$310)),""))))</f>
        <v/>
      </c>
      <c r="H8" s="38" t="str">
        <f>IF(IF(3&lt;=COUNTA(半紙!$B$11:$B$310),INDEX(半紙!$H$11:$H$310,3),IF(3&lt;=COUNTA(半紙!$B$11:$B$310)+COUNTA(条幅!$B$11:$B$310),INDEX(条幅!$H$11:$H$310,3-COUNTA(半紙!$B$11:$B$310)),IF(3&lt;=COUNTA(半紙!$B$11:$B$310)+COUNTA(条幅!$B$11:$B$310)+COUNTA(条幅4分の1!$B$11:$B$310),INDEX(条幅4分の1!$H$11:$H$310,3-COUNTA(半紙!$B$11:$B$310)-COUNTA(条幅!$B$11:$B$310)),"")))=0,"",IF(3&lt;=COUNTA(半紙!$B$11:$B$310),INDEX(半紙!$H$11:$H$310,3),IF(3&lt;=COUNTA(半紙!$B$11:$B$310)+COUNTA(条幅!$B$11:$B$310),INDEX(条幅!$H$11:$H$310,3-COUNTA(半紙!$B$11:$B$310)),IF(3&lt;=COUNTA(半紙!$B$11:$B$310)+COUNTA(条幅!$B$11:$B$310)+COUNTA(条幅4分の1!$B$11:$B$310),INDEX(条幅4分の1!$H$11:$H$310,3-COUNTA(半紙!$B$11:$B$310)-COUNTA(条幅!$B$11:$B$310)),""))))</f>
        <v/>
      </c>
      <c r="I8" s="38" t="str">
        <f>IF(IF(3&lt;=COUNTA(半紙!$B$11:$B$310),INDEX(半紙!$I$11:$I$310,3),IF(3&lt;=COUNTA(半紙!$B$11:$B$310)+COUNTA(条幅!$B$11:$B$310),INDEX(条幅!$I$11:$I$310,3-COUNTA(半紙!$B$11:$B$310)),IF(3&lt;=COUNTA(半紙!$B$11:$B$310)+COUNTA(条幅!$B$11:$B$310)+COUNTA(条幅4分の1!$B$11:$B$310),INDEX(条幅4分の1!$I$11:$I$310,3-COUNTA(半紙!$B$11:$B$310)-COUNTA(条幅!$B$11:$B$310)),"")))=0,"",IF(3&lt;=COUNTA(半紙!$B$11:$B$310),INDEX(半紙!$I$11:$I$310,3),IF(3&lt;=COUNTA(半紙!$B$11:$B$310)+COUNTA(条幅!$B$11:$B$310),INDEX(条幅!$I$11:$I$310,3-COUNTA(半紙!$B$11:$B$310)),IF(3&lt;=COUNTA(半紙!$B$11:$B$310)+COUNTA(条幅!$B$11:$B$310)+COUNTA(条幅4分の1!$B$11:$B$310),INDEX(条幅4分の1!$I$11:$I$310,3-COUNTA(半紙!$B$11:$B$310)-COUNTA(条幅!$B$11:$B$310)),""))))</f>
        <v/>
      </c>
      <c r="J8" s="38" t="str">
        <f>IF(IF(3&lt;=COUNTA(半紙!$B$11:$B$310),INDEX(半紙!$J$11:$J$310,3),IF(3&lt;=COUNTA(半紙!$B$11:$B$310)+COUNTA(条幅!$B$11:$B$310),INDEX(条幅!$J$11:$J$310,3-COUNTA(半紙!$B$11:$B$310)),IF(3&lt;=COUNTA(半紙!$B$11:$B$310)+COUNTA(条幅!$B$11:$B$310)+COUNTA(条幅4分の1!$B$11:$B$310),INDEX(条幅4分の1!$J$11:$J$310,3-COUNTA(半紙!$B$11:$B$310)-COUNTA(条幅!$B$11:$B$310)),"")))=0,"",IF(3&lt;=COUNTA(半紙!$B$11:$B$310),INDEX(半紙!$J$11:$J$310,3),IF(3&lt;=COUNTA(半紙!$B$11:$B$310)+COUNTA(条幅!$B$11:$B$310),INDEX(条幅!$J$11:$J$310,3-COUNTA(半紙!$B$11:$B$310)),IF(3&lt;=COUNTA(半紙!$B$11:$B$310)+COUNTA(条幅!$B$11:$B$310)+COUNTA(条幅4分の1!$B$11:$B$310),INDEX(条幅4分の1!$J$11:$J$310,3-COUNTA(半紙!$B$11:$B$310)-COUNTA(条幅!$B$11:$B$310)),""))))</f>
        <v/>
      </c>
      <c r="K8" s="38" t="str">
        <f>IF(IF(3&lt;=COUNTA(半紙!$B$11:$B$310),INDEX(半紙!$K$11:$K$310,3),IF(3&lt;=COUNTA(半紙!$B$11:$B$310)+COUNTA(条幅!$B$11:$B$310),INDEX(条幅!$K$11:$K$310,3-COUNTA(半紙!$B$11:$B$310)),IF(3&lt;=COUNTA(半紙!$B$11:$B$310)+COUNTA(条幅!$B$11:$B$310)+COUNTA(条幅4分の1!$B$11:$B$310),INDEX(条幅4分の1!$K$11:$K$310,3-COUNTA(半紙!$B$11:$B$310)-COUNTA(条幅!$B$11:$B$310)),"")))=0,"",IF(3&lt;=COUNTA(半紙!$B$11:$B$310),INDEX(半紙!$K$11:$K$310,3),IF(3&lt;=COUNTA(半紙!$B$11:$B$310)+COUNTA(条幅!$B$11:$B$310),INDEX(条幅!$K$11:$K$310,3-COUNTA(半紙!$B$11:$B$310)),IF(3&lt;=COUNTA(半紙!$B$11:$B$310)+COUNTA(条幅!$B$11:$B$310)+COUNTA(条幅4分の1!$B$11:$B$310),INDEX(条幅4分の1!$K$11:$K$310,3-COUNTA(半紙!$B$11:$B$310)-COUNTA(条幅!$B$11:$B$310)),""))))</f>
        <v/>
      </c>
      <c r="L8" s="48" t="str">
        <f>IF($B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3))</f>
        <v/>
      </c>
    </row>
    <row r="9" spans="1:12" ht="15" customHeight="1">
      <c r="A9" s="37" t="str">
        <f>IF(4&lt;=COUNTA(半紙!$B$11:$B$310),"半紙",IF(4&lt;=COUNTA(半紙!$B$11:$B$310)+COUNTA(条幅!$B$11:$B$310),"条幅(半切)",IF(4&lt;=COUNTA(半紙!$B$11:$B$310)+COUNTA(条幅!$B$11:$B$310)+COUNTA(条幅4分の1!$B$11:$B$310),"条幅(1/4)","")))</f>
        <v/>
      </c>
      <c r="B9" s="38" t="str">
        <f>IF(IF(4&lt;=COUNTA(半紙!$B$11:$B$310),INDEX(半紙!$B$11:$B$310,4),IF(4&lt;=COUNTA(半紙!$B$11:$B$310)+COUNTA(条幅!$B$11:$B$310),INDEX(条幅!$B$11:$B$310,4-COUNTA(半紙!$B$11:$B$310)),IF(4&lt;=COUNTA(半紙!$B$11:$B$310)+COUNTA(条幅!$B$11:$B$310)+COUNTA(条幅4分の1!$B$11:$B$310),INDEX(条幅4分の1!$B$11:$B$310,4-COUNTA(半紙!$B$11:$B$310)-COUNTA(条幅!$B$11:$B$310)),"")))=0,"",IF(4&lt;=COUNTA(半紙!$B$11:$B$310),INDEX(半紙!$B$11:$B$310,4),IF(4&lt;=COUNTA(半紙!$B$11:$B$310)+COUNTA(条幅!$B$11:$B$310),INDEX(条幅!$B$11:$B$310,4-COUNTA(半紙!$B$11:$B$310)),IF(4&lt;=COUNTA(半紙!$B$11:$B$310)+COUNTA(条幅!$B$11:$B$310)+COUNTA(条幅4分の1!$B$11:$B$310),INDEX(条幅4分の1!$B$11:$B$310,4-COUNTA(半紙!$B$11:$B$310)-COUNTA(条幅!$B$11:$B$310)),""))))</f>
        <v/>
      </c>
      <c r="C9" s="38" t="str">
        <f>IF(IF(4&lt;=COUNTA(半紙!$B$11:$B$310),INDEX(半紙!$C$11:$C$310,4),IF(4&lt;=COUNTA(半紙!$B$11:$B$310)+COUNTA(条幅!$B$11:$B$310),INDEX(条幅!$C$11:$C$310,4-COUNTA(半紙!$B$11:$B$310)),IF(4&lt;=COUNTA(半紙!$B$11:$B$310)+COUNTA(条幅!$B$11:$B$310)+COUNTA(条幅4分の1!$B$11:$B$310),INDEX(条幅4分の1!$C$11:$C$310,4-COUNTA(半紙!$B$11:$B$310)-COUNTA(条幅!$B$11:$B$310)),"")))=0,"",IF(4&lt;=COUNTA(半紙!$B$11:$B$310),INDEX(半紙!$C$11:$C$310,4),IF(4&lt;=COUNTA(半紙!$B$11:$B$310)+COUNTA(条幅!$B$11:$B$310),INDEX(条幅!$C$11:$C$310,4-COUNTA(半紙!$B$11:$B$310)),IF(4&lt;=COUNTA(半紙!$B$11:$B$310)+COUNTA(条幅!$B$11:$B$310)+COUNTA(条幅4分の1!$B$11:$B$310),INDEX(条幅4分の1!$C$11:$C$310,4-COUNTA(半紙!$B$11:$B$310)-COUNTA(条幅!$B$11:$B$310)),""))))</f>
        <v/>
      </c>
      <c r="D9" s="38" t="str">
        <f>IF(IF(4&lt;=COUNTA(半紙!$B$11:$B$310),INDEX(半紙!$D$11:$D$310,4),IF(4&lt;=COUNTA(半紙!$B$11:$B$310)+COUNTA(条幅!$B$11:$B$310),INDEX(条幅!$D$11:$D$310,4-COUNTA(半紙!$B$11:$B$310)),IF(4&lt;=COUNTA(半紙!$B$11:$B$310)+COUNTA(条幅!$B$11:$B$310)+COUNTA(条幅4分の1!$B$11:$B$310),INDEX(条幅4分の1!$D$11:$D$310,4-COUNTA(半紙!$B$11:$B$310)-COUNTA(条幅!$B$11:$B$310)),"")))=0,"",IF(4&lt;=COUNTA(半紙!$B$11:$B$310),INDEX(半紙!$D$11:$D$310,4),IF(4&lt;=COUNTA(半紙!$B$11:$B$310)+COUNTA(条幅!$B$11:$B$310),INDEX(条幅!$D$11:$D$310,4-COUNTA(半紙!$B$11:$B$310)),IF(4&lt;=COUNTA(半紙!$B$11:$B$310)+COUNTA(条幅!$B$11:$B$310)+COUNTA(条幅4分の1!$B$11:$B$310),INDEX(条幅4分の1!$D$11:$D$310,4-COUNTA(半紙!$B$11:$B$310)-COUNTA(条幅!$B$11:$B$310)),""))))</f>
        <v/>
      </c>
      <c r="E9" s="38" t="str">
        <f>IF(IF(4&lt;=COUNTA(半紙!$B$11:$B$310),INDEX(半紙!$E$11:$E$310,4),IF(4&lt;=COUNTA(半紙!$B$11:$B$310)+COUNTA(条幅!$B$11:$B$310),INDEX(条幅!$E$11:$E$310,4-COUNTA(半紙!$B$11:$B$310)),IF(4&lt;=COUNTA(半紙!$B$11:$B$310)+COUNTA(条幅!$B$11:$B$310)+COUNTA(条幅4分の1!$B$11:$B$310),INDEX(条幅4分の1!$E$11:$E$310,4-COUNTA(半紙!$B$11:$B$310)-COUNTA(条幅!$B$11:$B$310)),"")))=0,"",IF(4&lt;=COUNTA(半紙!$B$11:$B$310),INDEX(半紙!$E$11:$E$310,4),IF(4&lt;=COUNTA(半紙!$B$11:$B$310)+COUNTA(条幅!$B$11:$B$310),INDEX(条幅!$E$11:$E$310,4-COUNTA(半紙!$B$11:$B$310)),IF(4&lt;=COUNTA(半紙!$B$11:$B$310)+COUNTA(条幅!$B$11:$B$310)+COUNTA(条幅4分の1!$B$11:$B$310),INDEX(条幅4分の1!$E$11:$E$310,4-COUNTA(半紙!$B$11:$B$310)-COUNTA(条幅!$B$11:$B$310)),""))))</f>
        <v/>
      </c>
      <c r="F9" s="38" t="str">
        <f>IF(IF(4&lt;=COUNTA(半紙!$B$11:$B$310),INDEX(半紙!$F$11:$F$310,4),IF(4&lt;=COUNTA(半紙!$B$11:$B$310)+COUNTA(条幅!$B$11:$B$310),INDEX(条幅!$F$11:$F$310,4-COUNTA(半紙!$B$11:$B$310)),IF(4&lt;=COUNTA(半紙!$B$11:$B$310)+COUNTA(条幅!$B$11:$B$310)+COUNTA(条幅4分の1!$B$11:$B$310),INDEX(条幅4分の1!$F$11:$F$310,4-COUNTA(半紙!$B$11:$B$310)-COUNTA(条幅!$B$11:$B$310)),"")))=0,"",IF(4&lt;=COUNTA(半紙!$B$11:$B$310),INDEX(半紙!$F$11:$F$310,4),IF(4&lt;=COUNTA(半紙!$B$11:$B$310)+COUNTA(条幅!$B$11:$B$310),INDEX(条幅!$F$11:$F$310,4-COUNTA(半紙!$B$11:$B$310)),IF(4&lt;=COUNTA(半紙!$B$11:$B$310)+COUNTA(条幅!$B$11:$B$310)+COUNTA(条幅4分の1!$B$11:$B$310),INDEX(条幅4分の1!$F$11:$F$310,4-COUNTA(半紙!$B$11:$B$310)-COUNTA(条幅!$B$11:$B$310)),""))))</f>
        <v/>
      </c>
      <c r="G9" s="38" t="str">
        <f>IF(IF(4&lt;=COUNTA(半紙!$B$11:$B$310),INDEX(半紙!$G$11:$G$310,4),IF(4&lt;=COUNTA(半紙!$B$11:$B$310)+COUNTA(条幅!$B$11:$B$310),INDEX(条幅!$G$11:$G$310,4-COUNTA(半紙!$B$11:$B$310)),IF(4&lt;=COUNTA(半紙!$B$11:$B$310)+COUNTA(条幅!$B$11:$B$310)+COUNTA(条幅4分の1!$B$11:$B$310),INDEX(条幅4分の1!$G$11:$G$310,4-COUNTA(半紙!$B$11:$B$310)-COUNTA(条幅!$B$11:$B$310)),"")))=0,"",IF(4&lt;=COUNTA(半紙!$B$11:$B$310),INDEX(半紙!$G$11:$G$310,4),IF(4&lt;=COUNTA(半紙!$B$11:$B$310)+COUNTA(条幅!$B$11:$B$310),INDEX(条幅!$G$11:$G$310,4-COUNTA(半紙!$B$11:$B$310)),IF(4&lt;=COUNTA(半紙!$B$11:$B$310)+COUNTA(条幅!$B$11:$B$310)+COUNTA(条幅4分の1!$B$11:$B$310),INDEX(条幅4分の1!$G$11:$G$310,4-COUNTA(半紙!$B$11:$B$310)-COUNTA(条幅!$B$11:$B$310)),""))))</f>
        <v/>
      </c>
      <c r="H9" s="38" t="str">
        <f>IF(IF(4&lt;=COUNTA(半紙!$B$11:$B$310),INDEX(半紙!$H$11:$H$310,4),IF(4&lt;=COUNTA(半紙!$B$11:$B$310)+COUNTA(条幅!$B$11:$B$310),INDEX(条幅!$H$11:$H$310,4-COUNTA(半紙!$B$11:$B$310)),IF(4&lt;=COUNTA(半紙!$B$11:$B$310)+COUNTA(条幅!$B$11:$B$310)+COUNTA(条幅4分の1!$B$11:$B$310),INDEX(条幅4分の1!$H$11:$H$310,4-COUNTA(半紙!$B$11:$B$310)-COUNTA(条幅!$B$11:$B$310)),"")))=0,"",IF(4&lt;=COUNTA(半紙!$B$11:$B$310),INDEX(半紙!$H$11:$H$310,4),IF(4&lt;=COUNTA(半紙!$B$11:$B$310)+COUNTA(条幅!$B$11:$B$310),INDEX(条幅!$H$11:$H$310,4-COUNTA(半紙!$B$11:$B$310)),IF(4&lt;=COUNTA(半紙!$B$11:$B$310)+COUNTA(条幅!$B$11:$B$310)+COUNTA(条幅4分の1!$B$11:$B$310),INDEX(条幅4分の1!$H$11:$H$310,4-COUNTA(半紙!$B$11:$B$310)-COUNTA(条幅!$B$11:$B$310)),""))))</f>
        <v/>
      </c>
      <c r="I9" s="38" t="str">
        <f>IF(IF(4&lt;=COUNTA(半紙!$B$11:$B$310),INDEX(半紙!$I$11:$I$310,4),IF(4&lt;=COUNTA(半紙!$B$11:$B$310)+COUNTA(条幅!$B$11:$B$310),INDEX(条幅!$I$11:$I$310,4-COUNTA(半紙!$B$11:$B$310)),IF(4&lt;=COUNTA(半紙!$B$11:$B$310)+COUNTA(条幅!$B$11:$B$310)+COUNTA(条幅4分の1!$B$11:$B$310),INDEX(条幅4分の1!$I$11:$I$310,4-COUNTA(半紙!$B$11:$B$310)-COUNTA(条幅!$B$11:$B$310)),"")))=0,"",IF(4&lt;=COUNTA(半紙!$B$11:$B$310),INDEX(半紙!$I$11:$I$310,4),IF(4&lt;=COUNTA(半紙!$B$11:$B$310)+COUNTA(条幅!$B$11:$B$310),INDEX(条幅!$I$11:$I$310,4-COUNTA(半紙!$B$11:$B$310)),IF(4&lt;=COUNTA(半紙!$B$11:$B$310)+COUNTA(条幅!$B$11:$B$310)+COUNTA(条幅4分の1!$B$11:$B$310),INDEX(条幅4分の1!$I$11:$I$310,4-COUNTA(半紙!$B$11:$B$310)-COUNTA(条幅!$B$11:$B$310)),""))))</f>
        <v/>
      </c>
      <c r="J9" s="38" t="str">
        <f>IF(IF(4&lt;=COUNTA(半紙!$B$11:$B$310),INDEX(半紙!$J$11:$J$310,4),IF(4&lt;=COUNTA(半紙!$B$11:$B$310)+COUNTA(条幅!$B$11:$B$310),INDEX(条幅!$J$11:$J$310,4-COUNTA(半紙!$B$11:$B$310)),IF(4&lt;=COUNTA(半紙!$B$11:$B$310)+COUNTA(条幅!$B$11:$B$310)+COUNTA(条幅4分の1!$B$11:$B$310),INDEX(条幅4分の1!$J$11:$J$310,4-COUNTA(半紙!$B$11:$B$310)-COUNTA(条幅!$B$11:$B$310)),"")))=0,"",IF(4&lt;=COUNTA(半紙!$B$11:$B$310),INDEX(半紙!$J$11:$J$310,4),IF(4&lt;=COUNTA(半紙!$B$11:$B$310)+COUNTA(条幅!$B$11:$B$310),INDEX(条幅!$J$11:$J$310,4-COUNTA(半紙!$B$11:$B$310)),IF(4&lt;=COUNTA(半紙!$B$11:$B$310)+COUNTA(条幅!$B$11:$B$310)+COUNTA(条幅4分の1!$B$11:$B$310),INDEX(条幅4分の1!$J$11:$J$310,4-COUNTA(半紙!$B$11:$B$310)-COUNTA(条幅!$B$11:$B$310)),""))))</f>
        <v/>
      </c>
      <c r="K9" s="38" t="str">
        <f>IF(IF(4&lt;=COUNTA(半紙!$B$11:$B$310),INDEX(半紙!$K$11:$K$310,4),IF(4&lt;=COUNTA(半紙!$B$11:$B$310)+COUNTA(条幅!$B$11:$B$310),INDEX(条幅!$K$11:$K$310,4-COUNTA(半紙!$B$11:$B$310)),IF(4&lt;=COUNTA(半紙!$B$11:$B$310)+COUNTA(条幅!$B$11:$B$310)+COUNTA(条幅4分の1!$B$11:$B$310),INDEX(条幅4分の1!$K$11:$K$310,4-COUNTA(半紙!$B$11:$B$310)-COUNTA(条幅!$B$11:$B$310)),"")))=0,"",IF(4&lt;=COUNTA(半紙!$B$11:$B$310),INDEX(半紙!$K$11:$K$310,4),IF(4&lt;=COUNTA(半紙!$B$11:$B$310)+COUNTA(条幅!$B$11:$B$310),INDEX(条幅!$K$11:$K$310,4-COUNTA(半紙!$B$11:$B$310)),IF(4&lt;=COUNTA(半紙!$B$11:$B$310)+COUNTA(条幅!$B$11:$B$310)+COUNTA(条幅4分の1!$B$11:$B$310),INDEX(条幅4分の1!$K$11:$K$310,4-COUNTA(半紙!$B$11:$B$310)-COUNTA(条幅!$B$11:$B$310)),""))))</f>
        <v/>
      </c>
      <c r="L9" s="48" t="str">
        <f>IF($B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4))</f>
        <v/>
      </c>
    </row>
    <row r="10" spans="1:12" ht="15" customHeight="1">
      <c r="A10" s="37" t="str">
        <f>IF(5&lt;=COUNTA(半紙!$B$11:$B$310),"半紙",IF(5&lt;=COUNTA(半紙!$B$11:$B$310)+COUNTA(条幅!$B$11:$B$310),"条幅(半切)",IF(5&lt;=COUNTA(半紙!$B$11:$B$310)+COUNTA(条幅!$B$11:$B$310)+COUNTA(条幅4分の1!$B$11:$B$310),"条幅(1/4)","")))</f>
        <v/>
      </c>
      <c r="B10" s="38" t="str">
        <f>IF(IF(5&lt;=COUNTA(半紙!$B$11:$B$310),INDEX(半紙!$B$11:$B$310,5),IF(5&lt;=COUNTA(半紙!$B$11:$B$310)+COUNTA(条幅!$B$11:$B$310),INDEX(条幅!$B$11:$B$310,5-COUNTA(半紙!$B$11:$B$310)),IF(5&lt;=COUNTA(半紙!$B$11:$B$310)+COUNTA(条幅!$B$11:$B$310)+COUNTA(条幅4分の1!$B$11:$B$310),INDEX(条幅4分の1!$B$11:$B$310,5-COUNTA(半紙!$B$11:$B$310)-COUNTA(条幅!$B$11:$B$310)),"")))=0,"",IF(5&lt;=COUNTA(半紙!$B$11:$B$310),INDEX(半紙!$B$11:$B$310,5),IF(5&lt;=COUNTA(半紙!$B$11:$B$310)+COUNTA(条幅!$B$11:$B$310),INDEX(条幅!$B$11:$B$310,5-COUNTA(半紙!$B$11:$B$310)),IF(5&lt;=COUNTA(半紙!$B$11:$B$310)+COUNTA(条幅!$B$11:$B$310)+COUNTA(条幅4分の1!$B$11:$B$310),INDEX(条幅4分の1!$B$11:$B$310,5-COUNTA(半紙!$B$11:$B$310)-COUNTA(条幅!$B$11:$B$310)),""))))</f>
        <v/>
      </c>
      <c r="C10" s="38" t="str">
        <f>IF(IF(5&lt;=COUNTA(半紙!$B$11:$B$310),INDEX(半紙!$C$11:$C$310,5),IF(5&lt;=COUNTA(半紙!$B$11:$B$310)+COUNTA(条幅!$B$11:$B$310),INDEX(条幅!$C$11:$C$310,5-COUNTA(半紙!$B$11:$B$310)),IF(5&lt;=COUNTA(半紙!$B$11:$B$310)+COUNTA(条幅!$B$11:$B$310)+COUNTA(条幅4分の1!$B$11:$B$310),INDEX(条幅4分の1!$C$11:$C$310,5-COUNTA(半紙!$B$11:$B$310)-COUNTA(条幅!$B$11:$B$310)),"")))=0,"",IF(5&lt;=COUNTA(半紙!$B$11:$B$310),INDEX(半紙!$C$11:$C$310,5),IF(5&lt;=COUNTA(半紙!$B$11:$B$310)+COUNTA(条幅!$B$11:$B$310),INDEX(条幅!$C$11:$C$310,5-COUNTA(半紙!$B$11:$B$310)),IF(5&lt;=COUNTA(半紙!$B$11:$B$310)+COUNTA(条幅!$B$11:$B$310)+COUNTA(条幅4分の1!$B$11:$B$310),INDEX(条幅4分の1!$C$11:$C$310,5-COUNTA(半紙!$B$11:$B$310)-COUNTA(条幅!$B$11:$B$310)),""))))</f>
        <v/>
      </c>
      <c r="D10" s="38" t="str">
        <f>IF(IF(5&lt;=COUNTA(半紙!$B$11:$B$310),INDEX(半紙!$D$11:$D$310,5),IF(5&lt;=COUNTA(半紙!$B$11:$B$310)+COUNTA(条幅!$B$11:$B$310),INDEX(条幅!$D$11:$D$310,5-COUNTA(半紙!$B$11:$B$310)),IF(5&lt;=COUNTA(半紙!$B$11:$B$310)+COUNTA(条幅!$B$11:$B$310)+COUNTA(条幅4分の1!$B$11:$B$310),INDEX(条幅4分の1!$D$11:$D$310,5-COUNTA(半紙!$B$11:$B$310)-COUNTA(条幅!$B$11:$B$310)),"")))=0,"",IF(5&lt;=COUNTA(半紙!$B$11:$B$310),INDEX(半紙!$D$11:$D$310,5),IF(5&lt;=COUNTA(半紙!$B$11:$B$310)+COUNTA(条幅!$B$11:$B$310),INDEX(条幅!$D$11:$D$310,5-COUNTA(半紙!$B$11:$B$310)),IF(5&lt;=COUNTA(半紙!$B$11:$B$310)+COUNTA(条幅!$B$11:$B$310)+COUNTA(条幅4分の1!$B$11:$B$310),INDEX(条幅4分の1!$D$11:$D$310,5-COUNTA(半紙!$B$11:$B$310)-COUNTA(条幅!$B$11:$B$310)),""))))</f>
        <v/>
      </c>
      <c r="E10" s="38" t="str">
        <f>IF(IF(5&lt;=COUNTA(半紙!$B$11:$B$310),INDEX(半紙!$E$11:$E$310,5),IF(5&lt;=COUNTA(半紙!$B$11:$B$310)+COUNTA(条幅!$B$11:$B$310),INDEX(条幅!$E$11:$E$310,5-COUNTA(半紙!$B$11:$B$310)),IF(5&lt;=COUNTA(半紙!$B$11:$B$310)+COUNTA(条幅!$B$11:$B$310)+COUNTA(条幅4分の1!$B$11:$B$310),INDEX(条幅4分の1!$E$11:$E$310,5-COUNTA(半紙!$B$11:$B$310)-COUNTA(条幅!$B$11:$B$310)),"")))=0,"",IF(5&lt;=COUNTA(半紙!$B$11:$B$310),INDEX(半紙!$E$11:$E$310,5),IF(5&lt;=COUNTA(半紙!$B$11:$B$310)+COUNTA(条幅!$B$11:$B$310),INDEX(条幅!$E$11:$E$310,5-COUNTA(半紙!$B$11:$B$310)),IF(5&lt;=COUNTA(半紙!$B$11:$B$310)+COUNTA(条幅!$B$11:$B$310)+COUNTA(条幅4分の1!$B$11:$B$310),INDEX(条幅4分の1!$E$11:$E$310,5-COUNTA(半紙!$B$11:$B$310)-COUNTA(条幅!$B$11:$B$310)),""))))</f>
        <v/>
      </c>
      <c r="F10" s="38" t="str">
        <f>IF(IF(5&lt;=COUNTA(半紙!$B$11:$B$310),INDEX(半紙!$F$11:$F$310,5),IF(5&lt;=COUNTA(半紙!$B$11:$B$310)+COUNTA(条幅!$B$11:$B$310),INDEX(条幅!$F$11:$F$310,5-COUNTA(半紙!$B$11:$B$310)),IF(5&lt;=COUNTA(半紙!$B$11:$B$310)+COUNTA(条幅!$B$11:$B$310)+COUNTA(条幅4分の1!$B$11:$B$310),INDEX(条幅4分の1!$F$11:$F$310,5-COUNTA(半紙!$B$11:$B$310)-COUNTA(条幅!$B$11:$B$310)),"")))=0,"",IF(5&lt;=COUNTA(半紙!$B$11:$B$310),INDEX(半紙!$F$11:$F$310,5),IF(5&lt;=COUNTA(半紙!$B$11:$B$310)+COUNTA(条幅!$B$11:$B$310),INDEX(条幅!$F$11:$F$310,5-COUNTA(半紙!$B$11:$B$310)),IF(5&lt;=COUNTA(半紙!$B$11:$B$310)+COUNTA(条幅!$B$11:$B$310)+COUNTA(条幅4分の1!$B$11:$B$310),INDEX(条幅4分の1!$F$11:$F$310,5-COUNTA(半紙!$B$11:$B$310)-COUNTA(条幅!$B$11:$B$310)),""))))</f>
        <v/>
      </c>
      <c r="G10" s="38" t="str">
        <f>IF(IF(5&lt;=COUNTA(半紙!$B$11:$B$310),INDEX(半紙!$G$11:$G$310,5),IF(5&lt;=COUNTA(半紙!$B$11:$B$310)+COUNTA(条幅!$B$11:$B$310),INDEX(条幅!$G$11:$G$310,5-COUNTA(半紙!$B$11:$B$310)),IF(5&lt;=COUNTA(半紙!$B$11:$B$310)+COUNTA(条幅!$B$11:$B$310)+COUNTA(条幅4分の1!$B$11:$B$310),INDEX(条幅4分の1!$G$11:$G$310,5-COUNTA(半紙!$B$11:$B$310)-COUNTA(条幅!$B$11:$B$310)),"")))=0,"",IF(5&lt;=COUNTA(半紙!$B$11:$B$310),INDEX(半紙!$G$11:$G$310,5),IF(5&lt;=COUNTA(半紙!$B$11:$B$310)+COUNTA(条幅!$B$11:$B$310),INDEX(条幅!$G$11:$G$310,5-COUNTA(半紙!$B$11:$B$310)),IF(5&lt;=COUNTA(半紙!$B$11:$B$310)+COUNTA(条幅!$B$11:$B$310)+COUNTA(条幅4分の1!$B$11:$B$310),INDEX(条幅4分の1!$G$11:$G$310,5-COUNTA(半紙!$B$11:$B$310)-COUNTA(条幅!$B$11:$B$310)),""))))</f>
        <v/>
      </c>
      <c r="H10" s="38" t="str">
        <f>IF(IF(5&lt;=COUNTA(半紙!$B$11:$B$310),INDEX(半紙!$H$11:$H$310,5),IF(5&lt;=COUNTA(半紙!$B$11:$B$310)+COUNTA(条幅!$B$11:$B$310),INDEX(条幅!$H$11:$H$310,5-COUNTA(半紙!$B$11:$B$310)),IF(5&lt;=COUNTA(半紙!$B$11:$B$310)+COUNTA(条幅!$B$11:$B$310)+COUNTA(条幅4分の1!$B$11:$B$310),INDEX(条幅4分の1!$H$11:$H$310,5-COUNTA(半紙!$B$11:$B$310)-COUNTA(条幅!$B$11:$B$310)),"")))=0,"",IF(5&lt;=COUNTA(半紙!$B$11:$B$310),INDEX(半紙!$H$11:$H$310,5),IF(5&lt;=COUNTA(半紙!$B$11:$B$310)+COUNTA(条幅!$B$11:$B$310),INDEX(条幅!$H$11:$H$310,5-COUNTA(半紙!$B$11:$B$310)),IF(5&lt;=COUNTA(半紙!$B$11:$B$310)+COUNTA(条幅!$B$11:$B$310)+COUNTA(条幅4分の1!$B$11:$B$310),INDEX(条幅4分の1!$H$11:$H$310,5-COUNTA(半紙!$B$11:$B$310)-COUNTA(条幅!$B$11:$B$310)),""))))</f>
        <v/>
      </c>
      <c r="I10" s="38" t="str">
        <f>IF(IF(5&lt;=COUNTA(半紙!$B$11:$B$310),INDEX(半紙!$I$11:$I$310,5),IF(5&lt;=COUNTA(半紙!$B$11:$B$310)+COUNTA(条幅!$B$11:$B$310),INDEX(条幅!$I$11:$I$310,5-COUNTA(半紙!$B$11:$B$310)),IF(5&lt;=COUNTA(半紙!$B$11:$B$310)+COUNTA(条幅!$B$11:$B$310)+COUNTA(条幅4分の1!$B$11:$B$310),INDEX(条幅4分の1!$I$11:$I$310,5-COUNTA(半紙!$B$11:$B$310)-COUNTA(条幅!$B$11:$B$310)),"")))=0,"",IF(5&lt;=COUNTA(半紙!$B$11:$B$310),INDEX(半紙!$I$11:$I$310,5),IF(5&lt;=COUNTA(半紙!$B$11:$B$310)+COUNTA(条幅!$B$11:$B$310),INDEX(条幅!$I$11:$I$310,5-COUNTA(半紙!$B$11:$B$310)),IF(5&lt;=COUNTA(半紙!$B$11:$B$310)+COUNTA(条幅!$B$11:$B$310)+COUNTA(条幅4分の1!$B$11:$B$310),INDEX(条幅4分の1!$I$11:$I$310,5-COUNTA(半紙!$B$11:$B$310)-COUNTA(条幅!$B$11:$B$310)),""))))</f>
        <v/>
      </c>
      <c r="J10" s="38" t="str">
        <f>IF(IF(5&lt;=COUNTA(半紙!$B$11:$B$310),INDEX(半紙!$J$11:$J$310,5),IF(5&lt;=COUNTA(半紙!$B$11:$B$310)+COUNTA(条幅!$B$11:$B$310),INDEX(条幅!$J$11:$J$310,5-COUNTA(半紙!$B$11:$B$310)),IF(5&lt;=COUNTA(半紙!$B$11:$B$310)+COUNTA(条幅!$B$11:$B$310)+COUNTA(条幅4分の1!$B$11:$B$310),INDEX(条幅4分の1!$J$11:$J$310,5-COUNTA(半紙!$B$11:$B$310)-COUNTA(条幅!$B$11:$B$310)),"")))=0,"",IF(5&lt;=COUNTA(半紙!$B$11:$B$310),INDEX(半紙!$J$11:$J$310,5),IF(5&lt;=COUNTA(半紙!$B$11:$B$310)+COUNTA(条幅!$B$11:$B$310),INDEX(条幅!$J$11:$J$310,5-COUNTA(半紙!$B$11:$B$310)),IF(5&lt;=COUNTA(半紙!$B$11:$B$310)+COUNTA(条幅!$B$11:$B$310)+COUNTA(条幅4分の1!$B$11:$B$310),INDEX(条幅4分の1!$J$11:$J$310,5-COUNTA(半紙!$B$11:$B$310)-COUNTA(条幅!$B$11:$B$310)),""))))</f>
        <v/>
      </c>
      <c r="K10" s="38" t="str">
        <f>IF(IF(5&lt;=COUNTA(半紙!$B$11:$B$310),INDEX(半紙!$K$11:$K$310,5),IF(5&lt;=COUNTA(半紙!$B$11:$B$310)+COUNTA(条幅!$B$11:$B$310),INDEX(条幅!$K$11:$K$310,5-COUNTA(半紙!$B$11:$B$310)),IF(5&lt;=COUNTA(半紙!$B$11:$B$310)+COUNTA(条幅!$B$11:$B$310)+COUNTA(条幅4分の1!$B$11:$B$310),INDEX(条幅4分の1!$K$11:$K$310,5-COUNTA(半紙!$B$11:$B$310)-COUNTA(条幅!$B$11:$B$310)),"")))=0,"",IF(5&lt;=COUNTA(半紙!$B$11:$B$310),INDEX(半紙!$K$11:$K$310,5),IF(5&lt;=COUNTA(半紙!$B$11:$B$310)+COUNTA(条幅!$B$11:$B$310),INDEX(条幅!$K$11:$K$310,5-COUNTA(半紙!$B$11:$B$310)),IF(5&lt;=COUNTA(半紙!$B$11:$B$310)+COUNTA(条幅!$B$11:$B$310)+COUNTA(条幅4分の1!$B$11:$B$310),INDEX(条幅4分の1!$K$11:$K$310,5-COUNTA(半紙!$B$11:$B$310)-COUNTA(条幅!$B$11:$B$310)),""))))</f>
        <v/>
      </c>
      <c r="L10" s="48" t="str">
        <f>IF($B10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5))</f>
        <v/>
      </c>
    </row>
    <row r="11" spans="1:12" ht="15" customHeight="1">
      <c r="A11" s="37" t="str">
        <f>IF(6&lt;=COUNTA(半紙!$B$11:$B$310),"半紙",IF(6&lt;=COUNTA(半紙!$B$11:$B$310)+COUNTA(条幅!$B$11:$B$310),"条幅(半切)",IF(6&lt;=COUNTA(半紙!$B$11:$B$310)+COUNTA(条幅!$B$11:$B$310)+COUNTA(条幅4分の1!$B$11:$B$310),"条幅(1/4)","")))</f>
        <v/>
      </c>
      <c r="B11" s="38" t="str">
        <f>IF(IF(6&lt;=COUNTA(半紙!$B$11:$B$310),INDEX(半紙!$B$11:$B$310,6),IF(6&lt;=COUNTA(半紙!$B$11:$B$310)+COUNTA(条幅!$B$11:$B$310),INDEX(条幅!$B$11:$B$310,6-COUNTA(半紙!$B$11:$B$310)),IF(6&lt;=COUNTA(半紙!$B$11:$B$310)+COUNTA(条幅!$B$11:$B$310)+COUNTA(条幅4分の1!$B$11:$B$310),INDEX(条幅4分の1!$B$11:$B$310,6-COUNTA(半紙!$B$11:$B$310)-COUNTA(条幅!$B$11:$B$310)),"")))=0,"",IF(6&lt;=COUNTA(半紙!$B$11:$B$310),INDEX(半紙!$B$11:$B$310,6),IF(6&lt;=COUNTA(半紙!$B$11:$B$310)+COUNTA(条幅!$B$11:$B$310),INDEX(条幅!$B$11:$B$310,6-COUNTA(半紙!$B$11:$B$310)),IF(6&lt;=COUNTA(半紙!$B$11:$B$310)+COUNTA(条幅!$B$11:$B$310)+COUNTA(条幅4分の1!$B$11:$B$310),INDEX(条幅4分の1!$B$11:$B$310,6-COUNTA(半紙!$B$11:$B$310)-COUNTA(条幅!$B$11:$B$310)),""))))</f>
        <v/>
      </c>
      <c r="C11" s="38" t="str">
        <f>IF(IF(6&lt;=COUNTA(半紙!$B$11:$B$310),INDEX(半紙!$C$11:$C$310,6),IF(6&lt;=COUNTA(半紙!$B$11:$B$310)+COUNTA(条幅!$B$11:$B$310),INDEX(条幅!$C$11:$C$310,6-COUNTA(半紙!$B$11:$B$310)),IF(6&lt;=COUNTA(半紙!$B$11:$B$310)+COUNTA(条幅!$B$11:$B$310)+COUNTA(条幅4分の1!$B$11:$B$310),INDEX(条幅4分の1!$C$11:$C$310,6-COUNTA(半紙!$B$11:$B$310)-COUNTA(条幅!$B$11:$B$310)),"")))=0,"",IF(6&lt;=COUNTA(半紙!$B$11:$B$310),INDEX(半紙!$C$11:$C$310,6),IF(6&lt;=COUNTA(半紙!$B$11:$B$310)+COUNTA(条幅!$B$11:$B$310),INDEX(条幅!$C$11:$C$310,6-COUNTA(半紙!$B$11:$B$310)),IF(6&lt;=COUNTA(半紙!$B$11:$B$310)+COUNTA(条幅!$B$11:$B$310)+COUNTA(条幅4分の1!$B$11:$B$310),INDEX(条幅4分の1!$C$11:$C$310,6-COUNTA(半紙!$B$11:$B$310)-COUNTA(条幅!$B$11:$B$310)),""))))</f>
        <v/>
      </c>
      <c r="D11" s="38" t="str">
        <f>IF(IF(6&lt;=COUNTA(半紙!$B$11:$B$310),INDEX(半紙!$D$11:$D$310,6),IF(6&lt;=COUNTA(半紙!$B$11:$B$310)+COUNTA(条幅!$B$11:$B$310),INDEX(条幅!$D$11:$D$310,6-COUNTA(半紙!$B$11:$B$310)),IF(6&lt;=COUNTA(半紙!$B$11:$B$310)+COUNTA(条幅!$B$11:$B$310)+COUNTA(条幅4分の1!$B$11:$B$310),INDEX(条幅4分の1!$D$11:$D$310,6-COUNTA(半紙!$B$11:$B$310)-COUNTA(条幅!$B$11:$B$310)),"")))=0,"",IF(6&lt;=COUNTA(半紙!$B$11:$B$310),INDEX(半紙!$D$11:$D$310,6),IF(6&lt;=COUNTA(半紙!$B$11:$B$310)+COUNTA(条幅!$B$11:$B$310),INDEX(条幅!$D$11:$D$310,6-COUNTA(半紙!$B$11:$B$310)),IF(6&lt;=COUNTA(半紙!$B$11:$B$310)+COUNTA(条幅!$B$11:$B$310)+COUNTA(条幅4分の1!$B$11:$B$310),INDEX(条幅4分の1!$D$11:$D$310,6-COUNTA(半紙!$B$11:$B$310)-COUNTA(条幅!$B$11:$B$310)),""))))</f>
        <v/>
      </c>
      <c r="E11" s="38" t="str">
        <f>IF(IF(6&lt;=COUNTA(半紙!$B$11:$B$310),INDEX(半紙!$E$11:$E$310,6),IF(6&lt;=COUNTA(半紙!$B$11:$B$310)+COUNTA(条幅!$B$11:$B$310),INDEX(条幅!$E$11:$E$310,6-COUNTA(半紙!$B$11:$B$310)),IF(6&lt;=COUNTA(半紙!$B$11:$B$310)+COUNTA(条幅!$B$11:$B$310)+COUNTA(条幅4分の1!$B$11:$B$310),INDEX(条幅4分の1!$E$11:$E$310,6-COUNTA(半紙!$B$11:$B$310)-COUNTA(条幅!$B$11:$B$310)),"")))=0,"",IF(6&lt;=COUNTA(半紙!$B$11:$B$310),INDEX(半紙!$E$11:$E$310,6),IF(6&lt;=COUNTA(半紙!$B$11:$B$310)+COUNTA(条幅!$B$11:$B$310),INDEX(条幅!$E$11:$E$310,6-COUNTA(半紙!$B$11:$B$310)),IF(6&lt;=COUNTA(半紙!$B$11:$B$310)+COUNTA(条幅!$B$11:$B$310)+COUNTA(条幅4分の1!$B$11:$B$310),INDEX(条幅4分の1!$E$11:$E$310,6-COUNTA(半紙!$B$11:$B$310)-COUNTA(条幅!$B$11:$B$310)),""))))</f>
        <v/>
      </c>
      <c r="F11" s="38" t="str">
        <f>IF(IF(6&lt;=COUNTA(半紙!$B$11:$B$310),INDEX(半紙!$F$11:$F$310,6),IF(6&lt;=COUNTA(半紙!$B$11:$B$310)+COUNTA(条幅!$B$11:$B$310),INDEX(条幅!$F$11:$F$310,6-COUNTA(半紙!$B$11:$B$310)),IF(6&lt;=COUNTA(半紙!$B$11:$B$310)+COUNTA(条幅!$B$11:$B$310)+COUNTA(条幅4分の1!$B$11:$B$310),INDEX(条幅4分の1!$F$11:$F$310,6-COUNTA(半紙!$B$11:$B$310)-COUNTA(条幅!$B$11:$B$310)),"")))=0,"",IF(6&lt;=COUNTA(半紙!$B$11:$B$310),INDEX(半紙!$F$11:$F$310,6),IF(6&lt;=COUNTA(半紙!$B$11:$B$310)+COUNTA(条幅!$B$11:$B$310),INDEX(条幅!$F$11:$F$310,6-COUNTA(半紙!$B$11:$B$310)),IF(6&lt;=COUNTA(半紙!$B$11:$B$310)+COUNTA(条幅!$B$11:$B$310)+COUNTA(条幅4分の1!$B$11:$B$310),INDEX(条幅4分の1!$F$11:$F$310,6-COUNTA(半紙!$B$11:$B$310)-COUNTA(条幅!$B$11:$B$310)),""))))</f>
        <v/>
      </c>
      <c r="G11" s="38" t="str">
        <f>IF(IF(6&lt;=COUNTA(半紙!$B$11:$B$310),INDEX(半紙!$G$11:$G$310,6),IF(6&lt;=COUNTA(半紙!$B$11:$B$310)+COUNTA(条幅!$B$11:$B$310),INDEX(条幅!$G$11:$G$310,6-COUNTA(半紙!$B$11:$B$310)),IF(6&lt;=COUNTA(半紙!$B$11:$B$310)+COUNTA(条幅!$B$11:$B$310)+COUNTA(条幅4分の1!$B$11:$B$310),INDEX(条幅4分の1!$G$11:$G$310,6-COUNTA(半紙!$B$11:$B$310)-COUNTA(条幅!$B$11:$B$310)),"")))=0,"",IF(6&lt;=COUNTA(半紙!$B$11:$B$310),INDEX(半紙!$G$11:$G$310,6),IF(6&lt;=COUNTA(半紙!$B$11:$B$310)+COUNTA(条幅!$B$11:$B$310),INDEX(条幅!$G$11:$G$310,6-COUNTA(半紙!$B$11:$B$310)),IF(6&lt;=COUNTA(半紙!$B$11:$B$310)+COUNTA(条幅!$B$11:$B$310)+COUNTA(条幅4分の1!$B$11:$B$310),INDEX(条幅4分の1!$G$11:$G$310,6-COUNTA(半紙!$B$11:$B$310)-COUNTA(条幅!$B$11:$B$310)),""))))</f>
        <v/>
      </c>
      <c r="H11" s="38" t="str">
        <f>IF(IF(6&lt;=COUNTA(半紙!$B$11:$B$310),INDEX(半紙!$H$11:$H$310,6),IF(6&lt;=COUNTA(半紙!$B$11:$B$310)+COUNTA(条幅!$B$11:$B$310),INDEX(条幅!$H$11:$H$310,6-COUNTA(半紙!$B$11:$B$310)),IF(6&lt;=COUNTA(半紙!$B$11:$B$310)+COUNTA(条幅!$B$11:$B$310)+COUNTA(条幅4分の1!$B$11:$B$310),INDEX(条幅4分の1!$H$11:$H$310,6-COUNTA(半紙!$B$11:$B$310)-COUNTA(条幅!$B$11:$B$310)),"")))=0,"",IF(6&lt;=COUNTA(半紙!$B$11:$B$310),INDEX(半紙!$H$11:$H$310,6),IF(6&lt;=COUNTA(半紙!$B$11:$B$310)+COUNTA(条幅!$B$11:$B$310),INDEX(条幅!$H$11:$H$310,6-COUNTA(半紙!$B$11:$B$310)),IF(6&lt;=COUNTA(半紙!$B$11:$B$310)+COUNTA(条幅!$B$11:$B$310)+COUNTA(条幅4分の1!$B$11:$B$310),INDEX(条幅4分の1!$H$11:$H$310,6-COUNTA(半紙!$B$11:$B$310)-COUNTA(条幅!$B$11:$B$310)),""))))</f>
        <v/>
      </c>
      <c r="I11" s="38" t="str">
        <f>IF(IF(6&lt;=COUNTA(半紙!$B$11:$B$310),INDEX(半紙!$I$11:$I$310,6),IF(6&lt;=COUNTA(半紙!$B$11:$B$310)+COUNTA(条幅!$B$11:$B$310),INDEX(条幅!$I$11:$I$310,6-COUNTA(半紙!$B$11:$B$310)),IF(6&lt;=COUNTA(半紙!$B$11:$B$310)+COUNTA(条幅!$B$11:$B$310)+COUNTA(条幅4分の1!$B$11:$B$310),INDEX(条幅4分の1!$I$11:$I$310,6-COUNTA(半紙!$B$11:$B$310)-COUNTA(条幅!$B$11:$B$310)),"")))=0,"",IF(6&lt;=COUNTA(半紙!$B$11:$B$310),INDEX(半紙!$I$11:$I$310,6),IF(6&lt;=COUNTA(半紙!$B$11:$B$310)+COUNTA(条幅!$B$11:$B$310),INDEX(条幅!$I$11:$I$310,6-COUNTA(半紙!$B$11:$B$310)),IF(6&lt;=COUNTA(半紙!$B$11:$B$310)+COUNTA(条幅!$B$11:$B$310)+COUNTA(条幅4分の1!$B$11:$B$310),INDEX(条幅4分の1!$I$11:$I$310,6-COUNTA(半紙!$B$11:$B$310)-COUNTA(条幅!$B$11:$B$310)),""))))</f>
        <v/>
      </c>
      <c r="J11" s="38" t="str">
        <f>IF(IF(6&lt;=COUNTA(半紙!$B$11:$B$310),INDEX(半紙!$J$11:$J$310,6),IF(6&lt;=COUNTA(半紙!$B$11:$B$310)+COUNTA(条幅!$B$11:$B$310),INDEX(条幅!$J$11:$J$310,6-COUNTA(半紙!$B$11:$B$310)),IF(6&lt;=COUNTA(半紙!$B$11:$B$310)+COUNTA(条幅!$B$11:$B$310)+COUNTA(条幅4分の1!$B$11:$B$310),INDEX(条幅4分の1!$J$11:$J$310,6-COUNTA(半紙!$B$11:$B$310)-COUNTA(条幅!$B$11:$B$310)),"")))=0,"",IF(6&lt;=COUNTA(半紙!$B$11:$B$310),INDEX(半紙!$J$11:$J$310,6),IF(6&lt;=COUNTA(半紙!$B$11:$B$310)+COUNTA(条幅!$B$11:$B$310),INDEX(条幅!$J$11:$J$310,6-COUNTA(半紙!$B$11:$B$310)),IF(6&lt;=COUNTA(半紙!$B$11:$B$310)+COUNTA(条幅!$B$11:$B$310)+COUNTA(条幅4分の1!$B$11:$B$310),INDEX(条幅4分の1!$J$11:$J$310,6-COUNTA(半紙!$B$11:$B$310)-COUNTA(条幅!$B$11:$B$310)),""))))</f>
        <v/>
      </c>
      <c r="K11" s="38" t="str">
        <f>IF(IF(6&lt;=COUNTA(半紙!$B$11:$B$310),INDEX(半紙!$K$11:$K$310,6),IF(6&lt;=COUNTA(半紙!$B$11:$B$310)+COUNTA(条幅!$B$11:$B$310),INDEX(条幅!$K$11:$K$310,6-COUNTA(半紙!$B$11:$B$310)),IF(6&lt;=COUNTA(半紙!$B$11:$B$310)+COUNTA(条幅!$B$11:$B$310)+COUNTA(条幅4分の1!$B$11:$B$310),INDEX(条幅4分の1!$K$11:$K$310,6-COUNTA(半紙!$B$11:$B$310)-COUNTA(条幅!$B$11:$B$310)),"")))=0,"",IF(6&lt;=COUNTA(半紙!$B$11:$B$310),INDEX(半紙!$K$11:$K$310,6),IF(6&lt;=COUNTA(半紙!$B$11:$B$310)+COUNTA(条幅!$B$11:$B$310),INDEX(条幅!$K$11:$K$310,6-COUNTA(半紙!$B$11:$B$310)),IF(6&lt;=COUNTA(半紙!$B$11:$B$310)+COUNTA(条幅!$B$11:$B$310)+COUNTA(条幅4分の1!$B$11:$B$310),INDEX(条幅4分の1!$K$11:$K$310,6-COUNTA(半紙!$B$11:$B$310)-COUNTA(条幅!$B$11:$B$310)),""))))</f>
        <v/>
      </c>
      <c r="L11" s="48" t="str">
        <f>IF($B11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6))</f>
        <v/>
      </c>
    </row>
    <row r="12" spans="1:12" ht="15" customHeight="1">
      <c r="A12" s="37" t="str">
        <f>IF(7&lt;=COUNTA(半紙!$B$11:$B$310),"半紙",IF(7&lt;=COUNTA(半紙!$B$11:$B$310)+COUNTA(条幅!$B$11:$B$310),"条幅(半切)",IF(7&lt;=COUNTA(半紙!$B$11:$B$310)+COUNTA(条幅!$B$11:$B$310)+COUNTA(条幅4分の1!$B$11:$B$310),"条幅(1/4)","")))</f>
        <v/>
      </c>
      <c r="B12" s="38" t="str">
        <f>IF(IF(7&lt;=COUNTA(半紙!$B$11:$B$310),INDEX(半紙!$B$11:$B$310,7),IF(7&lt;=COUNTA(半紙!$B$11:$B$310)+COUNTA(条幅!$B$11:$B$310),INDEX(条幅!$B$11:$B$310,7-COUNTA(半紙!$B$11:$B$310)),IF(7&lt;=COUNTA(半紙!$B$11:$B$310)+COUNTA(条幅!$B$11:$B$310)+COUNTA(条幅4分の1!$B$11:$B$310),INDEX(条幅4分の1!$B$11:$B$310,7-COUNTA(半紙!$B$11:$B$310)-COUNTA(条幅!$B$11:$B$310)),"")))=0,"",IF(7&lt;=COUNTA(半紙!$B$11:$B$310),INDEX(半紙!$B$11:$B$310,7),IF(7&lt;=COUNTA(半紙!$B$11:$B$310)+COUNTA(条幅!$B$11:$B$310),INDEX(条幅!$B$11:$B$310,7-COUNTA(半紙!$B$11:$B$310)),IF(7&lt;=COUNTA(半紙!$B$11:$B$310)+COUNTA(条幅!$B$11:$B$310)+COUNTA(条幅4分の1!$B$11:$B$310),INDEX(条幅4分の1!$B$11:$B$310,7-COUNTA(半紙!$B$11:$B$310)-COUNTA(条幅!$B$11:$B$310)),""))))</f>
        <v/>
      </c>
      <c r="C12" s="38" t="str">
        <f>IF(IF(7&lt;=COUNTA(半紙!$B$11:$B$310),INDEX(半紙!$C$11:$C$310,7),IF(7&lt;=COUNTA(半紙!$B$11:$B$310)+COUNTA(条幅!$B$11:$B$310),INDEX(条幅!$C$11:$C$310,7-COUNTA(半紙!$B$11:$B$310)),IF(7&lt;=COUNTA(半紙!$B$11:$B$310)+COUNTA(条幅!$B$11:$B$310)+COUNTA(条幅4分の1!$B$11:$B$310),INDEX(条幅4分の1!$C$11:$C$310,7-COUNTA(半紙!$B$11:$B$310)-COUNTA(条幅!$B$11:$B$310)),"")))=0,"",IF(7&lt;=COUNTA(半紙!$B$11:$B$310),INDEX(半紙!$C$11:$C$310,7),IF(7&lt;=COUNTA(半紙!$B$11:$B$310)+COUNTA(条幅!$B$11:$B$310),INDEX(条幅!$C$11:$C$310,7-COUNTA(半紙!$B$11:$B$310)),IF(7&lt;=COUNTA(半紙!$B$11:$B$310)+COUNTA(条幅!$B$11:$B$310)+COUNTA(条幅4分の1!$B$11:$B$310),INDEX(条幅4分の1!$C$11:$C$310,7-COUNTA(半紙!$B$11:$B$310)-COUNTA(条幅!$B$11:$B$310)),""))))</f>
        <v/>
      </c>
      <c r="D12" s="38" t="str">
        <f>IF(IF(7&lt;=COUNTA(半紙!$B$11:$B$310),INDEX(半紙!$D$11:$D$310,7),IF(7&lt;=COUNTA(半紙!$B$11:$B$310)+COUNTA(条幅!$B$11:$B$310),INDEX(条幅!$D$11:$D$310,7-COUNTA(半紙!$B$11:$B$310)),IF(7&lt;=COUNTA(半紙!$B$11:$B$310)+COUNTA(条幅!$B$11:$B$310)+COUNTA(条幅4分の1!$B$11:$B$310),INDEX(条幅4分の1!$D$11:$D$310,7-COUNTA(半紙!$B$11:$B$310)-COUNTA(条幅!$B$11:$B$310)),"")))=0,"",IF(7&lt;=COUNTA(半紙!$B$11:$B$310),INDEX(半紙!$D$11:$D$310,7),IF(7&lt;=COUNTA(半紙!$B$11:$B$310)+COUNTA(条幅!$B$11:$B$310),INDEX(条幅!$D$11:$D$310,7-COUNTA(半紙!$B$11:$B$310)),IF(7&lt;=COUNTA(半紙!$B$11:$B$310)+COUNTA(条幅!$B$11:$B$310)+COUNTA(条幅4分の1!$B$11:$B$310),INDEX(条幅4分の1!$D$11:$D$310,7-COUNTA(半紙!$B$11:$B$310)-COUNTA(条幅!$B$11:$B$310)),""))))</f>
        <v/>
      </c>
      <c r="E12" s="38" t="str">
        <f>IF(IF(7&lt;=COUNTA(半紙!$B$11:$B$310),INDEX(半紙!$E$11:$E$310,7),IF(7&lt;=COUNTA(半紙!$B$11:$B$310)+COUNTA(条幅!$B$11:$B$310),INDEX(条幅!$E$11:$E$310,7-COUNTA(半紙!$B$11:$B$310)),IF(7&lt;=COUNTA(半紙!$B$11:$B$310)+COUNTA(条幅!$B$11:$B$310)+COUNTA(条幅4分の1!$B$11:$B$310),INDEX(条幅4分の1!$E$11:$E$310,7-COUNTA(半紙!$B$11:$B$310)-COUNTA(条幅!$B$11:$B$310)),"")))=0,"",IF(7&lt;=COUNTA(半紙!$B$11:$B$310),INDEX(半紙!$E$11:$E$310,7),IF(7&lt;=COUNTA(半紙!$B$11:$B$310)+COUNTA(条幅!$B$11:$B$310),INDEX(条幅!$E$11:$E$310,7-COUNTA(半紙!$B$11:$B$310)),IF(7&lt;=COUNTA(半紙!$B$11:$B$310)+COUNTA(条幅!$B$11:$B$310)+COUNTA(条幅4分の1!$B$11:$B$310),INDEX(条幅4分の1!$E$11:$E$310,7-COUNTA(半紙!$B$11:$B$310)-COUNTA(条幅!$B$11:$B$310)),""))))</f>
        <v/>
      </c>
      <c r="F12" s="38" t="str">
        <f>IF(IF(7&lt;=COUNTA(半紙!$B$11:$B$310),INDEX(半紙!$F$11:$F$310,7),IF(7&lt;=COUNTA(半紙!$B$11:$B$310)+COUNTA(条幅!$B$11:$B$310),INDEX(条幅!$F$11:$F$310,7-COUNTA(半紙!$B$11:$B$310)),IF(7&lt;=COUNTA(半紙!$B$11:$B$310)+COUNTA(条幅!$B$11:$B$310)+COUNTA(条幅4分の1!$B$11:$B$310),INDEX(条幅4分の1!$F$11:$F$310,7-COUNTA(半紙!$B$11:$B$310)-COUNTA(条幅!$B$11:$B$310)),"")))=0,"",IF(7&lt;=COUNTA(半紙!$B$11:$B$310),INDEX(半紙!$F$11:$F$310,7),IF(7&lt;=COUNTA(半紙!$B$11:$B$310)+COUNTA(条幅!$B$11:$B$310),INDEX(条幅!$F$11:$F$310,7-COUNTA(半紙!$B$11:$B$310)),IF(7&lt;=COUNTA(半紙!$B$11:$B$310)+COUNTA(条幅!$B$11:$B$310)+COUNTA(条幅4分の1!$B$11:$B$310),INDEX(条幅4分の1!$F$11:$F$310,7-COUNTA(半紙!$B$11:$B$310)-COUNTA(条幅!$B$11:$B$310)),""))))</f>
        <v/>
      </c>
      <c r="G12" s="38" t="str">
        <f>IF(IF(7&lt;=COUNTA(半紙!$B$11:$B$310),INDEX(半紙!$G$11:$G$310,7),IF(7&lt;=COUNTA(半紙!$B$11:$B$310)+COUNTA(条幅!$B$11:$B$310),INDEX(条幅!$G$11:$G$310,7-COUNTA(半紙!$B$11:$B$310)),IF(7&lt;=COUNTA(半紙!$B$11:$B$310)+COUNTA(条幅!$B$11:$B$310)+COUNTA(条幅4分の1!$B$11:$B$310),INDEX(条幅4分の1!$G$11:$G$310,7-COUNTA(半紙!$B$11:$B$310)-COUNTA(条幅!$B$11:$B$310)),"")))=0,"",IF(7&lt;=COUNTA(半紙!$B$11:$B$310),INDEX(半紙!$G$11:$G$310,7),IF(7&lt;=COUNTA(半紙!$B$11:$B$310)+COUNTA(条幅!$B$11:$B$310),INDEX(条幅!$G$11:$G$310,7-COUNTA(半紙!$B$11:$B$310)),IF(7&lt;=COUNTA(半紙!$B$11:$B$310)+COUNTA(条幅!$B$11:$B$310)+COUNTA(条幅4分の1!$B$11:$B$310),INDEX(条幅4分の1!$G$11:$G$310,7-COUNTA(半紙!$B$11:$B$310)-COUNTA(条幅!$B$11:$B$310)),""))))</f>
        <v/>
      </c>
      <c r="H12" s="38" t="str">
        <f>IF(IF(7&lt;=COUNTA(半紙!$B$11:$B$310),INDEX(半紙!$H$11:$H$310,7),IF(7&lt;=COUNTA(半紙!$B$11:$B$310)+COUNTA(条幅!$B$11:$B$310),INDEX(条幅!$H$11:$H$310,7-COUNTA(半紙!$B$11:$B$310)),IF(7&lt;=COUNTA(半紙!$B$11:$B$310)+COUNTA(条幅!$B$11:$B$310)+COUNTA(条幅4分の1!$B$11:$B$310),INDEX(条幅4分の1!$H$11:$H$310,7-COUNTA(半紙!$B$11:$B$310)-COUNTA(条幅!$B$11:$B$310)),"")))=0,"",IF(7&lt;=COUNTA(半紙!$B$11:$B$310),INDEX(半紙!$H$11:$H$310,7),IF(7&lt;=COUNTA(半紙!$B$11:$B$310)+COUNTA(条幅!$B$11:$B$310),INDEX(条幅!$H$11:$H$310,7-COUNTA(半紙!$B$11:$B$310)),IF(7&lt;=COUNTA(半紙!$B$11:$B$310)+COUNTA(条幅!$B$11:$B$310)+COUNTA(条幅4分の1!$B$11:$B$310),INDEX(条幅4分の1!$H$11:$H$310,7-COUNTA(半紙!$B$11:$B$310)-COUNTA(条幅!$B$11:$B$310)),""))))</f>
        <v/>
      </c>
      <c r="I12" s="38" t="str">
        <f>IF(IF(7&lt;=COUNTA(半紙!$B$11:$B$310),INDEX(半紙!$I$11:$I$310,7),IF(7&lt;=COUNTA(半紙!$B$11:$B$310)+COUNTA(条幅!$B$11:$B$310),INDEX(条幅!$I$11:$I$310,7-COUNTA(半紙!$B$11:$B$310)),IF(7&lt;=COUNTA(半紙!$B$11:$B$310)+COUNTA(条幅!$B$11:$B$310)+COUNTA(条幅4分の1!$B$11:$B$310),INDEX(条幅4分の1!$I$11:$I$310,7-COUNTA(半紙!$B$11:$B$310)-COUNTA(条幅!$B$11:$B$310)),"")))=0,"",IF(7&lt;=COUNTA(半紙!$B$11:$B$310),INDEX(半紙!$I$11:$I$310,7),IF(7&lt;=COUNTA(半紙!$B$11:$B$310)+COUNTA(条幅!$B$11:$B$310),INDEX(条幅!$I$11:$I$310,7-COUNTA(半紙!$B$11:$B$310)),IF(7&lt;=COUNTA(半紙!$B$11:$B$310)+COUNTA(条幅!$B$11:$B$310)+COUNTA(条幅4分の1!$B$11:$B$310),INDEX(条幅4分の1!$I$11:$I$310,7-COUNTA(半紙!$B$11:$B$310)-COUNTA(条幅!$B$11:$B$310)),""))))</f>
        <v/>
      </c>
      <c r="J12" s="38" t="str">
        <f>IF(IF(7&lt;=COUNTA(半紙!$B$11:$B$310),INDEX(半紙!$J$11:$J$310,7),IF(7&lt;=COUNTA(半紙!$B$11:$B$310)+COUNTA(条幅!$B$11:$B$310),INDEX(条幅!$J$11:$J$310,7-COUNTA(半紙!$B$11:$B$310)),IF(7&lt;=COUNTA(半紙!$B$11:$B$310)+COUNTA(条幅!$B$11:$B$310)+COUNTA(条幅4分の1!$B$11:$B$310),INDEX(条幅4分の1!$J$11:$J$310,7-COUNTA(半紙!$B$11:$B$310)-COUNTA(条幅!$B$11:$B$310)),"")))=0,"",IF(7&lt;=COUNTA(半紙!$B$11:$B$310),INDEX(半紙!$J$11:$J$310,7),IF(7&lt;=COUNTA(半紙!$B$11:$B$310)+COUNTA(条幅!$B$11:$B$310),INDEX(条幅!$J$11:$J$310,7-COUNTA(半紙!$B$11:$B$310)),IF(7&lt;=COUNTA(半紙!$B$11:$B$310)+COUNTA(条幅!$B$11:$B$310)+COUNTA(条幅4分の1!$B$11:$B$310),INDEX(条幅4分の1!$J$11:$J$310,7-COUNTA(半紙!$B$11:$B$310)-COUNTA(条幅!$B$11:$B$310)),""))))</f>
        <v/>
      </c>
      <c r="K12" s="38" t="str">
        <f>IF(IF(7&lt;=COUNTA(半紙!$B$11:$B$310),INDEX(半紙!$K$11:$K$310,7),IF(7&lt;=COUNTA(半紙!$B$11:$B$310)+COUNTA(条幅!$B$11:$B$310),INDEX(条幅!$K$11:$K$310,7-COUNTA(半紙!$B$11:$B$310)),IF(7&lt;=COUNTA(半紙!$B$11:$B$310)+COUNTA(条幅!$B$11:$B$310)+COUNTA(条幅4分の1!$B$11:$B$310),INDEX(条幅4分の1!$K$11:$K$310,7-COUNTA(半紙!$B$11:$B$310)-COUNTA(条幅!$B$11:$B$310)),"")))=0,"",IF(7&lt;=COUNTA(半紙!$B$11:$B$310),INDEX(半紙!$K$11:$K$310,7),IF(7&lt;=COUNTA(半紙!$B$11:$B$310)+COUNTA(条幅!$B$11:$B$310),INDEX(条幅!$K$11:$K$310,7-COUNTA(半紙!$B$11:$B$310)),IF(7&lt;=COUNTA(半紙!$B$11:$B$310)+COUNTA(条幅!$B$11:$B$310)+COUNTA(条幅4分の1!$B$11:$B$310),INDEX(条幅4分の1!$K$11:$K$310,7-COUNTA(半紙!$B$11:$B$310)-COUNTA(条幅!$B$11:$B$310)),""))))</f>
        <v/>
      </c>
      <c r="L12" s="48" t="str">
        <f>IF($B12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7))</f>
        <v/>
      </c>
    </row>
    <row r="13" spans="1:12" ht="15" customHeight="1">
      <c r="A13" s="37" t="str">
        <f>IF(8&lt;=COUNTA(半紙!$B$11:$B$310),"半紙",IF(8&lt;=COUNTA(半紙!$B$11:$B$310)+COUNTA(条幅!$B$11:$B$310),"条幅(半切)",IF(8&lt;=COUNTA(半紙!$B$11:$B$310)+COUNTA(条幅!$B$11:$B$310)+COUNTA(条幅4分の1!$B$11:$B$310),"条幅(1/4)","")))</f>
        <v/>
      </c>
      <c r="B13" s="38" t="str">
        <f>IF(IF(8&lt;=COUNTA(半紙!$B$11:$B$310),INDEX(半紙!$B$11:$B$310,8),IF(8&lt;=COUNTA(半紙!$B$11:$B$310)+COUNTA(条幅!$B$11:$B$310),INDEX(条幅!$B$11:$B$310,8-COUNTA(半紙!$B$11:$B$310)),IF(8&lt;=COUNTA(半紙!$B$11:$B$310)+COUNTA(条幅!$B$11:$B$310)+COUNTA(条幅4分の1!$B$11:$B$310),INDEX(条幅4分の1!$B$11:$B$310,8-COUNTA(半紙!$B$11:$B$310)-COUNTA(条幅!$B$11:$B$310)),"")))=0,"",IF(8&lt;=COUNTA(半紙!$B$11:$B$310),INDEX(半紙!$B$11:$B$310,8),IF(8&lt;=COUNTA(半紙!$B$11:$B$310)+COUNTA(条幅!$B$11:$B$310),INDEX(条幅!$B$11:$B$310,8-COUNTA(半紙!$B$11:$B$310)),IF(8&lt;=COUNTA(半紙!$B$11:$B$310)+COUNTA(条幅!$B$11:$B$310)+COUNTA(条幅4分の1!$B$11:$B$310),INDEX(条幅4分の1!$B$11:$B$310,8-COUNTA(半紙!$B$11:$B$310)-COUNTA(条幅!$B$11:$B$310)),""))))</f>
        <v/>
      </c>
      <c r="C13" s="38" t="str">
        <f>IF(IF(8&lt;=COUNTA(半紙!$B$11:$B$310),INDEX(半紙!$C$11:$C$310,8),IF(8&lt;=COUNTA(半紙!$B$11:$B$310)+COUNTA(条幅!$B$11:$B$310),INDEX(条幅!$C$11:$C$310,8-COUNTA(半紙!$B$11:$B$310)),IF(8&lt;=COUNTA(半紙!$B$11:$B$310)+COUNTA(条幅!$B$11:$B$310)+COUNTA(条幅4分の1!$B$11:$B$310),INDEX(条幅4分の1!$C$11:$C$310,8-COUNTA(半紙!$B$11:$B$310)-COUNTA(条幅!$B$11:$B$310)),"")))=0,"",IF(8&lt;=COUNTA(半紙!$B$11:$B$310),INDEX(半紙!$C$11:$C$310,8),IF(8&lt;=COUNTA(半紙!$B$11:$B$310)+COUNTA(条幅!$B$11:$B$310),INDEX(条幅!$C$11:$C$310,8-COUNTA(半紙!$B$11:$B$310)),IF(8&lt;=COUNTA(半紙!$B$11:$B$310)+COUNTA(条幅!$B$11:$B$310)+COUNTA(条幅4分の1!$B$11:$B$310),INDEX(条幅4分の1!$C$11:$C$310,8-COUNTA(半紙!$B$11:$B$310)-COUNTA(条幅!$B$11:$B$310)),""))))</f>
        <v/>
      </c>
      <c r="D13" s="38" t="str">
        <f>IF(IF(8&lt;=COUNTA(半紙!$B$11:$B$310),INDEX(半紙!$D$11:$D$310,8),IF(8&lt;=COUNTA(半紙!$B$11:$B$310)+COUNTA(条幅!$B$11:$B$310),INDEX(条幅!$D$11:$D$310,8-COUNTA(半紙!$B$11:$B$310)),IF(8&lt;=COUNTA(半紙!$B$11:$B$310)+COUNTA(条幅!$B$11:$B$310)+COUNTA(条幅4分の1!$B$11:$B$310),INDEX(条幅4分の1!$D$11:$D$310,8-COUNTA(半紙!$B$11:$B$310)-COUNTA(条幅!$B$11:$B$310)),"")))=0,"",IF(8&lt;=COUNTA(半紙!$B$11:$B$310),INDEX(半紙!$D$11:$D$310,8),IF(8&lt;=COUNTA(半紙!$B$11:$B$310)+COUNTA(条幅!$B$11:$B$310),INDEX(条幅!$D$11:$D$310,8-COUNTA(半紙!$B$11:$B$310)),IF(8&lt;=COUNTA(半紙!$B$11:$B$310)+COUNTA(条幅!$B$11:$B$310)+COUNTA(条幅4分の1!$B$11:$B$310),INDEX(条幅4分の1!$D$11:$D$310,8-COUNTA(半紙!$B$11:$B$310)-COUNTA(条幅!$B$11:$B$310)),""))))</f>
        <v/>
      </c>
      <c r="E13" s="38" t="str">
        <f>IF(IF(8&lt;=COUNTA(半紙!$B$11:$B$310),INDEX(半紙!$E$11:$E$310,8),IF(8&lt;=COUNTA(半紙!$B$11:$B$310)+COUNTA(条幅!$B$11:$B$310),INDEX(条幅!$E$11:$E$310,8-COUNTA(半紙!$B$11:$B$310)),IF(8&lt;=COUNTA(半紙!$B$11:$B$310)+COUNTA(条幅!$B$11:$B$310)+COUNTA(条幅4分の1!$B$11:$B$310),INDEX(条幅4分の1!$E$11:$E$310,8-COUNTA(半紙!$B$11:$B$310)-COUNTA(条幅!$B$11:$B$310)),"")))=0,"",IF(8&lt;=COUNTA(半紙!$B$11:$B$310),INDEX(半紙!$E$11:$E$310,8),IF(8&lt;=COUNTA(半紙!$B$11:$B$310)+COUNTA(条幅!$B$11:$B$310),INDEX(条幅!$E$11:$E$310,8-COUNTA(半紙!$B$11:$B$310)),IF(8&lt;=COUNTA(半紙!$B$11:$B$310)+COUNTA(条幅!$B$11:$B$310)+COUNTA(条幅4分の1!$B$11:$B$310),INDEX(条幅4分の1!$E$11:$E$310,8-COUNTA(半紙!$B$11:$B$310)-COUNTA(条幅!$B$11:$B$310)),""))))</f>
        <v/>
      </c>
      <c r="F13" s="38" t="str">
        <f>IF(IF(8&lt;=COUNTA(半紙!$B$11:$B$310),INDEX(半紙!$F$11:$F$310,8),IF(8&lt;=COUNTA(半紙!$B$11:$B$310)+COUNTA(条幅!$B$11:$B$310),INDEX(条幅!$F$11:$F$310,8-COUNTA(半紙!$B$11:$B$310)),IF(8&lt;=COUNTA(半紙!$B$11:$B$310)+COUNTA(条幅!$B$11:$B$310)+COUNTA(条幅4分の1!$B$11:$B$310),INDEX(条幅4分の1!$F$11:$F$310,8-COUNTA(半紙!$B$11:$B$310)-COUNTA(条幅!$B$11:$B$310)),"")))=0,"",IF(8&lt;=COUNTA(半紙!$B$11:$B$310),INDEX(半紙!$F$11:$F$310,8),IF(8&lt;=COUNTA(半紙!$B$11:$B$310)+COUNTA(条幅!$B$11:$B$310),INDEX(条幅!$F$11:$F$310,8-COUNTA(半紙!$B$11:$B$310)),IF(8&lt;=COUNTA(半紙!$B$11:$B$310)+COUNTA(条幅!$B$11:$B$310)+COUNTA(条幅4分の1!$B$11:$B$310),INDEX(条幅4分の1!$F$11:$F$310,8-COUNTA(半紙!$B$11:$B$310)-COUNTA(条幅!$B$11:$B$310)),""))))</f>
        <v/>
      </c>
      <c r="G13" s="38" t="str">
        <f>IF(IF(8&lt;=COUNTA(半紙!$B$11:$B$310),INDEX(半紙!$G$11:$G$310,8),IF(8&lt;=COUNTA(半紙!$B$11:$B$310)+COUNTA(条幅!$B$11:$B$310),INDEX(条幅!$G$11:$G$310,8-COUNTA(半紙!$B$11:$B$310)),IF(8&lt;=COUNTA(半紙!$B$11:$B$310)+COUNTA(条幅!$B$11:$B$310)+COUNTA(条幅4分の1!$B$11:$B$310),INDEX(条幅4分の1!$G$11:$G$310,8-COUNTA(半紙!$B$11:$B$310)-COUNTA(条幅!$B$11:$B$310)),"")))=0,"",IF(8&lt;=COUNTA(半紙!$B$11:$B$310),INDEX(半紙!$G$11:$G$310,8),IF(8&lt;=COUNTA(半紙!$B$11:$B$310)+COUNTA(条幅!$B$11:$B$310),INDEX(条幅!$G$11:$G$310,8-COUNTA(半紙!$B$11:$B$310)),IF(8&lt;=COUNTA(半紙!$B$11:$B$310)+COUNTA(条幅!$B$11:$B$310)+COUNTA(条幅4分の1!$B$11:$B$310),INDEX(条幅4分の1!$G$11:$G$310,8-COUNTA(半紙!$B$11:$B$310)-COUNTA(条幅!$B$11:$B$310)),""))))</f>
        <v/>
      </c>
      <c r="H13" s="38" t="str">
        <f>IF(IF(8&lt;=COUNTA(半紙!$B$11:$B$310),INDEX(半紙!$H$11:$H$310,8),IF(8&lt;=COUNTA(半紙!$B$11:$B$310)+COUNTA(条幅!$B$11:$B$310),INDEX(条幅!$H$11:$H$310,8-COUNTA(半紙!$B$11:$B$310)),IF(8&lt;=COUNTA(半紙!$B$11:$B$310)+COUNTA(条幅!$B$11:$B$310)+COUNTA(条幅4分の1!$B$11:$B$310),INDEX(条幅4分の1!$H$11:$H$310,8-COUNTA(半紙!$B$11:$B$310)-COUNTA(条幅!$B$11:$B$310)),"")))=0,"",IF(8&lt;=COUNTA(半紙!$B$11:$B$310),INDEX(半紙!$H$11:$H$310,8),IF(8&lt;=COUNTA(半紙!$B$11:$B$310)+COUNTA(条幅!$B$11:$B$310),INDEX(条幅!$H$11:$H$310,8-COUNTA(半紙!$B$11:$B$310)),IF(8&lt;=COUNTA(半紙!$B$11:$B$310)+COUNTA(条幅!$B$11:$B$310)+COUNTA(条幅4分の1!$B$11:$B$310),INDEX(条幅4分の1!$H$11:$H$310,8-COUNTA(半紙!$B$11:$B$310)-COUNTA(条幅!$B$11:$B$310)),""))))</f>
        <v/>
      </c>
      <c r="I13" s="38" t="str">
        <f>IF(IF(8&lt;=COUNTA(半紙!$B$11:$B$310),INDEX(半紙!$I$11:$I$310,8),IF(8&lt;=COUNTA(半紙!$B$11:$B$310)+COUNTA(条幅!$B$11:$B$310),INDEX(条幅!$I$11:$I$310,8-COUNTA(半紙!$B$11:$B$310)),IF(8&lt;=COUNTA(半紙!$B$11:$B$310)+COUNTA(条幅!$B$11:$B$310)+COUNTA(条幅4分の1!$B$11:$B$310),INDEX(条幅4分の1!$I$11:$I$310,8-COUNTA(半紙!$B$11:$B$310)-COUNTA(条幅!$B$11:$B$310)),"")))=0,"",IF(8&lt;=COUNTA(半紙!$B$11:$B$310),INDEX(半紙!$I$11:$I$310,8),IF(8&lt;=COUNTA(半紙!$B$11:$B$310)+COUNTA(条幅!$B$11:$B$310),INDEX(条幅!$I$11:$I$310,8-COUNTA(半紙!$B$11:$B$310)),IF(8&lt;=COUNTA(半紙!$B$11:$B$310)+COUNTA(条幅!$B$11:$B$310)+COUNTA(条幅4分の1!$B$11:$B$310),INDEX(条幅4分の1!$I$11:$I$310,8-COUNTA(半紙!$B$11:$B$310)-COUNTA(条幅!$B$11:$B$310)),""))))</f>
        <v/>
      </c>
      <c r="J13" s="38" t="str">
        <f>IF(IF(8&lt;=COUNTA(半紙!$B$11:$B$310),INDEX(半紙!$J$11:$J$310,8),IF(8&lt;=COUNTA(半紙!$B$11:$B$310)+COUNTA(条幅!$B$11:$B$310),INDEX(条幅!$J$11:$J$310,8-COUNTA(半紙!$B$11:$B$310)),IF(8&lt;=COUNTA(半紙!$B$11:$B$310)+COUNTA(条幅!$B$11:$B$310)+COUNTA(条幅4分の1!$B$11:$B$310),INDEX(条幅4分の1!$J$11:$J$310,8-COUNTA(半紙!$B$11:$B$310)-COUNTA(条幅!$B$11:$B$310)),"")))=0,"",IF(8&lt;=COUNTA(半紙!$B$11:$B$310),INDEX(半紙!$J$11:$J$310,8),IF(8&lt;=COUNTA(半紙!$B$11:$B$310)+COUNTA(条幅!$B$11:$B$310),INDEX(条幅!$J$11:$J$310,8-COUNTA(半紙!$B$11:$B$310)),IF(8&lt;=COUNTA(半紙!$B$11:$B$310)+COUNTA(条幅!$B$11:$B$310)+COUNTA(条幅4分の1!$B$11:$B$310),INDEX(条幅4分の1!$J$11:$J$310,8-COUNTA(半紙!$B$11:$B$310)-COUNTA(条幅!$B$11:$B$310)),""))))</f>
        <v/>
      </c>
      <c r="K13" s="38" t="str">
        <f>IF(IF(8&lt;=COUNTA(半紙!$B$11:$B$310),INDEX(半紙!$K$11:$K$310,8),IF(8&lt;=COUNTA(半紙!$B$11:$B$310)+COUNTA(条幅!$B$11:$B$310),INDEX(条幅!$K$11:$K$310,8-COUNTA(半紙!$B$11:$B$310)),IF(8&lt;=COUNTA(半紙!$B$11:$B$310)+COUNTA(条幅!$B$11:$B$310)+COUNTA(条幅4分の1!$B$11:$B$310),INDEX(条幅4分の1!$K$11:$K$310,8-COUNTA(半紙!$B$11:$B$310)-COUNTA(条幅!$B$11:$B$310)),"")))=0,"",IF(8&lt;=COUNTA(半紙!$B$11:$B$310),INDEX(半紙!$K$11:$K$310,8),IF(8&lt;=COUNTA(半紙!$B$11:$B$310)+COUNTA(条幅!$B$11:$B$310),INDEX(条幅!$K$11:$K$310,8-COUNTA(半紙!$B$11:$B$310)),IF(8&lt;=COUNTA(半紙!$B$11:$B$310)+COUNTA(条幅!$B$11:$B$310)+COUNTA(条幅4分の1!$B$11:$B$310),INDEX(条幅4分の1!$K$11:$K$310,8-COUNTA(半紙!$B$11:$B$310)-COUNTA(条幅!$B$11:$B$310)),""))))</f>
        <v/>
      </c>
      <c r="L13" s="48" t="str">
        <f>IF($B13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8))</f>
        <v/>
      </c>
    </row>
    <row r="14" spans="1:12" ht="15" customHeight="1">
      <c r="A14" s="37" t="str">
        <f>IF(9&lt;=COUNTA(半紙!$B$11:$B$310),"半紙",IF(9&lt;=COUNTA(半紙!$B$11:$B$310)+COUNTA(条幅!$B$11:$B$310),"条幅(半切)",IF(9&lt;=COUNTA(半紙!$B$11:$B$310)+COUNTA(条幅!$B$11:$B$310)+COUNTA(条幅4分の1!$B$11:$B$310),"条幅(1/4)","")))</f>
        <v/>
      </c>
      <c r="B14" s="38" t="str">
        <f>IF(IF(9&lt;=COUNTA(半紙!$B$11:$B$310),INDEX(半紙!$B$11:$B$310,9),IF(9&lt;=COUNTA(半紙!$B$11:$B$310)+COUNTA(条幅!$B$11:$B$310),INDEX(条幅!$B$11:$B$310,9-COUNTA(半紙!$B$11:$B$310)),IF(9&lt;=COUNTA(半紙!$B$11:$B$310)+COUNTA(条幅!$B$11:$B$310)+COUNTA(条幅4分の1!$B$11:$B$310),INDEX(条幅4分の1!$B$11:$B$310,9-COUNTA(半紙!$B$11:$B$310)-COUNTA(条幅!$B$11:$B$310)),"")))=0,"",IF(9&lt;=COUNTA(半紙!$B$11:$B$310),INDEX(半紙!$B$11:$B$310,9),IF(9&lt;=COUNTA(半紙!$B$11:$B$310)+COUNTA(条幅!$B$11:$B$310),INDEX(条幅!$B$11:$B$310,9-COUNTA(半紙!$B$11:$B$310)),IF(9&lt;=COUNTA(半紙!$B$11:$B$310)+COUNTA(条幅!$B$11:$B$310)+COUNTA(条幅4分の1!$B$11:$B$310),INDEX(条幅4分の1!$B$11:$B$310,9-COUNTA(半紙!$B$11:$B$310)-COUNTA(条幅!$B$11:$B$310)),""))))</f>
        <v/>
      </c>
      <c r="C14" s="38" t="str">
        <f>IF(IF(9&lt;=COUNTA(半紙!$B$11:$B$310),INDEX(半紙!$C$11:$C$310,9),IF(9&lt;=COUNTA(半紙!$B$11:$B$310)+COUNTA(条幅!$B$11:$B$310),INDEX(条幅!$C$11:$C$310,9-COUNTA(半紙!$B$11:$B$310)),IF(9&lt;=COUNTA(半紙!$B$11:$B$310)+COUNTA(条幅!$B$11:$B$310)+COUNTA(条幅4分の1!$B$11:$B$310),INDEX(条幅4分の1!$C$11:$C$310,9-COUNTA(半紙!$B$11:$B$310)-COUNTA(条幅!$B$11:$B$310)),"")))=0,"",IF(9&lt;=COUNTA(半紙!$B$11:$B$310),INDEX(半紙!$C$11:$C$310,9),IF(9&lt;=COUNTA(半紙!$B$11:$B$310)+COUNTA(条幅!$B$11:$B$310),INDEX(条幅!$C$11:$C$310,9-COUNTA(半紙!$B$11:$B$310)),IF(9&lt;=COUNTA(半紙!$B$11:$B$310)+COUNTA(条幅!$B$11:$B$310)+COUNTA(条幅4分の1!$B$11:$B$310),INDEX(条幅4分の1!$C$11:$C$310,9-COUNTA(半紙!$B$11:$B$310)-COUNTA(条幅!$B$11:$B$310)),""))))</f>
        <v/>
      </c>
      <c r="D14" s="38" t="str">
        <f>IF(IF(9&lt;=COUNTA(半紙!$B$11:$B$310),INDEX(半紙!$D$11:$D$310,9),IF(9&lt;=COUNTA(半紙!$B$11:$B$310)+COUNTA(条幅!$B$11:$B$310),INDEX(条幅!$D$11:$D$310,9-COUNTA(半紙!$B$11:$B$310)),IF(9&lt;=COUNTA(半紙!$B$11:$B$310)+COUNTA(条幅!$B$11:$B$310)+COUNTA(条幅4分の1!$B$11:$B$310),INDEX(条幅4分の1!$D$11:$D$310,9-COUNTA(半紙!$B$11:$B$310)-COUNTA(条幅!$B$11:$B$310)),"")))=0,"",IF(9&lt;=COUNTA(半紙!$B$11:$B$310),INDEX(半紙!$D$11:$D$310,9),IF(9&lt;=COUNTA(半紙!$B$11:$B$310)+COUNTA(条幅!$B$11:$B$310),INDEX(条幅!$D$11:$D$310,9-COUNTA(半紙!$B$11:$B$310)),IF(9&lt;=COUNTA(半紙!$B$11:$B$310)+COUNTA(条幅!$B$11:$B$310)+COUNTA(条幅4分の1!$B$11:$B$310),INDEX(条幅4分の1!$D$11:$D$310,9-COUNTA(半紙!$B$11:$B$310)-COUNTA(条幅!$B$11:$B$310)),""))))</f>
        <v/>
      </c>
      <c r="E14" s="38" t="str">
        <f>IF(IF(9&lt;=COUNTA(半紙!$B$11:$B$310),INDEX(半紙!$E$11:$E$310,9),IF(9&lt;=COUNTA(半紙!$B$11:$B$310)+COUNTA(条幅!$B$11:$B$310),INDEX(条幅!$E$11:$E$310,9-COUNTA(半紙!$B$11:$B$310)),IF(9&lt;=COUNTA(半紙!$B$11:$B$310)+COUNTA(条幅!$B$11:$B$310)+COUNTA(条幅4分の1!$B$11:$B$310),INDEX(条幅4分の1!$E$11:$E$310,9-COUNTA(半紙!$B$11:$B$310)-COUNTA(条幅!$B$11:$B$310)),"")))=0,"",IF(9&lt;=COUNTA(半紙!$B$11:$B$310),INDEX(半紙!$E$11:$E$310,9),IF(9&lt;=COUNTA(半紙!$B$11:$B$310)+COUNTA(条幅!$B$11:$B$310),INDEX(条幅!$E$11:$E$310,9-COUNTA(半紙!$B$11:$B$310)),IF(9&lt;=COUNTA(半紙!$B$11:$B$310)+COUNTA(条幅!$B$11:$B$310)+COUNTA(条幅4分の1!$B$11:$B$310),INDEX(条幅4分の1!$E$11:$E$310,9-COUNTA(半紙!$B$11:$B$310)-COUNTA(条幅!$B$11:$B$310)),""))))</f>
        <v/>
      </c>
      <c r="F14" s="38" t="str">
        <f>IF(IF(9&lt;=COUNTA(半紙!$B$11:$B$310),INDEX(半紙!$F$11:$F$310,9),IF(9&lt;=COUNTA(半紙!$B$11:$B$310)+COUNTA(条幅!$B$11:$B$310),INDEX(条幅!$F$11:$F$310,9-COUNTA(半紙!$B$11:$B$310)),IF(9&lt;=COUNTA(半紙!$B$11:$B$310)+COUNTA(条幅!$B$11:$B$310)+COUNTA(条幅4分の1!$B$11:$B$310),INDEX(条幅4分の1!$F$11:$F$310,9-COUNTA(半紙!$B$11:$B$310)-COUNTA(条幅!$B$11:$B$310)),"")))=0,"",IF(9&lt;=COUNTA(半紙!$B$11:$B$310),INDEX(半紙!$F$11:$F$310,9),IF(9&lt;=COUNTA(半紙!$B$11:$B$310)+COUNTA(条幅!$B$11:$B$310),INDEX(条幅!$F$11:$F$310,9-COUNTA(半紙!$B$11:$B$310)),IF(9&lt;=COUNTA(半紙!$B$11:$B$310)+COUNTA(条幅!$B$11:$B$310)+COUNTA(条幅4分の1!$B$11:$B$310),INDEX(条幅4分の1!$F$11:$F$310,9-COUNTA(半紙!$B$11:$B$310)-COUNTA(条幅!$B$11:$B$310)),""))))</f>
        <v/>
      </c>
      <c r="G14" s="38" t="str">
        <f>IF(IF(9&lt;=COUNTA(半紙!$B$11:$B$310),INDEX(半紙!$G$11:$G$310,9),IF(9&lt;=COUNTA(半紙!$B$11:$B$310)+COUNTA(条幅!$B$11:$B$310),INDEX(条幅!$G$11:$G$310,9-COUNTA(半紙!$B$11:$B$310)),IF(9&lt;=COUNTA(半紙!$B$11:$B$310)+COUNTA(条幅!$B$11:$B$310)+COUNTA(条幅4分の1!$B$11:$B$310),INDEX(条幅4分の1!$G$11:$G$310,9-COUNTA(半紙!$B$11:$B$310)-COUNTA(条幅!$B$11:$B$310)),"")))=0,"",IF(9&lt;=COUNTA(半紙!$B$11:$B$310),INDEX(半紙!$G$11:$G$310,9),IF(9&lt;=COUNTA(半紙!$B$11:$B$310)+COUNTA(条幅!$B$11:$B$310),INDEX(条幅!$G$11:$G$310,9-COUNTA(半紙!$B$11:$B$310)),IF(9&lt;=COUNTA(半紙!$B$11:$B$310)+COUNTA(条幅!$B$11:$B$310)+COUNTA(条幅4分の1!$B$11:$B$310),INDEX(条幅4分の1!$G$11:$G$310,9-COUNTA(半紙!$B$11:$B$310)-COUNTA(条幅!$B$11:$B$310)),""))))</f>
        <v/>
      </c>
      <c r="H14" s="38" t="str">
        <f>IF(IF(9&lt;=COUNTA(半紙!$B$11:$B$310),INDEX(半紙!$H$11:$H$310,9),IF(9&lt;=COUNTA(半紙!$B$11:$B$310)+COUNTA(条幅!$B$11:$B$310),INDEX(条幅!$H$11:$H$310,9-COUNTA(半紙!$B$11:$B$310)),IF(9&lt;=COUNTA(半紙!$B$11:$B$310)+COUNTA(条幅!$B$11:$B$310)+COUNTA(条幅4分の1!$B$11:$B$310),INDEX(条幅4分の1!$H$11:$H$310,9-COUNTA(半紙!$B$11:$B$310)-COUNTA(条幅!$B$11:$B$310)),"")))=0,"",IF(9&lt;=COUNTA(半紙!$B$11:$B$310),INDEX(半紙!$H$11:$H$310,9),IF(9&lt;=COUNTA(半紙!$B$11:$B$310)+COUNTA(条幅!$B$11:$B$310),INDEX(条幅!$H$11:$H$310,9-COUNTA(半紙!$B$11:$B$310)),IF(9&lt;=COUNTA(半紙!$B$11:$B$310)+COUNTA(条幅!$B$11:$B$310)+COUNTA(条幅4分の1!$B$11:$B$310),INDEX(条幅4分の1!$H$11:$H$310,9-COUNTA(半紙!$B$11:$B$310)-COUNTA(条幅!$B$11:$B$310)),""))))</f>
        <v/>
      </c>
      <c r="I14" s="38" t="str">
        <f>IF(IF(9&lt;=COUNTA(半紙!$B$11:$B$310),INDEX(半紙!$I$11:$I$310,9),IF(9&lt;=COUNTA(半紙!$B$11:$B$310)+COUNTA(条幅!$B$11:$B$310),INDEX(条幅!$I$11:$I$310,9-COUNTA(半紙!$B$11:$B$310)),IF(9&lt;=COUNTA(半紙!$B$11:$B$310)+COUNTA(条幅!$B$11:$B$310)+COUNTA(条幅4分の1!$B$11:$B$310),INDEX(条幅4分の1!$I$11:$I$310,9-COUNTA(半紙!$B$11:$B$310)-COUNTA(条幅!$B$11:$B$310)),"")))=0,"",IF(9&lt;=COUNTA(半紙!$B$11:$B$310),INDEX(半紙!$I$11:$I$310,9),IF(9&lt;=COUNTA(半紙!$B$11:$B$310)+COUNTA(条幅!$B$11:$B$310),INDEX(条幅!$I$11:$I$310,9-COUNTA(半紙!$B$11:$B$310)),IF(9&lt;=COUNTA(半紙!$B$11:$B$310)+COUNTA(条幅!$B$11:$B$310)+COUNTA(条幅4分の1!$B$11:$B$310),INDEX(条幅4分の1!$I$11:$I$310,9-COUNTA(半紙!$B$11:$B$310)-COUNTA(条幅!$B$11:$B$310)),""))))</f>
        <v/>
      </c>
      <c r="J14" s="38" t="str">
        <f>IF(IF(9&lt;=COUNTA(半紙!$B$11:$B$310),INDEX(半紙!$J$11:$J$310,9),IF(9&lt;=COUNTA(半紙!$B$11:$B$310)+COUNTA(条幅!$B$11:$B$310),INDEX(条幅!$J$11:$J$310,9-COUNTA(半紙!$B$11:$B$310)),IF(9&lt;=COUNTA(半紙!$B$11:$B$310)+COUNTA(条幅!$B$11:$B$310)+COUNTA(条幅4分の1!$B$11:$B$310),INDEX(条幅4分の1!$J$11:$J$310,9-COUNTA(半紙!$B$11:$B$310)-COUNTA(条幅!$B$11:$B$310)),"")))=0,"",IF(9&lt;=COUNTA(半紙!$B$11:$B$310),INDEX(半紙!$J$11:$J$310,9),IF(9&lt;=COUNTA(半紙!$B$11:$B$310)+COUNTA(条幅!$B$11:$B$310),INDEX(条幅!$J$11:$J$310,9-COUNTA(半紙!$B$11:$B$310)),IF(9&lt;=COUNTA(半紙!$B$11:$B$310)+COUNTA(条幅!$B$11:$B$310)+COUNTA(条幅4分の1!$B$11:$B$310),INDEX(条幅4分の1!$J$11:$J$310,9-COUNTA(半紙!$B$11:$B$310)-COUNTA(条幅!$B$11:$B$310)),""))))</f>
        <v/>
      </c>
      <c r="K14" s="38" t="str">
        <f>IF(IF(9&lt;=COUNTA(半紙!$B$11:$B$310),INDEX(半紙!$K$11:$K$310,9),IF(9&lt;=COUNTA(半紙!$B$11:$B$310)+COUNTA(条幅!$B$11:$B$310),INDEX(条幅!$K$11:$K$310,9-COUNTA(半紙!$B$11:$B$310)),IF(9&lt;=COUNTA(半紙!$B$11:$B$310)+COUNTA(条幅!$B$11:$B$310)+COUNTA(条幅4分の1!$B$11:$B$310),INDEX(条幅4分の1!$K$11:$K$310,9-COUNTA(半紙!$B$11:$B$310)-COUNTA(条幅!$B$11:$B$310)),"")))=0,"",IF(9&lt;=COUNTA(半紙!$B$11:$B$310),INDEX(半紙!$K$11:$K$310,9),IF(9&lt;=COUNTA(半紙!$B$11:$B$310)+COUNTA(条幅!$B$11:$B$310),INDEX(条幅!$K$11:$K$310,9-COUNTA(半紙!$B$11:$B$310)),IF(9&lt;=COUNTA(半紙!$B$11:$B$310)+COUNTA(条幅!$B$11:$B$310)+COUNTA(条幅4分の1!$B$11:$B$310),INDEX(条幅4分の1!$K$11:$K$310,9-COUNTA(半紙!$B$11:$B$310)-COUNTA(条幅!$B$11:$B$310)),""))))</f>
        <v/>
      </c>
      <c r="L14" s="48" t="str">
        <f>IF($B14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9))</f>
        <v/>
      </c>
    </row>
    <row r="15" spans="1:12" ht="15" customHeight="1">
      <c r="A15" s="37" t="str">
        <f>IF(10&lt;=COUNTA(半紙!$B$11:$B$310),"半紙",IF(10&lt;=COUNTA(半紙!$B$11:$B$310)+COUNTA(条幅!$B$11:$B$310),"条幅(半切)",IF(10&lt;=COUNTA(半紙!$B$11:$B$310)+COUNTA(条幅!$B$11:$B$310)+COUNTA(条幅4分の1!$B$11:$B$310),"条幅(1/4)","")))</f>
        <v/>
      </c>
      <c r="B15" s="38" t="str">
        <f>IF(IF(10&lt;=COUNTA(半紙!$B$11:$B$310),INDEX(半紙!$B$11:$B$310,10),IF(10&lt;=COUNTA(半紙!$B$11:$B$310)+COUNTA(条幅!$B$11:$B$310),INDEX(条幅!$B$11:$B$310,10-COUNTA(半紙!$B$11:$B$310)),IF(10&lt;=COUNTA(半紙!$B$11:$B$310)+COUNTA(条幅!$B$11:$B$310)+COUNTA(条幅4分の1!$B$11:$B$310),INDEX(条幅4分の1!$B$11:$B$310,10-COUNTA(半紙!$B$11:$B$310)-COUNTA(条幅!$B$11:$B$310)),"")))=0,"",IF(10&lt;=COUNTA(半紙!$B$11:$B$310),INDEX(半紙!$B$11:$B$310,10),IF(10&lt;=COUNTA(半紙!$B$11:$B$310)+COUNTA(条幅!$B$11:$B$310),INDEX(条幅!$B$11:$B$310,10-COUNTA(半紙!$B$11:$B$310)),IF(10&lt;=COUNTA(半紙!$B$11:$B$310)+COUNTA(条幅!$B$11:$B$310)+COUNTA(条幅4分の1!$B$11:$B$310),INDEX(条幅4分の1!$B$11:$B$310,10-COUNTA(半紙!$B$11:$B$310)-COUNTA(条幅!$B$11:$B$310)),""))))</f>
        <v/>
      </c>
      <c r="C15" s="38" t="str">
        <f>IF(IF(10&lt;=COUNTA(半紙!$B$11:$B$310),INDEX(半紙!$C$11:$C$310,10),IF(10&lt;=COUNTA(半紙!$B$11:$B$310)+COUNTA(条幅!$B$11:$B$310),INDEX(条幅!$C$11:$C$310,10-COUNTA(半紙!$B$11:$B$310)),IF(10&lt;=COUNTA(半紙!$B$11:$B$310)+COUNTA(条幅!$B$11:$B$310)+COUNTA(条幅4分の1!$B$11:$B$310),INDEX(条幅4分の1!$C$11:$C$310,10-COUNTA(半紙!$B$11:$B$310)-COUNTA(条幅!$B$11:$B$310)),"")))=0,"",IF(10&lt;=COUNTA(半紙!$B$11:$B$310),INDEX(半紙!$C$11:$C$310,10),IF(10&lt;=COUNTA(半紙!$B$11:$B$310)+COUNTA(条幅!$B$11:$B$310),INDEX(条幅!$C$11:$C$310,10-COUNTA(半紙!$B$11:$B$310)),IF(10&lt;=COUNTA(半紙!$B$11:$B$310)+COUNTA(条幅!$B$11:$B$310)+COUNTA(条幅4分の1!$B$11:$B$310),INDEX(条幅4分の1!$C$11:$C$310,10-COUNTA(半紙!$B$11:$B$310)-COUNTA(条幅!$B$11:$B$310)),""))))</f>
        <v/>
      </c>
      <c r="D15" s="38" t="str">
        <f>IF(IF(10&lt;=COUNTA(半紙!$B$11:$B$310),INDEX(半紙!$D$11:$D$310,10),IF(10&lt;=COUNTA(半紙!$B$11:$B$310)+COUNTA(条幅!$B$11:$B$310),INDEX(条幅!$D$11:$D$310,10-COUNTA(半紙!$B$11:$B$310)),IF(10&lt;=COUNTA(半紙!$B$11:$B$310)+COUNTA(条幅!$B$11:$B$310)+COUNTA(条幅4分の1!$B$11:$B$310),INDEX(条幅4分の1!$D$11:$D$310,10-COUNTA(半紙!$B$11:$B$310)-COUNTA(条幅!$B$11:$B$310)),"")))=0,"",IF(10&lt;=COUNTA(半紙!$B$11:$B$310),INDEX(半紙!$D$11:$D$310,10),IF(10&lt;=COUNTA(半紙!$B$11:$B$310)+COUNTA(条幅!$B$11:$B$310),INDEX(条幅!$D$11:$D$310,10-COUNTA(半紙!$B$11:$B$310)),IF(10&lt;=COUNTA(半紙!$B$11:$B$310)+COUNTA(条幅!$B$11:$B$310)+COUNTA(条幅4分の1!$B$11:$B$310),INDEX(条幅4分の1!$D$11:$D$310,10-COUNTA(半紙!$B$11:$B$310)-COUNTA(条幅!$B$11:$B$310)),""))))</f>
        <v/>
      </c>
      <c r="E15" s="38" t="str">
        <f>IF(IF(10&lt;=COUNTA(半紙!$B$11:$B$310),INDEX(半紙!$E$11:$E$310,10),IF(10&lt;=COUNTA(半紙!$B$11:$B$310)+COUNTA(条幅!$B$11:$B$310),INDEX(条幅!$E$11:$E$310,10-COUNTA(半紙!$B$11:$B$310)),IF(10&lt;=COUNTA(半紙!$B$11:$B$310)+COUNTA(条幅!$B$11:$B$310)+COUNTA(条幅4分の1!$B$11:$B$310),INDEX(条幅4分の1!$E$11:$E$310,10-COUNTA(半紙!$B$11:$B$310)-COUNTA(条幅!$B$11:$B$310)),"")))=0,"",IF(10&lt;=COUNTA(半紙!$B$11:$B$310),INDEX(半紙!$E$11:$E$310,10),IF(10&lt;=COUNTA(半紙!$B$11:$B$310)+COUNTA(条幅!$B$11:$B$310),INDEX(条幅!$E$11:$E$310,10-COUNTA(半紙!$B$11:$B$310)),IF(10&lt;=COUNTA(半紙!$B$11:$B$310)+COUNTA(条幅!$B$11:$B$310)+COUNTA(条幅4分の1!$B$11:$B$310),INDEX(条幅4分の1!$E$11:$E$310,10-COUNTA(半紙!$B$11:$B$310)-COUNTA(条幅!$B$11:$B$310)),""))))</f>
        <v/>
      </c>
      <c r="F15" s="38" t="str">
        <f>IF(IF(10&lt;=COUNTA(半紙!$B$11:$B$310),INDEX(半紙!$F$11:$F$310,10),IF(10&lt;=COUNTA(半紙!$B$11:$B$310)+COUNTA(条幅!$B$11:$B$310),INDEX(条幅!$F$11:$F$310,10-COUNTA(半紙!$B$11:$B$310)),IF(10&lt;=COUNTA(半紙!$B$11:$B$310)+COUNTA(条幅!$B$11:$B$310)+COUNTA(条幅4分の1!$B$11:$B$310),INDEX(条幅4分の1!$F$11:$F$310,10-COUNTA(半紙!$B$11:$B$310)-COUNTA(条幅!$B$11:$B$310)),"")))=0,"",IF(10&lt;=COUNTA(半紙!$B$11:$B$310),INDEX(半紙!$F$11:$F$310,10),IF(10&lt;=COUNTA(半紙!$B$11:$B$310)+COUNTA(条幅!$B$11:$B$310),INDEX(条幅!$F$11:$F$310,10-COUNTA(半紙!$B$11:$B$310)),IF(10&lt;=COUNTA(半紙!$B$11:$B$310)+COUNTA(条幅!$B$11:$B$310)+COUNTA(条幅4分の1!$B$11:$B$310),INDEX(条幅4分の1!$F$11:$F$310,10-COUNTA(半紙!$B$11:$B$310)-COUNTA(条幅!$B$11:$B$310)),""))))</f>
        <v/>
      </c>
      <c r="G15" s="38" t="str">
        <f>IF(IF(10&lt;=COUNTA(半紙!$B$11:$B$310),INDEX(半紙!$G$11:$G$310,10),IF(10&lt;=COUNTA(半紙!$B$11:$B$310)+COUNTA(条幅!$B$11:$B$310),INDEX(条幅!$G$11:$G$310,10-COUNTA(半紙!$B$11:$B$310)),IF(10&lt;=COUNTA(半紙!$B$11:$B$310)+COUNTA(条幅!$B$11:$B$310)+COUNTA(条幅4分の1!$B$11:$B$310),INDEX(条幅4分の1!$G$11:$G$310,10-COUNTA(半紙!$B$11:$B$310)-COUNTA(条幅!$B$11:$B$310)),"")))=0,"",IF(10&lt;=COUNTA(半紙!$B$11:$B$310),INDEX(半紙!$G$11:$G$310,10),IF(10&lt;=COUNTA(半紙!$B$11:$B$310)+COUNTA(条幅!$B$11:$B$310),INDEX(条幅!$G$11:$G$310,10-COUNTA(半紙!$B$11:$B$310)),IF(10&lt;=COUNTA(半紙!$B$11:$B$310)+COUNTA(条幅!$B$11:$B$310)+COUNTA(条幅4分の1!$B$11:$B$310),INDEX(条幅4分の1!$G$11:$G$310,10-COUNTA(半紙!$B$11:$B$310)-COUNTA(条幅!$B$11:$B$310)),""))))</f>
        <v/>
      </c>
      <c r="H15" s="38" t="str">
        <f>IF(IF(10&lt;=COUNTA(半紙!$B$11:$B$310),INDEX(半紙!$H$11:$H$310,10),IF(10&lt;=COUNTA(半紙!$B$11:$B$310)+COUNTA(条幅!$B$11:$B$310),INDEX(条幅!$H$11:$H$310,10-COUNTA(半紙!$B$11:$B$310)),IF(10&lt;=COUNTA(半紙!$B$11:$B$310)+COUNTA(条幅!$B$11:$B$310)+COUNTA(条幅4分の1!$B$11:$B$310),INDEX(条幅4分の1!$H$11:$H$310,10-COUNTA(半紙!$B$11:$B$310)-COUNTA(条幅!$B$11:$B$310)),"")))=0,"",IF(10&lt;=COUNTA(半紙!$B$11:$B$310),INDEX(半紙!$H$11:$H$310,10),IF(10&lt;=COUNTA(半紙!$B$11:$B$310)+COUNTA(条幅!$B$11:$B$310),INDEX(条幅!$H$11:$H$310,10-COUNTA(半紙!$B$11:$B$310)),IF(10&lt;=COUNTA(半紙!$B$11:$B$310)+COUNTA(条幅!$B$11:$B$310)+COUNTA(条幅4分の1!$B$11:$B$310),INDEX(条幅4分の1!$H$11:$H$310,10-COUNTA(半紙!$B$11:$B$310)-COUNTA(条幅!$B$11:$B$310)),""))))</f>
        <v/>
      </c>
      <c r="I15" s="38" t="str">
        <f>IF(IF(10&lt;=COUNTA(半紙!$B$11:$B$310),INDEX(半紙!$I$11:$I$310,10),IF(10&lt;=COUNTA(半紙!$B$11:$B$310)+COUNTA(条幅!$B$11:$B$310),INDEX(条幅!$I$11:$I$310,10-COUNTA(半紙!$B$11:$B$310)),IF(10&lt;=COUNTA(半紙!$B$11:$B$310)+COUNTA(条幅!$B$11:$B$310)+COUNTA(条幅4分の1!$B$11:$B$310),INDEX(条幅4分の1!$I$11:$I$310,10-COUNTA(半紙!$B$11:$B$310)-COUNTA(条幅!$B$11:$B$310)),"")))=0,"",IF(10&lt;=COUNTA(半紙!$B$11:$B$310),INDEX(半紙!$I$11:$I$310,10),IF(10&lt;=COUNTA(半紙!$B$11:$B$310)+COUNTA(条幅!$B$11:$B$310),INDEX(条幅!$I$11:$I$310,10-COUNTA(半紙!$B$11:$B$310)),IF(10&lt;=COUNTA(半紙!$B$11:$B$310)+COUNTA(条幅!$B$11:$B$310)+COUNTA(条幅4分の1!$B$11:$B$310),INDEX(条幅4分の1!$I$11:$I$310,10-COUNTA(半紙!$B$11:$B$310)-COUNTA(条幅!$B$11:$B$310)),""))))</f>
        <v/>
      </c>
      <c r="J15" s="38" t="str">
        <f>IF(IF(10&lt;=COUNTA(半紙!$B$11:$B$310),INDEX(半紙!$J$11:$J$310,10),IF(10&lt;=COUNTA(半紙!$B$11:$B$310)+COUNTA(条幅!$B$11:$B$310),INDEX(条幅!$J$11:$J$310,10-COUNTA(半紙!$B$11:$B$310)),IF(10&lt;=COUNTA(半紙!$B$11:$B$310)+COUNTA(条幅!$B$11:$B$310)+COUNTA(条幅4分の1!$B$11:$B$310),INDEX(条幅4分の1!$J$11:$J$310,10-COUNTA(半紙!$B$11:$B$310)-COUNTA(条幅!$B$11:$B$310)),"")))=0,"",IF(10&lt;=COUNTA(半紙!$B$11:$B$310),INDEX(半紙!$J$11:$J$310,10),IF(10&lt;=COUNTA(半紙!$B$11:$B$310)+COUNTA(条幅!$B$11:$B$310),INDEX(条幅!$J$11:$J$310,10-COUNTA(半紙!$B$11:$B$310)),IF(10&lt;=COUNTA(半紙!$B$11:$B$310)+COUNTA(条幅!$B$11:$B$310)+COUNTA(条幅4分の1!$B$11:$B$310),INDEX(条幅4分の1!$J$11:$J$310,10-COUNTA(半紙!$B$11:$B$310)-COUNTA(条幅!$B$11:$B$310)),""))))</f>
        <v/>
      </c>
      <c r="K15" s="38" t="str">
        <f>IF(IF(10&lt;=COUNTA(半紙!$B$11:$B$310),INDEX(半紙!$K$11:$K$310,10),IF(10&lt;=COUNTA(半紙!$B$11:$B$310)+COUNTA(条幅!$B$11:$B$310),INDEX(条幅!$K$11:$K$310,10-COUNTA(半紙!$B$11:$B$310)),IF(10&lt;=COUNTA(半紙!$B$11:$B$310)+COUNTA(条幅!$B$11:$B$310)+COUNTA(条幅4分の1!$B$11:$B$310),INDEX(条幅4分の1!$K$11:$K$310,10-COUNTA(半紙!$B$11:$B$310)-COUNTA(条幅!$B$11:$B$310)),"")))=0,"",IF(10&lt;=COUNTA(半紙!$B$11:$B$310),INDEX(半紙!$K$11:$K$310,10),IF(10&lt;=COUNTA(半紙!$B$11:$B$310)+COUNTA(条幅!$B$11:$B$310),INDEX(条幅!$K$11:$K$310,10-COUNTA(半紙!$B$11:$B$310)),IF(10&lt;=COUNTA(半紙!$B$11:$B$310)+COUNTA(条幅!$B$11:$B$310)+COUNTA(条幅4分の1!$B$11:$B$310),INDEX(条幅4分の1!$K$11:$K$310,10-COUNTA(半紙!$B$11:$B$310)-COUNTA(条幅!$B$11:$B$310)),""))))</f>
        <v/>
      </c>
      <c r="L15" s="48" t="str">
        <f>IF($B15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10))</f>
        <v/>
      </c>
    </row>
    <row r="16" spans="1:12" ht="15" customHeight="1">
      <c r="A16" s="37" t="str">
        <f>IF(11&lt;=COUNTA(半紙!$B$11:$B$310),"半紙",IF(11&lt;=COUNTA(半紙!$B$11:$B$310)+COUNTA(条幅!$B$11:$B$310),"条幅(半切)",IF(11&lt;=COUNTA(半紙!$B$11:$B$310)+COUNTA(条幅!$B$11:$B$310)+COUNTA(条幅4分の1!$B$11:$B$310),"条幅(1/4)","")))</f>
        <v/>
      </c>
      <c r="B16" s="38" t="str">
        <f>IF(IF(11&lt;=COUNTA(半紙!$B$11:$B$310),INDEX(半紙!$B$11:$B$310,11),IF(11&lt;=COUNTA(半紙!$B$11:$B$310)+COUNTA(条幅!$B$11:$B$310),INDEX(条幅!$B$11:$B$310,11-COUNTA(半紙!$B$11:$B$310)),IF(11&lt;=COUNTA(半紙!$B$11:$B$310)+COUNTA(条幅!$B$11:$B$310)+COUNTA(条幅4分の1!$B$11:$B$310),INDEX(条幅4分の1!$B$11:$B$310,11-COUNTA(半紙!$B$11:$B$310)-COUNTA(条幅!$B$11:$B$310)),"")))=0,"",IF(11&lt;=COUNTA(半紙!$B$11:$B$310),INDEX(半紙!$B$11:$B$310,11),IF(11&lt;=COUNTA(半紙!$B$11:$B$310)+COUNTA(条幅!$B$11:$B$310),INDEX(条幅!$B$11:$B$310,11-COUNTA(半紙!$B$11:$B$310)),IF(11&lt;=COUNTA(半紙!$B$11:$B$310)+COUNTA(条幅!$B$11:$B$310)+COUNTA(条幅4分の1!$B$11:$B$310),INDEX(条幅4分の1!$B$11:$B$310,11-COUNTA(半紙!$B$11:$B$310)-COUNTA(条幅!$B$11:$B$310)),""))))</f>
        <v/>
      </c>
      <c r="C16" s="38" t="str">
        <f>IF(IF(11&lt;=COUNTA(半紙!$B$11:$B$310),INDEX(半紙!$C$11:$C$310,11),IF(11&lt;=COUNTA(半紙!$B$11:$B$310)+COUNTA(条幅!$B$11:$B$310),INDEX(条幅!$C$11:$C$310,11-COUNTA(半紙!$B$11:$B$310)),IF(11&lt;=COUNTA(半紙!$B$11:$B$310)+COUNTA(条幅!$B$11:$B$310)+COUNTA(条幅4分の1!$B$11:$B$310),INDEX(条幅4分の1!$C$11:$C$310,11-COUNTA(半紙!$B$11:$B$310)-COUNTA(条幅!$B$11:$B$310)),"")))=0,"",IF(11&lt;=COUNTA(半紙!$B$11:$B$310),INDEX(半紙!$C$11:$C$310,11),IF(11&lt;=COUNTA(半紙!$B$11:$B$310)+COUNTA(条幅!$B$11:$B$310),INDEX(条幅!$C$11:$C$310,11-COUNTA(半紙!$B$11:$B$310)),IF(11&lt;=COUNTA(半紙!$B$11:$B$310)+COUNTA(条幅!$B$11:$B$310)+COUNTA(条幅4分の1!$B$11:$B$310),INDEX(条幅4分の1!$C$11:$C$310,11-COUNTA(半紙!$B$11:$B$310)-COUNTA(条幅!$B$11:$B$310)),""))))</f>
        <v/>
      </c>
      <c r="D16" s="38" t="str">
        <f>IF(IF(11&lt;=COUNTA(半紙!$B$11:$B$310),INDEX(半紙!$D$11:$D$310,11),IF(11&lt;=COUNTA(半紙!$B$11:$B$310)+COUNTA(条幅!$B$11:$B$310),INDEX(条幅!$D$11:$D$310,11-COUNTA(半紙!$B$11:$B$310)),IF(11&lt;=COUNTA(半紙!$B$11:$B$310)+COUNTA(条幅!$B$11:$B$310)+COUNTA(条幅4分の1!$B$11:$B$310),INDEX(条幅4分の1!$D$11:$D$310,11-COUNTA(半紙!$B$11:$B$310)-COUNTA(条幅!$B$11:$B$310)),"")))=0,"",IF(11&lt;=COUNTA(半紙!$B$11:$B$310),INDEX(半紙!$D$11:$D$310,11),IF(11&lt;=COUNTA(半紙!$B$11:$B$310)+COUNTA(条幅!$B$11:$B$310),INDEX(条幅!$D$11:$D$310,11-COUNTA(半紙!$B$11:$B$310)),IF(11&lt;=COUNTA(半紙!$B$11:$B$310)+COUNTA(条幅!$B$11:$B$310)+COUNTA(条幅4分の1!$B$11:$B$310),INDEX(条幅4分の1!$D$11:$D$310,11-COUNTA(半紙!$B$11:$B$310)-COUNTA(条幅!$B$11:$B$310)),""))))</f>
        <v/>
      </c>
      <c r="E16" s="38" t="str">
        <f>IF(IF(11&lt;=COUNTA(半紙!$B$11:$B$310),INDEX(半紙!$E$11:$E$310,11),IF(11&lt;=COUNTA(半紙!$B$11:$B$310)+COUNTA(条幅!$B$11:$B$310),INDEX(条幅!$E$11:$E$310,11-COUNTA(半紙!$B$11:$B$310)),IF(11&lt;=COUNTA(半紙!$B$11:$B$310)+COUNTA(条幅!$B$11:$B$310)+COUNTA(条幅4分の1!$B$11:$B$310),INDEX(条幅4分の1!$E$11:$E$310,11-COUNTA(半紙!$B$11:$B$310)-COUNTA(条幅!$B$11:$B$310)),"")))=0,"",IF(11&lt;=COUNTA(半紙!$B$11:$B$310),INDEX(半紙!$E$11:$E$310,11),IF(11&lt;=COUNTA(半紙!$B$11:$B$310)+COUNTA(条幅!$B$11:$B$310),INDEX(条幅!$E$11:$E$310,11-COUNTA(半紙!$B$11:$B$310)),IF(11&lt;=COUNTA(半紙!$B$11:$B$310)+COUNTA(条幅!$B$11:$B$310)+COUNTA(条幅4分の1!$B$11:$B$310),INDEX(条幅4分の1!$E$11:$E$310,11-COUNTA(半紙!$B$11:$B$310)-COUNTA(条幅!$B$11:$B$310)),""))))</f>
        <v/>
      </c>
      <c r="F16" s="38" t="str">
        <f>IF(IF(11&lt;=COUNTA(半紙!$B$11:$B$310),INDEX(半紙!$F$11:$F$310,11),IF(11&lt;=COUNTA(半紙!$B$11:$B$310)+COUNTA(条幅!$B$11:$B$310),INDEX(条幅!$F$11:$F$310,11-COUNTA(半紙!$B$11:$B$310)),IF(11&lt;=COUNTA(半紙!$B$11:$B$310)+COUNTA(条幅!$B$11:$B$310)+COUNTA(条幅4分の1!$B$11:$B$310),INDEX(条幅4分の1!$F$11:$F$310,11-COUNTA(半紙!$B$11:$B$310)-COUNTA(条幅!$B$11:$B$310)),"")))=0,"",IF(11&lt;=COUNTA(半紙!$B$11:$B$310),INDEX(半紙!$F$11:$F$310,11),IF(11&lt;=COUNTA(半紙!$B$11:$B$310)+COUNTA(条幅!$B$11:$B$310),INDEX(条幅!$F$11:$F$310,11-COUNTA(半紙!$B$11:$B$310)),IF(11&lt;=COUNTA(半紙!$B$11:$B$310)+COUNTA(条幅!$B$11:$B$310)+COUNTA(条幅4分の1!$B$11:$B$310),INDEX(条幅4分の1!$F$11:$F$310,11-COUNTA(半紙!$B$11:$B$310)-COUNTA(条幅!$B$11:$B$310)),""))))</f>
        <v/>
      </c>
      <c r="G16" s="38" t="str">
        <f>IF(IF(11&lt;=COUNTA(半紙!$B$11:$B$310),INDEX(半紙!$G$11:$G$310,11),IF(11&lt;=COUNTA(半紙!$B$11:$B$310)+COUNTA(条幅!$B$11:$B$310),INDEX(条幅!$G$11:$G$310,11-COUNTA(半紙!$B$11:$B$310)),IF(11&lt;=COUNTA(半紙!$B$11:$B$310)+COUNTA(条幅!$B$11:$B$310)+COUNTA(条幅4分の1!$B$11:$B$310),INDEX(条幅4分の1!$G$11:$G$310,11-COUNTA(半紙!$B$11:$B$310)-COUNTA(条幅!$B$11:$B$310)),"")))=0,"",IF(11&lt;=COUNTA(半紙!$B$11:$B$310),INDEX(半紙!$G$11:$G$310,11),IF(11&lt;=COUNTA(半紙!$B$11:$B$310)+COUNTA(条幅!$B$11:$B$310),INDEX(条幅!$G$11:$G$310,11-COUNTA(半紙!$B$11:$B$310)),IF(11&lt;=COUNTA(半紙!$B$11:$B$310)+COUNTA(条幅!$B$11:$B$310)+COUNTA(条幅4分の1!$B$11:$B$310),INDEX(条幅4分の1!$G$11:$G$310,11-COUNTA(半紙!$B$11:$B$310)-COUNTA(条幅!$B$11:$B$310)),""))))</f>
        <v/>
      </c>
      <c r="H16" s="38" t="str">
        <f>IF(IF(11&lt;=COUNTA(半紙!$B$11:$B$310),INDEX(半紙!$H$11:$H$310,11),IF(11&lt;=COUNTA(半紙!$B$11:$B$310)+COUNTA(条幅!$B$11:$B$310),INDEX(条幅!$H$11:$H$310,11-COUNTA(半紙!$B$11:$B$310)),IF(11&lt;=COUNTA(半紙!$B$11:$B$310)+COUNTA(条幅!$B$11:$B$310)+COUNTA(条幅4分の1!$B$11:$B$310),INDEX(条幅4分の1!$H$11:$H$310,11-COUNTA(半紙!$B$11:$B$310)-COUNTA(条幅!$B$11:$B$310)),"")))=0,"",IF(11&lt;=COUNTA(半紙!$B$11:$B$310),INDEX(半紙!$H$11:$H$310,11),IF(11&lt;=COUNTA(半紙!$B$11:$B$310)+COUNTA(条幅!$B$11:$B$310),INDEX(条幅!$H$11:$H$310,11-COUNTA(半紙!$B$11:$B$310)),IF(11&lt;=COUNTA(半紙!$B$11:$B$310)+COUNTA(条幅!$B$11:$B$310)+COUNTA(条幅4分の1!$B$11:$B$310),INDEX(条幅4分の1!$H$11:$H$310,11-COUNTA(半紙!$B$11:$B$310)-COUNTA(条幅!$B$11:$B$310)),""))))</f>
        <v/>
      </c>
      <c r="I16" s="38" t="str">
        <f>IF(IF(11&lt;=COUNTA(半紙!$B$11:$B$310),INDEX(半紙!$I$11:$I$310,11),IF(11&lt;=COUNTA(半紙!$B$11:$B$310)+COUNTA(条幅!$B$11:$B$310),INDEX(条幅!$I$11:$I$310,11-COUNTA(半紙!$B$11:$B$310)),IF(11&lt;=COUNTA(半紙!$B$11:$B$310)+COUNTA(条幅!$B$11:$B$310)+COUNTA(条幅4分の1!$B$11:$B$310),INDEX(条幅4分の1!$I$11:$I$310,11-COUNTA(半紙!$B$11:$B$310)-COUNTA(条幅!$B$11:$B$310)),"")))=0,"",IF(11&lt;=COUNTA(半紙!$B$11:$B$310),INDEX(半紙!$I$11:$I$310,11),IF(11&lt;=COUNTA(半紙!$B$11:$B$310)+COUNTA(条幅!$B$11:$B$310),INDEX(条幅!$I$11:$I$310,11-COUNTA(半紙!$B$11:$B$310)),IF(11&lt;=COUNTA(半紙!$B$11:$B$310)+COUNTA(条幅!$B$11:$B$310)+COUNTA(条幅4分の1!$B$11:$B$310),INDEX(条幅4分の1!$I$11:$I$310,11-COUNTA(半紙!$B$11:$B$310)-COUNTA(条幅!$B$11:$B$310)),""))))</f>
        <v/>
      </c>
      <c r="J16" s="38" t="str">
        <f>IF(IF(11&lt;=COUNTA(半紙!$B$11:$B$310),INDEX(半紙!$J$11:$J$310,11),IF(11&lt;=COUNTA(半紙!$B$11:$B$310)+COUNTA(条幅!$B$11:$B$310),INDEX(条幅!$J$11:$J$310,11-COUNTA(半紙!$B$11:$B$310)),IF(11&lt;=COUNTA(半紙!$B$11:$B$310)+COUNTA(条幅!$B$11:$B$310)+COUNTA(条幅4分の1!$B$11:$B$310),INDEX(条幅4分の1!$J$11:$J$310,11-COUNTA(半紙!$B$11:$B$310)-COUNTA(条幅!$B$11:$B$310)),"")))=0,"",IF(11&lt;=COUNTA(半紙!$B$11:$B$310),INDEX(半紙!$J$11:$J$310,11),IF(11&lt;=COUNTA(半紙!$B$11:$B$310)+COUNTA(条幅!$B$11:$B$310),INDEX(条幅!$J$11:$J$310,11-COUNTA(半紙!$B$11:$B$310)),IF(11&lt;=COUNTA(半紙!$B$11:$B$310)+COUNTA(条幅!$B$11:$B$310)+COUNTA(条幅4分の1!$B$11:$B$310),INDEX(条幅4分の1!$J$11:$J$310,11-COUNTA(半紙!$B$11:$B$310)-COUNTA(条幅!$B$11:$B$310)),""))))</f>
        <v/>
      </c>
      <c r="K16" s="38" t="str">
        <f>IF(IF(11&lt;=COUNTA(半紙!$B$11:$B$310),INDEX(半紙!$K$11:$K$310,11),IF(11&lt;=COUNTA(半紙!$B$11:$B$310)+COUNTA(条幅!$B$11:$B$310),INDEX(条幅!$K$11:$K$310,11-COUNTA(半紙!$B$11:$B$310)),IF(11&lt;=COUNTA(半紙!$B$11:$B$310)+COUNTA(条幅!$B$11:$B$310)+COUNTA(条幅4分の1!$B$11:$B$310),INDEX(条幅4分の1!$K$11:$K$310,11-COUNTA(半紙!$B$11:$B$310)-COUNTA(条幅!$B$11:$B$310)),"")))=0,"",IF(11&lt;=COUNTA(半紙!$B$11:$B$310),INDEX(半紙!$K$11:$K$310,11),IF(11&lt;=COUNTA(半紙!$B$11:$B$310)+COUNTA(条幅!$B$11:$B$310),INDEX(条幅!$K$11:$K$310,11-COUNTA(半紙!$B$11:$B$310)),IF(11&lt;=COUNTA(半紙!$B$11:$B$310)+COUNTA(条幅!$B$11:$B$310)+COUNTA(条幅4分の1!$B$11:$B$310),INDEX(条幅4分の1!$K$11:$K$310,11-COUNTA(半紙!$B$11:$B$310)-COUNTA(条幅!$B$11:$B$310)),""))))</f>
        <v/>
      </c>
      <c r="L16" s="48" t="str">
        <f>IF($B16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11))</f>
        <v/>
      </c>
    </row>
    <row r="17" spans="1:12" ht="15" customHeight="1">
      <c r="A17" s="37" t="str">
        <f>IF(12&lt;=COUNTA(半紙!$B$11:$B$310),"半紙",IF(12&lt;=COUNTA(半紙!$B$11:$B$310)+COUNTA(条幅!$B$11:$B$310),"条幅(半切)",IF(12&lt;=COUNTA(半紙!$B$11:$B$310)+COUNTA(条幅!$B$11:$B$310)+COUNTA(条幅4分の1!$B$11:$B$310),"条幅(1/4)","")))</f>
        <v/>
      </c>
      <c r="B17" s="38" t="str">
        <f>IF(IF(12&lt;=COUNTA(半紙!$B$11:$B$310),INDEX(半紙!$B$11:$B$310,12),IF(12&lt;=COUNTA(半紙!$B$11:$B$310)+COUNTA(条幅!$B$11:$B$310),INDEX(条幅!$B$11:$B$310,12-COUNTA(半紙!$B$11:$B$310)),IF(12&lt;=COUNTA(半紙!$B$11:$B$310)+COUNTA(条幅!$B$11:$B$310)+COUNTA(条幅4分の1!$B$11:$B$310),INDEX(条幅4分の1!$B$11:$B$310,12-COUNTA(半紙!$B$11:$B$310)-COUNTA(条幅!$B$11:$B$310)),"")))=0,"",IF(12&lt;=COUNTA(半紙!$B$11:$B$310),INDEX(半紙!$B$11:$B$310,12),IF(12&lt;=COUNTA(半紙!$B$11:$B$310)+COUNTA(条幅!$B$11:$B$310),INDEX(条幅!$B$11:$B$310,12-COUNTA(半紙!$B$11:$B$310)),IF(12&lt;=COUNTA(半紙!$B$11:$B$310)+COUNTA(条幅!$B$11:$B$310)+COUNTA(条幅4分の1!$B$11:$B$310),INDEX(条幅4分の1!$B$11:$B$310,12-COUNTA(半紙!$B$11:$B$310)-COUNTA(条幅!$B$11:$B$310)),""))))</f>
        <v/>
      </c>
      <c r="C17" s="38" t="str">
        <f>IF(IF(12&lt;=COUNTA(半紙!$B$11:$B$310),INDEX(半紙!$C$11:$C$310,12),IF(12&lt;=COUNTA(半紙!$B$11:$B$310)+COUNTA(条幅!$B$11:$B$310),INDEX(条幅!$C$11:$C$310,12-COUNTA(半紙!$B$11:$B$310)),IF(12&lt;=COUNTA(半紙!$B$11:$B$310)+COUNTA(条幅!$B$11:$B$310)+COUNTA(条幅4分の1!$B$11:$B$310),INDEX(条幅4分の1!$C$11:$C$310,12-COUNTA(半紙!$B$11:$B$310)-COUNTA(条幅!$B$11:$B$310)),"")))=0,"",IF(12&lt;=COUNTA(半紙!$B$11:$B$310),INDEX(半紙!$C$11:$C$310,12),IF(12&lt;=COUNTA(半紙!$B$11:$B$310)+COUNTA(条幅!$B$11:$B$310),INDEX(条幅!$C$11:$C$310,12-COUNTA(半紙!$B$11:$B$310)),IF(12&lt;=COUNTA(半紙!$B$11:$B$310)+COUNTA(条幅!$B$11:$B$310)+COUNTA(条幅4分の1!$B$11:$B$310),INDEX(条幅4分の1!$C$11:$C$310,12-COUNTA(半紙!$B$11:$B$310)-COUNTA(条幅!$B$11:$B$310)),""))))</f>
        <v/>
      </c>
      <c r="D17" s="38" t="str">
        <f>IF(IF(12&lt;=COUNTA(半紙!$B$11:$B$310),INDEX(半紙!$D$11:$D$310,12),IF(12&lt;=COUNTA(半紙!$B$11:$B$310)+COUNTA(条幅!$B$11:$B$310),INDEX(条幅!$D$11:$D$310,12-COUNTA(半紙!$B$11:$B$310)),IF(12&lt;=COUNTA(半紙!$B$11:$B$310)+COUNTA(条幅!$B$11:$B$310)+COUNTA(条幅4分の1!$B$11:$B$310),INDEX(条幅4分の1!$D$11:$D$310,12-COUNTA(半紙!$B$11:$B$310)-COUNTA(条幅!$B$11:$B$310)),"")))=0,"",IF(12&lt;=COUNTA(半紙!$B$11:$B$310),INDEX(半紙!$D$11:$D$310,12),IF(12&lt;=COUNTA(半紙!$B$11:$B$310)+COUNTA(条幅!$B$11:$B$310),INDEX(条幅!$D$11:$D$310,12-COUNTA(半紙!$B$11:$B$310)),IF(12&lt;=COUNTA(半紙!$B$11:$B$310)+COUNTA(条幅!$B$11:$B$310)+COUNTA(条幅4分の1!$B$11:$B$310),INDEX(条幅4分の1!$D$11:$D$310,12-COUNTA(半紙!$B$11:$B$310)-COUNTA(条幅!$B$11:$B$310)),""))))</f>
        <v/>
      </c>
      <c r="E17" s="38" t="str">
        <f>IF(IF(12&lt;=COUNTA(半紙!$B$11:$B$310),INDEX(半紙!$E$11:$E$310,12),IF(12&lt;=COUNTA(半紙!$B$11:$B$310)+COUNTA(条幅!$B$11:$B$310),INDEX(条幅!$E$11:$E$310,12-COUNTA(半紙!$B$11:$B$310)),IF(12&lt;=COUNTA(半紙!$B$11:$B$310)+COUNTA(条幅!$B$11:$B$310)+COUNTA(条幅4分の1!$B$11:$B$310),INDEX(条幅4分の1!$E$11:$E$310,12-COUNTA(半紙!$B$11:$B$310)-COUNTA(条幅!$B$11:$B$310)),"")))=0,"",IF(12&lt;=COUNTA(半紙!$B$11:$B$310),INDEX(半紙!$E$11:$E$310,12),IF(12&lt;=COUNTA(半紙!$B$11:$B$310)+COUNTA(条幅!$B$11:$B$310),INDEX(条幅!$E$11:$E$310,12-COUNTA(半紙!$B$11:$B$310)),IF(12&lt;=COUNTA(半紙!$B$11:$B$310)+COUNTA(条幅!$B$11:$B$310)+COUNTA(条幅4分の1!$B$11:$B$310),INDEX(条幅4分の1!$E$11:$E$310,12-COUNTA(半紙!$B$11:$B$310)-COUNTA(条幅!$B$11:$B$310)),""))))</f>
        <v/>
      </c>
      <c r="F17" s="38" t="str">
        <f>IF(IF(12&lt;=COUNTA(半紙!$B$11:$B$310),INDEX(半紙!$F$11:$F$310,12),IF(12&lt;=COUNTA(半紙!$B$11:$B$310)+COUNTA(条幅!$B$11:$B$310),INDEX(条幅!$F$11:$F$310,12-COUNTA(半紙!$B$11:$B$310)),IF(12&lt;=COUNTA(半紙!$B$11:$B$310)+COUNTA(条幅!$B$11:$B$310)+COUNTA(条幅4分の1!$B$11:$B$310),INDEX(条幅4分の1!$F$11:$F$310,12-COUNTA(半紙!$B$11:$B$310)-COUNTA(条幅!$B$11:$B$310)),"")))=0,"",IF(12&lt;=COUNTA(半紙!$B$11:$B$310),INDEX(半紙!$F$11:$F$310,12),IF(12&lt;=COUNTA(半紙!$B$11:$B$310)+COUNTA(条幅!$B$11:$B$310),INDEX(条幅!$F$11:$F$310,12-COUNTA(半紙!$B$11:$B$310)),IF(12&lt;=COUNTA(半紙!$B$11:$B$310)+COUNTA(条幅!$B$11:$B$310)+COUNTA(条幅4分の1!$B$11:$B$310),INDEX(条幅4分の1!$F$11:$F$310,12-COUNTA(半紙!$B$11:$B$310)-COUNTA(条幅!$B$11:$B$310)),""))))</f>
        <v/>
      </c>
      <c r="G17" s="38" t="str">
        <f>IF(IF(12&lt;=COUNTA(半紙!$B$11:$B$310),INDEX(半紙!$G$11:$G$310,12),IF(12&lt;=COUNTA(半紙!$B$11:$B$310)+COUNTA(条幅!$B$11:$B$310),INDEX(条幅!$G$11:$G$310,12-COUNTA(半紙!$B$11:$B$310)),IF(12&lt;=COUNTA(半紙!$B$11:$B$310)+COUNTA(条幅!$B$11:$B$310)+COUNTA(条幅4分の1!$B$11:$B$310),INDEX(条幅4分の1!$G$11:$G$310,12-COUNTA(半紙!$B$11:$B$310)-COUNTA(条幅!$B$11:$B$310)),"")))=0,"",IF(12&lt;=COUNTA(半紙!$B$11:$B$310),INDEX(半紙!$G$11:$G$310,12),IF(12&lt;=COUNTA(半紙!$B$11:$B$310)+COUNTA(条幅!$B$11:$B$310),INDEX(条幅!$G$11:$G$310,12-COUNTA(半紙!$B$11:$B$310)),IF(12&lt;=COUNTA(半紙!$B$11:$B$310)+COUNTA(条幅!$B$11:$B$310)+COUNTA(条幅4分の1!$B$11:$B$310),INDEX(条幅4分の1!$G$11:$G$310,12-COUNTA(半紙!$B$11:$B$310)-COUNTA(条幅!$B$11:$B$310)),""))))</f>
        <v/>
      </c>
      <c r="H17" s="38" t="str">
        <f>IF(IF(12&lt;=COUNTA(半紙!$B$11:$B$310),INDEX(半紙!$H$11:$H$310,12),IF(12&lt;=COUNTA(半紙!$B$11:$B$310)+COUNTA(条幅!$B$11:$B$310),INDEX(条幅!$H$11:$H$310,12-COUNTA(半紙!$B$11:$B$310)),IF(12&lt;=COUNTA(半紙!$B$11:$B$310)+COUNTA(条幅!$B$11:$B$310)+COUNTA(条幅4分の1!$B$11:$B$310),INDEX(条幅4分の1!$H$11:$H$310,12-COUNTA(半紙!$B$11:$B$310)-COUNTA(条幅!$B$11:$B$310)),"")))=0,"",IF(12&lt;=COUNTA(半紙!$B$11:$B$310),INDEX(半紙!$H$11:$H$310,12),IF(12&lt;=COUNTA(半紙!$B$11:$B$310)+COUNTA(条幅!$B$11:$B$310),INDEX(条幅!$H$11:$H$310,12-COUNTA(半紙!$B$11:$B$310)),IF(12&lt;=COUNTA(半紙!$B$11:$B$310)+COUNTA(条幅!$B$11:$B$310)+COUNTA(条幅4分の1!$B$11:$B$310),INDEX(条幅4分の1!$H$11:$H$310,12-COUNTA(半紙!$B$11:$B$310)-COUNTA(条幅!$B$11:$B$310)),""))))</f>
        <v/>
      </c>
      <c r="I17" s="38" t="str">
        <f>IF(IF(12&lt;=COUNTA(半紙!$B$11:$B$310),INDEX(半紙!$I$11:$I$310,12),IF(12&lt;=COUNTA(半紙!$B$11:$B$310)+COUNTA(条幅!$B$11:$B$310),INDEX(条幅!$I$11:$I$310,12-COUNTA(半紙!$B$11:$B$310)),IF(12&lt;=COUNTA(半紙!$B$11:$B$310)+COUNTA(条幅!$B$11:$B$310)+COUNTA(条幅4分の1!$B$11:$B$310),INDEX(条幅4分の1!$I$11:$I$310,12-COUNTA(半紙!$B$11:$B$310)-COUNTA(条幅!$B$11:$B$310)),"")))=0,"",IF(12&lt;=COUNTA(半紙!$B$11:$B$310),INDEX(半紙!$I$11:$I$310,12),IF(12&lt;=COUNTA(半紙!$B$11:$B$310)+COUNTA(条幅!$B$11:$B$310),INDEX(条幅!$I$11:$I$310,12-COUNTA(半紙!$B$11:$B$310)),IF(12&lt;=COUNTA(半紙!$B$11:$B$310)+COUNTA(条幅!$B$11:$B$310)+COUNTA(条幅4分の1!$B$11:$B$310),INDEX(条幅4分の1!$I$11:$I$310,12-COUNTA(半紙!$B$11:$B$310)-COUNTA(条幅!$B$11:$B$310)),""))))</f>
        <v/>
      </c>
      <c r="J17" s="38" t="str">
        <f>IF(IF(12&lt;=COUNTA(半紙!$B$11:$B$310),INDEX(半紙!$J$11:$J$310,12),IF(12&lt;=COUNTA(半紙!$B$11:$B$310)+COUNTA(条幅!$B$11:$B$310),INDEX(条幅!$J$11:$J$310,12-COUNTA(半紙!$B$11:$B$310)),IF(12&lt;=COUNTA(半紙!$B$11:$B$310)+COUNTA(条幅!$B$11:$B$310)+COUNTA(条幅4分の1!$B$11:$B$310),INDEX(条幅4分の1!$J$11:$J$310,12-COUNTA(半紙!$B$11:$B$310)-COUNTA(条幅!$B$11:$B$310)),"")))=0,"",IF(12&lt;=COUNTA(半紙!$B$11:$B$310),INDEX(半紙!$J$11:$J$310,12),IF(12&lt;=COUNTA(半紙!$B$11:$B$310)+COUNTA(条幅!$B$11:$B$310),INDEX(条幅!$J$11:$J$310,12-COUNTA(半紙!$B$11:$B$310)),IF(12&lt;=COUNTA(半紙!$B$11:$B$310)+COUNTA(条幅!$B$11:$B$310)+COUNTA(条幅4分の1!$B$11:$B$310),INDEX(条幅4分の1!$J$11:$J$310,12-COUNTA(半紙!$B$11:$B$310)-COUNTA(条幅!$B$11:$B$310)),""))))</f>
        <v/>
      </c>
      <c r="K17" s="38" t="str">
        <f>IF(IF(12&lt;=COUNTA(半紙!$B$11:$B$310),INDEX(半紙!$K$11:$K$310,12),IF(12&lt;=COUNTA(半紙!$B$11:$B$310)+COUNTA(条幅!$B$11:$B$310),INDEX(条幅!$K$11:$K$310,12-COUNTA(半紙!$B$11:$B$310)),IF(12&lt;=COUNTA(半紙!$B$11:$B$310)+COUNTA(条幅!$B$11:$B$310)+COUNTA(条幅4分の1!$B$11:$B$310),INDEX(条幅4分の1!$K$11:$K$310,12-COUNTA(半紙!$B$11:$B$310)-COUNTA(条幅!$B$11:$B$310)),"")))=0,"",IF(12&lt;=COUNTA(半紙!$B$11:$B$310),INDEX(半紙!$K$11:$K$310,12),IF(12&lt;=COUNTA(半紙!$B$11:$B$310)+COUNTA(条幅!$B$11:$B$310),INDEX(条幅!$K$11:$K$310,12-COUNTA(半紙!$B$11:$B$310)),IF(12&lt;=COUNTA(半紙!$B$11:$B$310)+COUNTA(条幅!$B$11:$B$310)+COUNTA(条幅4分の1!$B$11:$B$310),INDEX(条幅4分の1!$K$11:$K$310,12-COUNTA(半紙!$B$11:$B$310)-COUNTA(条幅!$B$11:$B$310)),""))))</f>
        <v/>
      </c>
      <c r="L17" s="48" t="str">
        <f>IF($B17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12))</f>
        <v/>
      </c>
    </row>
    <row r="18" spans="1:12" ht="15" customHeight="1">
      <c r="A18" s="37" t="str">
        <f>IF(13&lt;=COUNTA(半紙!$B$11:$B$310),"半紙",IF(13&lt;=COUNTA(半紙!$B$11:$B$310)+COUNTA(条幅!$B$11:$B$310),"条幅(半切)",IF(13&lt;=COUNTA(半紙!$B$11:$B$310)+COUNTA(条幅!$B$11:$B$310)+COUNTA(条幅4分の1!$B$11:$B$310),"条幅(1/4)","")))</f>
        <v/>
      </c>
      <c r="B18" s="38" t="str">
        <f>IF(IF(13&lt;=COUNTA(半紙!$B$11:$B$310),INDEX(半紙!$B$11:$B$310,13),IF(13&lt;=COUNTA(半紙!$B$11:$B$310)+COUNTA(条幅!$B$11:$B$310),INDEX(条幅!$B$11:$B$310,13-COUNTA(半紙!$B$11:$B$310)),IF(13&lt;=COUNTA(半紙!$B$11:$B$310)+COUNTA(条幅!$B$11:$B$310)+COUNTA(条幅4分の1!$B$11:$B$310),INDEX(条幅4分の1!$B$11:$B$310,13-COUNTA(半紙!$B$11:$B$310)-COUNTA(条幅!$B$11:$B$310)),"")))=0,"",IF(13&lt;=COUNTA(半紙!$B$11:$B$310),INDEX(半紙!$B$11:$B$310,13),IF(13&lt;=COUNTA(半紙!$B$11:$B$310)+COUNTA(条幅!$B$11:$B$310),INDEX(条幅!$B$11:$B$310,13-COUNTA(半紙!$B$11:$B$310)),IF(13&lt;=COUNTA(半紙!$B$11:$B$310)+COUNTA(条幅!$B$11:$B$310)+COUNTA(条幅4分の1!$B$11:$B$310),INDEX(条幅4分の1!$B$11:$B$310,13-COUNTA(半紙!$B$11:$B$310)-COUNTA(条幅!$B$11:$B$310)),""))))</f>
        <v/>
      </c>
      <c r="C18" s="38" t="str">
        <f>IF(IF(13&lt;=COUNTA(半紙!$B$11:$B$310),INDEX(半紙!$C$11:$C$310,13),IF(13&lt;=COUNTA(半紙!$B$11:$B$310)+COUNTA(条幅!$B$11:$B$310),INDEX(条幅!$C$11:$C$310,13-COUNTA(半紙!$B$11:$B$310)),IF(13&lt;=COUNTA(半紙!$B$11:$B$310)+COUNTA(条幅!$B$11:$B$310)+COUNTA(条幅4分の1!$B$11:$B$310),INDEX(条幅4分の1!$C$11:$C$310,13-COUNTA(半紙!$B$11:$B$310)-COUNTA(条幅!$B$11:$B$310)),"")))=0,"",IF(13&lt;=COUNTA(半紙!$B$11:$B$310),INDEX(半紙!$C$11:$C$310,13),IF(13&lt;=COUNTA(半紙!$B$11:$B$310)+COUNTA(条幅!$B$11:$B$310),INDEX(条幅!$C$11:$C$310,13-COUNTA(半紙!$B$11:$B$310)),IF(13&lt;=COUNTA(半紙!$B$11:$B$310)+COUNTA(条幅!$B$11:$B$310)+COUNTA(条幅4分の1!$B$11:$B$310),INDEX(条幅4分の1!$C$11:$C$310,13-COUNTA(半紙!$B$11:$B$310)-COUNTA(条幅!$B$11:$B$310)),""))))</f>
        <v/>
      </c>
      <c r="D18" s="38" t="str">
        <f>IF(IF(13&lt;=COUNTA(半紙!$B$11:$B$310),INDEX(半紙!$D$11:$D$310,13),IF(13&lt;=COUNTA(半紙!$B$11:$B$310)+COUNTA(条幅!$B$11:$B$310),INDEX(条幅!$D$11:$D$310,13-COUNTA(半紙!$B$11:$B$310)),IF(13&lt;=COUNTA(半紙!$B$11:$B$310)+COUNTA(条幅!$B$11:$B$310)+COUNTA(条幅4分の1!$B$11:$B$310),INDEX(条幅4分の1!$D$11:$D$310,13-COUNTA(半紙!$B$11:$B$310)-COUNTA(条幅!$B$11:$B$310)),"")))=0,"",IF(13&lt;=COUNTA(半紙!$B$11:$B$310),INDEX(半紙!$D$11:$D$310,13),IF(13&lt;=COUNTA(半紙!$B$11:$B$310)+COUNTA(条幅!$B$11:$B$310),INDEX(条幅!$D$11:$D$310,13-COUNTA(半紙!$B$11:$B$310)),IF(13&lt;=COUNTA(半紙!$B$11:$B$310)+COUNTA(条幅!$B$11:$B$310)+COUNTA(条幅4分の1!$B$11:$B$310),INDEX(条幅4分の1!$D$11:$D$310,13-COUNTA(半紙!$B$11:$B$310)-COUNTA(条幅!$B$11:$B$310)),""))))</f>
        <v/>
      </c>
      <c r="E18" s="38" t="str">
        <f>IF(IF(13&lt;=COUNTA(半紙!$B$11:$B$310),INDEX(半紙!$E$11:$E$310,13),IF(13&lt;=COUNTA(半紙!$B$11:$B$310)+COUNTA(条幅!$B$11:$B$310),INDEX(条幅!$E$11:$E$310,13-COUNTA(半紙!$B$11:$B$310)),IF(13&lt;=COUNTA(半紙!$B$11:$B$310)+COUNTA(条幅!$B$11:$B$310)+COUNTA(条幅4分の1!$B$11:$B$310),INDEX(条幅4分の1!$E$11:$E$310,13-COUNTA(半紙!$B$11:$B$310)-COUNTA(条幅!$B$11:$B$310)),"")))=0,"",IF(13&lt;=COUNTA(半紙!$B$11:$B$310),INDEX(半紙!$E$11:$E$310,13),IF(13&lt;=COUNTA(半紙!$B$11:$B$310)+COUNTA(条幅!$B$11:$B$310),INDEX(条幅!$E$11:$E$310,13-COUNTA(半紙!$B$11:$B$310)),IF(13&lt;=COUNTA(半紙!$B$11:$B$310)+COUNTA(条幅!$B$11:$B$310)+COUNTA(条幅4分の1!$B$11:$B$310),INDEX(条幅4分の1!$E$11:$E$310,13-COUNTA(半紙!$B$11:$B$310)-COUNTA(条幅!$B$11:$B$310)),""))))</f>
        <v/>
      </c>
      <c r="F18" s="38" t="str">
        <f>IF(IF(13&lt;=COUNTA(半紙!$B$11:$B$310),INDEX(半紙!$F$11:$F$310,13),IF(13&lt;=COUNTA(半紙!$B$11:$B$310)+COUNTA(条幅!$B$11:$B$310),INDEX(条幅!$F$11:$F$310,13-COUNTA(半紙!$B$11:$B$310)),IF(13&lt;=COUNTA(半紙!$B$11:$B$310)+COUNTA(条幅!$B$11:$B$310)+COUNTA(条幅4分の1!$B$11:$B$310),INDEX(条幅4分の1!$F$11:$F$310,13-COUNTA(半紙!$B$11:$B$310)-COUNTA(条幅!$B$11:$B$310)),"")))=0,"",IF(13&lt;=COUNTA(半紙!$B$11:$B$310),INDEX(半紙!$F$11:$F$310,13),IF(13&lt;=COUNTA(半紙!$B$11:$B$310)+COUNTA(条幅!$B$11:$B$310),INDEX(条幅!$F$11:$F$310,13-COUNTA(半紙!$B$11:$B$310)),IF(13&lt;=COUNTA(半紙!$B$11:$B$310)+COUNTA(条幅!$B$11:$B$310)+COUNTA(条幅4分の1!$B$11:$B$310),INDEX(条幅4分の1!$F$11:$F$310,13-COUNTA(半紙!$B$11:$B$310)-COUNTA(条幅!$B$11:$B$310)),""))))</f>
        <v/>
      </c>
      <c r="G18" s="38" t="str">
        <f>IF(IF(13&lt;=COUNTA(半紙!$B$11:$B$310),INDEX(半紙!$G$11:$G$310,13),IF(13&lt;=COUNTA(半紙!$B$11:$B$310)+COUNTA(条幅!$B$11:$B$310),INDEX(条幅!$G$11:$G$310,13-COUNTA(半紙!$B$11:$B$310)),IF(13&lt;=COUNTA(半紙!$B$11:$B$310)+COUNTA(条幅!$B$11:$B$310)+COUNTA(条幅4分の1!$B$11:$B$310),INDEX(条幅4分の1!$G$11:$G$310,13-COUNTA(半紙!$B$11:$B$310)-COUNTA(条幅!$B$11:$B$310)),"")))=0,"",IF(13&lt;=COUNTA(半紙!$B$11:$B$310),INDEX(半紙!$G$11:$G$310,13),IF(13&lt;=COUNTA(半紙!$B$11:$B$310)+COUNTA(条幅!$B$11:$B$310),INDEX(条幅!$G$11:$G$310,13-COUNTA(半紙!$B$11:$B$310)),IF(13&lt;=COUNTA(半紙!$B$11:$B$310)+COUNTA(条幅!$B$11:$B$310)+COUNTA(条幅4分の1!$B$11:$B$310),INDEX(条幅4分の1!$G$11:$G$310,13-COUNTA(半紙!$B$11:$B$310)-COUNTA(条幅!$B$11:$B$310)),""))))</f>
        <v/>
      </c>
      <c r="H18" s="38" t="str">
        <f>IF(IF(13&lt;=COUNTA(半紙!$B$11:$B$310),INDEX(半紙!$H$11:$H$310,13),IF(13&lt;=COUNTA(半紙!$B$11:$B$310)+COUNTA(条幅!$B$11:$B$310),INDEX(条幅!$H$11:$H$310,13-COUNTA(半紙!$B$11:$B$310)),IF(13&lt;=COUNTA(半紙!$B$11:$B$310)+COUNTA(条幅!$B$11:$B$310)+COUNTA(条幅4分の1!$B$11:$B$310),INDEX(条幅4分の1!$H$11:$H$310,13-COUNTA(半紙!$B$11:$B$310)-COUNTA(条幅!$B$11:$B$310)),"")))=0,"",IF(13&lt;=COUNTA(半紙!$B$11:$B$310),INDEX(半紙!$H$11:$H$310,13),IF(13&lt;=COUNTA(半紙!$B$11:$B$310)+COUNTA(条幅!$B$11:$B$310),INDEX(条幅!$H$11:$H$310,13-COUNTA(半紙!$B$11:$B$310)),IF(13&lt;=COUNTA(半紙!$B$11:$B$310)+COUNTA(条幅!$B$11:$B$310)+COUNTA(条幅4分の1!$B$11:$B$310),INDEX(条幅4分の1!$H$11:$H$310,13-COUNTA(半紙!$B$11:$B$310)-COUNTA(条幅!$B$11:$B$310)),""))))</f>
        <v/>
      </c>
      <c r="I18" s="38" t="str">
        <f>IF(IF(13&lt;=COUNTA(半紙!$B$11:$B$310),INDEX(半紙!$I$11:$I$310,13),IF(13&lt;=COUNTA(半紙!$B$11:$B$310)+COUNTA(条幅!$B$11:$B$310),INDEX(条幅!$I$11:$I$310,13-COUNTA(半紙!$B$11:$B$310)),IF(13&lt;=COUNTA(半紙!$B$11:$B$310)+COUNTA(条幅!$B$11:$B$310)+COUNTA(条幅4分の1!$B$11:$B$310),INDEX(条幅4分の1!$I$11:$I$310,13-COUNTA(半紙!$B$11:$B$310)-COUNTA(条幅!$B$11:$B$310)),"")))=0,"",IF(13&lt;=COUNTA(半紙!$B$11:$B$310),INDEX(半紙!$I$11:$I$310,13),IF(13&lt;=COUNTA(半紙!$B$11:$B$310)+COUNTA(条幅!$B$11:$B$310),INDEX(条幅!$I$11:$I$310,13-COUNTA(半紙!$B$11:$B$310)),IF(13&lt;=COUNTA(半紙!$B$11:$B$310)+COUNTA(条幅!$B$11:$B$310)+COUNTA(条幅4分の1!$B$11:$B$310),INDEX(条幅4分の1!$I$11:$I$310,13-COUNTA(半紙!$B$11:$B$310)-COUNTA(条幅!$B$11:$B$310)),""))))</f>
        <v/>
      </c>
      <c r="J18" s="38" t="str">
        <f>IF(IF(13&lt;=COUNTA(半紙!$B$11:$B$310),INDEX(半紙!$J$11:$J$310,13),IF(13&lt;=COUNTA(半紙!$B$11:$B$310)+COUNTA(条幅!$B$11:$B$310),INDEX(条幅!$J$11:$J$310,13-COUNTA(半紙!$B$11:$B$310)),IF(13&lt;=COUNTA(半紙!$B$11:$B$310)+COUNTA(条幅!$B$11:$B$310)+COUNTA(条幅4分の1!$B$11:$B$310),INDEX(条幅4分の1!$J$11:$J$310,13-COUNTA(半紙!$B$11:$B$310)-COUNTA(条幅!$B$11:$B$310)),"")))=0,"",IF(13&lt;=COUNTA(半紙!$B$11:$B$310),INDEX(半紙!$J$11:$J$310,13),IF(13&lt;=COUNTA(半紙!$B$11:$B$310)+COUNTA(条幅!$B$11:$B$310),INDEX(条幅!$J$11:$J$310,13-COUNTA(半紙!$B$11:$B$310)),IF(13&lt;=COUNTA(半紙!$B$11:$B$310)+COUNTA(条幅!$B$11:$B$310)+COUNTA(条幅4分の1!$B$11:$B$310),INDEX(条幅4分の1!$J$11:$J$310,13-COUNTA(半紙!$B$11:$B$310)-COUNTA(条幅!$B$11:$B$310)),""))))</f>
        <v/>
      </c>
      <c r="K18" s="38" t="str">
        <f>IF(IF(13&lt;=COUNTA(半紙!$B$11:$B$310),INDEX(半紙!$K$11:$K$310,13),IF(13&lt;=COUNTA(半紙!$B$11:$B$310)+COUNTA(条幅!$B$11:$B$310),INDEX(条幅!$K$11:$K$310,13-COUNTA(半紙!$B$11:$B$310)),IF(13&lt;=COUNTA(半紙!$B$11:$B$310)+COUNTA(条幅!$B$11:$B$310)+COUNTA(条幅4分の1!$B$11:$B$310),INDEX(条幅4分の1!$K$11:$K$310,13-COUNTA(半紙!$B$11:$B$310)-COUNTA(条幅!$B$11:$B$310)),"")))=0,"",IF(13&lt;=COUNTA(半紙!$B$11:$B$310),INDEX(半紙!$K$11:$K$310,13),IF(13&lt;=COUNTA(半紙!$B$11:$B$310)+COUNTA(条幅!$B$11:$B$310),INDEX(条幅!$K$11:$K$310,13-COUNTA(半紙!$B$11:$B$310)),IF(13&lt;=COUNTA(半紙!$B$11:$B$310)+COUNTA(条幅!$B$11:$B$310)+COUNTA(条幅4分の1!$B$11:$B$310),INDEX(条幅4分の1!$K$11:$K$310,13-COUNTA(半紙!$B$11:$B$310)-COUNTA(条幅!$B$11:$B$310)),""))))</f>
        <v/>
      </c>
      <c r="L18" s="48" t="str">
        <f>IF($B18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13))</f>
        <v/>
      </c>
    </row>
    <row r="19" spans="1:12" ht="15" customHeight="1">
      <c r="A19" s="37" t="str">
        <f>IF(14&lt;=COUNTA(半紙!$B$11:$B$310),"半紙",IF(14&lt;=COUNTA(半紙!$B$11:$B$310)+COUNTA(条幅!$B$11:$B$310),"条幅(半切)",IF(14&lt;=COUNTA(半紙!$B$11:$B$310)+COUNTA(条幅!$B$11:$B$310)+COUNTA(条幅4分の1!$B$11:$B$310),"条幅(1/4)","")))</f>
        <v/>
      </c>
      <c r="B19" s="38" t="str">
        <f>IF(IF(14&lt;=COUNTA(半紙!$B$11:$B$310),INDEX(半紙!$B$11:$B$310,14),IF(14&lt;=COUNTA(半紙!$B$11:$B$310)+COUNTA(条幅!$B$11:$B$310),INDEX(条幅!$B$11:$B$310,14-COUNTA(半紙!$B$11:$B$310)),IF(14&lt;=COUNTA(半紙!$B$11:$B$310)+COUNTA(条幅!$B$11:$B$310)+COUNTA(条幅4分の1!$B$11:$B$310),INDEX(条幅4分の1!$B$11:$B$310,14-COUNTA(半紙!$B$11:$B$310)-COUNTA(条幅!$B$11:$B$310)),"")))=0,"",IF(14&lt;=COUNTA(半紙!$B$11:$B$310),INDEX(半紙!$B$11:$B$310,14),IF(14&lt;=COUNTA(半紙!$B$11:$B$310)+COUNTA(条幅!$B$11:$B$310),INDEX(条幅!$B$11:$B$310,14-COUNTA(半紙!$B$11:$B$310)),IF(14&lt;=COUNTA(半紙!$B$11:$B$310)+COUNTA(条幅!$B$11:$B$310)+COUNTA(条幅4分の1!$B$11:$B$310),INDEX(条幅4分の1!$B$11:$B$310,14-COUNTA(半紙!$B$11:$B$310)-COUNTA(条幅!$B$11:$B$310)),""))))</f>
        <v/>
      </c>
      <c r="C19" s="38" t="str">
        <f>IF(IF(14&lt;=COUNTA(半紙!$B$11:$B$310),INDEX(半紙!$C$11:$C$310,14),IF(14&lt;=COUNTA(半紙!$B$11:$B$310)+COUNTA(条幅!$B$11:$B$310),INDEX(条幅!$C$11:$C$310,14-COUNTA(半紙!$B$11:$B$310)),IF(14&lt;=COUNTA(半紙!$B$11:$B$310)+COUNTA(条幅!$B$11:$B$310)+COUNTA(条幅4分の1!$B$11:$B$310),INDEX(条幅4分の1!$C$11:$C$310,14-COUNTA(半紙!$B$11:$B$310)-COUNTA(条幅!$B$11:$B$310)),"")))=0,"",IF(14&lt;=COUNTA(半紙!$B$11:$B$310),INDEX(半紙!$C$11:$C$310,14),IF(14&lt;=COUNTA(半紙!$B$11:$B$310)+COUNTA(条幅!$B$11:$B$310),INDEX(条幅!$C$11:$C$310,14-COUNTA(半紙!$B$11:$B$310)),IF(14&lt;=COUNTA(半紙!$B$11:$B$310)+COUNTA(条幅!$B$11:$B$310)+COUNTA(条幅4分の1!$B$11:$B$310),INDEX(条幅4分の1!$C$11:$C$310,14-COUNTA(半紙!$B$11:$B$310)-COUNTA(条幅!$B$11:$B$310)),""))))</f>
        <v/>
      </c>
      <c r="D19" s="38" t="str">
        <f>IF(IF(14&lt;=COUNTA(半紙!$B$11:$B$310),INDEX(半紙!$D$11:$D$310,14),IF(14&lt;=COUNTA(半紙!$B$11:$B$310)+COUNTA(条幅!$B$11:$B$310),INDEX(条幅!$D$11:$D$310,14-COUNTA(半紙!$B$11:$B$310)),IF(14&lt;=COUNTA(半紙!$B$11:$B$310)+COUNTA(条幅!$B$11:$B$310)+COUNTA(条幅4分の1!$B$11:$B$310),INDEX(条幅4分の1!$D$11:$D$310,14-COUNTA(半紙!$B$11:$B$310)-COUNTA(条幅!$B$11:$B$310)),"")))=0,"",IF(14&lt;=COUNTA(半紙!$B$11:$B$310),INDEX(半紙!$D$11:$D$310,14),IF(14&lt;=COUNTA(半紙!$B$11:$B$310)+COUNTA(条幅!$B$11:$B$310),INDEX(条幅!$D$11:$D$310,14-COUNTA(半紙!$B$11:$B$310)),IF(14&lt;=COUNTA(半紙!$B$11:$B$310)+COUNTA(条幅!$B$11:$B$310)+COUNTA(条幅4分の1!$B$11:$B$310),INDEX(条幅4分の1!$D$11:$D$310,14-COUNTA(半紙!$B$11:$B$310)-COUNTA(条幅!$B$11:$B$310)),""))))</f>
        <v/>
      </c>
      <c r="E19" s="38" t="str">
        <f>IF(IF(14&lt;=COUNTA(半紙!$B$11:$B$310),INDEX(半紙!$E$11:$E$310,14),IF(14&lt;=COUNTA(半紙!$B$11:$B$310)+COUNTA(条幅!$B$11:$B$310),INDEX(条幅!$E$11:$E$310,14-COUNTA(半紙!$B$11:$B$310)),IF(14&lt;=COUNTA(半紙!$B$11:$B$310)+COUNTA(条幅!$B$11:$B$310)+COUNTA(条幅4分の1!$B$11:$B$310),INDEX(条幅4分の1!$E$11:$E$310,14-COUNTA(半紙!$B$11:$B$310)-COUNTA(条幅!$B$11:$B$310)),"")))=0,"",IF(14&lt;=COUNTA(半紙!$B$11:$B$310),INDEX(半紙!$E$11:$E$310,14),IF(14&lt;=COUNTA(半紙!$B$11:$B$310)+COUNTA(条幅!$B$11:$B$310),INDEX(条幅!$E$11:$E$310,14-COUNTA(半紙!$B$11:$B$310)),IF(14&lt;=COUNTA(半紙!$B$11:$B$310)+COUNTA(条幅!$B$11:$B$310)+COUNTA(条幅4分の1!$B$11:$B$310),INDEX(条幅4分の1!$E$11:$E$310,14-COUNTA(半紙!$B$11:$B$310)-COUNTA(条幅!$B$11:$B$310)),""))))</f>
        <v/>
      </c>
      <c r="F19" s="38" t="str">
        <f>IF(IF(14&lt;=COUNTA(半紙!$B$11:$B$310),INDEX(半紙!$F$11:$F$310,14),IF(14&lt;=COUNTA(半紙!$B$11:$B$310)+COUNTA(条幅!$B$11:$B$310),INDEX(条幅!$F$11:$F$310,14-COUNTA(半紙!$B$11:$B$310)),IF(14&lt;=COUNTA(半紙!$B$11:$B$310)+COUNTA(条幅!$B$11:$B$310)+COUNTA(条幅4分の1!$B$11:$B$310),INDEX(条幅4分の1!$F$11:$F$310,14-COUNTA(半紙!$B$11:$B$310)-COUNTA(条幅!$B$11:$B$310)),"")))=0,"",IF(14&lt;=COUNTA(半紙!$B$11:$B$310),INDEX(半紙!$F$11:$F$310,14),IF(14&lt;=COUNTA(半紙!$B$11:$B$310)+COUNTA(条幅!$B$11:$B$310),INDEX(条幅!$F$11:$F$310,14-COUNTA(半紙!$B$11:$B$310)),IF(14&lt;=COUNTA(半紙!$B$11:$B$310)+COUNTA(条幅!$B$11:$B$310)+COUNTA(条幅4分の1!$B$11:$B$310),INDEX(条幅4分の1!$F$11:$F$310,14-COUNTA(半紙!$B$11:$B$310)-COUNTA(条幅!$B$11:$B$310)),""))))</f>
        <v/>
      </c>
      <c r="G19" s="38" t="str">
        <f>IF(IF(14&lt;=COUNTA(半紙!$B$11:$B$310),INDEX(半紙!$G$11:$G$310,14),IF(14&lt;=COUNTA(半紙!$B$11:$B$310)+COUNTA(条幅!$B$11:$B$310),INDEX(条幅!$G$11:$G$310,14-COUNTA(半紙!$B$11:$B$310)),IF(14&lt;=COUNTA(半紙!$B$11:$B$310)+COUNTA(条幅!$B$11:$B$310)+COUNTA(条幅4分の1!$B$11:$B$310),INDEX(条幅4分の1!$G$11:$G$310,14-COUNTA(半紙!$B$11:$B$310)-COUNTA(条幅!$B$11:$B$310)),"")))=0,"",IF(14&lt;=COUNTA(半紙!$B$11:$B$310),INDEX(半紙!$G$11:$G$310,14),IF(14&lt;=COUNTA(半紙!$B$11:$B$310)+COUNTA(条幅!$B$11:$B$310),INDEX(条幅!$G$11:$G$310,14-COUNTA(半紙!$B$11:$B$310)),IF(14&lt;=COUNTA(半紙!$B$11:$B$310)+COUNTA(条幅!$B$11:$B$310)+COUNTA(条幅4分の1!$B$11:$B$310),INDEX(条幅4分の1!$G$11:$G$310,14-COUNTA(半紙!$B$11:$B$310)-COUNTA(条幅!$B$11:$B$310)),""))))</f>
        <v/>
      </c>
      <c r="H19" s="38" t="str">
        <f>IF(IF(14&lt;=COUNTA(半紙!$B$11:$B$310),INDEX(半紙!$H$11:$H$310,14),IF(14&lt;=COUNTA(半紙!$B$11:$B$310)+COUNTA(条幅!$B$11:$B$310),INDEX(条幅!$H$11:$H$310,14-COUNTA(半紙!$B$11:$B$310)),IF(14&lt;=COUNTA(半紙!$B$11:$B$310)+COUNTA(条幅!$B$11:$B$310)+COUNTA(条幅4分の1!$B$11:$B$310),INDEX(条幅4分の1!$H$11:$H$310,14-COUNTA(半紙!$B$11:$B$310)-COUNTA(条幅!$B$11:$B$310)),"")))=0,"",IF(14&lt;=COUNTA(半紙!$B$11:$B$310),INDEX(半紙!$H$11:$H$310,14),IF(14&lt;=COUNTA(半紙!$B$11:$B$310)+COUNTA(条幅!$B$11:$B$310),INDEX(条幅!$H$11:$H$310,14-COUNTA(半紙!$B$11:$B$310)),IF(14&lt;=COUNTA(半紙!$B$11:$B$310)+COUNTA(条幅!$B$11:$B$310)+COUNTA(条幅4分の1!$B$11:$B$310),INDEX(条幅4分の1!$H$11:$H$310,14-COUNTA(半紙!$B$11:$B$310)-COUNTA(条幅!$B$11:$B$310)),""))))</f>
        <v/>
      </c>
      <c r="I19" s="38" t="str">
        <f>IF(IF(14&lt;=COUNTA(半紙!$B$11:$B$310),INDEX(半紙!$I$11:$I$310,14),IF(14&lt;=COUNTA(半紙!$B$11:$B$310)+COUNTA(条幅!$B$11:$B$310),INDEX(条幅!$I$11:$I$310,14-COUNTA(半紙!$B$11:$B$310)),IF(14&lt;=COUNTA(半紙!$B$11:$B$310)+COUNTA(条幅!$B$11:$B$310)+COUNTA(条幅4分の1!$B$11:$B$310),INDEX(条幅4分の1!$I$11:$I$310,14-COUNTA(半紙!$B$11:$B$310)-COUNTA(条幅!$B$11:$B$310)),"")))=0,"",IF(14&lt;=COUNTA(半紙!$B$11:$B$310),INDEX(半紙!$I$11:$I$310,14),IF(14&lt;=COUNTA(半紙!$B$11:$B$310)+COUNTA(条幅!$B$11:$B$310),INDEX(条幅!$I$11:$I$310,14-COUNTA(半紙!$B$11:$B$310)),IF(14&lt;=COUNTA(半紙!$B$11:$B$310)+COUNTA(条幅!$B$11:$B$310)+COUNTA(条幅4分の1!$B$11:$B$310),INDEX(条幅4分の1!$I$11:$I$310,14-COUNTA(半紙!$B$11:$B$310)-COUNTA(条幅!$B$11:$B$310)),""))))</f>
        <v/>
      </c>
      <c r="J19" s="38" t="str">
        <f>IF(IF(14&lt;=COUNTA(半紙!$B$11:$B$310),INDEX(半紙!$J$11:$J$310,14),IF(14&lt;=COUNTA(半紙!$B$11:$B$310)+COUNTA(条幅!$B$11:$B$310),INDEX(条幅!$J$11:$J$310,14-COUNTA(半紙!$B$11:$B$310)),IF(14&lt;=COUNTA(半紙!$B$11:$B$310)+COUNTA(条幅!$B$11:$B$310)+COUNTA(条幅4分の1!$B$11:$B$310),INDEX(条幅4分の1!$J$11:$J$310,14-COUNTA(半紙!$B$11:$B$310)-COUNTA(条幅!$B$11:$B$310)),"")))=0,"",IF(14&lt;=COUNTA(半紙!$B$11:$B$310),INDEX(半紙!$J$11:$J$310,14),IF(14&lt;=COUNTA(半紙!$B$11:$B$310)+COUNTA(条幅!$B$11:$B$310),INDEX(条幅!$J$11:$J$310,14-COUNTA(半紙!$B$11:$B$310)),IF(14&lt;=COUNTA(半紙!$B$11:$B$310)+COUNTA(条幅!$B$11:$B$310)+COUNTA(条幅4分の1!$B$11:$B$310),INDEX(条幅4分の1!$J$11:$J$310,14-COUNTA(半紙!$B$11:$B$310)-COUNTA(条幅!$B$11:$B$310)),""))))</f>
        <v/>
      </c>
      <c r="K19" s="38" t="str">
        <f>IF(IF(14&lt;=COUNTA(半紙!$B$11:$B$310),INDEX(半紙!$K$11:$K$310,14),IF(14&lt;=COUNTA(半紙!$B$11:$B$310)+COUNTA(条幅!$B$11:$B$310),INDEX(条幅!$K$11:$K$310,14-COUNTA(半紙!$B$11:$B$310)),IF(14&lt;=COUNTA(半紙!$B$11:$B$310)+COUNTA(条幅!$B$11:$B$310)+COUNTA(条幅4分の1!$B$11:$B$310),INDEX(条幅4分の1!$K$11:$K$310,14-COUNTA(半紙!$B$11:$B$310)-COUNTA(条幅!$B$11:$B$310)),"")))=0,"",IF(14&lt;=COUNTA(半紙!$B$11:$B$310),INDEX(半紙!$K$11:$K$310,14),IF(14&lt;=COUNTA(半紙!$B$11:$B$310)+COUNTA(条幅!$B$11:$B$310),INDEX(条幅!$K$11:$K$310,14-COUNTA(半紙!$B$11:$B$310)),IF(14&lt;=COUNTA(半紙!$B$11:$B$310)+COUNTA(条幅!$B$11:$B$310)+COUNTA(条幅4分の1!$B$11:$B$310),INDEX(条幅4分の1!$K$11:$K$310,14-COUNTA(半紙!$B$11:$B$310)-COUNTA(条幅!$B$11:$B$310)),""))))</f>
        <v/>
      </c>
      <c r="L19" s="48" t="str">
        <f>IF($B19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14))</f>
        <v/>
      </c>
    </row>
    <row r="20" spans="1:12" ht="15" customHeight="1">
      <c r="A20" s="37" t="str">
        <f>IF(15&lt;=COUNTA(半紙!$B$11:$B$310),"半紙",IF(15&lt;=COUNTA(半紙!$B$11:$B$310)+COUNTA(条幅!$B$11:$B$310),"条幅(半切)",IF(15&lt;=COUNTA(半紙!$B$11:$B$310)+COUNTA(条幅!$B$11:$B$310)+COUNTA(条幅4分の1!$B$11:$B$310),"条幅(1/4)","")))</f>
        <v/>
      </c>
      <c r="B20" s="38" t="str">
        <f>IF(IF(15&lt;=COUNTA(半紙!$B$11:$B$310),INDEX(半紙!$B$11:$B$310,15),IF(15&lt;=COUNTA(半紙!$B$11:$B$310)+COUNTA(条幅!$B$11:$B$310),INDEX(条幅!$B$11:$B$310,15-COUNTA(半紙!$B$11:$B$310)),IF(15&lt;=COUNTA(半紙!$B$11:$B$310)+COUNTA(条幅!$B$11:$B$310)+COUNTA(条幅4分の1!$B$11:$B$310),INDEX(条幅4分の1!$B$11:$B$310,15-COUNTA(半紙!$B$11:$B$310)-COUNTA(条幅!$B$11:$B$310)),"")))=0,"",IF(15&lt;=COUNTA(半紙!$B$11:$B$310),INDEX(半紙!$B$11:$B$310,15),IF(15&lt;=COUNTA(半紙!$B$11:$B$310)+COUNTA(条幅!$B$11:$B$310),INDEX(条幅!$B$11:$B$310,15-COUNTA(半紙!$B$11:$B$310)),IF(15&lt;=COUNTA(半紙!$B$11:$B$310)+COUNTA(条幅!$B$11:$B$310)+COUNTA(条幅4分の1!$B$11:$B$310),INDEX(条幅4分の1!$B$11:$B$310,15-COUNTA(半紙!$B$11:$B$310)-COUNTA(条幅!$B$11:$B$310)),""))))</f>
        <v/>
      </c>
      <c r="C20" s="38" t="str">
        <f>IF(IF(15&lt;=COUNTA(半紙!$B$11:$B$310),INDEX(半紙!$C$11:$C$310,15),IF(15&lt;=COUNTA(半紙!$B$11:$B$310)+COUNTA(条幅!$B$11:$B$310),INDEX(条幅!$C$11:$C$310,15-COUNTA(半紙!$B$11:$B$310)),IF(15&lt;=COUNTA(半紙!$B$11:$B$310)+COUNTA(条幅!$B$11:$B$310)+COUNTA(条幅4分の1!$B$11:$B$310),INDEX(条幅4分の1!$C$11:$C$310,15-COUNTA(半紙!$B$11:$B$310)-COUNTA(条幅!$B$11:$B$310)),"")))=0,"",IF(15&lt;=COUNTA(半紙!$B$11:$B$310),INDEX(半紙!$C$11:$C$310,15),IF(15&lt;=COUNTA(半紙!$B$11:$B$310)+COUNTA(条幅!$B$11:$B$310),INDEX(条幅!$C$11:$C$310,15-COUNTA(半紙!$B$11:$B$310)),IF(15&lt;=COUNTA(半紙!$B$11:$B$310)+COUNTA(条幅!$B$11:$B$310)+COUNTA(条幅4分の1!$B$11:$B$310),INDEX(条幅4分の1!$C$11:$C$310,15-COUNTA(半紙!$B$11:$B$310)-COUNTA(条幅!$B$11:$B$310)),""))))</f>
        <v/>
      </c>
      <c r="D20" s="38" t="str">
        <f>IF(IF(15&lt;=COUNTA(半紙!$B$11:$B$310),INDEX(半紙!$D$11:$D$310,15),IF(15&lt;=COUNTA(半紙!$B$11:$B$310)+COUNTA(条幅!$B$11:$B$310),INDEX(条幅!$D$11:$D$310,15-COUNTA(半紙!$B$11:$B$310)),IF(15&lt;=COUNTA(半紙!$B$11:$B$310)+COUNTA(条幅!$B$11:$B$310)+COUNTA(条幅4分の1!$B$11:$B$310),INDEX(条幅4分の1!$D$11:$D$310,15-COUNTA(半紙!$B$11:$B$310)-COUNTA(条幅!$B$11:$B$310)),"")))=0,"",IF(15&lt;=COUNTA(半紙!$B$11:$B$310),INDEX(半紙!$D$11:$D$310,15),IF(15&lt;=COUNTA(半紙!$B$11:$B$310)+COUNTA(条幅!$B$11:$B$310),INDEX(条幅!$D$11:$D$310,15-COUNTA(半紙!$B$11:$B$310)),IF(15&lt;=COUNTA(半紙!$B$11:$B$310)+COUNTA(条幅!$B$11:$B$310)+COUNTA(条幅4分の1!$B$11:$B$310),INDEX(条幅4分の1!$D$11:$D$310,15-COUNTA(半紙!$B$11:$B$310)-COUNTA(条幅!$B$11:$B$310)),""))))</f>
        <v/>
      </c>
      <c r="E20" s="38" t="str">
        <f>IF(IF(15&lt;=COUNTA(半紙!$B$11:$B$310),INDEX(半紙!$E$11:$E$310,15),IF(15&lt;=COUNTA(半紙!$B$11:$B$310)+COUNTA(条幅!$B$11:$B$310),INDEX(条幅!$E$11:$E$310,15-COUNTA(半紙!$B$11:$B$310)),IF(15&lt;=COUNTA(半紙!$B$11:$B$310)+COUNTA(条幅!$B$11:$B$310)+COUNTA(条幅4分の1!$B$11:$B$310),INDEX(条幅4分の1!$E$11:$E$310,15-COUNTA(半紙!$B$11:$B$310)-COUNTA(条幅!$B$11:$B$310)),"")))=0,"",IF(15&lt;=COUNTA(半紙!$B$11:$B$310),INDEX(半紙!$E$11:$E$310,15),IF(15&lt;=COUNTA(半紙!$B$11:$B$310)+COUNTA(条幅!$B$11:$B$310),INDEX(条幅!$E$11:$E$310,15-COUNTA(半紙!$B$11:$B$310)),IF(15&lt;=COUNTA(半紙!$B$11:$B$310)+COUNTA(条幅!$B$11:$B$310)+COUNTA(条幅4分の1!$B$11:$B$310),INDEX(条幅4分の1!$E$11:$E$310,15-COUNTA(半紙!$B$11:$B$310)-COUNTA(条幅!$B$11:$B$310)),""))))</f>
        <v/>
      </c>
      <c r="F20" s="38" t="str">
        <f>IF(IF(15&lt;=COUNTA(半紙!$B$11:$B$310),INDEX(半紙!$F$11:$F$310,15),IF(15&lt;=COUNTA(半紙!$B$11:$B$310)+COUNTA(条幅!$B$11:$B$310),INDEX(条幅!$F$11:$F$310,15-COUNTA(半紙!$B$11:$B$310)),IF(15&lt;=COUNTA(半紙!$B$11:$B$310)+COUNTA(条幅!$B$11:$B$310)+COUNTA(条幅4分の1!$B$11:$B$310),INDEX(条幅4分の1!$F$11:$F$310,15-COUNTA(半紙!$B$11:$B$310)-COUNTA(条幅!$B$11:$B$310)),"")))=0,"",IF(15&lt;=COUNTA(半紙!$B$11:$B$310),INDEX(半紙!$F$11:$F$310,15),IF(15&lt;=COUNTA(半紙!$B$11:$B$310)+COUNTA(条幅!$B$11:$B$310),INDEX(条幅!$F$11:$F$310,15-COUNTA(半紙!$B$11:$B$310)),IF(15&lt;=COUNTA(半紙!$B$11:$B$310)+COUNTA(条幅!$B$11:$B$310)+COUNTA(条幅4分の1!$B$11:$B$310),INDEX(条幅4分の1!$F$11:$F$310,15-COUNTA(半紙!$B$11:$B$310)-COUNTA(条幅!$B$11:$B$310)),""))))</f>
        <v/>
      </c>
      <c r="G20" s="38" t="str">
        <f>IF(IF(15&lt;=COUNTA(半紙!$B$11:$B$310),INDEX(半紙!$G$11:$G$310,15),IF(15&lt;=COUNTA(半紙!$B$11:$B$310)+COUNTA(条幅!$B$11:$B$310),INDEX(条幅!$G$11:$G$310,15-COUNTA(半紙!$B$11:$B$310)),IF(15&lt;=COUNTA(半紙!$B$11:$B$310)+COUNTA(条幅!$B$11:$B$310)+COUNTA(条幅4分の1!$B$11:$B$310),INDEX(条幅4分の1!$G$11:$G$310,15-COUNTA(半紙!$B$11:$B$310)-COUNTA(条幅!$B$11:$B$310)),"")))=0,"",IF(15&lt;=COUNTA(半紙!$B$11:$B$310),INDEX(半紙!$G$11:$G$310,15),IF(15&lt;=COUNTA(半紙!$B$11:$B$310)+COUNTA(条幅!$B$11:$B$310),INDEX(条幅!$G$11:$G$310,15-COUNTA(半紙!$B$11:$B$310)),IF(15&lt;=COUNTA(半紙!$B$11:$B$310)+COUNTA(条幅!$B$11:$B$310)+COUNTA(条幅4分の1!$B$11:$B$310),INDEX(条幅4分の1!$G$11:$G$310,15-COUNTA(半紙!$B$11:$B$310)-COUNTA(条幅!$B$11:$B$310)),""))))</f>
        <v/>
      </c>
      <c r="H20" s="38" t="str">
        <f>IF(IF(15&lt;=COUNTA(半紙!$B$11:$B$310),INDEX(半紙!$H$11:$H$310,15),IF(15&lt;=COUNTA(半紙!$B$11:$B$310)+COUNTA(条幅!$B$11:$B$310),INDEX(条幅!$H$11:$H$310,15-COUNTA(半紙!$B$11:$B$310)),IF(15&lt;=COUNTA(半紙!$B$11:$B$310)+COUNTA(条幅!$B$11:$B$310)+COUNTA(条幅4分の1!$B$11:$B$310),INDEX(条幅4分の1!$H$11:$H$310,15-COUNTA(半紙!$B$11:$B$310)-COUNTA(条幅!$B$11:$B$310)),"")))=0,"",IF(15&lt;=COUNTA(半紙!$B$11:$B$310),INDEX(半紙!$H$11:$H$310,15),IF(15&lt;=COUNTA(半紙!$B$11:$B$310)+COUNTA(条幅!$B$11:$B$310),INDEX(条幅!$H$11:$H$310,15-COUNTA(半紙!$B$11:$B$310)),IF(15&lt;=COUNTA(半紙!$B$11:$B$310)+COUNTA(条幅!$B$11:$B$310)+COUNTA(条幅4分の1!$B$11:$B$310),INDEX(条幅4分の1!$H$11:$H$310,15-COUNTA(半紙!$B$11:$B$310)-COUNTA(条幅!$B$11:$B$310)),""))))</f>
        <v/>
      </c>
      <c r="I20" s="38" t="str">
        <f>IF(IF(15&lt;=COUNTA(半紙!$B$11:$B$310),INDEX(半紙!$I$11:$I$310,15),IF(15&lt;=COUNTA(半紙!$B$11:$B$310)+COUNTA(条幅!$B$11:$B$310),INDEX(条幅!$I$11:$I$310,15-COUNTA(半紙!$B$11:$B$310)),IF(15&lt;=COUNTA(半紙!$B$11:$B$310)+COUNTA(条幅!$B$11:$B$310)+COUNTA(条幅4分の1!$B$11:$B$310),INDEX(条幅4分の1!$I$11:$I$310,15-COUNTA(半紙!$B$11:$B$310)-COUNTA(条幅!$B$11:$B$310)),"")))=0,"",IF(15&lt;=COUNTA(半紙!$B$11:$B$310),INDEX(半紙!$I$11:$I$310,15),IF(15&lt;=COUNTA(半紙!$B$11:$B$310)+COUNTA(条幅!$B$11:$B$310),INDEX(条幅!$I$11:$I$310,15-COUNTA(半紙!$B$11:$B$310)),IF(15&lt;=COUNTA(半紙!$B$11:$B$310)+COUNTA(条幅!$B$11:$B$310)+COUNTA(条幅4分の1!$B$11:$B$310),INDEX(条幅4分の1!$I$11:$I$310,15-COUNTA(半紙!$B$11:$B$310)-COUNTA(条幅!$B$11:$B$310)),""))))</f>
        <v/>
      </c>
      <c r="J20" s="38" t="str">
        <f>IF(IF(15&lt;=COUNTA(半紙!$B$11:$B$310),INDEX(半紙!$J$11:$J$310,15),IF(15&lt;=COUNTA(半紙!$B$11:$B$310)+COUNTA(条幅!$B$11:$B$310),INDEX(条幅!$J$11:$J$310,15-COUNTA(半紙!$B$11:$B$310)),IF(15&lt;=COUNTA(半紙!$B$11:$B$310)+COUNTA(条幅!$B$11:$B$310)+COUNTA(条幅4分の1!$B$11:$B$310),INDEX(条幅4分の1!$J$11:$J$310,15-COUNTA(半紙!$B$11:$B$310)-COUNTA(条幅!$B$11:$B$310)),"")))=0,"",IF(15&lt;=COUNTA(半紙!$B$11:$B$310),INDEX(半紙!$J$11:$J$310,15),IF(15&lt;=COUNTA(半紙!$B$11:$B$310)+COUNTA(条幅!$B$11:$B$310),INDEX(条幅!$J$11:$J$310,15-COUNTA(半紙!$B$11:$B$310)),IF(15&lt;=COUNTA(半紙!$B$11:$B$310)+COUNTA(条幅!$B$11:$B$310)+COUNTA(条幅4分の1!$B$11:$B$310),INDEX(条幅4分の1!$J$11:$J$310,15-COUNTA(半紙!$B$11:$B$310)-COUNTA(条幅!$B$11:$B$310)),""))))</f>
        <v/>
      </c>
      <c r="K20" s="38" t="str">
        <f>IF(IF(15&lt;=COUNTA(半紙!$B$11:$B$310),INDEX(半紙!$K$11:$K$310,15),IF(15&lt;=COUNTA(半紙!$B$11:$B$310)+COUNTA(条幅!$B$11:$B$310),INDEX(条幅!$K$11:$K$310,15-COUNTA(半紙!$B$11:$B$310)),IF(15&lt;=COUNTA(半紙!$B$11:$B$310)+COUNTA(条幅!$B$11:$B$310)+COUNTA(条幅4分の1!$B$11:$B$310),INDEX(条幅4分の1!$K$11:$K$310,15-COUNTA(半紙!$B$11:$B$310)-COUNTA(条幅!$B$11:$B$310)),"")))=0,"",IF(15&lt;=COUNTA(半紙!$B$11:$B$310),INDEX(半紙!$K$11:$K$310,15),IF(15&lt;=COUNTA(半紙!$B$11:$B$310)+COUNTA(条幅!$B$11:$B$310),INDEX(条幅!$K$11:$K$310,15-COUNTA(半紙!$B$11:$B$310)),IF(15&lt;=COUNTA(半紙!$B$11:$B$310)+COUNTA(条幅!$B$11:$B$310)+COUNTA(条幅4分の1!$B$11:$B$310),INDEX(条幅4分の1!$K$11:$K$310,15-COUNTA(半紙!$B$11:$B$310)-COUNTA(条幅!$B$11:$B$310)),""))))</f>
        <v/>
      </c>
      <c r="L20" s="48" t="str">
        <f>IF($B20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15))</f>
        <v/>
      </c>
    </row>
    <row r="21" spans="1:12" ht="15" customHeight="1">
      <c r="A21" s="37" t="str">
        <f>IF(16&lt;=COUNTA(半紙!$B$11:$B$310),"半紙",IF(16&lt;=COUNTA(半紙!$B$11:$B$310)+COUNTA(条幅!$B$11:$B$310),"条幅(半切)",IF(16&lt;=COUNTA(半紙!$B$11:$B$310)+COUNTA(条幅!$B$11:$B$310)+COUNTA(条幅4分の1!$B$11:$B$310),"条幅(1/4)","")))</f>
        <v/>
      </c>
      <c r="B21" s="38" t="str">
        <f>IF(IF(16&lt;=COUNTA(半紙!$B$11:$B$310),INDEX(半紙!$B$11:$B$310,16),IF(16&lt;=COUNTA(半紙!$B$11:$B$310)+COUNTA(条幅!$B$11:$B$310),INDEX(条幅!$B$11:$B$310,16-COUNTA(半紙!$B$11:$B$310)),IF(16&lt;=COUNTA(半紙!$B$11:$B$310)+COUNTA(条幅!$B$11:$B$310)+COUNTA(条幅4分の1!$B$11:$B$310),INDEX(条幅4分の1!$B$11:$B$310,16-COUNTA(半紙!$B$11:$B$310)-COUNTA(条幅!$B$11:$B$310)),"")))=0,"",IF(16&lt;=COUNTA(半紙!$B$11:$B$310),INDEX(半紙!$B$11:$B$310,16),IF(16&lt;=COUNTA(半紙!$B$11:$B$310)+COUNTA(条幅!$B$11:$B$310),INDEX(条幅!$B$11:$B$310,16-COUNTA(半紙!$B$11:$B$310)),IF(16&lt;=COUNTA(半紙!$B$11:$B$310)+COUNTA(条幅!$B$11:$B$310)+COUNTA(条幅4分の1!$B$11:$B$310),INDEX(条幅4分の1!$B$11:$B$310,16-COUNTA(半紙!$B$11:$B$310)-COUNTA(条幅!$B$11:$B$310)),""))))</f>
        <v/>
      </c>
      <c r="C21" s="38" t="str">
        <f>IF(IF(16&lt;=COUNTA(半紙!$B$11:$B$310),INDEX(半紙!$C$11:$C$310,16),IF(16&lt;=COUNTA(半紙!$B$11:$B$310)+COUNTA(条幅!$B$11:$B$310),INDEX(条幅!$C$11:$C$310,16-COUNTA(半紙!$B$11:$B$310)),IF(16&lt;=COUNTA(半紙!$B$11:$B$310)+COUNTA(条幅!$B$11:$B$310)+COUNTA(条幅4分の1!$B$11:$B$310),INDEX(条幅4分の1!$C$11:$C$310,16-COUNTA(半紙!$B$11:$B$310)-COUNTA(条幅!$B$11:$B$310)),"")))=0,"",IF(16&lt;=COUNTA(半紙!$B$11:$B$310),INDEX(半紙!$C$11:$C$310,16),IF(16&lt;=COUNTA(半紙!$B$11:$B$310)+COUNTA(条幅!$B$11:$B$310),INDEX(条幅!$C$11:$C$310,16-COUNTA(半紙!$B$11:$B$310)),IF(16&lt;=COUNTA(半紙!$B$11:$B$310)+COUNTA(条幅!$B$11:$B$310)+COUNTA(条幅4分の1!$B$11:$B$310),INDEX(条幅4分の1!$C$11:$C$310,16-COUNTA(半紙!$B$11:$B$310)-COUNTA(条幅!$B$11:$B$310)),""))))</f>
        <v/>
      </c>
      <c r="D21" s="38" t="str">
        <f>IF(IF(16&lt;=COUNTA(半紙!$B$11:$B$310),INDEX(半紙!$D$11:$D$310,16),IF(16&lt;=COUNTA(半紙!$B$11:$B$310)+COUNTA(条幅!$B$11:$B$310),INDEX(条幅!$D$11:$D$310,16-COUNTA(半紙!$B$11:$B$310)),IF(16&lt;=COUNTA(半紙!$B$11:$B$310)+COUNTA(条幅!$B$11:$B$310)+COUNTA(条幅4分の1!$B$11:$B$310),INDEX(条幅4分の1!$D$11:$D$310,16-COUNTA(半紙!$B$11:$B$310)-COUNTA(条幅!$B$11:$B$310)),"")))=0,"",IF(16&lt;=COUNTA(半紙!$B$11:$B$310),INDEX(半紙!$D$11:$D$310,16),IF(16&lt;=COUNTA(半紙!$B$11:$B$310)+COUNTA(条幅!$B$11:$B$310),INDEX(条幅!$D$11:$D$310,16-COUNTA(半紙!$B$11:$B$310)),IF(16&lt;=COUNTA(半紙!$B$11:$B$310)+COUNTA(条幅!$B$11:$B$310)+COUNTA(条幅4分の1!$B$11:$B$310),INDEX(条幅4分の1!$D$11:$D$310,16-COUNTA(半紙!$B$11:$B$310)-COUNTA(条幅!$B$11:$B$310)),""))))</f>
        <v/>
      </c>
      <c r="E21" s="38" t="str">
        <f>IF(IF(16&lt;=COUNTA(半紙!$B$11:$B$310),INDEX(半紙!$E$11:$E$310,16),IF(16&lt;=COUNTA(半紙!$B$11:$B$310)+COUNTA(条幅!$B$11:$B$310),INDEX(条幅!$E$11:$E$310,16-COUNTA(半紙!$B$11:$B$310)),IF(16&lt;=COUNTA(半紙!$B$11:$B$310)+COUNTA(条幅!$B$11:$B$310)+COUNTA(条幅4分の1!$B$11:$B$310),INDEX(条幅4分の1!$E$11:$E$310,16-COUNTA(半紙!$B$11:$B$310)-COUNTA(条幅!$B$11:$B$310)),"")))=0,"",IF(16&lt;=COUNTA(半紙!$B$11:$B$310),INDEX(半紙!$E$11:$E$310,16),IF(16&lt;=COUNTA(半紙!$B$11:$B$310)+COUNTA(条幅!$B$11:$B$310),INDEX(条幅!$E$11:$E$310,16-COUNTA(半紙!$B$11:$B$310)),IF(16&lt;=COUNTA(半紙!$B$11:$B$310)+COUNTA(条幅!$B$11:$B$310)+COUNTA(条幅4分の1!$B$11:$B$310),INDEX(条幅4分の1!$E$11:$E$310,16-COUNTA(半紙!$B$11:$B$310)-COUNTA(条幅!$B$11:$B$310)),""))))</f>
        <v/>
      </c>
      <c r="F21" s="38" t="str">
        <f>IF(IF(16&lt;=COUNTA(半紙!$B$11:$B$310),INDEX(半紙!$F$11:$F$310,16),IF(16&lt;=COUNTA(半紙!$B$11:$B$310)+COUNTA(条幅!$B$11:$B$310),INDEX(条幅!$F$11:$F$310,16-COUNTA(半紙!$B$11:$B$310)),IF(16&lt;=COUNTA(半紙!$B$11:$B$310)+COUNTA(条幅!$B$11:$B$310)+COUNTA(条幅4分の1!$B$11:$B$310),INDEX(条幅4分の1!$F$11:$F$310,16-COUNTA(半紙!$B$11:$B$310)-COUNTA(条幅!$B$11:$B$310)),"")))=0,"",IF(16&lt;=COUNTA(半紙!$B$11:$B$310),INDEX(半紙!$F$11:$F$310,16),IF(16&lt;=COUNTA(半紙!$B$11:$B$310)+COUNTA(条幅!$B$11:$B$310),INDEX(条幅!$F$11:$F$310,16-COUNTA(半紙!$B$11:$B$310)),IF(16&lt;=COUNTA(半紙!$B$11:$B$310)+COUNTA(条幅!$B$11:$B$310)+COUNTA(条幅4分の1!$B$11:$B$310),INDEX(条幅4分の1!$F$11:$F$310,16-COUNTA(半紙!$B$11:$B$310)-COUNTA(条幅!$B$11:$B$310)),""))))</f>
        <v/>
      </c>
      <c r="G21" s="38" t="str">
        <f>IF(IF(16&lt;=COUNTA(半紙!$B$11:$B$310),INDEX(半紙!$G$11:$G$310,16),IF(16&lt;=COUNTA(半紙!$B$11:$B$310)+COUNTA(条幅!$B$11:$B$310),INDEX(条幅!$G$11:$G$310,16-COUNTA(半紙!$B$11:$B$310)),IF(16&lt;=COUNTA(半紙!$B$11:$B$310)+COUNTA(条幅!$B$11:$B$310)+COUNTA(条幅4分の1!$B$11:$B$310),INDEX(条幅4分の1!$G$11:$G$310,16-COUNTA(半紙!$B$11:$B$310)-COUNTA(条幅!$B$11:$B$310)),"")))=0,"",IF(16&lt;=COUNTA(半紙!$B$11:$B$310),INDEX(半紙!$G$11:$G$310,16),IF(16&lt;=COUNTA(半紙!$B$11:$B$310)+COUNTA(条幅!$B$11:$B$310),INDEX(条幅!$G$11:$G$310,16-COUNTA(半紙!$B$11:$B$310)),IF(16&lt;=COUNTA(半紙!$B$11:$B$310)+COUNTA(条幅!$B$11:$B$310)+COUNTA(条幅4分の1!$B$11:$B$310),INDEX(条幅4分の1!$G$11:$G$310,16-COUNTA(半紙!$B$11:$B$310)-COUNTA(条幅!$B$11:$B$310)),""))))</f>
        <v/>
      </c>
      <c r="H21" s="38" t="str">
        <f>IF(IF(16&lt;=COUNTA(半紙!$B$11:$B$310),INDEX(半紙!$H$11:$H$310,16),IF(16&lt;=COUNTA(半紙!$B$11:$B$310)+COUNTA(条幅!$B$11:$B$310),INDEX(条幅!$H$11:$H$310,16-COUNTA(半紙!$B$11:$B$310)),IF(16&lt;=COUNTA(半紙!$B$11:$B$310)+COUNTA(条幅!$B$11:$B$310)+COUNTA(条幅4分の1!$B$11:$B$310),INDEX(条幅4分の1!$H$11:$H$310,16-COUNTA(半紙!$B$11:$B$310)-COUNTA(条幅!$B$11:$B$310)),"")))=0,"",IF(16&lt;=COUNTA(半紙!$B$11:$B$310),INDEX(半紙!$H$11:$H$310,16),IF(16&lt;=COUNTA(半紙!$B$11:$B$310)+COUNTA(条幅!$B$11:$B$310),INDEX(条幅!$H$11:$H$310,16-COUNTA(半紙!$B$11:$B$310)),IF(16&lt;=COUNTA(半紙!$B$11:$B$310)+COUNTA(条幅!$B$11:$B$310)+COUNTA(条幅4分の1!$B$11:$B$310),INDEX(条幅4分の1!$H$11:$H$310,16-COUNTA(半紙!$B$11:$B$310)-COUNTA(条幅!$B$11:$B$310)),""))))</f>
        <v/>
      </c>
      <c r="I21" s="38" t="str">
        <f>IF(IF(16&lt;=COUNTA(半紙!$B$11:$B$310),INDEX(半紙!$I$11:$I$310,16),IF(16&lt;=COUNTA(半紙!$B$11:$B$310)+COUNTA(条幅!$B$11:$B$310),INDEX(条幅!$I$11:$I$310,16-COUNTA(半紙!$B$11:$B$310)),IF(16&lt;=COUNTA(半紙!$B$11:$B$310)+COUNTA(条幅!$B$11:$B$310)+COUNTA(条幅4分の1!$B$11:$B$310),INDEX(条幅4分の1!$I$11:$I$310,16-COUNTA(半紙!$B$11:$B$310)-COUNTA(条幅!$B$11:$B$310)),"")))=0,"",IF(16&lt;=COUNTA(半紙!$B$11:$B$310),INDEX(半紙!$I$11:$I$310,16),IF(16&lt;=COUNTA(半紙!$B$11:$B$310)+COUNTA(条幅!$B$11:$B$310),INDEX(条幅!$I$11:$I$310,16-COUNTA(半紙!$B$11:$B$310)),IF(16&lt;=COUNTA(半紙!$B$11:$B$310)+COUNTA(条幅!$B$11:$B$310)+COUNTA(条幅4分の1!$B$11:$B$310),INDEX(条幅4分の1!$I$11:$I$310,16-COUNTA(半紙!$B$11:$B$310)-COUNTA(条幅!$B$11:$B$310)),""))))</f>
        <v/>
      </c>
      <c r="J21" s="38" t="str">
        <f>IF(IF(16&lt;=COUNTA(半紙!$B$11:$B$310),INDEX(半紙!$J$11:$J$310,16),IF(16&lt;=COUNTA(半紙!$B$11:$B$310)+COUNTA(条幅!$B$11:$B$310),INDEX(条幅!$J$11:$J$310,16-COUNTA(半紙!$B$11:$B$310)),IF(16&lt;=COUNTA(半紙!$B$11:$B$310)+COUNTA(条幅!$B$11:$B$310)+COUNTA(条幅4分の1!$B$11:$B$310),INDEX(条幅4分の1!$J$11:$J$310,16-COUNTA(半紙!$B$11:$B$310)-COUNTA(条幅!$B$11:$B$310)),"")))=0,"",IF(16&lt;=COUNTA(半紙!$B$11:$B$310),INDEX(半紙!$J$11:$J$310,16),IF(16&lt;=COUNTA(半紙!$B$11:$B$310)+COUNTA(条幅!$B$11:$B$310),INDEX(条幅!$J$11:$J$310,16-COUNTA(半紙!$B$11:$B$310)),IF(16&lt;=COUNTA(半紙!$B$11:$B$310)+COUNTA(条幅!$B$11:$B$310)+COUNTA(条幅4分の1!$B$11:$B$310),INDEX(条幅4分の1!$J$11:$J$310,16-COUNTA(半紙!$B$11:$B$310)-COUNTA(条幅!$B$11:$B$310)),""))))</f>
        <v/>
      </c>
      <c r="K21" s="38" t="str">
        <f>IF(IF(16&lt;=COUNTA(半紙!$B$11:$B$310),INDEX(半紙!$K$11:$K$310,16),IF(16&lt;=COUNTA(半紙!$B$11:$B$310)+COUNTA(条幅!$B$11:$B$310),INDEX(条幅!$K$11:$K$310,16-COUNTA(半紙!$B$11:$B$310)),IF(16&lt;=COUNTA(半紙!$B$11:$B$310)+COUNTA(条幅!$B$11:$B$310)+COUNTA(条幅4分の1!$B$11:$B$310),INDEX(条幅4分の1!$K$11:$K$310,16-COUNTA(半紙!$B$11:$B$310)-COUNTA(条幅!$B$11:$B$310)),"")))=0,"",IF(16&lt;=COUNTA(半紙!$B$11:$B$310),INDEX(半紙!$K$11:$K$310,16),IF(16&lt;=COUNTA(半紙!$B$11:$B$310)+COUNTA(条幅!$B$11:$B$310),INDEX(条幅!$K$11:$K$310,16-COUNTA(半紙!$B$11:$B$310)),IF(16&lt;=COUNTA(半紙!$B$11:$B$310)+COUNTA(条幅!$B$11:$B$310)+COUNTA(条幅4分の1!$B$11:$B$310),INDEX(条幅4分の1!$K$11:$K$310,16-COUNTA(半紙!$B$11:$B$310)-COUNTA(条幅!$B$11:$B$310)),""))))</f>
        <v/>
      </c>
      <c r="L21" s="48" t="str">
        <f>IF($B21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16))</f>
        <v/>
      </c>
    </row>
    <row r="22" spans="1:12" ht="15" customHeight="1">
      <c r="A22" s="37" t="str">
        <f>IF(17&lt;=COUNTA(半紙!$B$11:$B$310),"半紙",IF(17&lt;=COUNTA(半紙!$B$11:$B$310)+COUNTA(条幅!$B$11:$B$310),"条幅(半切)",IF(17&lt;=COUNTA(半紙!$B$11:$B$310)+COUNTA(条幅!$B$11:$B$310)+COUNTA(条幅4分の1!$B$11:$B$310),"条幅(1/4)","")))</f>
        <v/>
      </c>
      <c r="B22" s="38" t="str">
        <f>IF(IF(17&lt;=COUNTA(半紙!$B$11:$B$310),INDEX(半紙!$B$11:$B$310,17),IF(17&lt;=COUNTA(半紙!$B$11:$B$310)+COUNTA(条幅!$B$11:$B$310),INDEX(条幅!$B$11:$B$310,17-COUNTA(半紙!$B$11:$B$310)),IF(17&lt;=COUNTA(半紙!$B$11:$B$310)+COUNTA(条幅!$B$11:$B$310)+COUNTA(条幅4分の1!$B$11:$B$310),INDEX(条幅4分の1!$B$11:$B$310,17-COUNTA(半紙!$B$11:$B$310)-COUNTA(条幅!$B$11:$B$310)),"")))=0,"",IF(17&lt;=COUNTA(半紙!$B$11:$B$310),INDEX(半紙!$B$11:$B$310,17),IF(17&lt;=COUNTA(半紙!$B$11:$B$310)+COUNTA(条幅!$B$11:$B$310),INDEX(条幅!$B$11:$B$310,17-COUNTA(半紙!$B$11:$B$310)),IF(17&lt;=COUNTA(半紙!$B$11:$B$310)+COUNTA(条幅!$B$11:$B$310)+COUNTA(条幅4分の1!$B$11:$B$310),INDEX(条幅4分の1!$B$11:$B$310,17-COUNTA(半紙!$B$11:$B$310)-COUNTA(条幅!$B$11:$B$310)),""))))</f>
        <v/>
      </c>
      <c r="C22" s="38" t="str">
        <f>IF(IF(17&lt;=COUNTA(半紙!$B$11:$B$310),INDEX(半紙!$C$11:$C$310,17),IF(17&lt;=COUNTA(半紙!$B$11:$B$310)+COUNTA(条幅!$B$11:$B$310),INDEX(条幅!$C$11:$C$310,17-COUNTA(半紙!$B$11:$B$310)),IF(17&lt;=COUNTA(半紙!$B$11:$B$310)+COUNTA(条幅!$B$11:$B$310)+COUNTA(条幅4分の1!$B$11:$B$310),INDEX(条幅4分の1!$C$11:$C$310,17-COUNTA(半紙!$B$11:$B$310)-COUNTA(条幅!$B$11:$B$310)),"")))=0,"",IF(17&lt;=COUNTA(半紙!$B$11:$B$310),INDEX(半紙!$C$11:$C$310,17),IF(17&lt;=COUNTA(半紙!$B$11:$B$310)+COUNTA(条幅!$B$11:$B$310),INDEX(条幅!$C$11:$C$310,17-COUNTA(半紙!$B$11:$B$310)),IF(17&lt;=COUNTA(半紙!$B$11:$B$310)+COUNTA(条幅!$B$11:$B$310)+COUNTA(条幅4分の1!$B$11:$B$310),INDEX(条幅4分の1!$C$11:$C$310,17-COUNTA(半紙!$B$11:$B$310)-COUNTA(条幅!$B$11:$B$310)),""))))</f>
        <v/>
      </c>
      <c r="D22" s="38" t="str">
        <f>IF(IF(17&lt;=COUNTA(半紙!$B$11:$B$310),INDEX(半紙!$D$11:$D$310,17),IF(17&lt;=COUNTA(半紙!$B$11:$B$310)+COUNTA(条幅!$B$11:$B$310),INDEX(条幅!$D$11:$D$310,17-COUNTA(半紙!$B$11:$B$310)),IF(17&lt;=COUNTA(半紙!$B$11:$B$310)+COUNTA(条幅!$B$11:$B$310)+COUNTA(条幅4分の1!$B$11:$B$310),INDEX(条幅4分の1!$D$11:$D$310,17-COUNTA(半紙!$B$11:$B$310)-COUNTA(条幅!$B$11:$B$310)),"")))=0,"",IF(17&lt;=COUNTA(半紙!$B$11:$B$310),INDEX(半紙!$D$11:$D$310,17),IF(17&lt;=COUNTA(半紙!$B$11:$B$310)+COUNTA(条幅!$B$11:$B$310),INDEX(条幅!$D$11:$D$310,17-COUNTA(半紙!$B$11:$B$310)),IF(17&lt;=COUNTA(半紙!$B$11:$B$310)+COUNTA(条幅!$B$11:$B$310)+COUNTA(条幅4分の1!$B$11:$B$310),INDEX(条幅4分の1!$D$11:$D$310,17-COUNTA(半紙!$B$11:$B$310)-COUNTA(条幅!$B$11:$B$310)),""))))</f>
        <v/>
      </c>
      <c r="E22" s="38" t="str">
        <f>IF(IF(17&lt;=COUNTA(半紙!$B$11:$B$310),INDEX(半紙!$E$11:$E$310,17),IF(17&lt;=COUNTA(半紙!$B$11:$B$310)+COUNTA(条幅!$B$11:$B$310),INDEX(条幅!$E$11:$E$310,17-COUNTA(半紙!$B$11:$B$310)),IF(17&lt;=COUNTA(半紙!$B$11:$B$310)+COUNTA(条幅!$B$11:$B$310)+COUNTA(条幅4分の1!$B$11:$B$310),INDEX(条幅4分の1!$E$11:$E$310,17-COUNTA(半紙!$B$11:$B$310)-COUNTA(条幅!$B$11:$B$310)),"")))=0,"",IF(17&lt;=COUNTA(半紙!$B$11:$B$310),INDEX(半紙!$E$11:$E$310,17),IF(17&lt;=COUNTA(半紙!$B$11:$B$310)+COUNTA(条幅!$B$11:$B$310),INDEX(条幅!$E$11:$E$310,17-COUNTA(半紙!$B$11:$B$310)),IF(17&lt;=COUNTA(半紙!$B$11:$B$310)+COUNTA(条幅!$B$11:$B$310)+COUNTA(条幅4分の1!$B$11:$B$310),INDEX(条幅4分の1!$E$11:$E$310,17-COUNTA(半紙!$B$11:$B$310)-COUNTA(条幅!$B$11:$B$310)),""))))</f>
        <v/>
      </c>
      <c r="F22" s="38" t="str">
        <f>IF(IF(17&lt;=COUNTA(半紙!$B$11:$B$310),INDEX(半紙!$F$11:$F$310,17),IF(17&lt;=COUNTA(半紙!$B$11:$B$310)+COUNTA(条幅!$B$11:$B$310),INDEX(条幅!$F$11:$F$310,17-COUNTA(半紙!$B$11:$B$310)),IF(17&lt;=COUNTA(半紙!$B$11:$B$310)+COUNTA(条幅!$B$11:$B$310)+COUNTA(条幅4分の1!$B$11:$B$310),INDEX(条幅4分の1!$F$11:$F$310,17-COUNTA(半紙!$B$11:$B$310)-COUNTA(条幅!$B$11:$B$310)),"")))=0,"",IF(17&lt;=COUNTA(半紙!$B$11:$B$310),INDEX(半紙!$F$11:$F$310,17),IF(17&lt;=COUNTA(半紙!$B$11:$B$310)+COUNTA(条幅!$B$11:$B$310),INDEX(条幅!$F$11:$F$310,17-COUNTA(半紙!$B$11:$B$310)),IF(17&lt;=COUNTA(半紙!$B$11:$B$310)+COUNTA(条幅!$B$11:$B$310)+COUNTA(条幅4分の1!$B$11:$B$310),INDEX(条幅4分の1!$F$11:$F$310,17-COUNTA(半紙!$B$11:$B$310)-COUNTA(条幅!$B$11:$B$310)),""))))</f>
        <v/>
      </c>
      <c r="G22" s="38" t="str">
        <f>IF(IF(17&lt;=COUNTA(半紙!$B$11:$B$310),INDEX(半紙!$G$11:$G$310,17),IF(17&lt;=COUNTA(半紙!$B$11:$B$310)+COUNTA(条幅!$B$11:$B$310),INDEX(条幅!$G$11:$G$310,17-COUNTA(半紙!$B$11:$B$310)),IF(17&lt;=COUNTA(半紙!$B$11:$B$310)+COUNTA(条幅!$B$11:$B$310)+COUNTA(条幅4分の1!$B$11:$B$310),INDEX(条幅4分の1!$G$11:$G$310,17-COUNTA(半紙!$B$11:$B$310)-COUNTA(条幅!$B$11:$B$310)),"")))=0,"",IF(17&lt;=COUNTA(半紙!$B$11:$B$310),INDEX(半紙!$G$11:$G$310,17),IF(17&lt;=COUNTA(半紙!$B$11:$B$310)+COUNTA(条幅!$B$11:$B$310),INDEX(条幅!$G$11:$G$310,17-COUNTA(半紙!$B$11:$B$310)),IF(17&lt;=COUNTA(半紙!$B$11:$B$310)+COUNTA(条幅!$B$11:$B$310)+COUNTA(条幅4分の1!$B$11:$B$310),INDEX(条幅4分の1!$G$11:$G$310,17-COUNTA(半紙!$B$11:$B$310)-COUNTA(条幅!$B$11:$B$310)),""))))</f>
        <v/>
      </c>
      <c r="H22" s="38" t="str">
        <f>IF(IF(17&lt;=COUNTA(半紙!$B$11:$B$310),INDEX(半紙!$H$11:$H$310,17),IF(17&lt;=COUNTA(半紙!$B$11:$B$310)+COUNTA(条幅!$B$11:$B$310),INDEX(条幅!$H$11:$H$310,17-COUNTA(半紙!$B$11:$B$310)),IF(17&lt;=COUNTA(半紙!$B$11:$B$310)+COUNTA(条幅!$B$11:$B$310)+COUNTA(条幅4分の1!$B$11:$B$310),INDEX(条幅4分の1!$H$11:$H$310,17-COUNTA(半紙!$B$11:$B$310)-COUNTA(条幅!$B$11:$B$310)),"")))=0,"",IF(17&lt;=COUNTA(半紙!$B$11:$B$310),INDEX(半紙!$H$11:$H$310,17),IF(17&lt;=COUNTA(半紙!$B$11:$B$310)+COUNTA(条幅!$B$11:$B$310),INDEX(条幅!$H$11:$H$310,17-COUNTA(半紙!$B$11:$B$310)),IF(17&lt;=COUNTA(半紙!$B$11:$B$310)+COUNTA(条幅!$B$11:$B$310)+COUNTA(条幅4分の1!$B$11:$B$310),INDEX(条幅4分の1!$H$11:$H$310,17-COUNTA(半紙!$B$11:$B$310)-COUNTA(条幅!$B$11:$B$310)),""))))</f>
        <v/>
      </c>
      <c r="I22" s="38" t="str">
        <f>IF(IF(17&lt;=COUNTA(半紙!$B$11:$B$310),INDEX(半紙!$I$11:$I$310,17),IF(17&lt;=COUNTA(半紙!$B$11:$B$310)+COUNTA(条幅!$B$11:$B$310),INDEX(条幅!$I$11:$I$310,17-COUNTA(半紙!$B$11:$B$310)),IF(17&lt;=COUNTA(半紙!$B$11:$B$310)+COUNTA(条幅!$B$11:$B$310)+COUNTA(条幅4分の1!$B$11:$B$310),INDEX(条幅4分の1!$I$11:$I$310,17-COUNTA(半紙!$B$11:$B$310)-COUNTA(条幅!$B$11:$B$310)),"")))=0,"",IF(17&lt;=COUNTA(半紙!$B$11:$B$310),INDEX(半紙!$I$11:$I$310,17),IF(17&lt;=COUNTA(半紙!$B$11:$B$310)+COUNTA(条幅!$B$11:$B$310),INDEX(条幅!$I$11:$I$310,17-COUNTA(半紙!$B$11:$B$310)),IF(17&lt;=COUNTA(半紙!$B$11:$B$310)+COUNTA(条幅!$B$11:$B$310)+COUNTA(条幅4分の1!$B$11:$B$310),INDEX(条幅4分の1!$I$11:$I$310,17-COUNTA(半紙!$B$11:$B$310)-COUNTA(条幅!$B$11:$B$310)),""))))</f>
        <v/>
      </c>
      <c r="J22" s="38" t="str">
        <f>IF(IF(17&lt;=COUNTA(半紙!$B$11:$B$310),INDEX(半紙!$J$11:$J$310,17),IF(17&lt;=COUNTA(半紙!$B$11:$B$310)+COUNTA(条幅!$B$11:$B$310),INDEX(条幅!$J$11:$J$310,17-COUNTA(半紙!$B$11:$B$310)),IF(17&lt;=COUNTA(半紙!$B$11:$B$310)+COUNTA(条幅!$B$11:$B$310)+COUNTA(条幅4分の1!$B$11:$B$310),INDEX(条幅4分の1!$J$11:$J$310,17-COUNTA(半紙!$B$11:$B$310)-COUNTA(条幅!$B$11:$B$310)),"")))=0,"",IF(17&lt;=COUNTA(半紙!$B$11:$B$310),INDEX(半紙!$J$11:$J$310,17),IF(17&lt;=COUNTA(半紙!$B$11:$B$310)+COUNTA(条幅!$B$11:$B$310),INDEX(条幅!$J$11:$J$310,17-COUNTA(半紙!$B$11:$B$310)),IF(17&lt;=COUNTA(半紙!$B$11:$B$310)+COUNTA(条幅!$B$11:$B$310)+COUNTA(条幅4分の1!$B$11:$B$310),INDEX(条幅4分の1!$J$11:$J$310,17-COUNTA(半紙!$B$11:$B$310)-COUNTA(条幅!$B$11:$B$310)),""))))</f>
        <v/>
      </c>
      <c r="K22" s="38" t="str">
        <f>IF(IF(17&lt;=COUNTA(半紙!$B$11:$B$310),INDEX(半紙!$K$11:$K$310,17),IF(17&lt;=COUNTA(半紙!$B$11:$B$310)+COUNTA(条幅!$B$11:$B$310),INDEX(条幅!$K$11:$K$310,17-COUNTA(半紙!$B$11:$B$310)),IF(17&lt;=COUNTA(半紙!$B$11:$B$310)+COUNTA(条幅!$B$11:$B$310)+COUNTA(条幅4分の1!$B$11:$B$310),INDEX(条幅4分の1!$K$11:$K$310,17-COUNTA(半紙!$B$11:$B$310)-COUNTA(条幅!$B$11:$B$310)),"")))=0,"",IF(17&lt;=COUNTA(半紙!$B$11:$B$310),INDEX(半紙!$K$11:$K$310,17),IF(17&lt;=COUNTA(半紙!$B$11:$B$310)+COUNTA(条幅!$B$11:$B$310),INDEX(条幅!$K$11:$K$310,17-COUNTA(半紙!$B$11:$B$310)),IF(17&lt;=COUNTA(半紙!$B$11:$B$310)+COUNTA(条幅!$B$11:$B$310)+COUNTA(条幅4分の1!$B$11:$B$310),INDEX(条幅4分の1!$K$11:$K$310,17-COUNTA(半紙!$B$11:$B$310)-COUNTA(条幅!$B$11:$B$310)),""))))</f>
        <v/>
      </c>
      <c r="L22" s="48" t="str">
        <f>IF($B22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17))</f>
        <v/>
      </c>
    </row>
    <row r="23" spans="1:12" ht="15" customHeight="1">
      <c r="A23" s="37" t="str">
        <f>IF(18&lt;=COUNTA(半紙!$B$11:$B$310),"半紙",IF(18&lt;=COUNTA(半紙!$B$11:$B$310)+COUNTA(条幅!$B$11:$B$310),"条幅(半切)",IF(18&lt;=COUNTA(半紙!$B$11:$B$310)+COUNTA(条幅!$B$11:$B$310)+COUNTA(条幅4分の1!$B$11:$B$310),"条幅(1/4)","")))</f>
        <v/>
      </c>
      <c r="B23" s="38" t="str">
        <f>IF(IF(18&lt;=COUNTA(半紙!$B$11:$B$310),INDEX(半紙!$B$11:$B$310,18),IF(18&lt;=COUNTA(半紙!$B$11:$B$310)+COUNTA(条幅!$B$11:$B$310),INDEX(条幅!$B$11:$B$310,18-COUNTA(半紙!$B$11:$B$310)),IF(18&lt;=COUNTA(半紙!$B$11:$B$310)+COUNTA(条幅!$B$11:$B$310)+COUNTA(条幅4分の1!$B$11:$B$310),INDEX(条幅4分の1!$B$11:$B$310,18-COUNTA(半紙!$B$11:$B$310)-COUNTA(条幅!$B$11:$B$310)),"")))=0,"",IF(18&lt;=COUNTA(半紙!$B$11:$B$310),INDEX(半紙!$B$11:$B$310,18),IF(18&lt;=COUNTA(半紙!$B$11:$B$310)+COUNTA(条幅!$B$11:$B$310),INDEX(条幅!$B$11:$B$310,18-COUNTA(半紙!$B$11:$B$310)),IF(18&lt;=COUNTA(半紙!$B$11:$B$310)+COUNTA(条幅!$B$11:$B$310)+COUNTA(条幅4分の1!$B$11:$B$310),INDEX(条幅4分の1!$B$11:$B$310,18-COUNTA(半紙!$B$11:$B$310)-COUNTA(条幅!$B$11:$B$310)),""))))</f>
        <v/>
      </c>
      <c r="C23" s="38" t="str">
        <f>IF(IF(18&lt;=COUNTA(半紙!$B$11:$B$310),INDEX(半紙!$C$11:$C$310,18),IF(18&lt;=COUNTA(半紙!$B$11:$B$310)+COUNTA(条幅!$B$11:$B$310),INDEX(条幅!$C$11:$C$310,18-COUNTA(半紙!$B$11:$B$310)),IF(18&lt;=COUNTA(半紙!$B$11:$B$310)+COUNTA(条幅!$B$11:$B$310)+COUNTA(条幅4分の1!$B$11:$B$310),INDEX(条幅4分の1!$C$11:$C$310,18-COUNTA(半紙!$B$11:$B$310)-COUNTA(条幅!$B$11:$B$310)),"")))=0,"",IF(18&lt;=COUNTA(半紙!$B$11:$B$310),INDEX(半紙!$C$11:$C$310,18),IF(18&lt;=COUNTA(半紙!$B$11:$B$310)+COUNTA(条幅!$B$11:$B$310),INDEX(条幅!$C$11:$C$310,18-COUNTA(半紙!$B$11:$B$310)),IF(18&lt;=COUNTA(半紙!$B$11:$B$310)+COUNTA(条幅!$B$11:$B$310)+COUNTA(条幅4分の1!$B$11:$B$310),INDEX(条幅4分の1!$C$11:$C$310,18-COUNTA(半紙!$B$11:$B$310)-COUNTA(条幅!$B$11:$B$310)),""))))</f>
        <v/>
      </c>
      <c r="D23" s="38" t="str">
        <f>IF(IF(18&lt;=COUNTA(半紙!$B$11:$B$310),INDEX(半紙!$D$11:$D$310,18),IF(18&lt;=COUNTA(半紙!$B$11:$B$310)+COUNTA(条幅!$B$11:$B$310),INDEX(条幅!$D$11:$D$310,18-COUNTA(半紙!$B$11:$B$310)),IF(18&lt;=COUNTA(半紙!$B$11:$B$310)+COUNTA(条幅!$B$11:$B$310)+COUNTA(条幅4分の1!$B$11:$B$310),INDEX(条幅4分の1!$D$11:$D$310,18-COUNTA(半紙!$B$11:$B$310)-COUNTA(条幅!$B$11:$B$310)),"")))=0,"",IF(18&lt;=COUNTA(半紙!$B$11:$B$310),INDEX(半紙!$D$11:$D$310,18),IF(18&lt;=COUNTA(半紙!$B$11:$B$310)+COUNTA(条幅!$B$11:$B$310),INDEX(条幅!$D$11:$D$310,18-COUNTA(半紙!$B$11:$B$310)),IF(18&lt;=COUNTA(半紙!$B$11:$B$310)+COUNTA(条幅!$B$11:$B$310)+COUNTA(条幅4分の1!$B$11:$B$310),INDEX(条幅4分の1!$D$11:$D$310,18-COUNTA(半紙!$B$11:$B$310)-COUNTA(条幅!$B$11:$B$310)),""))))</f>
        <v/>
      </c>
      <c r="E23" s="38" t="str">
        <f>IF(IF(18&lt;=COUNTA(半紙!$B$11:$B$310),INDEX(半紙!$E$11:$E$310,18),IF(18&lt;=COUNTA(半紙!$B$11:$B$310)+COUNTA(条幅!$B$11:$B$310),INDEX(条幅!$E$11:$E$310,18-COUNTA(半紙!$B$11:$B$310)),IF(18&lt;=COUNTA(半紙!$B$11:$B$310)+COUNTA(条幅!$B$11:$B$310)+COUNTA(条幅4分の1!$B$11:$B$310),INDEX(条幅4分の1!$E$11:$E$310,18-COUNTA(半紙!$B$11:$B$310)-COUNTA(条幅!$B$11:$B$310)),"")))=0,"",IF(18&lt;=COUNTA(半紙!$B$11:$B$310),INDEX(半紙!$E$11:$E$310,18),IF(18&lt;=COUNTA(半紙!$B$11:$B$310)+COUNTA(条幅!$B$11:$B$310),INDEX(条幅!$E$11:$E$310,18-COUNTA(半紙!$B$11:$B$310)),IF(18&lt;=COUNTA(半紙!$B$11:$B$310)+COUNTA(条幅!$B$11:$B$310)+COUNTA(条幅4分の1!$B$11:$B$310),INDEX(条幅4分の1!$E$11:$E$310,18-COUNTA(半紙!$B$11:$B$310)-COUNTA(条幅!$B$11:$B$310)),""))))</f>
        <v/>
      </c>
      <c r="F23" s="38" t="str">
        <f>IF(IF(18&lt;=COUNTA(半紙!$B$11:$B$310),INDEX(半紙!$F$11:$F$310,18),IF(18&lt;=COUNTA(半紙!$B$11:$B$310)+COUNTA(条幅!$B$11:$B$310),INDEX(条幅!$F$11:$F$310,18-COUNTA(半紙!$B$11:$B$310)),IF(18&lt;=COUNTA(半紙!$B$11:$B$310)+COUNTA(条幅!$B$11:$B$310)+COUNTA(条幅4分の1!$B$11:$B$310),INDEX(条幅4分の1!$F$11:$F$310,18-COUNTA(半紙!$B$11:$B$310)-COUNTA(条幅!$B$11:$B$310)),"")))=0,"",IF(18&lt;=COUNTA(半紙!$B$11:$B$310),INDEX(半紙!$F$11:$F$310,18),IF(18&lt;=COUNTA(半紙!$B$11:$B$310)+COUNTA(条幅!$B$11:$B$310),INDEX(条幅!$F$11:$F$310,18-COUNTA(半紙!$B$11:$B$310)),IF(18&lt;=COUNTA(半紙!$B$11:$B$310)+COUNTA(条幅!$B$11:$B$310)+COUNTA(条幅4分の1!$B$11:$B$310),INDEX(条幅4分の1!$F$11:$F$310,18-COUNTA(半紙!$B$11:$B$310)-COUNTA(条幅!$B$11:$B$310)),""))))</f>
        <v/>
      </c>
      <c r="G23" s="38" t="str">
        <f>IF(IF(18&lt;=COUNTA(半紙!$B$11:$B$310),INDEX(半紙!$G$11:$G$310,18),IF(18&lt;=COUNTA(半紙!$B$11:$B$310)+COUNTA(条幅!$B$11:$B$310),INDEX(条幅!$G$11:$G$310,18-COUNTA(半紙!$B$11:$B$310)),IF(18&lt;=COUNTA(半紙!$B$11:$B$310)+COUNTA(条幅!$B$11:$B$310)+COUNTA(条幅4分の1!$B$11:$B$310),INDEX(条幅4分の1!$G$11:$G$310,18-COUNTA(半紙!$B$11:$B$310)-COUNTA(条幅!$B$11:$B$310)),"")))=0,"",IF(18&lt;=COUNTA(半紙!$B$11:$B$310),INDEX(半紙!$G$11:$G$310,18),IF(18&lt;=COUNTA(半紙!$B$11:$B$310)+COUNTA(条幅!$B$11:$B$310),INDEX(条幅!$G$11:$G$310,18-COUNTA(半紙!$B$11:$B$310)),IF(18&lt;=COUNTA(半紙!$B$11:$B$310)+COUNTA(条幅!$B$11:$B$310)+COUNTA(条幅4分の1!$B$11:$B$310),INDEX(条幅4分の1!$G$11:$G$310,18-COUNTA(半紙!$B$11:$B$310)-COUNTA(条幅!$B$11:$B$310)),""))))</f>
        <v/>
      </c>
      <c r="H23" s="38" t="str">
        <f>IF(IF(18&lt;=COUNTA(半紙!$B$11:$B$310),INDEX(半紙!$H$11:$H$310,18),IF(18&lt;=COUNTA(半紙!$B$11:$B$310)+COUNTA(条幅!$B$11:$B$310),INDEX(条幅!$H$11:$H$310,18-COUNTA(半紙!$B$11:$B$310)),IF(18&lt;=COUNTA(半紙!$B$11:$B$310)+COUNTA(条幅!$B$11:$B$310)+COUNTA(条幅4分の1!$B$11:$B$310),INDEX(条幅4分の1!$H$11:$H$310,18-COUNTA(半紙!$B$11:$B$310)-COUNTA(条幅!$B$11:$B$310)),"")))=0,"",IF(18&lt;=COUNTA(半紙!$B$11:$B$310),INDEX(半紙!$H$11:$H$310,18),IF(18&lt;=COUNTA(半紙!$B$11:$B$310)+COUNTA(条幅!$B$11:$B$310),INDEX(条幅!$H$11:$H$310,18-COUNTA(半紙!$B$11:$B$310)),IF(18&lt;=COUNTA(半紙!$B$11:$B$310)+COUNTA(条幅!$B$11:$B$310)+COUNTA(条幅4分の1!$B$11:$B$310),INDEX(条幅4分の1!$H$11:$H$310,18-COUNTA(半紙!$B$11:$B$310)-COUNTA(条幅!$B$11:$B$310)),""))))</f>
        <v/>
      </c>
      <c r="I23" s="38" t="str">
        <f>IF(IF(18&lt;=COUNTA(半紙!$B$11:$B$310),INDEX(半紙!$I$11:$I$310,18),IF(18&lt;=COUNTA(半紙!$B$11:$B$310)+COUNTA(条幅!$B$11:$B$310),INDEX(条幅!$I$11:$I$310,18-COUNTA(半紙!$B$11:$B$310)),IF(18&lt;=COUNTA(半紙!$B$11:$B$310)+COUNTA(条幅!$B$11:$B$310)+COUNTA(条幅4分の1!$B$11:$B$310),INDEX(条幅4分の1!$I$11:$I$310,18-COUNTA(半紙!$B$11:$B$310)-COUNTA(条幅!$B$11:$B$310)),"")))=0,"",IF(18&lt;=COUNTA(半紙!$B$11:$B$310),INDEX(半紙!$I$11:$I$310,18),IF(18&lt;=COUNTA(半紙!$B$11:$B$310)+COUNTA(条幅!$B$11:$B$310),INDEX(条幅!$I$11:$I$310,18-COUNTA(半紙!$B$11:$B$310)),IF(18&lt;=COUNTA(半紙!$B$11:$B$310)+COUNTA(条幅!$B$11:$B$310)+COUNTA(条幅4分の1!$B$11:$B$310),INDEX(条幅4分の1!$I$11:$I$310,18-COUNTA(半紙!$B$11:$B$310)-COUNTA(条幅!$B$11:$B$310)),""))))</f>
        <v/>
      </c>
      <c r="J23" s="38" t="str">
        <f>IF(IF(18&lt;=COUNTA(半紙!$B$11:$B$310),INDEX(半紙!$J$11:$J$310,18),IF(18&lt;=COUNTA(半紙!$B$11:$B$310)+COUNTA(条幅!$B$11:$B$310),INDEX(条幅!$J$11:$J$310,18-COUNTA(半紙!$B$11:$B$310)),IF(18&lt;=COUNTA(半紙!$B$11:$B$310)+COUNTA(条幅!$B$11:$B$310)+COUNTA(条幅4分の1!$B$11:$B$310),INDEX(条幅4分の1!$J$11:$J$310,18-COUNTA(半紙!$B$11:$B$310)-COUNTA(条幅!$B$11:$B$310)),"")))=0,"",IF(18&lt;=COUNTA(半紙!$B$11:$B$310),INDEX(半紙!$J$11:$J$310,18),IF(18&lt;=COUNTA(半紙!$B$11:$B$310)+COUNTA(条幅!$B$11:$B$310),INDEX(条幅!$J$11:$J$310,18-COUNTA(半紙!$B$11:$B$310)),IF(18&lt;=COUNTA(半紙!$B$11:$B$310)+COUNTA(条幅!$B$11:$B$310)+COUNTA(条幅4分の1!$B$11:$B$310),INDEX(条幅4分の1!$J$11:$J$310,18-COUNTA(半紙!$B$11:$B$310)-COUNTA(条幅!$B$11:$B$310)),""))))</f>
        <v/>
      </c>
      <c r="K23" s="38" t="str">
        <f>IF(IF(18&lt;=COUNTA(半紙!$B$11:$B$310),INDEX(半紙!$K$11:$K$310,18),IF(18&lt;=COUNTA(半紙!$B$11:$B$310)+COUNTA(条幅!$B$11:$B$310),INDEX(条幅!$K$11:$K$310,18-COUNTA(半紙!$B$11:$B$310)),IF(18&lt;=COUNTA(半紙!$B$11:$B$310)+COUNTA(条幅!$B$11:$B$310)+COUNTA(条幅4分の1!$B$11:$B$310),INDEX(条幅4分の1!$K$11:$K$310,18-COUNTA(半紙!$B$11:$B$310)-COUNTA(条幅!$B$11:$B$310)),"")))=0,"",IF(18&lt;=COUNTA(半紙!$B$11:$B$310),INDEX(半紙!$K$11:$K$310,18),IF(18&lt;=COUNTA(半紙!$B$11:$B$310)+COUNTA(条幅!$B$11:$B$310),INDEX(条幅!$K$11:$K$310,18-COUNTA(半紙!$B$11:$B$310)),IF(18&lt;=COUNTA(半紙!$B$11:$B$310)+COUNTA(条幅!$B$11:$B$310)+COUNTA(条幅4分の1!$B$11:$B$310),INDEX(条幅4分の1!$K$11:$K$310,18-COUNTA(半紙!$B$11:$B$310)-COUNTA(条幅!$B$11:$B$310)),""))))</f>
        <v/>
      </c>
      <c r="L23" s="48" t="str">
        <f>IF($B23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18))</f>
        <v/>
      </c>
    </row>
    <row r="24" spans="1:12" ht="15" customHeight="1">
      <c r="A24" s="37" t="str">
        <f>IF(19&lt;=COUNTA(半紙!$B$11:$B$310),"半紙",IF(19&lt;=COUNTA(半紙!$B$11:$B$310)+COUNTA(条幅!$B$11:$B$310),"条幅(半切)",IF(19&lt;=COUNTA(半紙!$B$11:$B$310)+COUNTA(条幅!$B$11:$B$310)+COUNTA(条幅4分の1!$B$11:$B$310),"条幅(1/4)","")))</f>
        <v/>
      </c>
      <c r="B24" s="38" t="str">
        <f>IF(IF(19&lt;=COUNTA(半紙!$B$11:$B$310),INDEX(半紙!$B$11:$B$310,19),IF(19&lt;=COUNTA(半紙!$B$11:$B$310)+COUNTA(条幅!$B$11:$B$310),INDEX(条幅!$B$11:$B$310,19-COUNTA(半紙!$B$11:$B$310)),IF(19&lt;=COUNTA(半紙!$B$11:$B$310)+COUNTA(条幅!$B$11:$B$310)+COUNTA(条幅4分の1!$B$11:$B$310),INDEX(条幅4分の1!$B$11:$B$310,19-COUNTA(半紙!$B$11:$B$310)-COUNTA(条幅!$B$11:$B$310)),"")))=0,"",IF(19&lt;=COUNTA(半紙!$B$11:$B$310),INDEX(半紙!$B$11:$B$310,19),IF(19&lt;=COUNTA(半紙!$B$11:$B$310)+COUNTA(条幅!$B$11:$B$310),INDEX(条幅!$B$11:$B$310,19-COUNTA(半紙!$B$11:$B$310)),IF(19&lt;=COUNTA(半紙!$B$11:$B$310)+COUNTA(条幅!$B$11:$B$310)+COUNTA(条幅4分の1!$B$11:$B$310),INDEX(条幅4分の1!$B$11:$B$310,19-COUNTA(半紙!$B$11:$B$310)-COUNTA(条幅!$B$11:$B$310)),""))))</f>
        <v/>
      </c>
      <c r="C24" s="38" t="str">
        <f>IF(IF(19&lt;=COUNTA(半紙!$B$11:$B$310),INDEX(半紙!$C$11:$C$310,19),IF(19&lt;=COUNTA(半紙!$B$11:$B$310)+COUNTA(条幅!$B$11:$B$310),INDEX(条幅!$C$11:$C$310,19-COUNTA(半紙!$B$11:$B$310)),IF(19&lt;=COUNTA(半紙!$B$11:$B$310)+COUNTA(条幅!$B$11:$B$310)+COUNTA(条幅4分の1!$B$11:$B$310),INDEX(条幅4分の1!$C$11:$C$310,19-COUNTA(半紙!$B$11:$B$310)-COUNTA(条幅!$B$11:$B$310)),"")))=0,"",IF(19&lt;=COUNTA(半紙!$B$11:$B$310),INDEX(半紙!$C$11:$C$310,19),IF(19&lt;=COUNTA(半紙!$B$11:$B$310)+COUNTA(条幅!$B$11:$B$310),INDEX(条幅!$C$11:$C$310,19-COUNTA(半紙!$B$11:$B$310)),IF(19&lt;=COUNTA(半紙!$B$11:$B$310)+COUNTA(条幅!$B$11:$B$310)+COUNTA(条幅4分の1!$B$11:$B$310),INDEX(条幅4分の1!$C$11:$C$310,19-COUNTA(半紙!$B$11:$B$310)-COUNTA(条幅!$B$11:$B$310)),""))))</f>
        <v/>
      </c>
      <c r="D24" s="38" t="str">
        <f>IF(IF(19&lt;=COUNTA(半紙!$B$11:$B$310),INDEX(半紙!$D$11:$D$310,19),IF(19&lt;=COUNTA(半紙!$B$11:$B$310)+COUNTA(条幅!$B$11:$B$310),INDEX(条幅!$D$11:$D$310,19-COUNTA(半紙!$B$11:$B$310)),IF(19&lt;=COUNTA(半紙!$B$11:$B$310)+COUNTA(条幅!$B$11:$B$310)+COUNTA(条幅4分の1!$B$11:$B$310),INDEX(条幅4分の1!$D$11:$D$310,19-COUNTA(半紙!$B$11:$B$310)-COUNTA(条幅!$B$11:$B$310)),"")))=0,"",IF(19&lt;=COUNTA(半紙!$B$11:$B$310),INDEX(半紙!$D$11:$D$310,19),IF(19&lt;=COUNTA(半紙!$B$11:$B$310)+COUNTA(条幅!$B$11:$B$310),INDEX(条幅!$D$11:$D$310,19-COUNTA(半紙!$B$11:$B$310)),IF(19&lt;=COUNTA(半紙!$B$11:$B$310)+COUNTA(条幅!$B$11:$B$310)+COUNTA(条幅4分の1!$B$11:$B$310),INDEX(条幅4分の1!$D$11:$D$310,19-COUNTA(半紙!$B$11:$B$310)-COUNTA(条幅!$B$11:$B$310)),""))))</f>
        <v/>
      </c>
      <c r="E24" s="38" t="str">
        <f>IF(IF(19&lt;=COUNTA(半紙!$B$11:$B$310),INDEX(半紙!$E$11:$E$310,19),IF(19&lt;=COUNTA(半紙!$B$11:$B$310)+COUNTA(条幅!$B$11:$B$310),INDEX(条幅!$E$11:$E$310,19-COUNTA(半紙!$B$11:$B$310)),IF(19&lt;=COUNTA(半紙!$B$11:$B$310)+COUNTA(条幅!$B$11:$B$310)+COUNTA(条幅4分の1!$B$11:$B$310),INDEX(条幅4分の1!$E$11:$E$310,19-COUNTA(半紙!$B$11:$B$310)-COUNTA(条幅!$B$11:$B$310)),"")))=0,"",IF(19&lt;=COUNTA(半紙!$B$11:$B$310),INDEX(半紙!$E$11:$E$310,19),IF(19&lt;=COUNTA(半紙!$B$11:$B$310)+COUNTA(条幅!$B$11:$B$310),INDEX(条幅!$E$11:$E$310,19-COUNTA(半紙!$B$11:$B$310)),IF(19&lt;=COUNTA(半紙!$B$11:$B$310)+COUNTA(条幅!$B$11:$B$310)+COUNTA(条幅4分の1!$B$11:$B$310),INDEX(条幅4分の1!$E$11:$E$310,19-COUNTA(半紙!$B$11:$B$310)-COUNTA(条幅!$B$11:$B$310)),""))))</f>
        <v/>
      </c>
      <c r="F24" s="38" t="str">
        <f>IF(IF(19&lt;=COUNTA(半紙!$B$11:$B$310),INDEX(半紙!$F$11:$F$310,19),IF(19&lt;=COUNTA(半紙!$B$11:$B$310)+COUNTA(条幅!$B$11:$B$310),INDEX(条幅!$F$11:$F$310,19-COUNTA(半紙!$B$11:$B$310)),IF(19&lt;=COUNTA(半紙!$B$11:$B$310)+COUNTA(条幅!$B$11:$B$310)+COUNTA(条幅4分の1!$B$11:$B$310),INDEX(条幅4分の1!$F$11:$F$310,19-COUNTA(半紙!$B$11:$B$310)-COUNTA(条幅!$B$11:$B$310)),"")))=0,"",IF(19&lt;=COUNTA(半紙!$B$11:$B$310),INDEX(半紙!$F$11:$F$310,19),IF(19&lt;=COUNTA(半紙!$B$11:$B$310)+COUNTA(条幅!$B$11:$B$310),INDEX(条幅!$F$11:$F$310,19-COUNTA(半紙!$B$11:$B$310)),IF(19&lt;=COUNTA(半紙!$B$11:$B$310)+COUNTA(条幅!$B$11:$B$310)+COUNTA(条幅4分の1!$B$11:$B$310),INDEX(条幅4分の1!$F$11:$F$310,19-COUNTA(半紙!$B$11:$B$310)-COUNTA(条幅!$B$11:$B$310)),""))))</f>
        <v/>
      </c>
      <c r="G24" s="38" t="str">
        <f>IF(IF(19&lt;=COUNTA(半紙!$B$11:$B$310),INDEX(半紙!$G$11:$G$310,19),IF(19&lt;=COUNTA(半紙!$B$11:$B$310)+COUNTA(条幅!$B$11:$B$310),INDEX(条幅!$G$11:$G$310,19-COUNTA(半紙!$B$11:$B$310)),IF(19&lt;=COUNTA(半紙!$B$11:$B$310)+COUNTA(条幅!$B$11:$B$310)+COUNTA(条幅4分の1!$B$11:$B$310),INDEX(条幅4分の1!$G$11:$G$310,19-COUNTA(半紙!$B$11:$B$310)-COUNTA(条幅!$B$11:$B$310)),"")))=0,"",IF(19&lt;=COUNTA(半紙!$B$11:$B$310),INDEX(半紙!$G$11:$G$310,19),IF(19&lt;=COUNTA(半紙!$B$11:$B$310)+COUNTA(条幅!$B$11:$B$310),INDEX(条幅!$G$11:$G$310,19-COUNTA(半紙!$B$11:$B$310)),IF(19&lt;=COUNTA(半紙!$B$11:$B$310)+COUNTA(条幅!$B$11:$B$310)+COUNTA(条幅4分の1!$B$11:$B$310),INDEX(条幅4分の1!$G$11:$G$310,19-COUNTA(半紙!$B$11:$B$310)-COUNTA(条幅!$B$11:$B$310)),""))))</f>
        <v/>
      </c>
      <c r="H24" s="38" t="str">
        <f>IF(IF(19&lt;=COUNTA(半紙!$B$11:$B$310),INDEX(半紙!$H$11:$H$310,19),IF(19&lt;=COUNTA(半紙!$B$11:$B$310)+COUNTA(条幅!$B$11:$B$310),INDEX(条幅!$H$11:$H$310,19-COUNTA(半紙!$B$11:$B$310)),IF(19&lt;=COUNTA(半紙!$B$11:$B$310)+COUNTA(条幅!$B$11:$B$310)+COUNTA(条幅4分の1!$B$11:$B$310),INDEX(条幅4分の1!$H$11:$H$310,19-COUNTA(半紙!$B$11:$B$310)-COUNTA(条幅!$B$11:$B$310)),"")))=0,"",IF(19&lt;=COUNTA(半紙!$B$11:$B$310),INDEX(半紙!$H$11:$H$310,19),IF(19&lt;=COUNTA(半紙!$B$11:$B$310)+COUNTA(条幅!$B$11:$B$310),INDEX(条幅!$H$11:$H$310,19-COUNTA(半紙!$B$11:$B$310)),IF(19&lt;=COUNTA(半紙!$B$11:$B$310)+COUNTA(条幅!$B$11:$B$310)+COUNTA(条幅4分の1!$B$11:$B$310),INDEX(条幅4分の1!$H$11:$H$310,19-COUNTA(半紙!$B$11:$B$310)-COUNTA(条幅!$B$11:$B$310)),""))))</f>
        <v/>
      </c>
      <c r="I24" s="38" t="str">
        <f>IF(IF(19&lt;=COUNTA(半紙!$B$11:$B$310),INDEX(半紙!$I$11:$I$310,19),IF(19&lt;=COUNTA(半紙!$B$11:$B$310)+COUNTA(条幅!$B$11:$B$310),INDEX(条幅!$I$11:$I$310,19-COUNTA(半紙!$B$11:$B$310)),IF(19&lt;=COUNTA(半紙!$B$11:$B$310)+COUNTA(条幅!$B$11:$B$310)+COUNTA(条幅4分の1!$B$11:$B$310),INDEX(条幅4分の1!$I$11:$I$310,19-COUNTA(半紙!$B$11:$B$310)-COUNTA(条幅!$B$11:$B$310)),"")))=0,"",IF(19&lt;=COUNTA(半紙!$B$11:$B$310),INDEX(半紙!$I$11:$I$310,19),IF(19&lt;=COUNTA(半紙!$B$11:$B$310)+COUNTA(条幅!$B$11:$B$310),INDEX(条幅!$I$11:$I$310,19-COUNTA(半紙!$B$11:$B$310)),IF(19&lt;=COUNTA(半紙!$B$11:$B$310)+COUNTA(条幅!$B$11:$B$310)+COUNTA(条幅4分の1!$B$11:$B$310),INDEX(条幅4分の1!$I$11:$I$310,19-COUNTA(半紙!$B$11:$B$310)-COUNTA(条幅!$B$11:$B$310)),""))))</f>
        <v/>
      </c>
      <c r="J24" s="38" t="str">
        <f>IF(IF(19&lt;=COUNTA(半紙!$B$11:$B$310),INDEX(半紙!$J$11:$J$310,19),IF(19&lt;=COUNTA(半紙!$B$11:$B$310)+COUNTA(条幅!$B$11:$B$310),INDEX(条幅!$J$11:$J$310,19-COUNTA(半紙!$B$11:$B$310)),IF(19&lt;=COUNTA(半紙!$B$11:$B$310)+COUNTA(条幅!$B$11:$B$310)+COUNTA(条幅4分の1!$B$11:$B$310),INDEX(条幅4分の1!$J$11:$J$310,19-COUNTA(半紙!$B$11:$B$310)-COUNTA(条幅!$B$11:$B$310)),"")))=0,"",IF(19&lt;=COUNTA(半紙!$B$11:$B$310),INDEX(半紙!$J$11:$J$310,19),IF(19&lt;=COUNTA(半紙!$B$11:$B$310)+COUNTA(条幅!$B$11:$B$310),INDEX(条幅!$J$11:$J$310,19-COUNTA(半紙!$B$11:$B$310)),IF(19&lt;=COUNTA(半紙!$B$11:$B$310)+COUNTA(条幅!$B$11:$B$310)+COUNTA(条幅4分の1!$B$11:$B$310),INDEX(条幅4分の1!$J$11:$J$310,19-COUNTA(半紙!$B$11:$B$310)-COUNTA(条幅!$B$11:$B$310)),""))))</f>
        <v/>
      </c>
      <c r="K24" s="38" t="str">
        <f>IF(IF(19&lt;=COUNTA(半紙!$B$11:$B$310),INDEX(半紙!$K$11:$K$310,19),IF(19&lt;=COUNTA(半紙!$B$11:$B$310)+COUNTA(条幅!$B$11:$B$310),INDEX(条幅!$K$11:$K$310,19-COUNTA(半紙!$B$11:$B$310)),IF(19&lt;=COUNTA(半紙!$B$11:$B$310)+COUNTA(条幅!$B$11:$B$310)+COUNTA(条幅4分の1!$B$11:$B$310),INDEX(条幅4分の1!$K$11:$K$310,19-COUNTA(半紙!$B$11:$B$310)-COUNTA(条幅!$B$11:$B$310)),"")))=0,"",IF(19&lt;=COUNTA(半紙!$B$11:$B$310),INDEX(半紙!$K$11:$K$310,19),IF(19&lt;=COUNTA(半紙!$B$11:$B$310)+COUNTA(条幅!$B$11:$B$310),INDEX(条幅!$K$11:$K$310,19-COUNTA(半紙!$B$11:$B$310)),IF(19&lt;=COUNTA(半紙!$B$11:$B$310)+COUNTA(条幅!$B$11:$B$310)+COUNTA(条幅4分の1!$B$11:$B$310),INDEX(条幅4分の1!$K$11:$K$310,19-COUNTA(半紙!$B$11:$B$310)-COUNTA(条幅!$B$11:$B$310)),""))))</f>
        <v/>
      </c>
      <c r="L24" s="48" t="str">
        <f>IF($B24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19))</f>
        <v/>
      </c>
    </row>
    <row r="25" spans="1:12" ht="15" customHeight="1">
      <c r="A25" s="37" t="str">
        <f>IF(20&lt;=COUNTA(半紙!$B$11:$B$310),"半紙",IF(20&lt;=COUNTA(半紙!$B$11:$B$310)+COUNTA(条幅!$B$11:$B$310),"条幅(半切)",IF(20&lt;=COUNTA(半紙!$B$11:$B$310)+COUNTA(条幅!$B$11:$B$310)+COUNTA(条幅4分の1!$B$11:$B$310),"条幅(1/4)","")))</f>
        <v/>
      </c>
      <c r="B25" s="38" t="str">
        <f>IF(IF(20&lt;=COUNTA(半紙!$B$11:$B$310),INDEX(半紙!$B$11:$B$310,20),IF(20&lt;=COUNTA(半紙!$B$11:$B$310)+COUNTA(条幅!$B$11:$B$310),INDEX(条幅!$B$11:$B$310,20-COUNTA(半紙!$B$11:$B$310)),IF(20&lt;=COUNTA(半紙!$B$11:$B$310)+COUNTA(条幅!$B$11:$B$310)+COUNTA(条幅4分の1!$B$11:$B$310),INDEX(条幅4分の1!$B$11:$B$310,20-COUNTA(半紙!$B$11:$B$310)-COUNTA(条幅!$B$11:$B$310)),"")))=0,"",IF(20&lt;=COUNTA(半紙!$B$11:$B$310),INDEX(半紙!$B$11:$B$310,20),IF(20&lt;=COUNTA(半紙!$B$11:$B$310)+COUNTA(条幅!$B$11:$B$310),INDEX(条幅!$B$11:$B$310,20-COUNTA(半紙!$B$11:$B$310)),IF(20&lt;=COUNTA(半紙!$B$11:$B$310)+COUNTA(条幅!$B$11:$B$310)+COUNTA(条幅4分の1!$B$11:$B$310),INDEX(条幅4分の1!$B$11:$B$310,20-COUNTA(半紙!$B$11:$B$310)-COUNTA(条幅!$B$11:$B$310)),""))))</f>
        <v/>
      </c>
      <c r="C25" s="38" t="str">
        <f>IF(IF(20&lt;=COUNTA(半紙!$B$11:$B$310),INDEX(半紙!$C$11:$C$310,20),IF(20&lt;=COUNTA(半紙!$B$11:$B$310)+COUNTA(条幅!$B$11:$B$310),INDEX(条幅!$C$11:$C$310,20-COUNTA(半紙!$B$11:$B$310)),IF(20&lt;=COUNTA(半紙!$B$11:$B$310)+COUNTA(条幅!$B$11:$B$310)+COUNTA(条幅4分の1!$B$11:$B$310),INDEX(条幅4分の1!$C$11:$C$310,20-COUNTA(半紙!$B$11:$B$310)-COUNTA(条幅!$B$11:$B$310)),"")))=0,"",IF(20&lt;=COUNTA(半紙!$B$11:$B$310),INDEX(半紙!$C$11:$C$310,20),IF(20&lt;=COUNTA(半紙!$B$11:$B$310)+COUNTA(条幅!$B$11:$B$310),INDEX(条幅!$C$11:$C$310,20-COUNTA(半紙!$B$11:$B$310)),IF(20&lt;=COUNTA(半紙!$B$11:$B$310)+COUNTA(条幅!$B$11:$B$310)+COUNTA(条幅4分の1!$B$11:$B$310),INDEX(条幅4分の1!$C$11:$C$310,20-COUNTA(半紙!$B$11:$B$310)-COUNTA(条幅!$B$11:$B$310)),""))))</f>
        <v/>
      </c>
      <c r="D25" s="38" t="str">
        <f>IF(IF(20&lt;=COUNTA(半紙!$B$11:$B$310),INDEX(半紙!$D$11:$D$310,20),IF(20&lt;=COUNTA(半紙!$B$11:$B$310)+COUNTA(条幅!$B$11:$B$310),INDEX(条幅!$D$11:$D$310,20-COUNTA(半紙!$B$11:$B$310)),IF(20&lt;=COUNTA(半紙!$B$11:$B$310)+COUNTA(条幅!$B$11:$B$310)+COUNTA(条幅4分の1!$B$11:$B$310),INDEX(条幅4分の1!$D$11:$D$310,20-COUNTA(半紙!$B$11:$B$310)-COUNTA(条幅!$B$11:$B$310)),"")))=0,"",IF(20&lt;=COUNTA(半紙!$B$11:$B$310),INDEX(半紙!$D$11:$D$310,20),IF(20&lt;=COUNTA(半紙!$B$11:$B$310)+COUNTA(条幅!$B$11:$B$310),INDEX(条幅!$D$11:$D$310,20-COUNTA(半紙!$B$11:$B$310)),IF(20&lt;=COUNTA(半紙!$B$11:$B$310)+COUNTA(条幅!$B$11:$B$310)+COUNTA(条幅4分の1!$B$11:$B$310),INDEX(条幅4分の1!$D$11:$D$310,20-COUNTA(半紙!$B$11:$B$310)-COUNTA(条幅!$B$11:$B$310)),""))))</f>
        <v/>
      </c>
      <c r="E25" s="38" t="str">
        <f>IF(IF(20&lt;=COUNTA(半紙!$B$11:$B$310),INDEX(半紙!$E$11:$E$310,20),IF(20&lt;=COUNTA(半紙!$B$11:$B$310)+COUNTA(条幅!$B$11:$B$310),INDEX(条幅!$E$11:$E$310,20-COUNTA(半紙!$B$11:$B$310)),IF(20&lt;=COUNTA(半紙!$B$11:$B$310)+COUNTA(条幅!$B$11:$B$310)+COUNTA(条幅4分の1!$B$11:$B$310),INDEX(条幅4分の1!$E$11:$E$310,20-COUNTA(半紙!$B$11:$B$310)-COUNTA(条幅!$B$11:$B$310)),"")))=0,"",IF(20&lt;=COUNTA(半紙!$B$11:$B$310),INDEX(半紙!$E$11:$E$310,20),IF(20&lt;=COUNTA(半紙!$B$11:$B$310)+COUNTA(条幅!$B$11:$B$310),INDEX(条幅!$E$11:$E$310,20-COUNTA(半紙!$B$11:$B$310)),IF(20&lt;=COUNTA(半紙!$B$11:$B$310)+COUNTA(条幅!$B$11:$B$310)+COUNTA(条幅4分の1!$B$11:$B$310),INDEX(条幅4分の1!$E$11:$E$310,20-COUNTA(半紙!$B$11:$B$310)-COUNTA(条幅!$B$11:$B$310)),""))))</f>
        <v/>
      </c>
      <c r="F25" s="38" t="str">
        <f>IF(IF(20&lt;=COUNTA(半紙!$B$11:$B$310),INDEX(半紙!$F$11:$F$310,20),IF(20&lt;=COUNTA(半紙!$B$11:$B$310)+COUNTA(条幅!$B$11:$B$310),INDEX(条幅!$F$11:$F$310,20-COUNTA(半紙!$B$11:$B$310)),IF(20&lt;=COUNTA(半紙!$B$11:$B$310)+COUNTA(条幅!$B$11:$B$310)+COUNTA(条幅4分の1!$B$11:$B$310),INDEX(条幅4分の1!$F$11:$F$310,20-COUNTA(半紙!$B$11:$B$310)-COUNTA(条幅!$B$11:$B$310)),"")))=0,"",IF(20&lt;=COUNTA(半紙!$B$11:$B$310),INDEX(半紙!$F$11:$F$310,20),IF(20&lt;=COUNTA(半紙!$B$11:$B$310)+COUNTA(条幅!$B$11:$B$310),INDEX(条幅!$F$11:$F$310,20-COUNTA(半紙!$B$11:$B$310)),IF(20&lt;=COUNTA(半紙!$B$11:$B$310)+COUNTA(条幅!$B$11:$B$310)+COUNTA(条幅4分の1!$B$11:$B$310),INDEX(条幅4分の1!$F$11:$F$310,20-COUNTA(半紙!$B$11:$B$310)-COUNTA(条幅!$B$11:$B$310)),""))))</f>
        <v/>
      </c>
      <c r="G25" s="38" t="str">
        <f>IF(IF(20&lt;=COUNTA(半紙!$B$11:$B$310),INDEX(半紙!$G$11:$G$310,20),IF(20&lt;=COUNTA(半紙!$B$11:$B$310)+COUNTA(条幅!$B$11:$B$310),INDEX(条幅!$G$11:$G$310,20-COUNTA(半紙!$B$11:$B$310)),IF(20&lt;=COUNTA(半紙!$B$11:$B$310)+COUNTA(条幅!$B$11:$B$310)+COUNTA(条幅4分の1!$B$11:$B$310),INDEX(条幅4分の1!$G$11:$G$310,20-COUNTA(半紙!$B$11:$B$310)-COUNTA(条幅!$B$11:$B$310)),"")))=0,"",IF(20&lt;=COUNTA(半紙!$B$11:$B$310),INDEX(半紙!$G$11:$G$310,20),IF(20&lt;=COUNTA(半紙!$B$11:$B$310)+COUNTA(条幅!$B$11:$B$310),INDEX(条幅!$G$11:$G$310,20-COUNTA(半紙!$B$11:$B$310)),IF(20&lt;=COUNTA(半紙!$B$11:$B$310)+COUNTA(条幅!$B$11:$B$310)+COUNTA(条幅4分の1!$B$11:$B$310),INDEX(条幅4分の1!$G$11:$G$310,20-COUNTA(半紙!$B$11:$B$310)-COUNTA(条幅!$B$11:$B$310)),""))))</f>
        <v/>
      </c>
      <c r="H25" s="38" t="str">
        <f>IF(IF(20&lt;=COUNTA(半紙!$B$11:$B$310),INDEX(半紙!$H$11:$H$310,20),IF(20&lt;=COUNTA(半紙!$B$11:$B$310)+COUNTA(条幅!$B$11:$B$310),INDEX(条幅!$H$11:$H$310,20-COUNTA(半紙!$B$11:$B$310)),IF(20&lt;=COUNTA(半紙!$B$11:$B$310)+COUNTA(条幅!$B$11:$B$310)+COUNTA(条幅4分の1!$B$11:$B$310),INDEX(条幅4分の1!$H$11:$H$310,20-COUNTA(半紙!$B$11:$B$310)-COUNTA(条幅!$B$11:$B$310)),"")))=0,"",IF(20&lt;=COUNTA(半紙!$B$11:$B$310),INDEX(半紙!$H$11:$H$310,20),IF(20&lt;=COUNTA(半紙!$B$11:$B$310)+COUNTA(条幅!$B$11:$B$310),INDEX(条幅!$H$11:$H$310,20-COUNTA(半紙!$B$11:$B$310)),IF(20&lt;=COUNTA(半紙!$B$11:$B$310)+COUNTA(条幅!$B$11:$B$310)+COUNTA(条幅4分の1!$B$11:$B$310),INDEX(条幅4分の1!$H$11:$H$310,20-COUNTA(半紙!$B$11:$B$310)-COUNTA(条幅!$B$11:$B$310)),""))))</f>
        <v/>
      </c>
      <c r="I25" s="38" t="str">
        <f>IF(IF(20&lt;=COUNTA(半紙!$B$11:$B$310),INDEX(半紙!$I$11:$I$310,20),IF(20&lt;=COUNTA(半紙!$B$11:$B$310)+COUNTA(条幅!$B$11:$B$310),INDEX(条幅!$I$11:$I$310,20-COUNTA(半紙!$B$11:$B$310)),IF(20&lt;=COUNTA(半紙!$B$11:$B$310)+COUNTA(条幅!$B$11:$B$310)+COUNTA(条幅4分の1!$B$11:$B$310),INDEX(条幅4分の1!$I$11:$I$310,20-COUNTA(半紙!$B$11:$B$310)-COUNTA(条幅!$B$11:$B$310)),"")))=0,"",IF(20&lt;=COUNTA(半紙!$B$11:$B$310),INDEX(半紙!$I$11:$I$310,20),IF(20&lt;=COUNTA(半紙!$B$11:$B$310)+COUNTA(条幅!$B$11:$B$310),INDEX(条幅!$I$11:$I$310,20-COUNTA(半紙!$B$11:$B$310)),IF(20&lt;=COUNTA(半紙!$B$11:$B$310)+COUNTA(条幅!$B$11:$B$310)+COUNTA(条幅4分の1!$B$11:$B$310),INDEX(条幅4分の1!$I$11:$I$310,20-COUNTA(半紙!$B$11:$B$310)-COUNTA(条幅!$B$11:$B$310)),""))))</f>
        <v/>
      </c>
      <c r="J25" s="38" t="str">
        <f>IF(IF(20&lt;=COUNTA(半紙!$B$11:$B$310),INDEX(半紙!$J$11:$J$310,20),IF(20&lt;=COUNTA(半紙!$B$11:$B$310)+COUNTA(条幅!$B$11:$B$310),INDEX(条幅!$J$11:$J$310,20-COUNTA(半紙!$B$11:$B$310)),IF(20&lt;=COUNTA(半紙!$B$11:$B$310)+COUNTA(条幅!$B$11:$B$310)+COUNTA(条幅4分の1!$B$11:$B$310),INDEX(条幅4分の1!$J$11:$J$310,20-COUNTA(半紙!$B$11:$B$310)-COUNTA(条幅!$B$11:$B$310)),"")))=0,"",IF(20&lt;=COUNTA(半紙!$B$11:$B$310),INDEX(半紙!$J$11:$J$310,20),IF(20&lt;=COUNTA(半紙!$B$11:$B$310)+COUNTA(条幅!$B$11:$B$310),INDEX(条幅!$J$11:$J$310,20-COUNTA(半紙!$B$11:$B$310)),IF(20&lt;=COUNTA(半紙!$B$11:$B$310)+COUNTA(条幅!$B$11:$B$310)+COUNTA(条幅4分の1!$B$11:$B$310),INDEX(条幅4分の1!$J$11:$J$310,20-COUNTA(半紙!$B$11:$B$310)-COUNTA(条幅!$B$11:$B$310)),""))))</f>
        <v/>
      </c>
      <c r="K25" s="38" t="str">
        <f>IF(IF(20&lt;=COUNTA(半紙!$B$11:$B$310),INDEX(半紙!$K$11:$K$310,20),IF(20&lt;=COUNTA(半紙!$B$11:$B$310)+COUNTA(条幅!$B$11:$B$310),INDEX(条幅!$K$11:$K$310,20-COUNTA(半紙!$B$11:$B$310)),IF(20&lt;=COUNTA(半紙!$B$11:$B$310)+COUNTA(条幅!$B$11:$B$310)+COUNTA(条幅4分の1!$B$11:$B$310),INDEX(条幅4分の1!$K$11:$K$310,20-COUNTA(半紙!$B$11:$B$310)-COUNTA(条幅!$B$11:$B$310)),"")))=0,"",IF(20&lt;=COUNTA(半紙!$B$11:$B$310),INDEX(半紙!$K$11:$K$310,20),IF(20&lt;=COUNTA(半紙!$B$11:$B$310)+COUNTA(条幅!$B$11:$B$310),INDEX(条幅!$K$11:$K$310,20-COUNTA(半紙!$B$11:$B$310)),IF(20&lt;=COUNTA(半紙!$B$11:$B$310)+COUNTA(条幅!$B$11:$B$310)+COUNTA(条幅4分の1!$B$11:$B$310),INDEX(条幅4分の1!$K$11:$K$310,20-COUNTA(半紙!$B$11:$B$310)-COUNTA(条幅!$B$11:$B$310)),""))))</f>
        <v/>
      </c>
      <c r="L25" s="48" t="str">
        <f>IF($B25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20))</f>
        <v/>
      </c>
    </row>
    <row r="26" spans="1:12" ht="15" customHeight="1">
      <c r="A26" s="37" t="str">
        <f>IF(21&lt;=COUNTA(半紙!$B$11:$B$310),"半紙",IF(21&lt;=COUNTA(半紙!$B$11:$B$310)+COUNTA(条幅!$B$11:$B$310),"条幅(半切)",IF(21&lt;=COUNTA(半紙!$B$11:$B$310)+COUNTA(条幅!$B$11:$B$310)+COUNTA(条幅4分の1!$B$11:$B$310),"条幅(1/4)","")))</f>
        <v/>
      </c>
      <c r="B26" s="38" t="str">
        <f>IF(IF(21&lt;=COUNTA(半紙!$B$11:$B$310),INDEX(半紙!$B$11:$B$310,21),IF(21&lt;=COUNTA(半紙!$B$11:$B$310)+COUNTA(条幅!$B$11:$B$310),INDEX(条幅!$B$11:$B$310,21-COUNTA(半紙!$B$11:$B$310)),IF(21&lt;=COUNTA(半紙!$B$11:$B$310)+COUNTA(条幅!$B$11:$B$310)+COUNTA(条幅4分の1!$B$11:$B$310),INDEX(条幅4分の1!$B$11:$B$310,21-COUNTA(半紙!$B$11:$B$310)-COUNTA(条幅!$B$11:$B$310)),"")))=0,"",IF(21&lt;=COUNTA(半紙!$B$11:$B$310),INDEX(半紙!$B$11:$B$310,21),IF(21&lt;=COUNTA(半紙!$B$11:$B$310)+COUNTA(条幅!$B$11:$B$310),INDEX(条幅!$B$11:$B$310,21-COUNTA(半紙!$B$11:$B$310)),IF(21&lt;=COUNTA(半紙!$B$11:$B$310)+COUNTA(条幅!$B$11:$B$310)+COUNTA(条幅4分の1!$B$11:$B$310),INDEX(条幅4分の1!$B$11:$B$310,21-COUNTA(半紙!$B$11:$B$310)-COUNTA(条幅!$B$11:$B$310)),""))))</f>
        <v/>
      </c>
      <c r="C26" s="38" t="str">
        <f>IF(IF(21&lt;=COUNTA(半紙!$B$11:$B$310),INDEX(半紙!$C$11:$C$310,21),IF(21&lt;=COUNTA(半紙!$B$11:$B$310)+COUNTA(条幅!$B$11:$B$310),INDEX(条幅!$C$11:$C$310,21-COUNTA(半紙!$B$11:$B$310)),IF(21&lt;=COUNTA(半紙!$B$11:$B$310)+COUNTA(条幅!$B$11:$B$310)+COUNTA(条幅4分の1!$B$11:$B$310),INDEX(条幅4分の1!$C$11:$C$310,21-COUNTA(半紙!$B$11:$B$310)-COUNTA(条幅!$B$11:$B$310)),"")))=0,"",IF(21&lt;=COUNTA(半紙!$B$11:$B$310),INDEX(半紙!$C$11:$C$310,21),IF(21&lt;=COUNTA(半紙!$B$11:$B$310)+COUNTA(条幅!$B$11:$B$310),INDEX(条幅!$C$11:$C$310,21-COUNTA(半紙!$B$11:$B$310)),IF(21&lt;=COUNTA(半紙!$B$11:$B$310)+COUNTA(条幅!$B$11:$B$310)+COUNTA(条幅4分の1!$B$11:$B$310),INDEX(条幅4分の1!$C$11:$C$310,21-COUNTA(半紙!$B$11:$B$310)-COUNTA(条幅!$B$11:$B$310)),""))))</f>
        <v/>
      </c>
      <c r="D26" s="38" t="str">
        <f>IF(IF(21&lt;=COUNTA(半紙!$B$11:$B$310),INDEX(半紙!$D$11:$D$310,21),IF(21&lt;=COUNTA(半紙!$B$11:$B$310)+COUNTA(条幅!$B$11:$B$310),INDEX(条幅!$D$11:$D$310,21-COUNTA(半紙!$B$11:$B$310)),IF(21&lt;=COUNTA(半紙!$B$11:$B$310)+COUNTA(条幅!$B$11:$B$310)+COUNTA(条幅4分の1!$B$11:$B$310),INDEX(条幅4分の1!$D$11:$D$310,21-COUNTA(半紙!$B$11:$B$310)-COUNTA(条幅!$B$11:$B$310)),"")))=0,"",IF(21&lt;=COUNTA(半紙!$B$11:$B$310),INDEX(半紙!$D$11:$D$310,21),IF(21&lt;=COUNTA(半紙!$B$11:$B$310)+COUNTA(条幅!$B$11:$B$310),INDEX(条幅!$D$11:$D$310,21-COUNTA(半紙!$B$11:$B$310)),IF(21&lt;=COUNTA(半紙!$B$11:$B$310)+COUNTA(条幅!$B$11:$B$310)+COUNTA(条幅4分の1!$B$11:$B$310),INDEX(条幅4分の1!$D$11:$D$310,21-COUNTA(半紙!$B$11:$B$310)-COUNTA(条幅!$B$11:$B$310)),""))))</f>
        <v/>
      </c>
      <c r="E26" s="38" t="str">
        <f>IF(IF(21&lt;=COUNTA(半紙!$B$11:$B$310),INDEX(半紙!$E$11:$E$310,21),IF(21&lt;=COUNTA(半紙!$B$11:$B$310)+COUNTA(条幅!$B$11:$B$310),INDEX(条幅!$E$11:$E$310,21-COUNTA(半紙!$B$11:$B$310)),IF(21&lt;=COUNTA(半紙!$B$11:$B$310)+COUNTA(条幅!$B$11:$B$310)+COUNTA(条幅4分の1!$B$11:$B$310),INDEX(条幅4分の1!$E$11:$E$310,21-COUNTA(半紙!$B$11:$B$310)-COUNTA(条幅!$B$11:$B$310)),"")))=0,"",IF(21&lt;=COUNTA(半紙!$B$11:$B$310),INDEX(半紙!$E$11:$E$310,21),IF(21&lt;=COUNTA(半紙!$B$11:$B$310)+COUNTA(条幅!$B$11:$B$310),INDEX(条幅!$E$11:$E$310,21-COUNTA(半紙!$B$11:$B$310)),IF(21&lt;=COUNTA(半紙!$B$11:$B$310)+COUNTA(条幅!$B$11:$B$310)+COUNTA(条幅4分の1!$B$11:$B$310),INDEX(条幅4分の1!$E$11:$E$310,21-COUNTA(半紙!$B$11:$B$310)-COUNTA(条幅!$B$11:$B$310)),""))))</f>
        <v/>
      </c>
      <c r="F26" s="38" t="str">
        <f>IF(IF(21&lt;=COUNTA(半紙!$B$11:$B$310),INDEX(半紙!$F$11:$F$310,21),IF(21&lt;=COUNTA(半紙!$B$11:$B$310)+COUNTA(条幅!$B$11:$B$310),INDEX(条幅!$F$11:$F$310,21-COUNTA(半紙!$B$11:$B$310)),IF(21&lt;=COUNTA(半紙!$B$11:$B$310)+COUNTA(条幅!$B$11:$B$310)+COUNTA(条幅4分の1!$B$11:$B$310),INDEX(条幅4分の1!$F$11:$F$310,21-COUNTA(半紙!$B$11:$B$310)-COUNTA(条幅!$B$11:$B$310)),"")))=0,"",IF(21&lt;=COUNTA(半紙!$B$11:$B$310),INDEX(半紙!$F$11:$F$310,21),IF(21&lt;=COUNTA(半紙!$B$11:$B$310)+COUNTA(条幅!$B$11:$B$310),INDEX(条幅!$F$11:$F$310,21-COUNTA(半紙!$B$11:$B$310)),IF(21&lt;=COUNTA(半紙!$B$11:$B$310)+COUNTA(条幅!$B$11:$B$310)+COUNTA(条幅4分の1!$B$11:$B$310),INDEX(条幅4分の1!$F$11:$F$310,21-COUNTA(半紙!$B$11:$B$310)-COUNTA(条幅!$B$11:$B$310)),""))))</f>
        <v/>
      </c>
      <c r="G26" s="38" t="str">
        <f>IF(IF(21&lt;=COUNTA(半紙!$B$11:$B$310),INDEX(半紙!$G$11:$G$310,21),IF(21&lt;=COUNTA(半紙!$B$11:$B$310)+COUNTA(条幅!$B$11:$B$310),INDEX(条幅!$G$11:$G$310,21-COUNTA(半紙!$B$11:$B$310)),IF(21&lt;=COUNTA(半紙!$B$11:$B$310)+COUNTA(条幅!$B$11:$B$310)+COUNTA(条幅4分の1!$B$11:$B$310),INDEX(条幅4分の1!$G$11:$G$310,21-COUNTA(半紙!$B$11:$B$310)-COUNTA(条幅!$B$11:$B$310)),"")))=0,"",IF(21&lt;=COUNTA(半紙!$B$11:$B$310),INDEX(半紙!$G$11:$G$310,21),IF(21&lt;=COUNTA(半紙!$B$11:$B$310)+COUNTA(条幅!$B$11:$B$310),INDEX(条幅!$G$11:$G$310,21-COUNTA(半紙!$B$11:$B$310)),IF(21&lt;=COUNTA(半紙!$B$11:$B$310)+COUNTA(条幅!$B$11:$B$310)+COUNTA(条幅4分の1!$B$11:$B$310),INDEX(条幅4分の1!$G$11:$G$310,21-COUNTA(半紙!$B$11:$B$310)-COUNTA(条幅!$B$11:$B$310)),""))))</f>
        <v/>
      </c>
      <c r="H26" s="38" t="str">
        <f>IF(IF(21&lt;=COUNTA(半紙!$B$11:$B$310),INDEX(半紙!$H$11:$H$310,21),IF(21&lt;=COUNTA(半紙!$B$11:$B$310)+COUNTA(条幅!$B$11:$B$310),INDEX(条幅!$H$11:$H$310,21-COUNTA(半紙!$B$11:$B$310)),IF(21&lt;=COUNTA(半紙!$B$11:$B$310)+COUNTA(条幅!$B$11:$B$310)+COUNTA(条幅4分の1!$B$11:$B$310),INDEX(条幅4分の1!$H$11:$H$310,21-COUNTA(半紙!$B$11:$B$310)-COUNTA(条幅!$B$11:$B$310)),"")))=0,"",IF(21&lt;=COUNTA(半紙!$B$11:$B$310),INDEX(半紙!$H$11:$H$310,21),IF(21&lt;=COUNTA(半紙!$B$11:$B$310)+COUNTA(条幅!$B$11:$B$310),INDEX(条幅!$H$11:$H$310,21-COUNTA(半紙!$B$11:$B$310)),IF(21&lt;=COUNTA(半紙!$B$11:$B$310)+COUNTA(条幅!$B$11:$B$310)+COUNTA(条幅4分の1!$B$11:$B$310),INDEX(条幅4分の1!$H$11:$H$310,21-COUNTA(半紙!$B$11:$B$310)-COUNTA(条幅!$B$11:$B$310)),""))))</f>
        <v/>
      </c>
      <c r="I26" s="38" t="str">
        <f>IF(IF(21&lt;=COUNTA(半紙!$B$11:$B$310),INDEX(半紙!$I$11:$I$310,21),IF(21&lt;=COUNTA(半紙!$B$11:$B$310)+COUNTA(条幅!$B$11:$B$310),INDEX(条幅!$I$11:$I$310,21-COUNTA(半紙!$B$11:$B$310)),IF(21&lt;=COUNTA(半紙!$B$11:$B$310)+COUNTA(条幅!$B$11:$B$310)+COUNTA(条幅4分の1!$B$11:$B$310),INDEX(条幅4分の1!$I$11:$I$310,21-COUNTA(半紙!$B$11:$B$310)-COUNTA(条幅!$B$11:$B$310)),"")))=0,"",IF(21&lt;=COUNTA(半紙!$B$11:$B$310),INDEX(半紙!$I$11:$I$310,21),IF(21&lt;=COUNTA(半紙!$B$11:$B$310)+COUNTA(条幅!$B$11:$B$310),INDEX(条幅!$I$11:$I$310,21-COUNTA(半紙!$B$11:$B$310)),IF(21&lt;=COUNTA(半紙!$B$11:$B$310)+COUNTA(条幅!$B$11:$B$310)+COUNTA(条幅4分の1!$B$11:$B$310),INDEX(条幅4分の1!$I$11:$I$310,21-COUNTA(半紙!$B$11:$B$310)-COUNTA(条幅!$B$11:$B$310)),""))))</f>
        <v/>
      </c>
      <c r="J26" s="38" t="str">
        <f>IF(IF(21&lt;=COUNTA(半紙!$B$11:$B$310),INDEX(半紙!$J$11:$J$310,21),IF(21&lt;=COUNTA(半紙!$B$11:$B$310)+COUNTA(条幅!$B$11:$B$310),INDEX(条幅!$J$11:$J$310,21-COUNTA(半紙!$B$11:$B$310)),IF(21&lt;=COUNTA(半紙!$B$11:$B$310)+COUNTA(条幅!$B$11:$B$310)+COUNTA(条幅4分の1!$B$11:$B$310),INDEX(条幅4分の1!$J$11:$J$310,21-COUNTA(半紙!$B$11:$B$310)-COUNTA(条幅!$B$11:$B$310)),"")))=0,"",IF(21&lt;=COUNTA(半紙!$B$11:$B$310),INDEX(半紙!$J$11:$J$310,21),IF(21&lt;=COUNTA(半紙!$B$11:$B$310)+COUNTA(条幅!$B$11:$B$310),INDEX(条幅!$J$11:$J$310,21-COUNTA(半紙!$B$11:$B$310)),IF(21&lt;=COUNTA(半紙!$B$11:$B$310)+COUNTA(条幅!$B$11:$B$310)+COUNTA(条幅4分の1!$B$11:$B$310),INDEX(条幅4分の1!$J$11:$J$310,21-COUNTA(半紙!$B$11:$B$310)-COUNTA(条幅!$B$11:$B$310)),""))))</f>
        <v/>
      </c>
      <c r="K26" s="38" t="str">
        <f>IF(IF(21&lt;=COUNTA(半紙!$B$11:$B$310),INDEX(半紙!$K$11:$K$310,21),IF(21&lt;=COUNTA(半紙!$B$11:$B$310)+COUNTA(条幅!$B$11:$B$310),INDEX(条幅!$K$11:$K$310,21-COUNTA(半紙!$B$11:$B$310)),IF(21&lt;=COUNTA(半紙!$B$11:$B$310)+COUNTA(条幅!$B$11:$B$310)+COUNTA(条幅4分の1!$B$11:$B$310),INDEX(条幅4分の1!$K$11:$K$310,21-COUNTA(半紙!$B$11:$B$310)-COUNTA(条幅!$B$11:$B$310)),"")))=0,"",IF(21&lt;=COUNTA(半紙!$B$11:$B$310),INDEX(半紙!$K$11:$K$310,21),IF(21&lt;=COUNTA(半紙!$B$11:$B$310)+COUNTA(条幅!$B$11:$B$310),INDEX(条幅!$K$11:$K$310,21-COUNTA(半紙!$B$11:$B$310)),IF(21&lt;=COUNTA(半紙!$B$11:$B$310)+COUNTA(条幅!$B$11:$B$310)+COUNTA(条幅4分の1!$B$11:$B$310),INDEX(条幅4分の1!$K$11:$K$310,21-COUNTA(半紙!$B$11:$B$310)-COUNTA(条幅!$B$11:$B$310)),""))))</f>
        <v/>
      </c>
      <c r="L26" s="48" t="str">
        <f>IF($B26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21))</f>
        <v/>
      </c>
    </row>
    <row r="27" spans="1:12" ht="15" customHeight="1">
      <c r="A27" s="37" t="str">
        <f>IF(22&lt;=COUNTA(半紙!$B$11:$B$310),"半紙",IF(22&lt;=COUNTA(半紙!$B$11:$B$310)+COUNTA(条幅!$B$11:$B$310),"条幅(半切)",IF(22&lt;=COUNTA(半紙!$B$11:$B$310)+COUNTA(条幅!$B$11:$B$310)+COUNTA(条幅4分の1!$B$11:$B$310),"条幅(1/4)","")))</f>
        <v/>
      </c>
      <c r="B27" s="38" t="str">
        <f>IF(IF(22&lt;=COUNTA(半紙!$B$11:$B$310),INDEX(半紙!$B$11:$B$310,22),IF(22&lt;=COUNTA(半紙!$B$11:$B$310)+COUNTA(条幅!$B$11:$B$310),INDEX(条幅!$B$11:$B$310,22-COUNTA(半紙!$B$11:$B$310)),IF(22&lt;=COUNTA(半紙!$B$11:$B$310)+COUNTA(条幅!$B$11:$B$310)+COUNTA(条幅4分の1!$B$11:$B$310),INDEX(条幅4分の1!$B$11:$B$310,22-COUNTA(半紙!$B$11:$B$310)-COUNTA(条幅!$B$11:$B$310)),"")))=0,"",IF(22&lt;=COUNTA(半紙!$B$11:$B$310),INDEX(半紙!$B$11:$B$310,22),IF(22&lt;=COUNTA(半紙!$B$11:$B$310)+COUNTA(条幅!$B$11:$B$310),INDEX(条幅!$B$11:$B$310,22-COUNTA(半紙!$B$11:$B$310)),IF(22&lt;=COUNTA(半紙!$B$11:$B$310)+COUNTA(条幅!$B$11:$B$310)+COUNTA(条幅4分の1!$B$11:$B$310),INDEX(条幅4分の1!$B$11:$B$310,22-COUNTA(半紙!$B$11:$B$310)-COUNTA(条幅!$B$11:$B$310)),""))))</f>
        <v/>
      </c>
      <c r="C27" s="38" t="str">
        <f>IF(IF(22&lt;=COUNTA(半紙!$B$11:$B$310),INDEX(半紙!$C$11:$C$310,22),IF(22&lt;=COUNTA(半紙!$B$11:$B$310)+COUNTA(条幅!$B$11:$B$310),INDEX(条幅!$C$11:$C$310,22-COUNTA(半紙!$B$11:$B$310)),IF(22&lt;=COUNTA(半紙!$B$11:$B$310)+COUNTA(条幅!$B$11:$B$310)+COUNTA(条幅4分の1!$B$11:$B$310),INDEX(条幅4分の1!$C$11:$C$310,22-COUNTA(半紙!$B$11:$B$310)-COUNTA(条幅!$B$11:$B$310)),"")))=0,"",IF(22&lt;=COUNTA(半紙!$B$11:$B$310),INDEX(半紙!$C$11:$C$310,22),IF(22&lt;=COUNTA(半紙!$B$11:$B$310)+COUNTA(条幅!$B$11:$B$310),INDEX(条幅!$C$11:$C$310,22-COUNTA(半紙!$B$11:$B$310)),IF(22&lt;=COUNTA(半紙!$B$11:$B$310)+COUNTA(条幅!$B$11:$B$310)+COUNTA(条幅4分の1!$B$11:$B$310),INDEX(条幅4分の1!$C$11:$C$310,22-COUNTA(半紙!$B$11:$B$310)-COUNTA(条幅!$B$11:$B$310)),""))))</f>
        <v/>
      </c>
      <c r="D27" s="38" t="str">
        <f>IF(IF(22&lt;=COUNTA(半紙!$B$11:$B$310),INDEX(半紙!$D$11:$D$310,22),IF(22&lt;=COUNTA(半紙!$B$11:$B$310)+COUNTA(条幅!$B$11:$B$310),INDEX(条幅!$D$11:$D$310,22-COUNTA(半紙!$B$11:$B$310)),IF(22&lt;=COUNTA(半紙!$B$11:$B$310)+COUNTA(条幅!$B$11:$B$310)+COUNTA(条幅4分の1!$B$11:$B$310),INDEX(条幅4分の1!$D$11:$D$310,22-COUNTA(半紙!$B$11:$B$310)-COUNTA(条幅!$B$11:$B$310)),"")))=0,"",IF(22&lt;=COUNTA(半紙!$B$11:$B$310),INDEX(半紙!$D$11:$D$310,22),IF(22&lt;=COUNTA(半紙!$B$11:$B$310)+COUNTA(条幅!$B$11:$B$310),INDEX(条幅!$D$11:$D$310,22-COUNTA(半紙!$B$11:$B$310)),IF(22&lt;=COUNTA(半紙!$B$11:$B$310)+COUNTA(条幅!$B$11:$B$310)+COUNTA(条幅4分の1!$B$11:$B$310),INDEX(条幅4分の1!$D$11:$D$310,22-COUNTA(半紙!$B$11:$B$310)-COUNTA(条幅!$B$11:$B$310)),""))))</f>
        <v/>
      </c>
      <c r="E27" s="38" t="str">
        <f>IF(IF(22&lt;=COUNTA(半紙!$B$11:$B$310),INDEX(半紙!$E$11:$E$310,22),IF(22&lt;=COUNTA(半紙!$B$11:$B$310)+COUNTA(条幅!$B$11:$B$310),INDEX(条幅!$E$11:$E$310,22-COUNTA(半紙!$B$11:$B$310)),IF(22&lt;=COUNTA(半紙!$B$11:$B$310)+COUNTA(条幅!$B$11:$B$310)+COUNTA(条幅4分の1!$B$11:$B$310),INDEX(条幅4分の1!$E$11:$E$310,22-COUNTA(半紙!$B$11:$B$310)-COUNTA(条幅!$B$11:$B$310)),"")))=0,"",IF(22&lt;=COUNTA(半紙!$B$11:$B$310),INDEX(半紙!$E$11:$E$310,22),IF(22&lt;=COUNTA(半紙!$B$11:$B$310)+COUNTA(条幅!$B$11:$B$310),INDEX(条幅!$E$11:$E$310,22-COUNTA(半紙!$B$11:$B$310)),IF(22&lt;=COUNTA(半紙!$B$11:$B$310)+COUNTA(条幅!$B$11:$B$310)+COUNTA(条幅4分の1!$B$11:$B$310),INDEX(条幅4分の1!$E$11:$E$310,22-COUNTA(半紙!$B$11:$B$310)-COUNTA(条幅!$B$11:$B$310)),""))))</f>
        <v/>
      </c>
      <c r="F27" s="38" t="str">
        <f>IF(IF(22&lt;=COUNTA(半紙!$B$11:$B$310),INDEX(半紙!$F$11:$F$310,22),IF(22&lt;=COUNTA(半紙!$B$11:$B$310)+COUNTA(条幅!$B$11:$B$310),INDEX(条幅!$F$11:$F$310,22-COUNTA(半紙!$B$11:$B$310)),IF(22&lt;=COUNTA(半紙!$B$11:$B$310)+COUNTA(条幅!$B$11:$B$310)+COUNTA(条幅4分の1!$B$11:$B$310),INDEX(条幅4分の1!$F$11:$F$310,22-COUNTA(半紙!$B$11:$B$310)-COUNTA(条幅!$B$11:$B$310)),"")))=0,"",IF(22&lt;=COUNTA(半紙!$B$11:$B$310),INDEX(半紙!$F$11:$F$310,22),IF(22&lt;=COUNTA(半紙!$B$11:$B$310)+COUNTA(条幅!$B$11:$B$310),INDEX(条幅!$F$11:$F$310,22-COUNTA(半紙!$B$11:$B$310)),IF(22&lt;=COUNTA(半紙!$B$11:$B$310)+COUNTA(条幅!$B$11:$B$310)+COUNTA(条幅4分の1!$B$11:$B$310),INDEX(条幅4分の1!$F$11:$F$310,22-COUNTA(半紙!$B$11:$B$310)-COUNTA(条幅!$B$11:$B$310)),""))))</f>
        <v/>
      </c>
      <c r="G27" s="38" t="str">
        <f>IF(IF(22&lt;=COUNTA(半紙!$B$11:$B$310),INDEX(半紙!$G$11:$G$310,22),IF(22&lt;=COUNTA(半紙!$B$11:$B$310)+COUNTA(条幅!$B$11:$B$310),INDEX(条幅!$G$11:$G$310,22-COUNTA(半紙!$B$11:$B$310)),IF(22&lt;=COUNTA(半紙!$B$11:$B$310)+COUNTA(条幅!$B$11:$B$310)+COUNTA(条幅4分の1!$B$11:$B$310),INDEX(条幅4分の1!$G$11:$G$310,22-COUNTA(半紙!$B$11:$B$310)-COUNTA(条幅!$B$11:$B$310)),"")))=0,"",IF(22&lt;=COUNTA(半紙!$B$11:$B$310),INDEX(半紙!$G$11:$G$310,22),IF(22&lt;=COUNTA(半紙!$B$11:$B$310)+COUNTA(条幅!$B$11:$B$310),INDEX(条幅!$G$11:$G$310,22-COUNTA(半紙!$B$11:$B$310)),IF(22&lt;=COUNTA(半紙!$B$11:$B$310)+COUNTA(条幅!$B$11:$B$310)+COUNTA(条幅4分の1!$B$11:$B$310),INDEX(条幅4分の1!$G$11:$G$310,22-COUNTA(半紙!$B$11:$B$310)-COUNTA(条幅!$B$11:$B$310)),""))))</f>
        <v/>
      </c>
      <c r="H27" s="38" t="str">
        <f>IF(IF(22&lt;=COUNTA(半紙!$B$11:$B$310),INDEX(半紙!$H$11:$H$310,22),IF(22&lt;=COUNTA(半紙!$B$11:$B$310)+COUNTA(条幅!$B$11:$B$310),INDEX(条幅!$H$11:$H$310,22-COUNTA(半紙!$B$11:$B$310)),IF(22&lt;=COUNTA(半紙!$B$11:$B$310)+COUNTA(条幅!$B$11:$B$310)+COUNTA(条幅4分の1!$B$11:$B$310),INDEX(条幅4分の1!$H$11:$H$310,22-COUNTA(半紙!$B$11:$B$310)-COUNTA(条幅!$B$11:$B$310)),"")))=0,"",IF(22&lt;=COUNTA(半紙!$B$11:$B$310),INDEX(半紙!$H$11:$H$310,22),IF(22&lt;=COUNTA(半紙!$B$11:$B$310)+COUNTA(条幅!$B$11:$B$310),INDEX(条幅!$H$11:$H$310,22-COUNTA(半紙!$B$11:$B$310)),IF(22&lt;=COUNTA(半紙!$B$11:$B$310)+COUNTA(条幅!$B$11:$B$310)+COUNTA(条幅4分の1!$B$11:$B$310),INDEX(条幅4分の1!$H$11:$H$310,22-COUNTA(半紙!$B$11:$B$310)-COUNTA(条幅!$B$11:$B$310)),""))))</f>
        <v/>
      </c>
      <c r="I27" s="38" t="str">
        <f>IF(IF(22&lt;=COUNTA(半紙!$B$11:$B$310),INDEX(半紙!$I$11:$I$310,22),IF(22&lt;=COUNTA(半紙!$B$11:$B$310)+COUNTA(条幅!$B$11:$B$310),INDEX(条幅!$I$11:$I$310,22-COUNTA(半紙!$B$11:$B$310)),IF(22&lt;=COUNTA(半紙!$B$11:$B$310)+COUNTA(条幅!$B$11:$B$310)+COUNTA(条幅4分の1!$B$11:$B$310),INDEX(条幅4分の1!$I$11:$I$310,22-COUNTA(半紙!$B$11:$B$310)-COUNTA(条幅!$B$11:$B$310)),"")))=0,"",IF(22&lt;=COUNTA(半紙!$B$11:$B$310),INDEX(半紙!$I$11:$I$310,22),IF(22&lt;=COUNTA(半紙!$B$11:$B$310)+COUNTA(条幅!$B$11:$B$310),INDEX(条幅!$I$11:$I$310,22-COUNTA(半紙!$B$11:$B$310)),IF(22&lt;=COUNTA(半紙!$B$11:$B$310)+COUNTA(条幅!$B$11:$B$310)+COUNTA(条幅4分の1!$B$11:$B$310),INDEX(条幅4分の1!$I$11:$I$310,22-COUNTA(半紙!$B$11:$B$310)-COUNTA(条幅!$B$11:$B$310)),""))))</f>
        <v/>
      </c>
      <c r="J27" s="38" t="str">
        <f>IF(IF(22&lt;=COUNTA(半紙!$B$11:$B$310),INDEX(半紙!$J$11:$J$310,22),IF(22&lt;=COUNTA(半紙!$B$11:$B$310)+COUNTA(条幅!$B$11:$B$310),INDEX(条幅!$J$11:$J$310,22-COUNTA(半紙!$B$11:$B$310)),IF(22&lt;=COUNTA(半紙!$B$11:$B$310)+COUNTA(条幅!$B$11:$B$310)+COUNTA(条幅4分の1!$B$11:$B$310),INDEX(条幅4分の1!$J$11:$J$310,22-COUNTA(半紙!$B$11:$B$310)-COUNTA(条幅!$B$11:$B$310)),"")))=0,"",IF(22&lt;=COUNTA(半紙!$B$11:$B$310),INDEX(半紙!$J$11:$J$310,22),IF(22&lt;=COUNTA(半紙!$B$11:$B$310)+COUNTA(条幅!$B$11:$B$310),INDEX(条幅!$J$11:$J$310,22-COUNTA(半紙!$B$11:$B$310)),IF(22&lt;=COUNTA(半紙!$B$11:$B$310)+COUNTA(条幅!$B$11:$B$310)+COUNTA(条幅4分の1!$B$11:$B$310),INDEX(条幅4分の1!$J$11:$J$310,22-COUNTA(半紙!$B$11:$B$310)-COUNTA(条幅!$B$11:$B$310)),""))))</f>
        <v/>
      </c>
      <c r="K27" s="38" t="str">
        <f>IF(IF(22&lt;=COUNTA(半紙!$B$11:$B$310),INDEX(半紙!$K$11:$K$310,22),IF(22&lt;=COUNTA(半紙!$B$11:$B$310)+COUNTA(条幅!$B$11:$B$310),INDEX(条幅!$K$11:$K$310,22-COUNTA(半紙!$B$11:$B$310)),IF(22&lt;=COUNTA(半紙!$B$11:$B$310)+COUNTA(条幅!$B$11:$B$310)+COUNTA(条幅4分の1!$B$11:$B$310),INDEX(条幅4分の1!$K$11:$K$310,22-COUNTA(半紙!$B$11:$B$310)-COUNTA(条幅!$B$11:$B$310)),"")))=0,"",IF(22&lt;=COUNTA(半紙!$B$11:$B$310),INDEX(半紙!$K$11:$K$310,22),IF(22&lt;=COUNTA(半紙!$B$11:$B$310)+COUNTA(条幅!$B$11:$B$310),INDEX(条幅!$K$11:$K$310,22-COUNTA(半紙!$B$11:$B$310)),IF(22&lt;=COUNTA(半紙!$B$11:$B$310)+COUNTA(条幅!$B$11:$B$310)+COUNTA(条幅4分の1!$B$11:$B$310),INDEX(条幅4分の1!$K$11:$K$310,22-COUNTA(半紙!$B$11:$B$310)-COUNTA(条幅!$B$11:$B$310)),""))))</f>
        <v/>
      </c>
      <c r="L27" s="48" t="str">
        <f>IF($B27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22))</f>
        <v/>
      </c>
    </row>
    <row r="28" spans="1:12" ht="15" customHeight="1">
      <c r="A28" s="37" t="str">
        <f>IF(23&lt;=COUNTA(半紙!$B$11:$B$310),"半紙",IF(23&lt;=COUNTA(半紙!$B$11:$B$310)+COUNTA(条幅!$B$11:$B$310),"条幅(半切)",IF(23&lt;=COUNTA(半紙!$B$11:$B$310)+COUNTA(条幅!$B$11:$B$310)+COUNTA(条幅4分の1!$B$11:$B$310),"条幅(1/4)","")))</f>
        <v/>
      </c>
      <c r="B28" s="38" t="str">
        <f>IF(IF(23&lt;=COUNTA(半紙!$B$11:$B$310),INDEX(半紙!$B$11:$B$310,23),IF(23&lt;=COUNTA(半紙!$B$11:$B$310)+COUNTA(条幅!$B$11:$B$310),INDEX(条幅!$B$11:$B$310,23-COUNTA(半紙!$B$11:$B$310)),IF(23&lt;=COUNTA(半紙!$B$11:$B$310)+COUNTA(条幅!$B$11:$B$310)+COUNTA(条幅4分の1!$B$11:$B$310),INDEX(条幅4分の1!$B$11:$B$310,23-COUNTA(半紙!$B$11:$B$310)-COUNTA(条幅!$B$11:$B$310)),"")))=0,"",IF(23&lt;=COUNTA(半紙!$B$11:$B$310),INDEX(半紙!$B$11:$B$310,23),IF(23&lt;=COUNTA(半紙!$B$11:$B$310)+COUNTA(条幅!$B$11:$B$310),INDEX(条幅!$B$11:$B$310,23-COUNTA(半紙!$B$11:$B$310)),IF(23&lt;=COUNTA(半紙!$B$11:$B$310)+COUNTA(条幅!$B$11:$B$310)+COUNTA(条幅4分の1!$B$11:$B$310),INDEX(条幅4分の1!$B$11:$B$310,23-COUNTA(半紙!$B$11:$B$310)-COUNTA(条幅!$B$11:$B$310)),""))))</f>
        <v/>
      </c>
      <c r="C28" s="38" t="str">
        <f>IF(IF(23&lt;=COUNTA(半紙!$B$11:$B$310),INDEX(半紙!$C$11:$C$310,23),IF(23&lt;=COUNTA(半紙!$B$11:$B$310)+COUNTA(条幅!$B$11:$B$310),INDEX(条幅!$C$11:$C$310,23-COUNTA(半紙!$B$11:$B$310)),IF(23&lt;=COUNTA(半紙!$B$11:$B$310)+COUNTA(条幅!$B$11:$B$310)+COUNTA(条幅4分の1!$B$11:$B$310),INDEX(条幅4分の1!$C$11:$C$310,23-COUNTA(半紙!$B$11:$B$310)-COUNTA(条幅!$B$11:$B$310)),"")))=0,"",IF(23&lt;=COUNTA(半紙!$B$11:$B$310),INDEX(半紙!$C$11:$C$310,23),IF(23&lt;=COUNTA(半紙!$B$11:$B$310)+COUNTA(条幅!$B$11:$B$310),INDEX(条幅!$C$11:$C$310,23-COUNTA(半紙!$B$11:$B$310)),IF(23&lt;=COUNTA(半紙!$B$11:$B$310)+COUNTA(条幅!$B$11:$B$310)+COUNTA(条幅4分の1!$B$11:$B$310),INDEX(条幅4分の1!$C$11:$C$310,23-COUNTA(半紙!$B$11:$B$310)-COUNTA(条幅!$B$11:$B$310)),""))))</f>
        <v/>
      </c>
      <c r="D28" s="38" t="str">
        <f>IF(IF(23&lt;=COUNTA(半紙!$B$11:$B$310),INDEX(半紙!$D$11:$D$310,23),IF(23&lt;=COUNTA(半紙!$B$11:$B$310)+COUNTA(条幅!$B$11:$B$310),INDEX(条幅!$D$11:$D$310,23-COUNTA(半紙!$B$11:$B$310)),IF(23&lt;=COUNTA(半紙!$B$11:$B$310)+COUNTA(条幅!$B$11:$B$310)+COUNTA(条幅4分の1!$B$11:$B$310),INDEX(条幅4分の1!$D$11:$D$310,23-COUNTA(半紙!$B$11:$B$310)-COUNTA(条幅!$B$11:$B$310)),"")))=0,"",IF(23&lt;=COUNTA(半紙!$B$11:$B$310),INDEX(半紙!$D$11:$D$310,23),IF(23&lt;=COUNTA(半紙!$B$11:$B$310)+COUNTA(条幅!$B$11:$B$310),INDEX(条幅!$D$11:$D$310,23-COUNTA(半紙!$B$11:$B$310)),IF(23&lt;=COUNTA(半紙!$B$11:$B$310)+COUNTA(条幅!$B$11:$B$310)+COUNTA(条幅4分の1!$B$11:$B$310),INDEX(条幅4分の1!$D$11:$D$310,23-COUNTA(半紙!$B$11:$B$310)-COUNTA(条幅!$B$11:$B$310)),""))))</f>
        <v/>
      </c>
      <c r="E28" s="38" t="str">
        <f>IF(IF(23&lt;=COUNTA(半紙!$B$11:$B$310),INDEX(半紙!$E$11:$E$310,23),IF(23&lt;=COUNTA(半紙!$B$11:$B$310)+COUNTA(条幅!$B$11:$B$310),INDEX(条幅!$E$11:$E$310,23-COUNTA(半紙!$B$11:$B$310)),IF(23&lt;=COUNTA(半紙!$B$11:$B$310)+COUNTA(条幅!$B$11:$B$310)+COUNTA(条幅4分の1!$B$11:$B$310),INDEX(条幅4分の1!$E$11:$E$310,23-COUNTA(半紙!$B$11:$B$310)-COUNTA(条幅!$B$11:$B$310)),"")))=0,"",IF(23&lt;=COUNTA(半紙!$B$11:$B$310),INDEX(半紙!$E$11:$E$310,23),IF(23&lt;=COUNTA(半紙!$B$11:$B$310)+COUNTA(条幅!$B$11:$B$310),INDEX(条幅!$E$11:$E$310,23-COUNTA(半紙!$B$11:$B$310)),IF(23&lt;=COUNTA(半紙!$B$11:$B$310)+COUNTA(条幅!$B$11:$B$310)+COUNTA(条幅4分の1!$B$11:$B$310),INDEX(条幅4分の1!$E$11:$E$310,23-COUNTA(半紙!$B$11:$B$310)-COUNTA(条幅!$B$11:$B$310)),""))))</f>
        <v/>
      </c>
      <c r="F28" s="38" t="str">
        <f>IF(IF(23&lt;=COUNTA(半紙!$B$11:$B$310),INDEX(半紙!$F$11:$F$310,23),IF(23&lt;=COUNTA(半紙!$B$11:$B$310)+COUNTA(条幅!$B$11:$B$310),INDEX(条幅!$F$11:$F$310,23-COUNTA(半紙!$B$11:$B$310)),IF(23&lt;=COUNTA(半紙!$B$11:$B$310)+COUNTA(条幅!$B$11:$B$310)+COUNTA(条幅4分の1!$B$11:$B$310),INDEX(条幅4分の1!$F$11:$F$310,23-COUNTA(半紙!$B$11:$B$310)-COUNTA(条幅!$B$11:$B$310)),"")))=0,"",IF(23&lt;=COUNTA(半紙!$B$11:$B$310),INDEX(半紙!$F$11:$F$310,23),IF(23&lt;=COUNTA(半紙!$B$11:$B$310)+COUNTA(条幅!$B$11:$B$310),INDEX(条幅!$F$11:$F$310,23-COUNTA(半紙!$B$11:$B$310)),IF(23&lt;=COUNTA(半紙!$B$11:$B$310)+COUNTA(条幅!$B$11:$B$310)+COUNTA(条幅4分の1!$B$11:$B$310),INDEX(条幅4分の1!$F$11:$F$310,23-COUNTA(半紙!$B$11:$B$310)-COUNTA(条幅!$B$11:$B$310)),""))))</f>
        <v/>
      </c>
      <c r="G28" s="38" t="str">
        <f>IF(IF(23&lt;=COUNTA(半紙!$B$11:$B$310),INDEX(半紙!$G$11:$G$310,23),IF(23&lt;=COUNTA(半紙!$B$11:$B$310)+COUNTA(条幅!$B$11:$B$310),INDEX(条幅!$G$11:$G$310,23-COUNTA(半紙!$B$11:$B$310)),IF(23&lt;=COUNTA(半紙!$B$11:$B$310)+COUNTA(条幅!$B$11:$B$310)+COUNTA(条幅4分の1!$B$11:$B$310),INDEX(条幅4分の1!$G$11:$G$310,23-COUNTA(半紙!$B$11:$B$310)-COUNTA(条幅!$B$11:$B$310)),"")))=0,"",IF(23&lt;=COUNTA(半紙!$B$11:$B$310),INDEX(半紙!$G$11:$G$310,23),IF(23&lt;=COUNTA(半紙!$B$11:$B$310)+COUNTA(条幅!$B$11:$B$310),INDEX(条幅!$G$11:$G$310,23-COUNTA(半紙!$B$11:$B$310)),IF(23&lt;=COUNTA(半紙!$B$11:$B$310)+COUNTA(条幅!$B$11:$B$310)+COUNTA(条幅4分の1!$B$11:$B$310),INDEX(条幅4分の1!$G$11:$G$310,23-COUNTA(半紙!$B$11:$B$310)-COUNTA(条幅!$B$11:$B$310)),""))))</f>
        <v/>
      </c>
      <c r="H28" s="38" t="str">
        <f>IF(IF(23&lt;=COUNTA(半紙!$B$11:$B$310),INDEX(半紙!$H$11:$H$310,23),IF(23&lt;=COUNTA(半紙!$B$11:$B$310)+COUNTA(条幅!$B$11:$B$310),INDEX(条幅!$H$11:$H$310,23-COUNTA(半紙!$B$11:$B$310)),IF(23&lt;=COUNTA(半紙!$B$11:$B$310)+COUNTA(条幅!$B$11:$B$310)+COUNTA(条幅4分の1!$B$11:$B$310),INDEX(条幅4分の1!$H$11:$H$310,23-COUNTA(半紙!$B$11:$B$310)-COUNTA(条幅!$B$11:$B$310)),"")))=0,"",IF(23&lt;=COUNTA(半紙!$B$11:$B$310),INDEX(半紙!$H$11:$H$310,23),IF(23&lt;=COUNTA(半紙!$B$11:$B$310)+COUNTA(条幅!$B$11:$B$310),INDEX(条幅!$H$11:$H$310,23-COUNTA(半紙!$B$11:$B$310)),IF(23&lt;=COUNTA(半紙!$B$11:$B$310)+COUNTA(条幅!$B$11:$B$310)+COUNTA(条幅4分の1!$B$11:$B$310),INDEX(条幅4分の1!$H$11:$H$310,23-COUNTA(半紙!$B$11:$B$310)-COUNTA(条幅!$B$11:$B$310)),""))))</f>
        <v/>
      </c>
      <c r="I28" s="38" t="str">
        <f>IF(IF(23&lt;=COUNTA(半紙!$B$11:$B$310),INDEX(半紙!$I$11:$I$310,23),IF(23&lt;=COUNTA(半紙!$B$11:$B$310)+COUNTA(条幅!$B$11:$B$310),INDEX(条幅!$I$11:$I$310,23-COUNTA(半紙!$B$11:$B$310)),IF(23&lt;=COUNTA(半紙!$B$11:$B$310)+COUNTA(条幅!$B$11:$B$310)+COUNTA(条幅4分の1!$B$11:$B$310),INDEX(条幅4分の1!$I$11:$I$310,23-COUNTA(半紙!$B$11:$B$310)-COUNTA(条幅!$B$11:$B$310)),"")))=0,"",IF(23&lt;=COUNTA(半紙!$B$11:$B$310),INDEX(半紙!$I$11:$I$310,23),IF(23&lt;=COUNTA(半紙!$B$11:$B$310)+COUNTA(条幅!$B$11:$B$310),INDEX(条幅!$I$11:$I$310,23-COUNTA(半紙!$B$11:$B$310)),IF(23&lt;=COUNTA(半紙!$B$11:$B$310)+COUNTA(条幅!$B$11:$B$310)+COUNTA(条幅4分の1!$B$11:$B$310),INDEX(条幅4分の1!$I$11:$I$310,23-COUNTA(半紙!$B$11:$B$310)-COUNTA(条幅!$B$11:$B$310)),""))))</f>
        <v/>
      </c>
      <c r="J28" s="38" t="str">
        <f>IF(IF(23&lt;=COUNTA(半紙!$B$11:$B$310),INDEX(半紙!$J$11:$J$310,23),IF(23&lt;=COUNTA(半紙!$B$11:$B$310)+COUNTA(条幅!$B$11:$B$310),INDEX(条幅!$J$11:$J$310,23-COUNTA(半紙!$B$11:$B$310)),IF(23&lt;=COUNTA(半紙!$B$11:$B$310)+COUNTA(条幅!$B$11:$B$310)+COUNTA(条幅4分の1!$B$11:$B$310),INDEX(条幅4分の1!$J$11:$J$310,23-COUNTA(半紙!$B$11:$B$310)-COUNTA(条幅!$B$11:$B$310)),"")))=0,"",IF(23&lt;=COUNTA(半紙!$B$11:$B$310),INDEX(半紙!$J$11:$J$310,23),IF(23&lt;=COUNTA(半紙!$B$11:$B$310)+COUNTA(条幅!$B$11:$B$310),INDEX(条幅!$J$11:$J$310,23-COUNTA(半紙!$B$11:$B$310)),IF(23&lt;=COUNTA(半紙!$B$11:$B$310)+COUNTA(条幅!$B$11:$B$310)+COUNTA(条幅4分の1!$B$11:$B$310),INDEX(条幅4分の1!$J$11:$J$310,23-COUNTA(半紙!$B$11:$B$310)-COUNTA(条幅!$B$11:$B$310)),""))))</f>
        <v/>
      </c>
      <c r="K28" s="38" t="str">
        <f>IF(IF(23&lt;=COUNTA(半紙!$B$11:$B$310),INDEX(半紙!$K$11:$K$310,23),IF(23&lt;=COUNTA(半紙!$B$11:$B$310)+COUNTA(条幅!$B$11:$B$310),INDEX(条幅!$K$11:$K$310,23-COUNTA(半紙!$B$11:$B$310)),IF(23&lt;=COUNTA(半紙!$B$11:$B$310)+COUNTA(条幅!$B$11:$B$310)+COUNTA(条幅4分の1!$B$11:$B$310),INDEX(条幅4分の1!$K$11:$K$310,23-COUNTA(半紙!$B$11:$B$310)-COUNTA(条幅!$B$11:$B$310)),"")))=0,"",IF(23&lt;=COUNTA(半紙!$B$11:$B$310),INDEX(半紙!$K$11:$K$310,23),IF(23&lt;=COUNTA(半紙!$B$11:$B$310)+COUNTA(条幅!$B$11:$B$310),INDEX(条幅!$K$11:$K$310,23-COUNTA(半紙!$B$11:$B$310)),IF(23&lt;=COUNTA(半紙!$B$11:$B$310)+COUNTA(条幅!$B$11:$B$310)+COUNTA(条幅4分の1!$B$11:$B$310),INDEX(条幅4分の1!$K$11:$K$310,23-COUNTA(半紙!$B$11:$B$310)-COUNTA(条幅!$B$11:$B$310)),""))))</f>
        <v/>
      </c>
      <c r="L28" s="48" t="str">
        <f>IF($B28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23))</f>
        <v/>
      </c>
    </row>
    <row r="29" spans="1:12" ht="15" customHeight="1">
      <c r="A29" s="37" t="str">
        <f>IF(24&lt;=COUNTA(半紙!$B$11:$B$310),"半紙",IF(24&lt;=COUNTA(半紙!$B$11:$B$310)+COUNTA(条幅!$B$11:$B$310),"条幅(半切)",IF(24&lt;=COUNTA(半紙!$B$11:$B$310)+COUNTA(条幅!$B$11:$B$310)+COUNTA(条幅4分の1!$B$11:$B$310),"条幅(1/4)","")))</f>
        <v/>
      </c>
      <c r="B29" s="38" t="str">
        <f>IF(IF(24&lt;=COUNTA(半紙!$B$11:$B$310),INDEX(半紙!$B$11:$B$310,24),IF(24&lt;=COUNTA(半紙!$B$11:$B$310)+COUNTA(条幅!$B$11:$B$310),INDEX(条幅!$B$11:$B$310,24-COUNTA(半紙!$B$11:$B$310)),IF(24&lt;=COUNTA(半紙!$B$11:$B$310)+COUNTA(条幅!$B$11:$B$310)+COUNTA(条幅4分の1!$B$11:$B$310),INDEX(条幅4分の1!$B$11:$B$310,24-COUNTA(半紙!$B$11:$B$310)-COUNTA(条幅!$B$11:$B$310)),"")))=0,"",IF(24&lt;=COUNTA(半紙!$B$11:$B$310),INDEX(半紙!$B$11:$B$310,24),IF(24&lt;=COUNTA(半紙!$B$11:$B$310)+COUNTA(条幅!$B$11:$B$310),INDEX(条幅!$B$11:$B$310,24-COUNTA(半紙!$B$11:$B$310)),IF(24&lt;=COUNTA(半紙!$B$11:$B$310)+COUNTA(条幅!$B$11:$B$310)+COUNTA(条幅4分の1!$B$11:$B$310),INDEX(条幅4分の1!$B$11:$B$310,24-COUNTA(半紙!$B$11:$B$310)-COUNTA(条幅!$B$11:$B$310)),""))))</f>
        <v/>
      </c>
      <c r="C29" s="38" t="str">
        <f>IF(IF(24&lt;=COUNTA(半紙!$B$11:$B$310),INDEX(半紙!$C$11:$C$310,24),IF(24&lt;=COUNTA(半紙!$B$11:$B$310)+COUNTA(条幅!$B$11:$B$310),INDEX(条幅!$C$11:$C$310,24-COUNTA(半紙!$B$11:$B$310)),IF(24&lt;=COUNTA(半紙!$B$11:$B$310)+COUNTA(条幅!$B$11:$B$310)+COUNTA(条幅4分の1!$B$11:$B$310),INDEX(条幅4分の1!$C$11:$C$310,24-COUNTA(半紙!$B$11:$B$310)-COUNTA(条幅!$B$11:$B$310)),"")))=0,"",IF(24&lt;=COUNTA(半紙!$B$11:$B$310),INDEX(半紙!$C$11:$C$310,24),IF(24&lt;=COUNTA(半紙!$B$11:$B$310)+COUNTA(条幅!$B$11:$B$310),INDEX(条幅!$C$11:$C$310,24-COUNTA(半紙!$B$11:$B$310)),IF(24&lt;=COUNTA(半紙!$B$11:$B$310)+COUNTA(条幅!$B$11:$B$310)+COUNTA(条幅4分の1!$B$11:$B$310),INDEX(条幅4分の1!$C$11:$C$310,24-COUNTA(半紙!$B$11:$B$310)-COUNTA(条幅!$B$11:$B$310)),""))))</f>
        <v/>
      </c>
      <c r="D29" s="38" t="str">
        <f>IF(IF(24&lt;=COUNTA(半紙!$B$11:$B$310),INDEX(半紙!$D$11:$D$310,24),IF(24&lt;=COUNTA(半紙!$B$11:$B$310)+COUNTA(条幅!$B$11:$B$310),INDEX(条幅!$D$11:$D$310,24-COUNTA(半紙!$B$11:$B$310)),IF(24&lt;=COUNTA(半紙!$B$11:$B$310)+COUNTA(条幅!$B$11:$B$310)+COUNTA(条幅4分の1!$B$11:$B$310),INDEX(条幅4分の1!$D$11:$D$310,24-COUNTA(半紙!$B$11:$B$310)-COUNTA(条幅!$B$11:$B$310)),"")))=0,"",IF(24&lt;=COUNTA(半紙!$B$11:$B$310),INDEX(半紙!$D$11:$D$310,24),IF(24&lt;=COUNTA(半紙!$B$11:$B$310)+COUNTA(条幅!$B$11:$B$310),INDEX(条幅!$D$11:$D$310,24-COUNTA(半紙!$B$11:$B$310)),IF(24&lt;=COUNTA(半紙!$B$11:$B$310)+COUNTA(条幅!$B$11:$B$310)+COUNTA(条幅4分の1!$B$11:$B$310),INDEX(条幅4分の1!$D$11:$D$310,24-COUNTA(半紙!$B$11:$B$310)-COUNTA(条幅!$B$11:$B$310)),""))))</f>
        <v/>
      </c>
      <c r="E29" s="38" t="str">
        <f>IF(IF(24&lt;=COUNTA(半紙!$B$11:$B$310),INDEX(半紙!$E$11:$E$310,24),IF(24&lt;=COUNTA(半紙!$B$11:$B$310)+COUNTA(条幅!$B$11:$B$310),INDEX(条幅!$E$11:$E$310,24-COUNTA(半紙!$B$11:$B$310)),IF(24&lt;=COUNTA(半紙!$B$11:$B$310)+COUNTA(条幅!$B$11:$B$310)+COUNTA(条幅4分の1!$B$11:$B$310),INDEX(条幅4分の1!$E$11:$E$310,24-COUNTA(半紙!$B$11:$B$310)-COUNTA(条幅!$B$11:$B$310)),"")))=0,"",IF(24&lt;=COUNTA(半紙!$B$11:$B$310),INDEX(半紙!$E$11:$E$310,24),IF(24&lt;=COUNTA(半紙!$B$11:$B$310)+COUNTA(条幅!$B$11:$B$310),INDEX(条幅!$E$11:$E$310,24-COUNTA(半紙!$B$11:$B$310)),IF(24&lt;=COUNTA(半紙!$B$11:$B$310)+COUNTA(条幅!$B$11:$B$310)+COUNTA(条幅4分の1!$B$11:$B$310),INDEX(条幅4分の1!$E$11:$E$310,24-COUNTA(半紙!$B$11:$B$310)-COUNTA(条幅!$B$11:$B$310)),""))))</f>
        <v/>
      </c>
      <c r="F29" s="38" t="str">
        <f>IF(IF(24&lt;=COUNTA(半紙!$B$11:$B$310),INDEX(半紙!$F$11:$F$310,24),IF(24&lt;=COUNTA(半紙!$B$11:$B$310)+COUNTA(条幅!$B$11:$B$310),INDEX(条幅!$F$11:$F$310,24-COUNTA(半紙!$B$11:$B$310)),IF(24&lt;=COUNTA(半紙!$B$11:$B$310)+COUNTA(条幅!$B$11:$B$310)+COUNTA(条幅4分の1!$B$11:$B$310),INDEX(条幅4分の1!$F$11:$F$310,24-COUNTA(半紙!$B$11:$B$310)-COUNTA(条幅!$B$11:$B$310)),"")))=0,"",IF(24&lt;=COUNTA(半紙!$B$11:$B$310),INDEX(半紙!$F$11:$F$310,24),IF(24&lt;=COUNTA(半紙!$B$11:$B$310)+COUNTA(条幅!$B$11:$B$310),INDEX(条幅!$F$11:$F$310,24-COUNTA(半紙!$B$11:$B$310)),IF(24&lt;=COUNTA(半紙!$B$11:$B$310)+COUNTA(条幅!$B$11:$B$310)+COUNTA(条幅4分の1!$B$11:$B$310),INDEX(条幅4分の1!$F$11:$F$310,24-COUNTA(半紙!$B$11:$B$310)-COUNTA(条幅!$B$11:$B$310)),""))))</f>
        <v/>
      </c>
      <c r="G29" s="38" t="str">
        <f>IF(IF(24&lt;=COUNTA(半紙!$B$11:$B$310),INDEX(半紙!$G$11:$G$310,24),IF(24&lt;=COUNTA(半紙!$B$11:$B$310)+COUNTA(条幅!$B$11:$B$310),INDEX(条幅!$G$11:$G$310,24-COUNTA(半紙!$B$11:$B$310)),IF(24&lt;=COUNTA(半紙!$B$11:$B$310)+COUNTA(条幅!$B$11:$B$310)+COUNTA(条幅4分の1!$B$11:$B$310),INDEX(条幅4分の1!$G$11:$G$310,24-COUNTA(半紙!$B$11:$B$310)-COUNTA(条幅!$B$11:$B$310)),"")))=0,"",IF(24&lt;=COUNTA(半紙!$B$11:$B$310),INDEX(半紙!$G$11:$G$310,24),IF(24&lt;=COUNTA(半紙!$B$11:$B$310)+COUNTA(条幅!$B$11:$B$310),INDEX(条幅!$G$11:$G$310,24-COUNTA(半紙!$B$11:$B$310)),IF(24&lt;=COUNTA(半紙!$B$11:$B$310)+COUNTA(条幅!$B$11:$B$310)+COUNTA(条幅4分の1!$B$11:$B$310),INDEX(条幅4分の1!$G$11:$G$310,24-COUNTA(半紙!$B$11:$B$310)-COUNTA(条幅!$B$11:$B$310)),""))))</f>
        <v/>
      </c>
      <c r="H29" s="38" t="str">
        <f>IF(IF(24&lt;=COUNTA(半紙!$B$11:$B$310),INDEX(半紙!$H$11:$H$310,24),IF(24&lt;=COUNTA(半紙!$B$11:$B$310)+COUNTA(条幅!$B$11:$B$310),INDEX(条幅!$H$11:$H$310,24-COUNTA(半紙!$B$11:$B$310)),IF(24&lt;=COUNTA(半紙!$B$11:$B$310)+COUNTA(条幅!$B$11:$B$310)+COUNTA(条幅4分の1!$B$11:$B$310),INDEX(条幅4分の1!$H$11:$H$310,24-COUNTA(半紙!$B$11:$B$310)-COUNTA(条幅!$B$11:$B$310)),"")))=0,"",IF(24&lt;=COUNTA(半紙!$B$11:$B$310),INDEX(半紙!$H$11:$H$310,24),IF(24&lt;=COUNTA(半紙!$B$11:$B$310)+COUNTA(条幅!$B$11:$B$310),INDEX(条幅!$H$11:$H$310,24-COUNTA(半紙!$B$11:$B$310)),IF(24&lt;=COUNTA(半紙!$B$11:$B$310)+COUNTA(条幅!$B$11:$B$310)+COUNTA(条幅4分の1!$B$11:$B$310),INDEX(条幅4分の1!$H$11:$H$310,24-COUNTA(半紙!$B$11:$B$310)-COUNTA(条幅!$B$11:$B$310)),""))))</f>
        <v/>
      </c>
      <c r="I29" s="38" t="str">
        <f>IF(IF(24&lt;=COUNTA(半紙!$B$11:$B$310),INDEX(半紙!$I$11:$I$310,24),IF(24&lt;=COUNTA(半紙!$B$11:$B$310)+COUNTA(条幅!$B$11:$B$310),INDEX(条幅!$I$11:$I$310,24-COUNTA(半紙!$B$11:$B$310)),IF(24&lt;=COUNTA(半紙!$B$11:$B$310)+COUNTA(条幅!$B$11:$B$310)+COUNTA(条幅4分の1!$B$11:$B$310),INDEX(条幅4分の1!$I$11:$I$310,24-COUNTA(半紙!$B$11:$B$310)-COUNTA(条幅!$B$11:$B$310)),"")))=0,"",IF(24&lt;=COUNTA(半紙!$B$11:$B$310),INDEX(半紙!$I$11:$I$310,24),IF(24&lt;=COUNTA(半紙!$B$11:$B$310)+COUNTA(条幅!$B$11:$B$310),INDEX(条幅!$I$11:$I$310,24-COUNTA(半紙!$B$11:$B$310)),IF(24&lt;=COUNTA(半紙!$B$11:$B$310)+COUNTA(条幅!$B$11:$B$310)+COUNTA(条幅4分の1!$B$11:$B$310),INDEX(条幅4分の1!$I$11:$I$310,24-COUNTA(半紙!$B$11:$B$310)-COUNTA(条幅!$B$11:$B$310)),""))))</f>
        <v/>
      </c>
      <c r="J29" s="38" t="str">
        <f>IF(IF(24&lt;=COUNTA(半紙!$B$11:$B$310),INDEX(半紙!$J$11:$J$310,24),IF(24&lt;=COUNTA(半紙!$B$11:$B$310)+COUNTA(条幅!$B$11:$B$310),INDEX(条幅!$J$11:$J$310,24-COUNTA(半紙!$B$11:$B$310)),IF(24&lt;=COUNTA(半紙!$B$11:$B$310)+COUNTA(条幅!$B$11:$B$310)+COUNTA(条幅4分の1!$B$11:$B$310),INDEX(条幅4分の1!$J$11:$J$310,24-COUNTA(半紙!$B$11:$B$310)-COUNTA(条幅!$B$11:$B$310)),"")))=0,"",IF(24&lt;=COUNTA(半紙!$B$11:$B$310),INDEX(半紙!$J$11:$J$310,24),IF(24&lt;=COUNTA(半紙!$B$11:$B$310)+COUNTA(条幅!$B$11:$B$310),INDEX(条幅!$J$11:$J$310,24-COUNTA(半紙!$B$11:$B$310)),IF(24&lt;=COUNTA(半紙!$B$11:$B$310)+COUNTA(条幅!$B$11:$B$310)+COUNTA(条幅4分の1!$B$11:$B$310),INDEX(条幅4分の1!$J$11:$J$310,24-COUNTA(半紙!$B$11:$B$310)-COUNTA(条幅!$B$11:$B$310)),""))))</f>
        <v/>
      </c>
      <c r="K29" s="38" t="str">
        <f>IF(IF(24&lt;=COUNTA(半紙!$B$11:$B$310),INDEX(半紙!$K$11:$K$310,24),IF(24&lt;=COUNTA(半紙!$B$11:$B$310)+COUNTA(条幅!$B$11:$B$310),INDEX(条幅!$K$11:$K$310,24-COUNTA(半紙!$B$11:$B$310)),IF(24&lt;=COUNTA(半紙!$B$11:$B$310)+COUNTA(条幅!$B$11:$B$310)+COUNTA(条幅4分の1!$B$11:$B$310),INDEX(条幅4分の1!$K$11:$K$310,24-COUNTA(半紙!$B$11:$B$310)-COUNTA(条幅!$B$11:$B$310)),"")))=0,"",IF(24&lt;=COUNTA(半紙!$B$11:$B$310),INDEX(半紙!$K$11:$K$310,24),IF(24&lt;=COUNTA(半紙!$B$11:$B$310)+COUNTA(条幅!$B$11:$B$310),INDEX(条幅!$K$11:$K$310,24-COUNTA(半紙!$B$11:$B$310)),IF(24&lt;=COUNTA(半紙!$B$11:$B$310)+COUNTA(条幅!$B$11:$B$310)+COUNTA(条幅4分の1!$B$11:$B$310),INDEX(条幅4分の1!$K$11:$K$310,24-COUNTA(半紙!$B$11:$B$310)-COUNTA(条幅!$B$11:$B$310)),""))))</f>
        <v/>
      </c>
      <c r="L29" s="48" t="str">
        <f>IF($B29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24))</f>
        <v/>
      </c>
    </row>
    <row r="30" spans="1:12" ht="15" customHeight="1">
      <c r="A30" s="37" t="str">
        <f>IF(25&lt;=COUNTA(半紙!$B$11:$B$310),"半紙",IF(25&lt;=COUNTA(半紙!$B$11:$B$310)+COUNTA(条幅!$B$11:$B$310),"条幅(半切)",IF(25&lt;=COUNTA(半紙!$B$11:$B$310)+COUNTA(条幅!$B$11:$B$310)+COUNTA(条幅4分の1!$B$11:$B$310),"条幅(1/4)","")))</f>
        <v/>
      </c>
      <c r="B30" s="38" t="str">
        <f>IF(IF(25&lt;=COUNTA(半紙!$B$11:$B$310),INDEX(半紙!$B$11:$B$310,25),IF(25&lt;=COUNTA(半紙!$B$11:$B$310)+COUNTA(条幅!$B$11:$B$310),INDEX(条幅!$B$11:$B$310,25-COUNTA(半紙!$B$11:$B$310)),IF(25&lt;=COUNTA(半紙!$B$11:$B$310)+COUNTA(条幅!$B$11:$B$310)+COUNTA(条幅4分の1!$B$11:$B$310),INDEX(条幅4分の1!$B$11:$B$310,25-COUNTA(半紙!$B$11:$B$310)-COUNTA(条幅!$B$11:$B$310)),"")))=0,"",IF(25&lt;=COUNTA(半紙!$B$11:$B$310),INDEX(半紙!$B$11:$B$310,25),IF(25&lt;=COUNTA(半紙!$B$11:$B$310)+COUNTA(条幅!$B$11:$B$310),INDEX(条幅!$B$11:$B$310,25-COUNTA(半紙!$B$11:$B$310)),IF(25&lt;=COUNTA(半紙!$B$11:$B$310)+COUNTA(条幅!$B$11:$B$310)+COUNTA(条幅4分の1!$B$11:$B$310),INDEX(条幅4分の1!$B$11:$B$310,25-COUNTA(半紙!$B$11:$B$310)-COUNTA(条幅!$B$11:$B$310)),""))))</f>
        <v/>
      </c>
      <c r="C30" s="38" t="str">
        <f>IF(IF(25&lt;=COUNTA(半紙!$B$11:$B$310),INDEX(半紙!$C$11:$C$310,25),IF(25&lt;=COUNTA(半紙!$B$11:$B$310)+COUNTA(条幅!$B$11:$B$310),INDEX(条幅!$C$11:$C$310,25-COUNTA(半紙!$B$11:$B$310)),IF(25&lt;=COUNTA(半紙!$B$11:$B$310)+COUNTA(条幅!$B$11:$B$310)+COUNTA(条幅4分の1!$B$11:$B$310),INDEX(条幅4分の1!$C$11:$C$310,25-COUNTA(半紙!$B$11:$B$310)-COUNTA(条幅!$B$11:$B$310)),"")))=0,"",IF(25&lt;=COUNTA(半紙!$B$11:$B$310),INDEX(半紙!$C$11:$C$310,25),IF(25&lt;=COUNTA(半紙!$B$11:$B$310)+COUNTA(条幅!$B$11:$B$310),INDEX(条幅!$C$11:$C$310,25-COUNTA(半紙!$B$11:$B$310)),IF(25&lt;=COUNTA(半紙!$B$11:$B$310)+COUNTA(条幅!$B$11:$B$310)+COUNTA(条幅4分の1!$B$11:$B$310),INDEX(条幅4分の1!$C$11:$C$310,25-COUNTA(半紙!$B$11:$B$310)-COUNTA(条幅!$B$11:$B$310)),""))))</f>
        <v/>
      </c>
      <c r="D30" s="38" t="str">
        <f>IF(IF(25&lt;=COUNTA(半紙!$B$11:$B$310),INDEX(半紙!$D$11:$D$310,25),IF(25&lt;=COUNTA(半紙!$B$11:$B$310)+COUNTA(条幅!$B$11:$B$310),INDEX(条幅!$D$11:$D$310,25-COUNTA(半紙!$B$11:$B$310)),IF(25&lt;=COUNTA(半紙!$B$11:$B$310)+COUNTA(条幅!$B$11:$B$310)+COUNTA(条幅4分の1!$B$11:$B$310),INDEX(条幅4分の1!$D$11:$D$310,25-COUNTA(半紙!$B$11:$B$310)-COUNTA(条幅!$B$11:$B$310)),"")))=0,"",IF(25&lt;=COUNTA(半紙!$B$11:$B$310),INDEX(半紙!$D$11:$D$310,25),IF(25&lt;=COUNTA(半紙!$B$11:$B$310)+COUNTA(条幅!$B$11:$B$310),INDEX(条幅!$D$11:$D$310,25-COUNTA(半紙!$B$11:$B$310)),IF(25&lt;=COUNTA(半紙!$B$11:$B$310)+COUNTA(条幅!$B$11:$B$310)+COUNTA(条幅4分の1!$B$11:$B$310),INDEX(条幅4分の1!$D$11:$D$310,25-COUNTA(半紙!$B$11:$B$310)-COUNTA(条幅!$B$11:$B$310)),""))))</f>
        <v/>
      </c>
      <c r="E30" s="38" t="str">
        <f>IF(IF(25&lt;=COUNTA(半紙!$B$11:$B$310),INDEX(半紙!$E$11:$E$310,25),IF(25&lt;=COUNTA(半紙!$B$11:$B$310)+COUNTA(条幅!$B$11:$B$310),INDEX(条幅!$E$11:$E$310,25-COUNTA(半紙!$B$11:$B$310)),IF(25&lt;=COUNTA(半紙!$B$11:$B$310)+COUNTA(条幅!$B$11:$B$310)+COUNTA(条幅4分の1!$B$11:$B$310),INDEX(条幅4分の1!$E$11:$E$310,25-COUNTA(半紙!$B$11:$B$310)-COUNTA(条幅!$B$11:$B$310)),"")))=0,"",IF(25&lt;=COUNTA(半紙!$B$11:$B$310),INDEX(半紙!$E$11:$E$310,25),IF(25&lt;=COUNTA(半紙!$B$11:$B$310)+COUNTA(条幅!$B$11:$B$310),INDEX(条幅!$E$11:$E$310,25-COUNTA(半紙!$B$11:$B$310)),IF(25&lt;=COUNTA(半紙!$B$11:$B$310)+COUNTA(条幅!$B$11:$B$310)+COUNTA(条幅4分の1!$B$11:$B$310),INDEX(条幅4分の1!$E$11:$E$310,25-COUNTA(半紙!$B$11:$B$310)-COUNTA(条幅!$B$11:$B$310)),""))))</f>
        <v/>
      </c>
      <c r="F30" s="38" t="str">
        <f>IF(IF(25&lt;=COUNTA(半紙!$B$11:$B$310),INDEX(半紙!$F$11:$F$310,25),IF(25&lt;=COUNTA(半紙!$B$11:$B$310)+COUNTA(条幅!$B$11:$B$310),INDEX(条幅!$F$11:$F$310,25-COUNTA(半紙!$B$11:$B$310)),IF(25&lt;=COUNTA(半紙!$B$11:$B$310)+COUNTA(条幅!$B$11:$B$310)+COUNTA(条幅4分の1!$B$11:$B$310),INDEX(条幅4分の1!$F$11:$F$310,25-COUNTA(半紙!$B$11:$B$310)-COUNTA(条幅!$B$11:$B$310)),"")))=0,"",IF(25&lt;=COUNTA(半紙!$B$11:$B$310),INDEX(半紙!$F$11:$F$310,25),IF(25&lt;=COUNTA(半紙!$B$11:$B$310)+COUNTA(条幅!$B$11:$B$310),INDEX(条幅!$F$11:$F$310,25-COUNTA(半紙!$B$11:$B$310)),IF(25&lt;=COUNTA(半紙!$B$11:$B$310)+COUNTA(条幅!$B$11:$B$310)+COUNTA(条幅4分の1!$B$11:$B$310),INDEX(条幅4分の1!$F$11:$F$310,25-COUNTA(半紙!$B$11:$B$310)-COUNTA(条幅!$B$11:$B$310)),""))))</f>
        <v/>
      </c>
      <c r="G30" s="38" t="str">
        <f>IF(IF(25&lt;=COUNTA(半紙!$B$11:$B$310),INDEX(半紙!$G$11:$G$310,25),IF(25&lt;=COUNTA(半紙!$B$11:$B$310)+COUNTA(条幅!$B$11:$B$310),INDEX(条幅!$G$11:$G$310,25-COUNTA(半紙!$B$11:$B$310)),IF(25&lt;=COUNTA(半紙!$B$11:$B$310)+COUNTA(条幅!$B$11:$B$310)+COUNTA(条幅4分の1!$B$11:$B$310),INDEX(条幅4分の1!$G$11:$G$310,25-COUNTA(半紙!$B$11:$B$310)-COUNTA(条幅!$B$11:$B$310)),"")))=0,"",IF(25&lt;=COUNTA(半紙!$B$11:$B$310),INDEX(半紙!$G$11:$G$310,25),IF(25&lt;=COUNTA(半紙!$B$11:$B$310)+COUNTA(条幅!$B$11:$B$310),INDEX(条幅!$G$11:$G$310,25-COUNTA(半紙!$B$11:$B$310)),IF(25&lt;=COUNTA(半紙!$B$11:$B$310)+COUNTA(条幅!$B$11:$B$310)+COUNTA(条幅4分の1!$B$11:$B$310),INDEX(条幅4分の1!$G$11:$G$310,25-COUNTA(半紙!$B$11:$B$310)-COUNTA(条幅!$B$11:$B$310)),""))))</f>
        <v/>
      </c>
      <c r="H30" s="38" t="str">
        <f>IF(IF(25&lt;=COUNTA(半紙!$B$11:$B$310),INDEX(半紙!$H$11:$H$310,25),IF(25&lt;=COUNTA(半紙!$B$11:$B$310)+COUNTA(条幅!$B$11:$B$310),INDEX(条幅!$H$11:$H$310,25-COUNTA(半紙!$B$11:$B$310)),IF(25&lt;=COUNTA(半紙!$B$11:$B$310)+COUNTA(条幅!$B$11:$B$310)+COUNTA(条幅4分の1!$B$11:$B$310),INDEX(条幅4分の1!$H$11:$H$310,25-COUNTA(半紙!$B$11:$B$310)-COUNTA(条幅!$B$11:$B$310)),"")))=0,"",IF(25&lt;=COUNTA(半紙!$B$11:$B$310),INDEX(半紙!$H$11:$H$310,25),IF(25&lt;=COUNTA(半紙!$B$11:$B$310)+COUNTA(条幅!$B$11:$B$310),INDEX(条幅!$H$11:$H$310,25-COUNTA(半紙!$B$11:$B$310)),IF(25&lt;=COUNTA(半紙!$B$11:$B$310)+COUNTA(条幅!$B$11:$B$310)+COUNTA(条幅4分の1!$B$11:$B$310),INDEX(条幅4分の1!$H$11:$H$310,25-COUNTA(半紙!$B$11:$B$310)-COUNTA(条幅!$B$11:$B$310)),""))))</f>
        <v/>
      </c>
      <c r="I30" s="38" t="str">
        <f>IF(IF(25&lt;=COUNTA(半紙!$B$11:$B$310),INDEX(半紙!$I$11:$I$310,25),IF(25&lt;=COUNTA(半紙!$B$11:$B$310)+COUNTA(条幅!$B$11:$B$310),INDEX(条幅!$I$11:$I$310,25-COUNTA(半紙!$B$11:$B$310)),IF(25&lt;=COUNTA(半紙!$B$11:$B$310)+COUNTA(条幅!$B$11:$B$310)+COUNTA(条幅4分の1!$B$11:$B$310),INDEX(条幅4分の1!$I$11:$I$310,25-COUNTA(半紙!$B$11:$B$310)-COUNTA(条幅!$B$11:$B$310)),"")))=0,"",IF(25&lt;=COUNTA(半紙!$B$11:$B$310),INDEX(半紙!$I$11:$I$310,25),IF(25&lt;=COUNTA(半紙!$B$11:$B$310)+COUNTA(条幅!$B$11:$B$310),INDEX(条幅!$I$11:$I$310,25-COUNTA(半紙!$B$11:$B$310)),IF(25&lt;=COUNTA(半紙!$B$11:$B$310)+COUNTA(条幅!$B$11:$B$310)+COUNTA(条幅4分の1!$B$11:$B$310),INDEX(条幅4分の1!$I$11:$I$310,25-COUNTA(半紙!$B$11:$B$310)-COUNTA(条幅!$B$11:$B$310)),""))))</f>
        <v/>
      </c>
      <c r="J30" s="38" t="str">
        <f>IF(IF(25&lt;=COUNTA(半紙!$B$11:$B$310),INDEX(半紙!$J$11:$J$310,25),IF(25&lt;=COUNTA(半紙!$B$11:$B$310)+COUNTA(条幅!$B$11:$B$310),INDEX(条幅!$J$11:$J$310,25-COUNTA(半紙!$B$11:$B$310)),IF(25&lt;=COUNTA(半紙!$B$11:$B$310)+COUNTA(条幅!$B$11:$B$310)+COUNTA(条幅4分の1!$B$11:$B$310),INDEX(条幅4分の1!$J$11:$J$310,25-COUNTA(半紙!$B$11:$B$310)-COUNTA(条幅!$B$11:$B$310)),"")))=0,"",IF(25&lt;=COUNTA(半紙!$B$11:$B$310),INDEX(半紙!$J$11:$J$310,25),IF(25&lt;=COUNTA(半紙!$B$11:$B$310)+COUNTA(条幅!$B$11:$B$310),INDEX(条幅!$J$11:$J$310,25-COUNTA(半紙!$B$11:$B$310)),IF(25&lt;=COUNTA(半紙!$B$11:$B$310)+COUNTA(条幅!$B$11:$B$310)+COUNTA(条幅4分の1!$B$11:$B$310),INDEX(条幅4分の1!$J$11:$J$310,25-COUNTA(半紙!$B$11:$B$310)-COUNTA(条幅!$B$11:$B$310)),""))))</f>
        <v/>
      </c>
      <c r="K30" s="38" t="str">
        <f>IF(IF(25&lt;=COUNTA(半紙!$B$11:$B$310),INDEX(半紙!$K$11:$K$310,25),IF(25&lt;=COUNTA(半紙!$B$11:$B$310)+COUNTA(条幅!$B$11:$B$310),INDEX(条幅!$K$11:$K$310,25-COUNTA(半紙!$B$11:$B$310)),IF(25&lt;=COUNTA(半紙!$B$11:$B$310)+COUNTA(条幅!$B$11:$B$310)+COUNTA(条幅4分の1!$B$11:$B$310),INDEX(条幅4分の1!$K$11:$K$310,25-COUNTA(半紙!$B$11:$B$310)-COUNTA(条幅!$B$11:$B$310)),"")))=0,"",IF(25&lt;=COUNTA(半紙!$B$11:$B$310),INDEX(半紙!$K$11:$K$310,25),IF(25&lt;=COUNTA(半紙!$B$11:$B$310)+COUNTA(条幅!$B$11:$B$310),INDEX(条幅!$K$11:$K$310,25-COUNTA(半紙!$B$11:$B$310)),IF(25&lt;=COUNTA(半紙!$B$11:$B$310)+COUNTA(条幅!$B$11:$B$310)+COUNTA(条幅4分の1!$B$11:$B$310),INDEX(条幅4分の1!$K$11:$K$310,25-COUNTA(半紙!$B$11:$B$310)-COUNTA(条幅!$B$11:$B$310)),""))))</f>
        <v/>
      </c>
      <c r="L30" s="48" t="str">
        <f>IF($B30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25))</f>
        <v/>
      </c>
    </row>
    <row r="31" spans="1:12" ht="15" customHeight="1">
      <c r="A31" s="37" t="str">
        <f>IF(26&lt;=COUNTA(半紙!$B$11:$B$310),"半紙",IF(26&lt;=COUNTA(半紙!$B$11:$B$310)+COUNTA(条幅!$B$11:$B$310),"条幅(半切)",IF(26&lt;=COUNTA(半紙!$B$11:$B$310)+COUNTA(条幅!$B$11:$B$310)+COUNTA(条幅4分の1!$B$11:$B$310),"条幅(1/4)","")))</f>
        <v/>
      </c>
      <c r="B31" s="38" t="str">
        <f>IF(IF(26&lt;=COUNTA(半紙!$B$11:$B$310),INDEX(半紙!$B$11:$B$310,26),IF(26&lt;=COUNTA(半紙!$B$11:$B$310)+COUNTA(条幅!$B$11:$B$310),INDEX(条幅!$B$11:$B$310,26-COUNTA(半紙!$B$11:$B$310)),IF(26&lt;=COUNTA(半紙!$B$11:$B$310)+COUNTA(条幅!$B$11:$B$310)+COUNTA(条幅4分の1!$B$11:$B$310),INDEX(条幅4分の1!$B$11:$B$310,26-COUNTA(半紙!$B$11:$B$310)-COUNTA(条幅!$B$11:$B$310)),"")))=0,"",IF(26&lt;=COUNTA(半紙!$B$11:$B$310),INDEX(半紙!$B$11:$B$310,26),IF(26&lt;=COUNTA(半紙!$B$11:$B$310)+COUNTA(条幅!$B$11:$B$310),INDEX(条幅!$B$11:$B$310,26-COUNTA(半紙!$B$11:$B$310)),IF(26&lt;=COUNTA(半紙!$B$11:$B$310)+COUNTA(条幅!$B$11:$B$310)+COUNTA(条幅4分の1!$B$11:$B$310),INDEX(条幅4分の1!$B$11:$B$310,26-COUNTA(半紙!$B$11:$B$310)-COUNTA(条幅!$B$11:$B$310)),""))))</f>
        <v/>
      </c>
      <c r="C31" s="38" t="str">
        <f>IF(IF(26&lt;=COUNTA(半紙!$B$11:$B$310),INDEX(半紙!$C$11:$C$310,26),IF(26&lt;=COUNTA(半紙!$B$11:$B$310)+COUNTA(条幅!$B$11:$B$310),INDEX(条幅!$C$11:$C$310,26-COUNTA(半紙!$B$11:$B$310)),IF(26&lt;=COUNTA(半紙!$B$11:$B$310)+COUNTA(条幅!$B$11:$B$310)+COUNTA(条幅4分の1!$B$11:$B$310),INDEX(条幅4分の1!$C$11:$C$310,26-COUNTA(半紙!$B$11:$B$310)-COUNTA(条幅!$B$11:$B$310)),"")))=0,"",IF(26&lt;=COUNTA(半紙!$B$11:$B$310),INDEX(半紙!$C$11:$C$310,26),IF(26&lt;=COUNTA(半紙!$B$11:$B$310)+COUNTA(条幅!$B$11:$B$310),INDEX(条幅!$C$11:$C$310,26-COUNTA(半紙!$B$11:$B$310)),IF(26&lt;=COUNTA(半紙!$B$11:$B$310)+COUNTA(条幅!$B$11:$B$310)+COUNTA(条幅4分の1!$B$11:$B$310),INDEX(条幅4分の1!$C$11:$C$310,26-COUNTA(半紙!$B$11:$B$310)-COUNTA(条幅!$B$11:$B$310)),""))))</f>
        <v/>
      </c>
      <c r="D31" s="38" t="str">
        <f>IF(IF(26&lt;=COUNTA(半紙!$B$11:$B$310),INDEX(半紙!$D$11:$D$310,26),IF(26&lt;=COUNTA(半紙!$B$11:$B$310)+COUNTA(条幅!$B$11:$B$310),INDEX(条幅!$D$11:$D$310,26-COUNTA(半紙!$B$11:$B$310)),IF(26&lt;=COUNTA(半紙!$B$11:$B$310)+COUNTA(条幅!$B$11:$B$310)+COUNTA(条幅4分の1!$B$11:$B$310),INDEX(条幅4分の1!$D$11:$D$310,26-COUNTA(半紙!$B$11:$B$310)-COUNTA(条幅!$B$11:$B$310)),"")))=0,"",IF(26&lt;=COUNTA(半紙!$B$11:$B$310),INDEX(半紙!$D$11:$D$310,26),IF(26&lt;=COUNTA(半紙!$B$11:$B$310)+COUNTA(条幅!$B$11:$B$310),INDEX(条幅!$D$11:$D$310,26-COUNTA(半紙!$B$11:$B$310)),IF(26&lt;=COUNTA(半紙!$B$11:$B$310)+COUNTA(条幅!$B$11:$B$310)+COUNTA(条幅4分の1!$B$11:$B$310),INDEX(条幅4分の1!$D$11:$D$310,26-COUNTA(半紙!$B$11:$B$310)-COUNTA(条幅!$B$11:$B$310)),""))))</f>
        <v/>
      </c>
      <c r="E31" s="38" t="str">
        <f>IF(IF(26&lt;=COUNTA(半紙!$B$11:$B$310),INDEX(半紙!$E$11:$E$310,26),IF(26&lt;=COUNTA(半紙!$B$11:$B$310)+COUNTA(条幅!$B$11:$B$310),INDEX(条幅!$E$11:$E$310,26-COUNTA(半紙!$B$11:$B$310)),IF(26&lt;=COUNTA(半紙!$B$11:$B$310)+COUNTA(条幅!$B$11:$B$310)+COUNTA(条幅4分の1!$B$11:$B$310),INDEX(条幅4分の1!$E$11:$E$310,26-COUNTA(半紙!$B$11:$B$310)-COUNTA(条幅!$B$11:$B$310)),"")))=0,"",IF(26&lt;=COUNTA(半紙!$B$11:$B$310),INDEX(半紙!$E$11:$E$310,26),IF(26&lt;=COUNTA(半紙!$B$11:$B$310)+COUNTA(条幅!$B$11:$B$310),INDEX(条幅!$E$11:$E$310,26-COUNTA(半紙!$B$11:$B$310)),IF(26&lt;=COUNTA(半紙!$B$11:$B$310)+COUNTA(条幅!$B$11:$B$310)+COUNTA(条幅4分の1!$B$11:$B$310),INDEX(条幅4分の1!$E$11:$E$310,26-COUNTA(半紙!$B$11:$B$310)-COUNTA(条幅!$B$11:$B$310)),""))))</f>
        <v/>
      </c>
      <c r="F31" s="38" t="str">
        <f>IF(IF(26&lt;=COUNTA(半紙!$B$11:$B$310),INDEX(半紙!$F$11:$F$310,26),IF(26&lt;=COUNTA(半紙!$B$11:$B$310)+COUNTA(条幅!$B$11:$B$310),INDEX(条幅!$F$11:$F$310,26-COUNTA(半紙!$B$11:$B$310)),IF(26&lt;=COUNTA(半紙!$B$11:$B$310)+COUNTA(条幅!$B$11:$B$310)+COUNTA(条幅4分の1!$B$11:$B$310),INDEX(条幅4分の1!$F$11:$F$310,26-COUNTA(半紙!$B$11:$B$310)-COUNTA(条幅!$B$11:$B$310)),"")))=0,"",IF(26&lt;=COUNTA(半紙!$B$11:$B$310),INDEX(半紙!$F$11:$F$310,26),IF(26&lt;=COUNTA(半紙!$B$11:$B$310)+COUNTA(条幅!$B$11:$B$310),INDEX(条幅!$F$11:$F$310,26-COUNTA(半紙!$B$11:$B$310)),IF(26&lt;=COUNTA(半紙!$B$11:$B$310)+COUNTA(条幅!$B$11:$B$310)+COUNTA(条幅4分の1!$B$11:$B$310),INDEX(条幅4分の1!$F$11:$F$310,26-COUNTA(半紙!$B$11:$B$310)-COUNTA(条幅!$B$11:$B$310)),""))))</f>
        <v/>
      </c>
      <c r="G31" s="38" t="str">
        <f>IF(IF(26&lt;=COUNTA(半紙!$B$11:$B$310),INDEX(半紙!$G$11:$G$310,26),IF(26&lt;=COUNTA(半紙!$B$11:$B$310)+COUNTA(条幅!$B$11:$B$310),INDEX(条幅!$G$11:$G$310,26-COUNTA(半紙!$B$11:$B$310)),IF(26&lt;=COUNTA(半紙!$B$11:$B$310)+COUNTA(条幅!$B$11:$B$310)+COUNTA(条幅4分の1!$B$11:$B$310),INDEX(条幅4分の1!$G$11:$G$310,26-COUNTA(半紙!$B$11:$B$310)-COUNTA(条幅!$B$11:$B$310)),"")))=0,"",IF(26&lt;=COUNTA(半紙!$B$11:$B$310),INDEX(半紙!$G$11:$G$310,26),IF(26&lt;=COUNTA(半紙!$B$11:$B$310)+COUNTA(条幅!$B$11:$B$310),INDEX(条幅!$G$11:$G$310,26-COUNTA(半紙!$B$11:$B$310)),IF(26&lt;=COUNTA(半紙!$B$11:$B$310)+COUNTA(条幅!$B$11:$B$310)+COUNTA(条幅4分の1!$B$11:$B$310),INDEX(条幅4分の1!$G$11:$G$310,26-COUNTA(半紙!$B$11:$B$310)-COUNTA(条幅!$B$11:$B$310)),""))))</f>
        <v/>
      </c>
      <c r="H31" s="38" t="str">
        <f>IF(IF(26&lt;=COUNTA(半紙!$B$11:$B$310),INDEX(半紙!$H$11:$H$310,26),IF(26&lt;=COUNTA(半紙!$B$11:$B$310)+COUNTA(条幅!$B$11:$B$310),INDEX(条幅!$H$11:$H$310,26-COUNTA(半紙!$B$11:$B$310)),IF(26&lt;=COUNTA(半紙!$B$11:$B$310)+COUNTA(条幅!$B$11:$B$310)+COUNTA(条幅4分の1!$B$11:$B$310),INDEX(条幅4分の1!$H$11:$H$310,26-COUNTA(半紙!$B$11:$B$310)-COUNTA(条幅!$B$11:$B$310)),"")))=0,"",IF(26&lt;=COUNTA(半紙!$B$11:$B$310),INDEX(半紙!$H$11:$H$310,26),IF(26&lt;=COUNTA(半紙!$B$11:$B$310)+COUNTA(条幅!$B$11:$B$310),INDEX(条幅!$H$11:$H$310,26-COUNTA(半紙!$B$11:$B$310)),IF(26&lt;=COUNTA(半紙!$B$11:$B$310)+COUNTA(条幅!$B$11:$B$310)+COUNTA(条幅4分の1!$B$11:$B$310),INDEX(条幅4分の1!$H$11:$H$310,26-COUNTA(半紙!$B$11:$B$310)-COUNTA(条幅!$B$11:$B$310)),""))))</f>
        <v/>
      </c>
      <c r="I31" s="38" t="str">
        <f>IF(IF(26&lt;=COUNTA(半紙!$B$11:$B$310),INDEX(半紙!$I$11:$I$310,26),IF(26&lt;=COUNTA(半紙!$B$11:$B$310)+COUNTA(条幅!$B$11:$B$310),INDEX(条幅!$I$11:$I$310,26-COUNTA(半紙!$B$11:$B$310)),IF(26&lt;=COUNTA(半紙!$B$11:$B$310)+COUNTA(条幅!$B$11:$B$310)+COUNTA(条幅4分の1!$B$11:$B$310),INDEX(条幅4分の1!$I$11:$I$310,26-COUNTA(半紙!$B$11:$B$310)-COUNTA(条幅!$B$11:$B$310)),"")))=0,"",IF(26&lt;=COUNTA(半紙!$B$11:$B$310),INDEX(半紙!$I$11:$I$310,26),IF(26&lt;=COUNTA(半紙!$B$11:$B$310)+COUNTA(条幅!$B$11:$B$310),INDEX(条幅!$I$11:$I$310,26-COUNTA(半紙!$B$11:$B$310)),IF(26&lt;=COUNTA(半紙!$B$11:$B$310)+COUNTA(条幅!$B$11:$B$310)+COUNTA(条幅4分の1!$B$11:$B$310),INDEX(条幅4分の1!$I$11:$I$310,26-COUNTA(半紙!$B$11:$B$310)-COUNTA(条幅!$B$11:$B$310)),""))))</f>
        <v/>
      </c>
      <c r="J31" s="38" t="str">
        <f>IF(IF(26&lt;=COUNTA(半紙!$B$11:$B$310),INDEX(半紙!$J$11:$J$310,26),IF(26&lt;=COUNTA(半紙!$B$11:$B$310)+COUNTA(条幅!$B$11:$B$310),INDEX(条幅!$J$11:$J$310,26-COUNTA(半紙!$B$11:$B$310)),IF(26&lt;=COUNTA(半紙!$B$11:$B$310)+COUNTA(条幅!$B$11:$B$310)+COUNTA(条幅4分の1!$B$11:$B$310),INDEX(条幅4分の1!$J$11:$J$310,26-COUNTA(半紙!$B$11:$B$310)-COUNTA(条幅!$B$11:$B$310)),"")))=0,"",IF(26&lt;=COUNTA(半紙!$B$11:$B$310),INDEX(半紙!$J$11:$J$310,26),IF(26&lt;=COUNTA(半紙!$B$11:$B$310)+COUNTA(条幅!$B$11:$B$310),INDEX(条幅!$J$11:$J$310,26-COUNTA(半紙!$B$11:$B$310)),IF(26&lt;=COUNTA(半紙!$B$11:$B$310)+COUNTA(条幅!$B$11:$B$310)+COUNTA(条幅4分の1!$B$11:$B$310),INDEX(条幅4分の1!$J$11:$J$310,26-COUNTA(半紙!$B$11:$B$310)-COUNTA(条幅!$B$11:$B$310)),""))))</f>
        <v/>
      </c>
      <c r="K31" s="38" t="str">
        <f>IF(IF(26&lt;=COUNTA(半紙!$B$11:$B$310),INDEX(半紙!$K$11:$K$310,26),IF(26&lt;=COUNTA(半紙!$B$11:$B$310)+COUNTA(条幅!$B$11:$B$310),INDEX(条幅!$K$11:$K$310,26-COUNTA(半紙!$B$11:$B$310)),IF(26&lt;=COUNTA(半紙!$B$11:$B$310)+COUNTA(条幅!$B$11:$B$310)+COUNTA(条幅4分の1!$B$11:$B$310),INDEX(条幅4分の1!$K$11:$K$310,26-COUNTA(半紙!$B$11:$B$310)-COUNTA(条幅!$B$11:$B$310)),"")))=0,"",IF(26&lt;=COUNTA(半紙!$B$11:$B$310),INDEX(半紙!$K$11:$K$310,26),IF(26&lt;=COUNTA(半紙!$B$11:$B$310)+COUNTA(条幅!$B$11:$B$310),INDEX(条幅!$K$11:$K$310,26-COUNTA(半紙!$B$11:$B$310)),IF(26&lt;=COUNTA(半紙!$B$11:$B$310)+COUNTA(条幅!$B$11:$B$310)+COUNTA(条幅4分の1!$B$11:$B$310),INDEX(条幅4分の1!$K$11:$K$310,26-COUNTA(半紙!$B$11:$B$310)-COUNTA(条幅!$B$11:$B$310)),""))))</f>
        <v/>
      </c>
      <c r="L31" s="48" t="str">
        <f>IF($B31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26))</f>
        <v/>
      </c>
    </row>
    <row r="32" spans="1:12" ht="15" customHeight="1">
      <c r="A32" s="37" t="str">
        <f>IF(27&lt;=COUNTA(半紙!$B$11:$B$310),"半紙",IF(27&lt;=COUNTA(半紙!$B$11:$B$310)+COUNTA(条幅!$B$11:$B$310),"条幅(半切)",IF(27&lt;=COUNTA(半紙!$B$11:$B$310)+COUNTA(条幅!$B$11:$B$310)+COUNTA(条幅4分の1!$B$11:$B$310),"条幅(1/4)","")))</f>
        <v/>
      </c>
      <c r="B32" s="38" t="str">
        <f>IF(IF(27&lt;=COUNTA(半紙!$B$11:$B$310),INDEX(半紙!$B$11:$B$310,27),IF(27&lt;=COUNTA(半紙!$B$11:$B$310)+COUNTA(条幅!$B$11:$B$310),INDEX(条幅!$B$11:$B$310,27-COUNTA(半紙!$B$11:$B$310)),IF(27&lt;=COUNTA(半紙!$B$11:$B$310)+COUNTA(条幅!$B$11:$B$310)+COUNTA(条幅4分の1!$B$11:$B$310),INDEX(条幅4分の1!$B$11:$B$310,27-COUNTA(半紙!$B$11:$B$310)-COUNTA(条幅!$B$11:$B$310)),"")))=0,"",IF(27&lt;=COUNTA(半紙!$B$11:$B$310),INDEX(半紙!$B$11:$B$310,27),IF(27&lt;=COUNTA(半紙!$B$11:$B$310)+COUNTA(条幅!$B$11:$B$310),INDEX(条幅!$B$11:$B$310,27-COUNTA(半紙!$B$11:$B$310)),IF(27&lt;=COUNTA(半紙!$B$11:$B$310)+COUNTA(条幅!$B$11:$B$310)+COUNTA(条幅4分の1!$B$11:$B$310),INDEX(条幅4分の1!$B$11:$B$310,27-COUNTA(半紙!$B$11:$B$310)-COUNTA(条幅!$B$11:$B$310)),""))))</f>
        <v/>
      </c>
      <c r="C32" s="38" t="str">
        <f>IF(IF(27&lt;=COUNTA(半紙!$B$11:$B$310),INDEX(半紙!$C$11:$C$310,27),IF(27&lt;=COUNTA(半紙!$B$11:$B$310)+COUNTA(条幅!$B$11:$B$310),INDEX(条幅!$C$11:$C$310,27-COUNTA(半紙!$B$11:$B$310)),IF(27&lt;=COUNTA(半紙!$B$11:$B$310)+COUNTA(条幅!$B$11:$B$310)+COUNTA(条幅4分の1!$B$11:$B$310),INDEX(条幅4分の1!$C$11:$C$310,27-COUNTA(半紙!$B$11:$B$310)-COUNTA(条幅!$B$11:$B$310)),"")))=0,"",IF(27&lt;=COUNTA(半紙!$B$11:$B$310),INDEX(半紙!$C$11:$C$310,27),IF(27&lt;=COUNTA(半紙!$B$11:$B$310)+COUNTA(条幅!$B$11:$B$310),INDEX(条幅!$C$11:$C$310,27-COUNTA(半紙!$B$11:$B$310)),IF(27&lt;=COUNTA(半紙!$B$11:$B$310)+COUNTA(条幅!$B$11:$B$310)+COUNTA(条幅4分の1!$B$11:$B$310),INDEX(条幅4分の1!$C$11:$C$310,27-COUNTA(半紙!$B$11:$B$310)-COUNTA(条幅!$B$11:$B$310)),""))))</f>
        <v/>
      </c>
      <c r="D32" s="38" t="str">
        <f>IF(IF(27&lt;=COUNTA(半紙!$B$11:$B$310),INDEX(半紙!$D$11:$D$310,27),IF(27&lt;=COUNTA(半紙!$B$11:$B$310)+COUNTA(条幅!$B$11:$B$310),INDEX(条幅!$D$11:$D$310,27-COUNTA(半紙!$B$11:$B$310)),IF(27&lt;=COUNTA(半紙!$B$11:$B$310)+COUNTA(条幅!$B$11:$B$310)+COUNTA(条幅4分の1!$B$11:$B$310),INDEX(条幅4分の1!$D$11:$D$310,27-COUNTA(半紙!$B$11:$B$310)-COUNTA(条幅!$B$11:$B$310)),"")))=0,"",IF(27&lt;=COUNTA(半紙!$B$11:$B$310),INDEX(半紙!$D$11:$D$310,27),IF(27&lt;=COUNTA(半紙!$B$11:$B$310)+COUNTA(条幅!$B$11:$B$310),INDEX(条幅!$D$11:$D$310,27-COUNTA(半紙!$B$11:$B$310)),IF(27&lt;=COUNTA(半紙!$B$11:$B$310)+COUNTA(条幅!$B$11:$B$310)+COUNTA(条幅4分の1!$B$11:$B$310),INDEX(条幅4分の1!$D$11:$D$310,27-COUNTA(半紙!$B$11:$B$310)-COUNTA(条幅!$B$11:$B$310)),""))))</f>
        <v/>
      </c>
      <c r="E32" s="38" t="str">
        <f>IF(IF(27&lt;=COUNTA(半紙!$B$11:$B$310),INDEX(半紙!$E$11:$E$310,27),IF(27&lt;=COUNTA(半紙!$B$11:$B$310)+COUNTA(条幅!$B$11:$B$310),INDEX(条幅!$E$11:$E$310,27-COUNTA(半紙!$B$11:$B$310)),IF(27&lt;=COUNTA(半紙!$B$11:$B$310)+COUNTA(条幅!$B$11:$B$310)+COUNTA(条幅4分の1!$B$11:$B$310),INDEX(条幅4分の1!$E$11:$E$310,27-COUNTA(半紙!$B$11:$B$310)-COUNTA(条幅!$B$11:$B$310)),"")))=0,"",IF(27&lt;=COUNTA(半紙!$B$11:$B$310),INDEX(半紙!$E$11:$E$310,27),IF(27&lt;=COUNTA(半紙!$B$11:$B$310)+COUNTA(条幅!$B$11:$B$310),INDEX(条幅!$E$11:$E$310,27-COUNTA(半紙!$B$11:$B$310)),IF(27&lt;=COUNTA(半紙!$B$11:$B$310)+COUNTA(条幅!$B$11:$B$310)+COUNTA(条幅4分の1!$B$11:$B$310),INDEX(条幅4分の1!$E$11:$E$310,27-COUNTA(半紙!$B$11:$B$310)-COUNTA(条幅!$B$11:$B$310)),""))))</f>
        <v/>
      </c>
      <c r="F32" s="38" t="str">
        <f>IF(IF(27&lt;=COUNTA(半紙!$B$11:$B$310),INDEX(半紙!$F$11:$F$310,27),IF(27&lt;=COUNTA(半紙!$B$11:$B$310)+COUNTA(条幅!$B$11:$B$310),INDEX(条幅!$F$11:$F$310,27-COUNTA(半紙!$B$11:$B$310)),IF(27&lt;=COUNTA(半紙!$B$11:$B$310)+COUNTA(条幅!$B$11:$B$310)+COUNTA(条幅4分の1!$B$11:$B$310),INDEX(条幅4分の1!$F$11:$F$310,27-COUNTA(半紙!$B$11:$B$310)-COUNTA(条幅!$B$11:$B$310)),"")))=0,"",IF(27&lt;=COUNTA(半紙!$B$11:$B$310),INDEX(半紙!$F$11:$F$310,27),IF(27&lt;=COUNTA(半紙!$B$11:$B$310)+COUNTA(条幅!$B$11:$B$310),INDEX(条幅!$F$11:$F$310,27-COUNTA(半紙!$B$11:$B$310)),IF(27&lt;=COUNTA(半紙!$B$11:$B$310)+COUNTA(条幅!$B$11:$B$310)+COUNTA(条幅4分の1!$B$11:$B$310),INDEX(条幅4分の1!$F$11:$F$310,27-COUNTA(半紙!$B$11:$B$310)-COUNTA(条幅!$B$11:$B$310)),""))))</f>
        <v/>
      </c>
      <c r="G32" s="38" t="str">
        <f>IF(IF(27&lt;=COUNTA(半紙!$B$11:$B$310),INDEX(半紙!$G$11:$G$310,27),IF(27&lt;=COUNTA(半紙!$B$11:$B$310)+COUNTA(条幅!$B$11:$B$310),INDEX(条幅!$G$11:$G$310,27-COUNTA(半紙!$B$11:$B$310)),IF(27&lt;=COUNTA(半紙!$B$11:$B$310)+COUNTA(条幅!$B$11:$B$310)+COUNTA(条幅4分の1!$B$11:$B$310),INDEX(条幅4分の1!$G$11:$G$310,27-COUNTA(半紙!$B$11:$B$310)-COUNTA(条幅!$B$11:$B$310)),"")))=0,"",IF(27&lt;=COUNTA(半紙!$B$11:$B$310),INDEX(半紙!$G$11:$G$310,27),IF(27&lt;=COUNTA(半紙!$B$11:$B$310)+COUNTA(条幅!$B$11:$B$310),INDEX(条幅!$G$11:$G$310,27-COUNTA(半紙!$B$11:$B$310)),IF(27&lt;=COUNTA(半紙!$B$11:$B$310)+COUNTA(条幅!$B$11:$B$310)+COUNTA(条幅4分の1!$B$11:$B$310),INDEX(条幅4分の1!$G$11:$G$310,27-COUNTA(半紙!$B$11:$B$310)-COUNTA(条幅!$B$11:$B$310)),""))))</f>
        <v/>
      </c>
      <c r="H32" s="38" t="str">
        <f>IF(IF(27&lt;=COUNTA(半紙!$B$11:$B$310),INDEX(半紙!$H$11:$H$310,27),IF(27&lt;=COUNTA(半紙!$B$11:$B$310)+COUNTA(条幅!$B$11:$B$310),INDEX(条幅!$H$11:$H$310,27-COUNTA(半紙!$B$11:$B$310)),IF(27&lt;=COUNTA(半紙!$B$11:$B$310)+COUNTA(条幅!$B$11:$B$310)+COUNTA(条幅4分の1!$B$11:$B$310),INDEX(条幅4分の1!$H$11:$H$310,27-COUNTA(半紙!$B$11:$B$310)-COUNTA(条幅!$B$11:$B$310)),"")))=0,"",IF(27&lt;=COUNTA(半紙!$B$11:$B$310),INDEX(半紙!$H$11:$H$310,27),IF(27&lt;=COUNTA(半紙!$B$11:$B$310)+COUNTA(条幅!$B$11:$B$310),INDEX(条幅!$H$11:$H$310,27-COUNTA(半紙!$B$11:$B$310)),IF(27&lt;=COUNTA(半紙!$B$11:$B$310)+COUNTA(条幅!$B$11:$B$310)+COUNTA(条幅4分の1!$B$11:$B$310),INDEX(条幅4分の1!$H$11:$H$310,27-COUNTA(半紙!$B$11:$B$310)-COUNTA(条幅!$B$11:$B$310)),""))))</f>
        <v/>
      </c>
      <c r="I32" s="38" t="str">
        <f>IF(IF(27&lt;=COUNTA(半紙!$B$11:$B$310),INDEX(半紙!$I$11:$I$310,27),IF(27&lt;=COUNTA(半紙!$B$11:$B$310)+COUNTA(条幅!$B$11:$B$310),INDEX(条幅!$I$11:$I$310,27-COUNTA(半紙!$B$11:$B$310)),IF(27&lt;=COUNTA(半紙!$B$11:$B$310)+COUNTA(条幅!$B$11:$B$310)+COUNTA(条幅4分の1!$B$11:$B$310),INDEX(条幅4分の1!$I$11:$I$310,27-COUNTA(半紙!$B$11:$B$310)-COUNTA(条幅!$B$11:$B$310)),"")))=0,"",IF(27&lt;=COUNTA(半紙!$B$11:$B$310),INDEX(半紙!$I$11:$I$310,27),IF(27&lt;=COUNTA(半紙!$B$11:$B$310)+COUNTA(条幅!$B$11:$B$310),INDEX(条幅!$I$11:$I$310,27-COUNTA(半紙!$B$11:$B$310)),IF(27&lt;=COUNTA(半紙!$B$11:$B$310)+COUNTA(条幅!$B$11:$B$310)+COUNTA(条幅4分の1!$B$11:$B$310),INDEX(条幅4分の1!$I$11:$I$310,27-COUNTA(半紙!$B$11:$B$310)-COUNTA(条幅!$B$11:$B$310)),""))))</f>
        <v/>
      </c>
      <c r="J32" s="38" t="str">
        <f>IF(IF(27&lt;=COUNTA(半紙!$B$11:$B$310),INDEX(半紙!$J$11:$J$310,27),IF(27&lt;=COUNTA(半紙!$B$11:$B$310)+COUNTA(条幅!$B$11:$B$310),INDEX(条幅!$J$11:$J$310,27-COUNTA(半紙!$B$11:$B$310)),IF(27&lt;=COUNTA(半紙!$B$11:$B$310)+COUNTA(条幅!$B$11:$B$310)+COUNTA(条幅4分の1!$B$11:$B$310),INDEX(条幅4分の1!$J$11:$J$310,27-COUNTA(半紙!$B$11:$B$310)-COUNTA(条幅!$B$11:$B$310)),"")))=0,"",IF(27&lt;=COUNTA(半紙!$B$11:$B$310),INDEX(半紙!$J$11:$J$310,27),IF(27&lt;=COUNTA(半紙!$B$11:$B$310)+COUNTA(条幅!$B$11:$B$310),INDEX(条幅!$J$11:$J$310,27-COUNTA(半紙!$B$11:$B$310)),IF(27&lt;=COUNTA(半紙!$B$11:$B$310)+COUNTA(条幅!$B$11:$B$310)+COUNTA(条幅4分の1!$B$11:$B$310),INDEX(条幅4分の1!$J$11:$J$310,27-COUNTA(半紙!$B$11:$B$310)-COUNTA(条幅!$B$11:$B$310)),""))))</f>
        <v/>
      </c>
      <c r="K32" s="38" t="str">
        <f>IF(IF(27&lt;=COUNTA(半紙!$B$11:$B$310),INDEX(半紙!$K$11:$K$310,27),IF(27&lt;=COUNTA(半紙!$B$11:$B$310)+COUNTA(条幅!$B$11:$B$310),INDEX(条幅!$K$11:$K$310,27-COUNTA(半紙!$B$11:$B$310)),IF(27&lt;=COUNTA(半紙!$B$11:$B$310)+COUNTA(条幅!$B$11:$B$310)+COUNTA(条幅4分の1!$B$11:$B$310),INDEX(条幅4分の1!$K$11:$K$310,27-COUNTA(半紙!$B$11:$B$310)-COUNTA(条幅!$B$11:$B$310)),"")))=0,"",IF(27&lt;=COUNTA(半紙!$B$11:$B$310),INDEX(半紙!$K$11:$K$310,27),IF(27&lt;=COUNTA(半紙!$B$11:$B$310)+COUNTA(条幅!$B$11:$B$310),INDEX(条幅!$K$11:$K$310,27-COUNTA(半紙!$B$11:$B$310)),IF(27&lt;=COUNTA(半紙!$B$11:$B$310)+COUNTA(条幅!$B$11:$B$310)+COUNTA(条幅4分の1!$B$11:$B$310),INDEX(条幅4分の1!$K$11:$K$310,27-COUNTA(半紙!$B$11:$B$310)-COUNTA(条幅!$B$11:$B$310)),""))))</f>
        <v/>
      </c>
      <c r="L32" s="48" t="str">
        <f>IF($B32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27))</f>
        <v/>
      </c>
    </row>
    <row r="33" spans="1:12" ht="15" customHeight="1">
      <c r="A33" s="37" t="str">
        <f>IF(28&lt;=COUNTA(半紙!$B$11:$B$310),"半紙",IF(28&lt;=COUNTA(半紙!$B$11:$B$310)+COUNTA(条幅!$B$11:$B$310),"条幅(半切)",IF(28&lt;=COUNTA(半紙!$B$11:$B$310)+COUNTA(条幅!$B$11:$B$310)+COUNTA(条幅4分の1!$B$11:$B$310),"条幅(1/4)","")))</f>
        <v/>
      </c>
      <c r="B33" s="38" t="str">
        <f>IF(IF(28&lt;=COUNTA(半紙!$B$11:$B$310),INDEX(半紙!$B$11:$B$310,28),IF(28&lt;=COUNTA(半紙!$B$11:$B$310)+COUNTA(条幅!$B$11:$B$310),INDEX(条幅!$B$11:$B$310,28-COUNTA(半紙!$B$11:$B$310)),IF(28&lt;=COUNTA(半紙!$B$11:$B$310)+COUNTA(条幅!$B$11:$B$310)+COUNTA(条幅4分の1!$B$11:$B$310),INDEX(条幅4分の1!$B$11:$B$310,28-COUNTA(半紙!$B$11:$B$310)-COUNTA(条幅!$B$11:$B$310)),"")))=0,"",IF(28&lt;=COUNTA(半紙!$B$11:$B$310),INDEX(半紙!$B$11:$B$310,28),IF(28&lt;=COUNTA(半紙!$B$11:$B$310)+COUNTA(条幅!$B$11:$B$310),INDEX(条幅!$B$11:$B$310,28-COUNTA(半紙!$B$11:$B$310)),IF(28&lt;=COUNTA(半紙!$B$11:$B$310)+COUNTA(条幅!$B$11:$B$310)+COUNTA(条幅4分の1!$B$11:$B$310),INDEX(条幅4分の1!$B$11:$B$310,28-COUNTA(半紙!$B$11:$B$310)-COUNTA(条幅!$B$11:$B$310)),""))))</f>
        <v/>
      </c>
      <c r="C33" s="38" t="str">
        <f>IF(IF(28&lt;=COUNTA(半紙!$B$11:$B$310),INDEX(半紙!$C$11:$C$310,28),IF(28&lt;=COUNTA(半紙!$B$11:$B$310)+COUNTA(条幅!$B$11:$B$310),INDEX(条幅!$C$11:$C$310,28-COUNTA(半紙!$B$11:$B$310)),IF(28&lt;=COUNTA(半紙!$B$11:$B$310)+COUNTA(条幅!$B$11:$B$310)+COUNTA(条幅4分の1!$B$11:$B$310),INDEX(条幅4分の1!$C$11:$C$310,28-COUNTA(半紙!$B$11:$B$310)-COUNTA(条幅!$B$11:$B$310)),"")))=0,"",IF(28&lt;=COUNTA(半紙!$B$11:$B$310),INDEX(半紙!$C$11:$C$310,28),IF(28&lt;=COUNTA(半紙!$B$11:$B$310)+COUNTA(条幅!$B$11:$B$310),INDEX(条幅!$C$11:$C$310,28-COUNTA(半紙!$B$11:$B$310)),IF(28&lt;=COUNTA(半紙!$B$11:$B$310)+COUNTA(条幅!$B$11:$B$310)+COUNTA(条幅4分の1!$B$11:$B$310),INDEX(条幅4分の1!$C$11:$C$310,28-COUNTA(半紙!$B$11:$B$310)-COUNTA(条幅!$B$11:$B$310)),""))))</f>
        <v/>
      </c>
      <c r="D33" s="38" t="str">
        <f>IF(IF(28&lt;=COUNTA(半紙!$B$11:$B$310),INDEX(半紙!$D$11:$D$310,28),IF(28&lt;=COUNTA(半紙!$B$11:$B$310)+COUNTA(条幅!$B$11:$B$310),INDEX(条幅!$D$11:$D$310,28-COUNTA(半紙!$B$11:$B$310)),IF(28&lt;=COUNTA(半紙!$B$11:$B$310)+COUNTA(条幅!$B$11:$B$310)+COUNTA(条幅4分の1!$B$11:$B$310),INDEX(条幅4分の1!$D$11:$D$310,28-COUNTA(半紙!$B$11:$B$310)-COUNTA(条幅!$B$11:$B$310)),"")))=0,"",IF(28&lt;=COUNTA(半紙!$B$11:$B$310),INDEX(半紙!$D$11:$D$310,28),IF(28&lt;=COUNTA(半紙!$B$11:$B$310)+COUNTA(条幅!$B$11:$B$310),INDEX(条幅!$D$11:$D$310,28-COUNTA(半紙!$B$11:$B$310)),IF(28&lt;=COUNTA(半紙!$B$11:$B$310)+COUNTA(条幅!$B$11:$B$310)+COUNTA(条幅4分の1!$B$11:$B$310),INDEX(条幅4分の1!$D$11:$D$310,28-COUNTA(半紙!$B$11:$B$310)-COUNTA(条幅!$B$11:$B$310)),""))))</f>
        <v/>
      </c>
      <c r="E33" s="38" t="str">
        <f>IF(IF(28&lt;=COUNTA(半紙!$B$11:$B$310),INDEX(半紙!$E$11:$E$310,28),IF(28&lt;=COUNTA(半紙!$B$11:$B$310)+COUNTA(条幅!$B$11:$B$310),INDEX(条幅!$E$11:$E$310,28-COUNTA(半紙!$B$11:$B$310)),IF(28&lt;=COUNTA(半紙!$B$11:$B$310)+COUNTA(条幅!$B$11:$B$310)+COUNTA(条幅4分の1!$B$11:$B$310),INDEX(条幅4分の1!$E$11:$E$310,28-COUNTA(半紙!$B$11:$B$310)-COUNTA(条幅!$B$11:$B$310)),"")))=0,"",IF(28&lt;=COUNTA(半紙!$B$11:$B$310),INDEX(半紙!$E$11:$E$310,28),IF(28&lt;=COUNTA(半紙!$B$11:$B$310)+COUNTA(条幅!$B$11:$B$310),INDEX(条幅!$E$11:$E$310,28-COUNTA(半紙!$B$11:$B$310)),IF(28&lt;=COUNTA(半紙!$B$11:$B$310)+COUNTA(条幅!$B$11:$B$310)+COUNTA(条幅4分の1!$B$11:$B$310),INDEX(条幅4分の1!$E$11:$E$310,28-COUNTA(半紙!$B$11:$B$310)-COUNTA(条幅!$B$11:$B$310)),""))))</f>
        <v/>
      </c>
      <c r="F33" s="38" t="str">
        <f>IF(IF(28&lt;=COUNTA(半紙!$B$11:$B$310),INDEX(半紙!$F$11:$F$310,28),IF(28&lt;=COUNTA(半紙!$B$11:$B$310)+COUNTA(条幅!$B$11:$B$310),INDEX(条幅!$F$11:$F$310,28-COUNTA(半紙!$B$11:$B$310)),IF(28&lt;=COUNTA(半紙!$B$11:$B$310)+COUNTA(条幅!$B$11:$B$310)+COUNTA(条幅4分の1!$B$11:$B$310),INDEX(条幅4分の1!$F$11:$F$310,28-COUNTA(半紙!$B$11:$B$310)-COUNTA(条幅!$B$11:$B$310)),"")))=0,"",IF(28&lt;=COUNTA(半紙!$B$11:$B$310),INDEX(半紙!$F$11:$F$310,28),IF(28&lt;=COUNTA(半紙!$B$11:$B$310)+COUNTA(条幅!$B$11:$B$310),INDEX(条幅!$F$11:$F$310,28-COUNTA(半紙!$B$11:$B$310)),IF(28&lt;=COUNTA(半紙!$B$11:$B$310)+COUNTA(条幅!$B$11:$B$310)+COUNTA(条幅4分の1!$B$11:$B$310),INDEX(条幅4分の1!$F$11:$F$310,28-COUNTA(半紙!$B$11:$B$310)-COUNTA(条幅!$B$11:$B$310)),""))))</f>
        <v/>
      </c>
      <c r="G33" s="38" t="str">
        <f>IF(IF(28&lt;=COUNTA(半紙!$B$11:$B$310),INDEX(半紙!$G$11:$G$310,28),IF(28&lt;=COUNTA(半紙!$B$11:$B$310)+COUNTA(条幅!$B$11:$B$310),INDEX(条幅!$G$11:$G$310,28-COUNTA(半紙!$B$11:$B$310)),IF(28&lt;=COUNTA(半紙!$B$11:$B$310)+COUNTA(条幅!$B$11:$B$310)+COUNTA(条幅4分の1!$B$11:$B$310),INDEX(条幅4分の1!$G$11:$G$310,28-COUNTA(半紙!$B$11:$B$310)-COUNTA(条幅!$B$11:$B$310)),"")))=0,"",IF(28&lt;=COUNTA(半紙!$B$11:$B$310),INDEX(半紙!$G$11:$G$310,28),IF(28&lt;=COUNTA(半紙!$B$11:$B$310)+COUNTA(条幅!$B$11:$B$310),INDEX(条幅!$G$11:$G$310,28-COUNTA(半紙!$B$11:$B$310)),IF(28&lt;=COUNTA(半紙!$B$11:$B$310)+COUNTA(条幅!$B$11:$B$310)+COUNTA(条幅4分の1!$B$11:$B$310),INDEX(条幅4分の1!$G$11:$G$310,28-COUNTA(半紙!$B$11:$B$310)-COUNTA(条幅!$B$11:$B$310)),""))))</f>
        <v/>
      </c>
      <c r="H33" s="38" t="str">
        <f>IF(IF(28&lt;=COUNTA(半紙!$B$11:$B$310),INDEX(半紙!$H$11:$H$310,28),IF(28&lt;=COUNTA(半紙!$B$11:$B$310)+COUNTA(条幅!$B$11:$B$310),INDEX(条幅!$H$11:$H$310,28-COUNTA(半紙!$B$11:$B$310)),IF(28&lt;=COUNTA(半紙!$B$11:$B$310)+COUNTA(条幅!$B$11:$B$310)+COUNTA(条幅4分の1!$B$11:$B$310),INDEX(条幅4分の1!$H$11:$H$310,28-COUNTA(半紙!$B$11:$B$310)-COUNTA(条幅!$B$11:$B$310)),"")))=0,"",IF(28&lt;=COUNTA(半紙!$B$11:$B$310),INDEX(半紙!$H$11:$H$310,28),IF(28&lt;=COUNTA(半紙!$B$11:$B$310)+COUNTA(条幅!$B$11:$B$310),INDEX(条幅!$H$11:$H$310,28-COUNTA(半紙!$B$11:$B$310)),IF(28&lt;=COUNTA(半紙!$B$11:$B$310)+COUNTA(条幅!$B$11:$B$310)+COUNTA(条幅4分の1!$B$11:$B$310),INDEX(条幅4分の1!$H$11:$H$310,28-COUNTA(半紙!$B$11:$B$310)-COUNTA(条幅!$B$11:$B$310)),""))))</f>
        <v/>
      </c>
      <c r="I33" s="38" t="str">
        <f>IF(IF(28&lt;=COUNTA(半紙!$B$11:$B$310),INDEX(半紙!$I$11:$I$310,28),IF(28&lt;=COUNTA(半紙!$B$11:$B$310)+COUNTA(条幅!$B$11:$B$310),INDEX(条幅!$I$11:$I$310,28-COUNTA(半紙!$B$11:$B$310)),IF(28&lt;=COUNTA(半紙!$B$11:$B$310)+COUNTA(条幅!$B$11:$B$310)+COUNTA(条幅4分の1!$B$11:$B$310),INDEX(条幅4分の1!$I$11:$I$310,28-COUNTA(半紙!$B$11:$B$310)-COUNTA(条幅!$B$11:$B$310)),"")))=0,"",IF(28&lt;=COUNTA(半紙!$B$11:$B$310),INDEX(半紙!$I$11:$I$310,28),IF(28&lt;=COUNTA(半紙!$B$11:$B$310)+COUNTA(条幅!$B$11:$B$310),INDEX(条幅!$I$11:$I$310,28-COUNTA(半紙!$B$11:$B$310)),IF(28&lt;=COUNTA(半紙!$B$11:$B$310)+COUNTA(条幅!$B$11:$B$310)+COUNTA(条幅4分の1!$B$11:$B$310),INDEX(条幅4分の1!$I$11:$I$310,28-COUNTA(半紙!$B$11:$B$310)-COUNTA(条幅!$B$11:$B$310)),""))))</f>
        <v/>
      </c>
      <c r="J33" s="38" t="str">
        <f>IF(IF(28&lt;=COUNTA(半紙!$B$11:$B$310),INDEX(半紙!$J$11:$J$310,28),IF(28&lt;=COUNTA(半紙!$B$11:$B$310)+COUNTA(条幅!$B$11:$B$310),INDEX(条幅!$J$11:$J$310,28-COUNTA(半紙!$B$11:$B$310)),IF(28&lt;=COUNTA(半紙!$B$11:$B$310)+COUNTA(条幅!$B$11:$B$310)+COUNTA(条幅4分の1!$B$11:$B$310),INDEX(条幅4分の1!$J$11:$J$310,28-COUNTA(半紙!$B$11:$B$310)-COUNTA(条幅!$B$11:$B$310)),"")))=0,"",IF(28&lt;=COUNTA(半紙!$B$11:$B$310),INDEX(半紙!$J$11:$J$310,28),IF(28&lt;=COUNTA(半紙!$B$11:$B$310)+COUNTA(条幅!$B$11:$B$310),INDEX(条幅!$J$11:$J$310,28-COUNTA(半紙!$B$11:$B$310)),IF(28&lt;=COUNTA(半紙!$B$11:$B$310)+COUNTA(条幅!$B$11:$B$310)+COUNTA(条幅4分の1!$B$11:$B$310),INDEX(条幅4分の1!$J$11:$J$310,28-COUNTA(半紙!$B$11:$B$310)-COUNTA(条幅!$B$11:$B$310)),""))))</f>
        <v/>
      </c>
      <c r="K33" s="38" t="str">
        <f>IF(IF(28&lt;=COUNTA(半紙!$B$11:$B$310),INDEX(半紙!$K$11:$K$310,28),IF(28&lt;=COUNTA(半紙!$B$11:$B$310)+COUNTA(条幅!$B$11:$B$310),INDEX(条幅!$K$11:$K$310,28-COUNTA(半紙!$B$11:$B$310)),IF(28&lt;=COUNTA(半紙!$B$11:$B$310)+COUNTA(条幅!$B$11:$B$310)+COUNTA(条幅4分の1!$B$11:$B$310),INDEX(条幅4分の1!$K$11:$K$310,28-COUNTA(半紙!$B$11:$B$310)-COUNTA(条幅!$B$11:$B$310)),"")))=0,"",IF(28&lt;=COUNTA(半紙!$B$11:$B$310),INDEX(半紙!$K$11:$K$310,28),IF(28&lt;=COUNTA(半紙!$B$11:$B$310)+COUNTA(条幅!$B$11:$B$310),INDEX(条幅!$K$11:$K$310,28-COUNTA(半紙!$B$11:$B$310)),IF(28&lt;=COUNTA(半紙!$B$11:$B$310)+COUNTA(条幅!$B$11:$B$310)+COUNTA(条幅4分の1!$B$11:$B$310),INDEX(条幅4分の1!$K$11:$K$310,28-COUNTA(半紙!$B$11:$B$310)-COUNTA(条幅!$B$11:$B$310)),""))))</f>
        <v/>
      </c>
      <c r="L33" s="48" t="str">
        <f>IF($B33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28))</f>
        <v/>
      </c>
    </row>
    <row r="34" spans="1:12" ht="15" customHeight="1">
      <c r="A34" s="37" t="str">
        <f>IF(29&lt;=COUNTA(半紙!$B$11:$B$310),"半紙",IF(29&lt;=COUNTA(半紙!$B$11:$B$310)+COUNTA(条幅!$B$11:$B$310),"条幅(半切)",IF(29&lt;=COUNTA(半紙!$B$11:$B$310)+COUNTA(条幅!$B$11:$B$310)+COUNTA(条幅4分の1!$B$11:$B$310),"条幅(1/4)","")))</f>
        <v/>
      </c>
      <c r="B34" s="38" t="str">
        <f>IF(IF(29&lt;=COUNTA(半紙!$B$11:$B$310),INDEX(半紙!$B$11:$B$310,29),IF(29&lt;=COUNTA(半紙!$B$11:$B$310)+COUNTA(条幅!$B$11:$B$310),INDEX(条幅!$B$11:$B$310,29-COUNTA(半紙!$B$11:$B$310)),IF(29&lt;=COUNTA(半紙!$B$11:$B$310)+COUNTA(条幅!$B$11:$B$310)+COUNTA(条幅4分の1!$B$11:$B$310),INDEX(条幅4分の1!$B$11:$B$310,29-COUNTA(半紙!$B$11:$B$310)-COUNTA(条幅!$B$11:$B$310)),"")))=0,"",IF(29&lt;=COUNTA(半紙!$B$11:$B$310),INDEX(半紙!$B$11:$B$310,29),IF(29&lt;=COUNTA(半紙!$B$11:$B$310)+COUNTA(条幅!$B$11:$B$310),INDEX(条幅!$B$11:$B$310,29-COUNTA(半紙!$B$11:$B$310)),IF(29&lt;=COUNTA(半紙!$B$11:$B$310)+COUNTA(条幅!$B$11:$B$310)+COUNTA(条幅4分の1!$B$11:$B$310),INDEX(条幅4分の1!$B$11:$B$310,29-COUNTA(半紙!$B$11:$B$310)-COUNTA(条幅!$B$11:$B$310)),""))))</f>
        <v/>
      </c>
      <c r="C34" s="38" t="str">
        <f>IF(IF(29&lt;=COUNTA(半紙!$B$11:$B$310),INDEX(半紙!$C$11:$C$310,29),IF(29&lt;=COUNTA(半紙!$B$11:$B$310)+COUNTA(条幅!$B$11:$B$310),INDEX(条幅!$C$11:$C$310,29-COUNTA(半紙!$B$11:$B$310)),IF(29&lt;=COUNTA(半紙!$B$11:$B$310)+COUNTA(条幅!$B$11:$B$310)+COUNTA(条幅4分の1!$B$11:$B$310),INDEX(条幅4分の1!$C$11:$C$310,29-COUNTA(半紙!$B$11:$B$310)-COUNTA(条幅!$B$11:$B$310)),"")))=0,"",IF(29&lt;=COUNTA(半紙!$B$11:$B$310),INDEX(半紙!$C$11:$C$310,29),IF(29&lt;=COUNTA(半紙!$B$11:$B$310)+COUNTA(条幅!$B$11:$B$310),INDEX(条幅!$C$11:$C$310,29-COUNTA(半紙!$B$11:$B$310)),IF(29&lt;=COUNTA(半紙!$B$11:$B$310)+COUNTA(条幅!$B$11:$B$310)+COUNTA(条幅4分の1!$B$11:$B$310),INDEX(条幅4分の1!$C$11:$C$310,29-COUNTA(半紙!$B$11:$B$310)-COUNTA(条幅!$B$11:$B$310)),""))))</f>
        <v/>
      </c>
      <c r="D34" s="38" t="str">
        <f>IF(IF(29&lt;=COUNTA(半紙!$B$11:$B$310),INDEX(半紙!$D$11:$D$310,29),IF(29&lt;=COUNTA(半紙!$B$11:$B$310)+COUNTA(条幅!$B$11:$B$310),INDEX(条幅!$D$11:$D$310,29-COUNTA(半紙!$B$11:$B$310)),IF(29&lt;=COUNTA(半紙!$B$11:$B$310)+COUNTA(条幅!$B$11:$B$310)+COUNTA(条幅4分の1!$B$11:$B$310),INDEX(条幅4分の1!$D$11:$D$310,29-COUNTA(半紙!$B$11:$B$310)-COUNTA(条幅!$B$11:$B$310)),"")))=0,"",IF(29&lt;=COUNTA(半紙!$B$11:$B$310),INDEX(半紙!$D$11:$D$310,29),IF(29&lt;=COUNTA(半紙!$B$11:$B$310)+COUNTA(条幅!$B$11:$B$310),INDEX(条幅!$D$11:$D$310,29-COUNTA(半紙!$B$11:$B$310)),IF(29&lt;=COUNTA(半紙!$B$11:$B$310)+COUNTA(条幅!$B$11:$B$310)+COUNTA(条幅4分の1!$B$11:$B$310),INDEX(条幅4分の1!$D$11:$D$310,29-COUNTA(半紙!$B$11:$B$310)-COUNTA(条幅!$B$11:$B$310)),""))))</f>
        <v/>
      </c>
      <c r="E34" s="38" t="str">
        <f>IF(IF(29&lt;=COUNTA(半紙!$B$11:$B$310),INDEX(半紙!$E$11:$E$310,29),IF(29&lt;=COUNTA(半紙!$B$11:$B$310)+COUNTA(条幅!$B$11:$B$310),INDEX(条幅!$E$11:$E$310,29-COUNTA(半紙!$B$11:$B$310)),IF(29&lt;=COUNTA(半紙!$B$11:$B$310)+COUNTA(条幅!$B$11:$B$310)+COUNTA(条幅4分の1!$B$11:$B$310),INDEX(条幅4分の1!$E$11:$E$310,29-COUNTA(半紙!$B$11:$B$310)-COUNTA(条幅!$B$11:$B$310)),"")))=0,"",IF(29&lt;=COUNTA(半紙!$B$11:$B$310),INDEX(半紙!$E$11:$E$310,29),IF(29&lt;=COUNTA(半紙!$B$11:$B$310)+COUNTA(条幅!$B$11:$B$310),INDEX(条幅!$E$11:$E$310,29-COUNTA(半紙!$B$11:$B$310)),IF(29&lt;=COUNTA(半紙!$B$11:$B$310)+COUNTA(条幅!$B$11:$B$310)+COUNTA(条幅4分の1!$B$11:$B$310),INDEX(条幅4分の1!$E$11:$E$310,29-COUNTA(半紙!$B$11:$B$310)-COUNTA(条幅!$B$11:$B$310)),""))))</f>
        <v/>
      </c>
      <c r="F34" s="38" t="str">
        <f>IF(IF(29&lt;=COUNTA(半紙!$B$11:$B$310),INDEX(半紙!$F$11:$F$310,29),IF(29&lt;=COUNTA(半紙!$B$11:$B$310)+COUNTA(条幅!$B$11:$B$310),INDEX(条幅!$F$11:$F$310,29-COUNTA(半紙!$B$11:$B$310)),IF(29&lt;=COUNTA(半紙!$B$11:$B$310)+COUNTA(条幅!$B$11:$B$310)+COUNTA(条幅4分の1!$B$11:$B$310),INDEX(条幅4分の1!$F$11:$F$310,29-COUNTA(半紙!$B$11:$B$310)-COUNTA(条幅!$B$11:$B$310)),"")))=0,"",IF(29&lt;=COUNTA(半紙!$B$11:$B$310),INDEX(半紙!$F$11:$F$310,29),IF(29&lt;=COUNTA(半紙!$B$11:$B$310)+COUNTA(条幅!$B$11:$B$310),INDEX(条幅!$F$11:$F$310,29-COUNTA(半紙!$B$11:$B$310)),IF(29&lt;=COUNTA(半紙!$B$11:$B$310)+COUNTA(条幅!$B$11:$B$310)+COUNTA(条幅4分の1!$B$11:$B$310),INDEX(条幅4分の1!$F$11:$F$310,29-COUNTA(半紙!$B$11:$B$310)-COUNTA(条幅!$B$11:$B$310)),""))))</f>
        <v/>
      </c>
      <c r="G34" s="38" t="str">
        <f>IF(IF(29&lt;=COUNTA(半紙!$B$11:$B$310),INDEX(半紙!$G$11:$G$310,29),IF(29&lt;=COUNTA(半紙!$B$11:$B$310)+COUNTA(条幅!$B$11:$B$310),INDEX(条幅!$G$11:$G$310,29-COUNTA(半紙!$B$11:$B$310)),IF(29&lt;=COUNTA(半紙!$B$11:$B$310)+COUNTA(条幅!$B$11:$B$310)+COUNTA(条幅4分の1!$B$11:$B$310),INDEX(条幅4分の1!$G$11:$G$310,29-COUNTA(半紙!$B$11:$B$310)-COUNTA(条幅!$B$11:$B$310)),"")))=0,"",IF(29&lt;=COUNTA(半紙!$B$11:$B$310),INDEX(半紙!$G$11:$G$310,29),IF(29&lt;=COUNTA(半紙!$B$11:$B$310)+COUNTA(条幅!$B$11:$B$310),INDEX(条幅!$G$11:$G$310,29-COUNTA(半紙!$B$11:$B$310)),IF(29&lt;=COUNTA(半紙!$B$11:$B$310)+COUNTA(条幅!$B$11:$B$310)+COUNTA(条幅4分の1!$B$11:$B$310),INDEX(条幅4分の1!$G$11:$G$310,29-COUNTA(半紙!$B$11:$B$310)-COUNTA(条幅!$B$11:$B$310)),""))))</f>
        <v/>
      </c>
      <c r="H34" s="38" t="str">
        <f>IF(IF(29&lt;=COUNTA(半紙!$B$11:$B$310),INDEX(半紙!$H$11:$H$310,29),IF(29&lt;=COUNTA(半紙!$B$11:$B$310)+COUNTA(条幅!$B$11:$B$310),INDEX(条幅!$H$11:$H$310,29-COUNTA(半紙!$B$11:$B$310)),IF(29&lt;=COUNTA(半紙!$B$11:$B$310)+COUNTA(条幅!$B$11:$B$310)+COUNTA(条幅4分の1!$B$11:$B$310),INDEX(条幅4分の1!$H$11:$H$310,29-COUNTA(半紙!$B$11:$B$310)-COUNTA(条幅!$B$11:$B$310)),"")))=0,"",IF(29&lt;=COUNTA(半紙!$B$11:$B$310),INDEX(半紙!$H$11:$H$310,29),IF(29&lt;=COUNTA(半紙!$B$11:$B$310)+COUNTA(条幅!$B$11:$B$310),INDEX(条幅!$H$11:$H$310,29-COUNTA(半紙!$B$11:$B$310)),IF(29&lt;=COUNTA(半紙!$B$11:$B$310)+COUNTA(条幅!$B$11:$B$310)+COUNTA(条幅4分の1!$B$11:$B$310),INDEX(条幅4分の1!$H$11:$H$310,29-COUNTA(半紙!$B$11:$B$310)-COUNTA(条幅!$B$11:$B$310)),""))))</f>
        <v/>
      </c>
      <c r="I34" s="38" t="str">
        <f>IF(IF(29&lt;=COUNTA(半紙!$B$11:$B$310),INDEX(半紙!$I$11:$I$310,29),IF(29&lt;=COUNTA(半紙!$B$11:$B$310)+COUNTA(条幅!$B$11:$B$310),INDEX(条幅!$I$11:$I$310,29-COUNTA(半紙!$B$11:$B$310)),IF(29&lt;=COUNTA(半紙!$B$11:$B$310)+COUNTA(条幅!$B$11:$B$310)+COUNTA(条幅4分の1!$B$11:$B$310),INDEX(条幅4分の1!$I$11:$I$310,29-COUNTA(半紙!$B$11:$B$310)-COUNTA(条幅!$B$11:$B$310)),"")))=0,"",IF(29&lt;=COUNTA(半紙!$B$11:$B$310),INDEX(半紙!$I$11:$I$310,29),IF(29&lt;=COUNTA(半紙!$B$11:$B$310)+COUNTA(条幅!$B$11:$B$310),INDEX(条幅!$I$11:$I$310,29-COUNTA(半紙!$B$11:$B$310)),IF(29&lt;=COUNTA(半紙!$B$11:$B$310)+COUNTA(条幅!$B$11:$B$310)+COUNTA(条幅4分の1!$B$11:$B$310),INDEX(条幅4分の1!$I$11:$I$310,29-COUNTA(半紙!$B$11:$B$310)-COUNTA(条幅!$B$11:$B$310)),""))))</f>
        <v/>
      </c>
      <c r="J34" s="38" t="str">
        <f>IF(IF(29&lt;=COUNTA(半紙!$B$11:$B$310),INDEX(半紙!$J$11:$J$310,29),IF(29&lt;=COUNTA(半紙!$B$11:$B$310)+COUNTA(条幅!$B$11:$B$310),INDEX(条幅!$J$11:$J$310,29-COUNTA(半紙!$B$11:$B$310)),IF(29&lt;=COUNTA(半紙!$B$11:$B$310)+COUNTA(条幅!$B$11:$B$310)+COUNTA(条幅4分の1!$B$11:$B$310),INDEX(条幅4分の1!$J$11:$J$310,29-COUNTA(半紙!$B$11:$B$310)-COUNTA(条幅!$B$11:$B$310)),"")))=0,"",IF(29&lt;=COUNTA(半紙!$B$11:$B$310),INDEX(半紙!$J$11:$J$310,29),IF(29&lt;=COUNTA(半紙!$B$11:$B$310)+COUNTA(条幅!$B$11:$B$310),INDEX(条幅!$J$11:$J$310,29-COUNTA(半紙!$B$11:$B$310)),IF(29&lt;=COUNTA(半紙!$B$11:$B$310)+COUNTA(条幅!$B$11:$B$310)+COUNTA(条幅4分の1!$B$11:$B$310),INDEX(条幅4分の1!$J$11:$J$310,29-COUNTA(半紙!$B$11:$B$310)-COUNTA(条幅!$B$11:$B$310)),""))))</f>
        <v/>
      </c>
      <c r="K34" s="38" t="str">
        <f>IF(IF(29&lt;=COUNTA(半紙!$B$11:$B$310),INDEX(半紙!$K$11:$K$310,29),IF(29&lt;=COUNTA(半紙!$B$11:$B$310)+COUNTA(条幅!$B$11:$B$310),INDEX(条幅!$K$11:$K$310,29-COUNTA(半紙!$B$11:$B$310)),IF(29&lt;=COUNTA(半紙!$B$11:$B$310)+COUNTA(条幅!$B$11:$B$310)+COUNTA(条幅4分の1!$B$11:$B$310),INDEX(条幅4分の1!$K$11:$K$310,29-COUNTA(半紙!$B$11:$B$310)-COUNTA(条幅!$B$11:$B$310)),"")))=0,"",IF(29&lt;=COUNTA(半紙!$B$11:$B$310),INDEX(半紙!$K$11:$K$310,29),IF(29&lt;=COUNTA(半紙!$B$11:$B$310)+COUNTA(条幅!$B$11:$B$310),INDEX(条幅!$K$11:$K$310,29-COUNTA(半紙!$B$11:$B$310)),IF(29&lt;=COUNTA(半紙!$B$11:$B$310)+COUNTA(条幅!$B$11:$B$310)+COUNTA(条幅4分の1!$B$11:$B$310),INDEX(条幅4分の1!$K$11:$K$310,29-COUNTA(半紙!$B$11:$B$310)-COUNTA(条幅!$B$11:$B$310)),""))))</f>
        <v/>
      </c>
      <c r="L34" s="48" t="str">
        <f>IF($B34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29))</f>
        <v/>
      </c>
    </row>
    <row r="35" spans="1:12" ht="15" customHeight="1">
      <c r="A35" s="37" t="str">
        <f>IF(30&lt;=COUNTA(半紙!$B$11:$B$310),"半紙",IF(30&lt;=COUNTA(半紙!$B$11:$B$310)+COUNTA(条幅!$B$11:$B$310),"条幅(半切)",IF(30&lt;=COUNTA(半紙!$B$11:$B$310)+COUNTA(条幅!$B$11:$B$310)+COUNTA(条幅4分の1!$B$11:$B$310),"条幅(1/4)","")))</f>
        <v/>
      </c>
      <c r="B35" s="38" t="str">
        <f>IF(IF(30&lt;=COUNTA(半紙!$B$11:$B$310),INDEX(半紙!$B$11:$B$310,30),IF(30&lt;=COUNTA(半紙!$B$11:$B$310)+COUNTA(条幅!$B$11:$B$310),INDEX(条幅!$B$11:$B$310,30-COUNTA(半紙!$B$11:$B$310)),IF(30&lt;=COUNTA(半紙!$B$11:$B$310)+COUNTA(条幅!$B$11:$B$310)+COUNTA(条幅4分の1!$B$11:$B$310),INDEX(条幅4分の1!$B$11:$B$310,30-COUNTA(半紙!$B$11:$B$310)-COUNTA(条幅!$B$11:$B$310)),"")))=0,"",IF(30&lt;=COUNTA(半紙!$B$11:$B$310),INDEX(半紙!$B$11:$B$310,30),IF(30&lt;=COUNTA(半紙!$B$11:$B$310)+COUNTA(条幅!$B$11:$B$310),INDEX(条幅!$B$11:$B$310,30-COUNTA(半紙!$B$11:$B$310)),IF(30&lt;=COUNTA(半紙!$B$11:$B$310)+COUNTA(条幅!$B$11:$B$310)+COUNTA(条幅4分の1!$B$11:$B$310),INDEX(条幅4分の1!$B$11:$B$310,30-COUNTA(半紙!$B$11:$B$310)-COUNTA(条幅!$B$11:$B$310)),""))))</f>
        <v/>
      </c>
      <c r="C35" s="38" t="str">
        <f>IF(IF(30&lt;=COUNTA(半紙!$B$11:$B$310),INDEX(半紙!$C$11:$C$310,30),IF(30&lt;=COUNTA(半紙!$B$11:$B$310)+COUNTA(条幅!$B$11:$B$310),INDEX(条幅!$C$11:$C$310,30-COUNTA(半紙!$B$11:$B$310)),IF(30&lt;=COUNTA(半紙!$B$11:$B$310)+COUNTA(条幅!$B$11:$B$310)+COUNTA(条幅4分の1!$B$11:$B$310),INDEX(条幅4分の1!$C$11:$C$310,30-COUNTA(半紙!$B$11:$B$310)-COUNTA(条幅!$B$11:$B$310)),"")))=0,"",IF(30&lt;=COUNTA(半紙!$B$11:$B$310),INDEX(半紙!$C$11:$C$310,30),IF(30&lt;=COUNTA(半紙!$B$11:$B$310)+COUNTA(条幅!$B$11:$B$310),INDEX(条幅!$C$11:$C$310,30-COUNTA(半紙!$B$11:$B$310)),IF(30&lt;=COUNTA(半紙!$B$11:$B$310)+COUNTA(条幅!$B$11:$B$310)+COUNTA(条幅4分の1!$B$11:$B$310),INDEX(条幅4分の1!$C$11:$C$310,30-COUNTA(半紙!$B$11:$B$310)-COUNTA(条幅!$B$11:$B$310)),""))))</f>
        <v/>
      </c>
      <c r="D35" s="38" t="str">
        <f>IF(IF(30&lt;=COUNTA(半紙!$B$11:$B$310),INDEX(半紙!$D$11:$D$310,30),IF(30&lt;=COUNTA(半紙!$B$11:$B$310)+COUNTA(条幅!$B$11:$B$310),INDEX(条幅!$D$11:$D$310,30-COUNTA(半紙!$B$11:$B$310)),IF(30&lt;=COUNTA(半紙!$B$11:$B$310)+COUNTA(条幅!$B$11:$B$310)+COUNTA(条幅4分の1!$B$11:$B$310),INDEX(条幅4分の1!$D$11:$D$310,30-COUNTA(半紙!$B$11:$B$310)-COUNTA(条幅!$B$11:$B$310)),"")))=0,"",IF(30&lt;=COUNTA(半紙!$B$11:$B$310),INDEX(半紙!$D$11:$D$310,30),IF(30&lt;=COUNTA(半紙!$B$11:$B$310)+COUNTA(条幅!$B$11:$B$310),INDEX(条幅!$D$11:$D$310,30-COUNTA(半紙!$B$11:$B$310)),IF(30&lt;=COUNTA(半紙!$B$11:$B$310)+COUNTA(条幅!$B$11:$B$310)+COUNTA(条幅4分の1!$B$11:$B$310),INDEX(条幅4分の1!$D$11:$D$310,30-COUNTA(半紙!$B$11:$B$310)-COUNTA(条幅!$B$11:$B$310)),""))))</f>
        <v/>
      </c>
      <c r="E35" s="38" t="str">
        <f>IF(IF(30&lt;=COUNTA(半紙!$B$11:$B$310),INDEX(半紙!$E$11:$E$310,30),IF(30&lt;=COUNTA(半紙!$B$11:$B$310)+COUNTA(条幅!$B$11:$B$310),INDEX(条幅!$E$11:$E$310,30-COUNTA(半紙!$B$11:$B$310)),IF(30&lt;=COUNTA(半紙!$B$11:$B$310)+COUNTA(条幅!$B$11:$B$310)+COUNTA(条幅4分の1!$B$11:$B$310),INDEX(条幅4分の1!$E$11:$E$310,30-COUNTA(半紙!$B$11:$B$310)-COUNTA(条幅!$B$11:$B$310)),"")))=0,"",IF(30&lt;=COUNTA(半紙!$B$11:$B$310),INDEX(半紙!$E$11:$E$310,30),IF(30&lt;=COUNTA(半紙!$B$11:$B$310)+COUNTA(条幅!$B$11:$B$310),INDEX(条幅!$E$11:$E$310,30-COUNTA(半紙!$B$11:$B$310)),IF(30&lt;=COUNTA(半紙!$B$11:$B$310)+COUNTA(条幅!$B$11:$B$310)+COUNTA(条幅4分の1!$B$11:$B$310),INDEX(条幅4分の1!$E$11:$E$310,30-COUNTA(半紙!$B$11:$B$310)-COUNTA(条幅!$B$11:$B$310)),""))))</f>
        <v/>
      </c>
      <c r="F35" s="38" t="str">
        <f>IF(IF(30&lt;=COUNTA(半紙!$B$11:$B$310),INDEX(半紙!$F$11:$F$310,30),IF(30&lt;=COUNTA(半紙!$B$11:$B$310)+COUNTA(条幅!$B$11:$B$310),INDEX(条幅!$F$11:$F$310,30-COUNTA(半紙!$B$11:$B$310)),IF(30&lt;=COUNTA(半紙!$B$11:$B$310)+COUNTA(条幅!$B$11:$B$310)+COUNTA(条幅4分の1!$B$11:$B$310),INDEX(条幅4分の1!$F$11:$F$310,30-COUNTA(半紙!$B$11:$B$310)-COUNTA(条幅!$B$11:$B$310)),"")))=0,"",IF(30&lt;=COUNTA(半紙!$B$11:$B$310),INDEX(半紙!$F$11:$F$310,30),IF(30&lt;=COUNTA(半紙!$B$11:$B$310)+COUNTA(条幅!$B$11:$B$310),INDEX(条幅!$F$11:$F$310,30-COUNTA(半紙!$B$11:$B$310)),IF(30&lt;=COUNTA(半紙!$B$11:$B$310)+COUNTA(条幅!$B$11:$B$310)+COUNTA(条幅4分の1!$B$11:$B$310),INDEX(条幅4分の1!$F$11:$F$310,30-COUNTA(半紙!$B$11:$B$310)-COUNTA(条幅!$B$11:$B$310)),""))))</f>
        <v/>
      </c>
      <c r="G35" s="38" t="str">
        <f>IF(IF(30&lt;=COUNTA(半紙!$B$11:$B$310),INDEX(半紙!$G$11:$G$310,30),IF(30&lt;=COUNTA(半紙!$B$11:$B$310)+COUNTA(条幅!$B$11:$B$310),INDEX(条幅!$G$11:$G$310,30-COUNTA(半紙!$B$11:$B$310)),IF(30&lt;=COUNTA(半紙!$B$11:$B$310)+COUNTA(条幅!$B$11:$B$310)+COUNTA(条幅4分の1!$B$11:$B$310),INDEX(条幅4分の1!$G$11:$G$310,30-COUNTA(半紙!$B$11:$B$310)-COUNTA(条幅!$B$11:$B$310)),"")))=0,"",IF(30&lt;=COUNTA(半紙!$B$11:$B$310),INDEX(半紙!$G$11:$G$310,30),IF(30&lt;=COUNTA(半紙!$B$11:$B$310)+COUNTA(条幅!$B$11:$B$310),INDEX(条幅!$G$11:$G$310,30-COUNTA(半紙!$B$11:$B$310)),IF(30&lt;=COUNTA(半紙!$B$11:$B$310)+COUNTA(条幅!$B$11:$B$310)+COUNTA(条幅4分の1!$B$11:$B$310),INDEX(条幅4分の1!$G$11:$G$310,30-COUNTA(半紙!$B$11:$B$310)-COUNTA(条幅!$B$11:$B$310)),""))))</f>
        <v/>
      </c>
      <c r="H35" s="38" t="str">
        <f>IF(IF(30&lt;=COUNTA(半紙!$B$11:$B$310),INDEX(半紙!$H$11:$H$310,30),IF(30&lt;=COUNTA(半紙!$B$11:$B$310)+COUNTA(条幅!$B$11:$B$310),INDEX(条幅!$H$11:$H$310,30-COUNTA(半紙!$B$11:$B$310)),IF(30&lt;=COUNTA(半紙!$B$11:$B$310)+COUNTA(条幅!$B$11:$B$310)+COUNTA(条幅4分の1!$B$11:$B$310),INDEX(条幅4分の1!$H$11:$H$310,30-COUNTA(半紙!$B$11:$B$310)-COUNTA(条幅!$B$11:$B$310)),"")))=0,"",IF(30&lt;=COUNTA(半紙!$B$11:$B$310),INDEX(半紙!$H$11:$H$310,30),IF(30&lt;=COUNTA(半紙!$B$11:$B$310)+COUNTA(条幅!$B$11:$B$310),INDEX(条幅!$H$11:$H$310,30-COUNTA(半紙!$B$11:$B$310)),IF(30&lt;=COUNTA(半紙!$B$11:$B$310)+COUNTA(条幅!$B$11:$B$310)+COUNTA(条幅4分の1!$B$11:$B$310),INDEX(条幅4分の1!$H$11:$H$310,30-COUNTA(半紙!$B$11:$B$310)-COUNTA(条幅!$B$11:$B$310)),""))))</f>
        <v/>
      </c>
      <c r="I35" s="38" t="str">
        <f>IF(IF(30&lt;=COUNTA(半紙!$B$11:$B$310),INDEX(半紙!$I$11:$I$310,30),IF(30&lt;=COUNTA(半紙!$B$11:$B$310)+COUNTA(条幅!$B$11:$B$310),INDEX(条幅!$I$11:$I$310,30-COUNTA(半紙!$B$11:$B$310)),IF(30&lt;=COUNTA(半紙!$B$11:$B$310)+COUNTA(条幅!$B$11:$B$310)+COUNTA(条幅4分の1!$B$11:$B$310),INDEX(条幅4分の1!$I$11:$I$310,30-COUNTA(半紙!$B$11:$B$310)-COUNTA(条幅!$B$11:$B$310)),"")))=0,"",IF(30&lt;=COUNTA(半紙!$B$11:$B$310),INDEX(半紙!$I$11:$I$310,30),IF(30&lt;=COUNTA(半紙!$B$11:$B$310)+COUNTA(条幅!$B$11:$B$310),INDEX(条幅!$I$11:$I$310,30-COUNTA(半紙!$B$11:$B$310)),IF(30&lt;=COUNTA(半紙!$B$11:$B$310)+COUNTA(条幅!$B$11:$B$310)+COUNTA(条幅4分の1!$B$11:$B$310),INDEX(条幅4分の1!$I$11:$I$310,30-COUNTA(半紙!$B$11:$B$310)-COUNTA(条幅!$B$11:$B$310)),""))))</f>
        <v/>
      </c>
      <c r="J35" s="38" t="str">
        <f>IF(IF(30&lt;=COUNTA(半紙!$B$11:$B$310),INDEX(半紙!$J$11:$J$310,30),IF(30&lt;=COUNTA(半紙!$B$11:$B$310)+COUNTA(条幅!$B$11:$B$310),INDEX(条幅!$J$11:$J$310,30-COUNTA(半紙!$B$11:$B$310)),IF(30&lt;=COUNTA(半紙!$B$11:$B$310)+COUNTA(条幅!$B$11:$B$310)+COUNTA(条幅4分の1!$B$11:$B$310),INDEX(条幅4分の1!$J$11:$J$310,30-COUNTA(半紙!$B$11:$B$310)-COUNTA(条幅!$B$11:$B$310)),"")))=0,"",IF(30&lt;=COUNTA(半紙!$B$11:$B$310),INDEX(半紙!$J$11:$J$310,30),IF(30&lt;=COUNTA(半紙!$B$11:$B$310)+COUNTA(条幅!$B$11:$B$310),INDEX(条幅!$J$11:$J$310,30-COUNTA(半紙!$B$11:$B$310)),IF(30&lt;=COUNTA(半紙!$B$11:$B$310)+COUNTA(条幅!$B$11:$B$310)+COUNTA(条幅4分の1!$B$11:$B$310),INDEX(条幅4分の1!$J$11:$J$310,30-COUNTA(半紙!$B$11:$B$310)-COUNTA(条幅!$B$11:$B$310)),""))))</f>
        <v/>
      </c>
      <c r="K35" s="38" t="str">
        <f>IF(IF(30&lt;=COUNTA(半紙!$B$11:$B$310),INDEX(半紙!$K$11:$K$310,30),IF(30&lt;=COUNTA(半紙!$B$11:$B$310)+COUNTA(条幅!$B$11:$B$310),INDEX(条幅!$K$11:$K$310,30-COUNTA(半紙!$B$11:$B$310)),IF(30&lt;=COUNTA(半紙!$B$11:$B$310)+COUNTA(条幅!$B$11:$B$310)+COUNTA(条幅4分の1!$B$11:$B$310),INDEX(条幅4分の1!$K$11:$K$310,30-COUNTA(半紙!$B$11:$B$310)-COUNTA(条幅!$B$11:$B$310)),"")))=0,"",IF(30&lt;=COUNTA(半紙!$B$11:$B$310),INDEX(半紙!$K$11:$K$310,30),IF(30&lt;=COUNTA(半紙!$B$11:$B$310)+COUNTA(条幅!$B$11:$B$310),INDEX(条幅!$K$11:$K$310,30-COUNTA(半紙!$B$11:$B$310)),IF(30&lt;=COUNTA(半紙!$B$11:$B$310)+COUNTA(条幅!$B$11:$B$310)+COUNTA(条幅4分の1!$B$11:$B$310),INDEX(条幅4分の1!$K$11:$K$310,30-COUNTA(半紙!$B$11:$B$310)-COUNTA(条幅!$B$11:$B$310)),""))))</f>
        <v/>
      </c>
      <c r="L35" s="48" t="str">
        <f>IF($B35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30))</f>
        <v/>
      </c>
    </row>
    <row r="36" spans="1:12" ht="15" customHeight="1">
      <c r="A36" s="37" t="str">
        <f>IF(31&lt;=COUNTA(半紙!$B$11:$B$310),"半紙",IF(31&lt;=COUNTA(半紙!$B$11:$B$310)+COUNTA(条幅!$B$11:$B$310),"条幅(半切)",IF(31&lt;=COUNTA(半紙!$B$11:$B$310)+COUNTA(条幅!$B$11:$B$310)+COUNTA(条幅4分の1!$B$11:$B$310),"条幅(1/4)","")))</f>
        <v/>
      </c>
      <c r="B36" s="38" t="str">
        <f>IF(IF(31&lt;=COUNTA(半紙!$B$11:$B$310),INDEX(半紙!$B$11:$B$310,31),IF(31&lt;=COUNTA(半紙!$B$11:$B$310)+COUNTA(条幅!$B$11:$B$310),INDEX(条幅!$B$11:$B$310,31-COUNTA(半紙!$B$11:$B$310)),IF(31&lt;=COUNTA(半紙!$B$11:$B$310)+COUNTA(条幅!$B$11:$B$310)+COUNTA(条幅4分の1!$B$11:$B$310),INDEX(条幅4分の1!$B$11:$B$310,31-COUNTA(半紙!$B$11:$B$310)-COUNTA(条幅!$B$11:$B$310)),"")))=0,"",IF(31&lt;=COUNTA(半紙!$B$11:$B$310),INDEX(半紙!$B$11:$B$310,31),IF(31&lt;=COUNTA(半紙!$B$11:$B$310)+COUNTA(条幅!$B$11:$B$310),INDEX(条幅!$B$11:$B$310,31-COUNTA(半紙!$B$11:$B$310)),IF(31&lt;=COUNTA(半紙!$B$11:$B$310)+COUNTA(条幅!$B$11:$B$310)+COUNTA(条幅4分の1!$B$11:$B$310),INDEX(条幅4分の1!$B$11:$B$310,31-COUNTA(半紙!$B$11:$B$310)-COUNTA(条幅!$B$11:$B$310)),""))))</f>
        <v/>
      </c>
      <c r="C36" s="38" t="str">
        <f>IF(IF(31&lt;=COUNTA(半紙!$B$11:$B$310),INDEX(半紙!$C$11:$C$310,31),IF(31&lt;=COUNTA(半紙!$B$11:$B$310)+COUNTA(条幅!$B$11:$B$310),INDEX(条幅!$C$11:$C$310,31-COUNTA(半紙!$B$11:$B$310)),IF(31&lt;=COUNTA(半紙!$B$11:$B$310)+COUNTA(条幅!$B$11:$B$310)+COUNTA(条幅4分の1!$B$11:$B$310),INDEX(条幅4分の1!$C$11:$C$310,31-COUNTA(半紙!$B$11:$B$310)-COUNTA(条幅!$B$11:$B$310)),"")))=0,"",IF(31&lt;=COUNTA(半紙!$B$11:$B$310),INDEX(半紙!$C$11:$C$310,31),IF(31&lt;=COUNTA(半紙!$B$11:$B$310)+COUNTA(条幅!$B$11:$B$310),INDEX(条幅!$C$11:$C$310,31-COUNTA(半紙!$B$11:$B$310)),IF(31&lt;=COUNTA(半紙!$B$11:$B$310)+COUNTA(条幅!$B$11:$B$310)+COUNTA(条幅4分の1!$B$11:$B$310),INDEX(条幅4分の1!$C$11:$C$310,31-COUNTA(半紙!$B$11:$B$310)-COUNTA(条幅!$B$11:$B$310)),""))))</f>
        <v/>
      </c>
      <c r="D36" s="38" t="str">
        <f>IF(IF(31&lt;=COUNTA(半紙!$B$11:$B$310),INDEX(半紙!$D$11:$D$310,31),IF(31&lt;=COUNTA(半紙!$B$11:$B$310)+COUNTA(条幅!$B$11:$B$310),INDEX(条幅!$D$11:$D$310,31-COUNTA(半紙!$B$11:$B$310)),IF(31&lt;=COUNTA(半紙!$B$11:$B$310)+COUNTA(条幅!$B$11:$B$310)+COUNTA(条幅4分の1!$B$11:$B$310),INDEX(条幅4分の1!$D$11:$D$310,31-COUNTA(半紙!$B$11:$B$310)-COUNTA(条幅!$B$11:$B$310)),"")))=0,"",IF(31&lt;=COUNTA(半紙!$B$11:$B$310),INDEX(半紙!$D$11:$D$310,31),IF(31&lt;=COUNTA(半紙!$B$11:$B$310)+COUNTA(条幅!$B$11:$B$310),INDEX(条幅!$D$11:$D$310,31-COUNTA(半紙!$B$11:$B$310)),IF(31&lt;=COUNTA(半紙!$B$11:$B$310)+COUNTA(条幅!$B$11:$B$310)+COUNTA(条幅4分の1!$B$11:$B$310),INDEX(条幅4分の1!$D$11:$D$310,31-COUNTA(半紙!$B$11:$B$310)-COUNTA(条幅!$B$11:$B$310)),""))))</f>
        <v/>
      </c>
      <c r="E36" s="38" t="str">
        <f>IF(IF(31&lt;=COUNTA(半紙!$B$11:$B$310),INDEX(半紙!$E$11:$E$310,31),IF(31&lt;=COUNTA(半紙!$B$11:$B$310)+COUNTA(条幅!$B$11:$B$310),INDEX(条幅!$E$11:$E$310,31-COUNTA(半紙!$B$11:$B$310)),IF(31&lt;=COUNTA(半紙!$B$11:$B$310)+COUNTA(条幅!$B$11:$B$310)+COUNTA(条幅4分の1!$B$11:$B$310),INDEX(条幅4分の1!$E$11:$E$310,31-COUNTA(半紙!$B$11:$B$310)-COUNTA(条幅!$B$11:$B$310)),"")))=0,"",IF(31&lt;=COUNTA(半紙!$B$11:$B$310),INDEX(半紙!$E$11:$E$310,31),IF(31&lt;=COUNTA(半紙!$B$11:$B$310)+COUNTA(条幅!$B$11:$B$310),INDEX(条幅!$E$11:$E$310,31-COUNTA(半紙!$B$11:$B$310)),IF(31&lt;=COUNTA(半紙!$B$11:$B$310)+COUNTA(条幅!$B$11:$B$310)+COUNTA(条幅4分の1!$B$11:$B$310),INDEX(条幅4分の1!$E$11:$E$310,31-COUNTA(半紙!$B$11:$B$310)-COUNTA(条幅!$B$11:$B$310)),""))))</f>
        <v/>
      </c>
      <c r="F36" s="38" t="str">
        <f>IF(IF(31&lt;=COUNTA(半紙!$B$11:$B$310),INDEX(半紙!$F$11:$F$310,31),IF(31&lt;=COUNTA(半紙!$B$11:$B$310)+COUNTA(条幅!$B$11:$B$310),INDEX(条幅!$F$11:$F$310,31-COUNTA(半紙!$B$11:$B$310)),IF(31&lt;=COUNTA(半紙!$B$11:$B$310)+COUNTA(条幅!$B$11:$B$310)+COUNTA(条幅4分の1!$B$11:$B$310),INDEX(条幅4分の1!$F$11:$F$310,31-COUNTA(半紙!$B$11:$B$310)-COUNTA(条幅!$B$11:$B$310)),"")))=0,"",IF(31&lt;=COUNTA(半紙!$B$11:$B$310),INDEX(半紙!$F$11:$F$310,31),IF(31&lt;=COUNTA(半紙!$B$11:$B$310)+COUNTA(条幅!$B$11:$B$310),INDEX(条幅!$F$11:$F$310,31-COUNTA(半紙!$B$11:$B$310)),IF(31&lt;=COUNTA(半紙!$B$11:$B$310)+COUNTA(条幅!$B$11:$B$310)+COUNTA(条幅4分の1!$B$11:$B$310),INDEX(条幅4分の1!$F$11:$F$310,31-COUNTA(半紙!$B$11:$B$310)-COUNTA(条幅!$B$11:$B$310)),""))))</f>
        <v/>
      </c>
      <c r="G36" s="38" t="str">
        <f>IF(IF(31&lt;=COUNTA(半紙!$B$11:$B$310),INDEX(半紙!$G$11:$G$310,31),IF(31&lt;=COUNTA(半紙!$B$11:$B$310)+COUNTA(条幅!$B$11:$B$310),INDEX(条幅!$G$11:$G$310,31-COUNTA(半紙!$B$11:$B$310)),IF(31&lt;=COUNTA(半紙!$B$11:$B$310)+COUNTA(条幅!$B$11:$B$310)+COUNTA(条幅4分の1!$B$11:$B$310),INDEX(条幅4分の1!$G$11:$G$310,31-COUNTA(半紙!$B$11:$B$310)-COUNTA(条幅!$B$11:$B$310)),"")))=0,"",IF(31&lt;=COUNTA(半紙!$B$11:$B$310),INDEX(半紙!$G$11:$G$310,31),IF(31&lt;=COUNTA(半紙!$B$11:$B$310)+COUNTA(条幅!$B$11:$B$310),INDEX(条幅!$G$11:$G$310,31-COUNTA(半紙!$B$11:$B$310)),IF(31&lt;=COUNTA(半紙!$B$11:$B$310)+COUNTA(条幅!$B$11:$B$310)+COUNTA(条幅4分の1!$B$11:$B$310),INDEX(条幅4分の1!$G$11:$G$310,31-COUNTA(半紙!$B$11:$B$310)-COUNTA(条幅!$B$11:$B$310)),""))))</f>
        <v/>
      </c>
      <c r="H36" s="38" t="str">
        <f>IF(IF(31&lt;=COUNTA(半紙!$B$11:$B$310),INDEX(半紙!$H$11:$H$310,31),IF(31&lt;=COUNTA(半紙!$B$11:$B$310)+COUNTA(条幅!$B$11:$B$310),INDEX(条幅!$H$11:$H$310,31-COUNTA(半紙!$B$11:$B$310)),IF(31&lt;=COUNTA(半紙!$B$11:$B$310)+COUNTA(条幅!$B$11:$B$310)+COUNTA(条幅4分の1!$B$11:$B$310),INDEX(条幅4分の1!$H$11:$H$310,31-COUNTA(半紙!$B$11:$B$310)-COUNTA(条幅!$B$11:$B$310)),"")))=0,"",IF(31&lt;=COUNTA(半紙!$B$11:$B$310),INDEX(半紙!$H$11:$H$310,31),IF(31&lt;=COUNTA(半紙!$B$11:$B$310)+COUNTA(条幅!$B$11:$B$310),INDEX(条幅!$H$11:$H$310,31-COUNTA(半紙!$B$11:$B$310)),IF(31&lt;=COUNTA(半紙!$B$11:$B$310)+COUNTA(条幅!$B$11:$B$310)+COUNTA(条幅4分の1!$B$11:$B$310),INDEX(条幅4分の1!$H$11:$H$310,31-COUNTA(半紙!$B$11:$B$310)-COUNTA(条幅!$B$11:$B$310)),""))))</f>
        <v/>
      </c>
      <c r="I36" s="38" t="str">
        <f>IF(IF(31&lt;=COUNTA(半紙!$B$11:$B$310),INDEX(半紙!$I$11:$I$310,31),IF(31&lt;=COUNTA(半紙!$B$11:$B$310)+COUNTA(条幅!$B$11:$B$310),INDEX(条幅!$I$11:$I$310,31-COUNTA(半紙!$B$11:$B$310)),IF(31&lt;=COUNTA(半紙!$B$11:$B$310)+COUNTA(条幅!$B$11:$B$310)+COUNTA(条幅4分の1!$B$11:$B$310),INDEX(条幅4分の1!$I$11:$I$310,31-COUNTA(半紙!$B$11:$B$310)-COUNTA(条幅!$B$11:$B$310)),"")))=0,"",IF(31&lt;=COUNTA(半紙!$B$11:$B$310),INDEX(半紙!$I$11:$I$310,31),IF(31&lt;=COUNTA(半紙!$B$11:$B$310)+COUNTA(条幅!$B$11:$B$310),INDEX(条幅!$I$11:$I$310,31-COUNTA(半紙!$B$11:$B$310)),IF(31&lt;=COUNTA(半紙!$B$11:$B$310)+COUNTA(条幅!$B$11:$B$310)+COUNTA(条幅4分の1!$B$11:$B$310),INDEX(条幅4分の1!$I$11:$I$310,31-COUNTA(半紙!$B$11:$B$310)-COUNTA(条幅!$B$11:$B$310)),""))))</f>
        <v/>
      </c>
      <c r="J36" s="38" t="str">
        <f>IF(IF(31&lt;=COUNTA(半紙!$B$11:$B$310),INDEX(半紙!$J$11:$J$310,31),IF(31&lt;=COUNTA(半紙!$B$11:$B$310)+COUNTA(条幅!$B$11:$B$310),INDEX(条幅!$J$11:$J$310,31-COUNTA(半紙!$B$11:$B$310)),IF(31&lt;=COUNTA(半紙!$B$11:$B$310)+COUNTA(条幅!$B$11:$B$310)+COUNTA(条幅4分の1!$B$11:$B$310),INDEX(条幅4分の1!$J$11:$J$310,31-COUNTA(半紙!$B$11:$B$310)-COUNTA(条幅!$B$11:$B$310)),"")))=0,"",IF(31&lt;=COUNTA(半紙!$B$11:$B$310),INDEX(半紙!$J$11:$J$310,31),IF(31&lt;=COUNTA(半紙!$B$11:$B$310)+COUNTA(条幅!$B$11:$B$310),INDEX(条幅!$J$11:$J$310,31-COUNTA(半紙!$B$11:$B$310)),IF(31&lt;=COUNTA(半紙!$B$11:$B$310)+COUNTA(条幅!$B$11:$B$310)+COUNTA(条幅4分の1!$B$11:$B$310),INDEX(条幅4分の1!$J$11:$J$310,31-COUNTA(半紙!$B$11:$B$310)-COUNTA(条幅!$B$11:$B$310)),""))))</f>
        <v/>
      </c>
      <c r="K36" s="38" t="str">
        <f>IF(IF(31&lt;=COUNTA(半紙!$B$11:$B$310),INDEX(半紙!$K$11:$K$310,31),IF(31&lt;=COUNTA(半紙!$B$11:$B$310)+COUNTA(条幅!$B$11:$B$310),INDEX(条幅!$K$11:$K$310,31-COUNTA(半紙!$B$11:$B$310)),IF(31&lt;=COUNTA(半紙!$B$11:$B$310)+COUNTA(条幅!$B$11:$B$310)+COUNTA(条幅4分の1!$B$11:$B$310),INDEX(条幅4分の1!$K$11:$K$310,31-COUNTA(半紙!$B$11:$B$310)-COUNTA(条幅!$B$11:$B$310)),"")))=0,"",IF(31&lt;=COUNTA(半紙!$B$11:$B$310),INDEX(半紙!$K$11:$K$310,31),IF(31&lt;=COUNTA(半紙!$B$11:$B$310)+COUNTA(条幅!$B$11:$B$310),INDEX(条幅!$K$11:$K$310,31-COUNTA(半紙!$B$11:$B$310)),IF(31&lt;=COUNTA(半紙!$B$11:$B$310)+COUNTA(条幅!$B$11:$B$310)+COUNTA(条幅4分の1!$B$11:$B$310),INDEX(条幅4分の1!$K$11:$K$310,31-COUNTA(半紙!$B$11:$B$310)-COUNTA(条幅!$B$11:$B$310)),""))))</f>
        <v/>
      </c>
      <c r="L36" s="48" t="str">
        <f>IF($B36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31))</f>
        <v/>
      </c>
    </row>
    <row r="37" spans="1:12" ht="15" customHeight="1">
      <c r="A37" s="37" t="str">
        <f>IF(32&lt;=COUNTA(半紙!$B$11:$B$310),"半紙",IF(32&lt;=COUNTA(半紙!$B$11:$B$310)+COUNTA(条幅!$B$11:$B$310),"条幅(半切)",IF(32&lt;=COUNTA(半紙!$B$11:$B$310)+COUNTA(条幅!$B$11:$B$310)+COUNTA(条幅4分の1!$B$11:$B$310),"条幅(1/4)","")))</f>
        <v/>
      </c>
      <c r="B37" s="38" t="str">
        <f>IF(IF(32&lt;=COUNTA(半紙!$B$11:$B$310),INDEX(半紙!$B$11:$B$310,32),IF(32&lt;=COUNTA(半紙!$B$11:$B$310)+COUNTA(条幅!$B$11:$B$310),INDEX(条幅!$B$11:$B$310,32-COUNTA(半紙!$B$11:$B$310)),IF(32&lt;=COUNTA(半紙!$B$11:$B$310)+COUNTA(条幅!$B$11:$B$310)+COUNTA(条幅4分の1!$B$11:$B$310),INDEX(条幅4分の1!$B$11:$B$310,32-COUNTA(半紙!$B$11:$B$310)-COUNTA(条幅!$B$11:$B$310)),"")))=0,"",IF(32&lt;=COUNTA(半紙!$B$11:$B$310),INDEX(半紙!$B$11:$B$310,32),IF(32&lt;=COUNTA(半紙!$B$11:$B$310)+COUNTA(条幅!$B$11:$B$310),INDEX(条幅!$B$11:$B$310,32-COUNTA(半紙!$B$11:$B$310)),IF(32&lt;=COUNTA(半紙!$B$11:$B$310)+COUNTA(条幅!$B$11:$B$310)+COUNTA(条幅4分の1!$B$11:$B$310),INDEX(条幅4分の1!$B$11:$B$310,32-COUNTA(半紙!$B$11:$B$310)-COUNTA(条幅!$B$11:$B$310)),""))))</f>
        <v/>
      </c>
      <c r="C37" s="38" t="str">
        <f>IF(IF(32&lt;=COUNTA(半紙!$B$11:$B$310),INDEX(半紙!$C$11:$C$310,32),IF(32&lt;=COUNTA(半紙!$B$11:$B$310)+COUNTA(条幅!$B$11:$B$310),INDEX(条幅!$C$11:$C$310,32-COUNTA(半紙!$B$11:$B$310)),IF(32&lt;=COUNTA(半紙!$B$11:$B$310)+COUNTA(条幅!$B$11:$B$310)+COUNTA(条幅4分の1!$B$11:$B$310),INDEX(条幅4分の1!$C$11:$C$310,32-COUNTA(半紙!$B$11:$B$310)-COUNTA(条幅!$B$11:$B$310)),"")))=0,"",IF(32&lt;=COUNTA(半紙!$B$11:$B$310),INDEX(半紙!$C$11:$C$310,32),IF(32&lt;=COUNTA(半紙!$B$11:$B$310)+COUNTA(条幅!$B$11:$B$310),INDEX(条幅!$C$11:$C$310,32-COUNTA(半紙!$B$11:$B$310)),IF(32&lt;=COUNTA(半紙!$B$11:$B$310)+COUNTA(条幅!$B$11:$B$310)+COUNTA(条幅4分の1!$B$11:$B$310),INDEX(条幅4分の1!$C$11:$C$310,32-COUNTA(半紙!$B$11:$B$310)-COUNTA(条幅!$B$11:$B$310)),""))))</f>
        <v/>
      </c>
      <c r="D37" s="38" t="str">
        <f>IF(IF(32&lt;=COUNTA(半紙!$B$11:$B$310),INDEX(半紙!$D$11:$D$310,32),IF(32&lt;=COUNTA(半紙!$B$11:$B$310)+COUNTA(条幅!$B$11:$B$310),INDEX(条幅!$D$11:$D$310,32-COUNTA(半紙!$B$11:$B$310)),IF(32&lt;=COUNTA(半紙!$B$11:$B$310)+COUNTA(条幅!$B$11:$B$310)+COUNTA(条幅4分の1!$B$11:$B$310),INDEX(条幅4分の1!$D$11:$D$310,32-COUNTA(半紙!$B$11:$B$310)-COUNTA(条幅!$B$11:$B$310)),"")))=0,"",IF(32&lt;=COUNTA(半紙!$B$11:$B$310),INDEX(半紙!$D$11:$D$310,32),IF(32&lt;=COUNTA(半紙!$B$11:$B$310)+COUNTA(条幅!$B$11:$B$310),INDEX(条幅!$D$11:$D$310,32-COUNTA(半紙!$B$11:$B$310)),IF(32&lt;=COUNTA(半紙!$B$11:$B$310)+COUNTA(条幅!$B$11:$B$310)+COUNTA(条幅4分の1!$B$11:$B$310),INDEX(条幅4分の1!$D$11:$D$310,32-COUNTA(半紙!$B$11:$B$310)-COUNTA(条幅!$B$11:$B$310)),""))))</f>
        <v/>
      </c>
      <c r="E37" s="38" t="str">
        <f>IF(IF(32&lt;=COUNTA(半紙!$B$11:$B$310),INDEX(半紙!$E$11:$E$310,32),IF(32&lt;=COUNTA(半紙!$B$11:$B$310)+COUNTA(条幅!$B$11:$B$310),INDEX(条幅!$E$11:$E$310,32-COUNTA(半紙!$B$11:$B$310)),IF(32&lt;=COUNTA(半紙!$B$11:$B$310)+COUNTA(条幅!$B$11:$B$310)+COUNTA(条幅4分の1!$B$11:$B$310),INDEX(条幅4分の1!$E$11:$E$310,32-COUNTA(半紙!$B$11:$B$310)-COUNTA(条幅!$B$11:$B$310)),"")))=0,"",IF(32&lt;=COUNTA(半紙!$B$11:$B$310),INDEX(半紙!$E$11:$E$310,32),IF(32&lt;=COUNTA(半紙!$B$11:$B$310)+COUNTA(条幅!$B$11:$B$310),INDEX(条幅!$E$11:$E$310,32-COUNTA(半紙!$B$11:$B$310)),IF(32&lt;=COUNTA(半紙!$B$11:$B$310)+COUNTA(条幅!$B$11:$B$310)+COUNTA(条幅4分の1!$B$11:$B$310),INDEX(条幅4分の1!$E$11:$E$310,32-COUNTA(半紙!$B$11:$B$310)-COUNTA(条幅!$B$11:$B$310)),""))))</f>
        <v/>
      </c>
      <c r="F37" s="38" t="str">
        <f>IF(IF(32&lt;=COUNTA(半紙!$B$11:$B$310),INDEX(半紙!$F$11:$F$310,32),IF(32&lt;=COUNTA(半紙!$B$11:$B$310)+COUNTA(条幅!$B$11:$B$310),INDEX(条幅!$F$11:$F$310,32-COUNTA(半紙!$B$11:$B$310)),IF(32&lt;=COUNTA(半紙!$B$11:$B$310)+COUNTA(条幅!$B$11:$B$310)+COUNTA(条幅4分の1!$B$11:$B$310),INDEX(条幅4分の1!$F$11:$F$310,32-COUNTA(半紙!$B$11:$B$310)-COUNTA(条幅!$B$11:$B$310)),"")))=0,"",IF(32&lt;=COUNTA(半紙!$B$11:$B$310),INDEX(半紙!$F$11:$F$310,32),IF(32&lt;=COUNTA(半紙!$B$11:$B$310)+COUNTA(条幅!$B$11:$B$310),INDEX(条幅!$F$11:$F$310,32-COUNTA(半紙!$B$11:$B$310)),IF(32&lt;=COUNTA(半紙!$B$11:$B$310)+COUNTA(条幅!$B$11:$B$310)+COUNTA(条幅4分の1!$B$11:$B$310),INDEX(条幅4分の1!$F$11:$F$310,32-COUNTA(半紙!$B$11:$B$310)-COUNTA(条幅!$B$11:$B$310)),""))))</f>
        <v/>
      </c>
      <c r="G37" s="38" t="str">
        <f>IF(IF(32&lt;=COUNTA(半紙!$B$11:$B$310),INDEX(半紙!$G$11:$G$310,32),IF(32&lt;=COUNTA(半紙!$B$11:$B$310)+COUNTA(条幅!$B$11:$B$310),INDEX(条幅!$G$11:$G$310,32-COUNTA(半紙!$B$11:$B$310)),IF(32&lt;=COUNTA(半紙!$B$11:$B$310)+COUNTA(条幅!$B$11:$B$310)+COUNTA(条幅4分の1!$B$11:$B$310),INDEX(条幅4分の1!$G$11:$G$310,32-COUNTA(半紙!$B$11:$B$310)-COUNTA(条幅!$B$11:$B$310)),"")))=0,"",IF(32&lt;=COUNTA(半紙!$B$11:$B$310),INDEX(半紙!$G$11:$G$310,32),IF(32&lt;=COUNTA(半紙!$B$11:$B$310)+COUNTA(条幅!$B$11:$B$310),INDEX(条幅!$G$11:$G$310,32-COUNTA(半紙!$B$11:$B$310)),IF(32&lt;=COUNTA(半紙!$B$11:$B$310)+COUNTA(条幅!$B$11:$B$310)+COUNTA(条幅4分の1!$B$11:$B$310),INDEX(条幅4分の1!$G$11:$G$310,32-COUNTA(半紙!$B$11:$B$310)-COUNTA(条幅!$B$11:$B$310)),""))))</f>
        <v/>
      </c>
      <c r="H37" s="38" t="str">
        <f>IF(IF(32&lt;=COUNTA(半紙!$B$11:$B$310),INDEX(半紙!$H$11:$H$310,32),IF(32&lt;=COUNTA(半紙!$B$11:$B$310)+COUNTA(条幅!$B$11:$B$310),INDEX(条幅!$H$11:$H$310,32-COUNTA(半紙!$B$11:$B$310)),IF(32&lt;=COUNTA(半紙!$B$11:$B$310)+COUNTA(条幅!$B$11:$B$310)+COUNTA(条幅4分の1!$B$11:$B$310),INDEX(条幅4分の1!$H$11:$H$310,32-COUNTA(半紙!$B$11:$B$310)-COUNTA(条幅!$B$11:$B$310)),"")))=0,"",IF(32&lt;=COUNTA(半紙!$B$11:$B$310),INDEX(半紙!$H$11:$H$310,32),IF(32&lt;=COUNTA(半紙!$B$11:$B$310)+COUNTA(条幅!$B$11:$B$310),INDEX(条幅!$H$11:$H$310,32-COUNTA(半紙!$B$11:$B$310)),IF(32&lt;=COUNTA(半紙!$B$11:$B$310)+COUNTA(条幅!$B$11:$B$310)+COUNTA(条幅4分の1!$B$11:$B$310),INDEX(条幅4分の1!$H$11:$H$310,32-COUNTA(半紙!$B$11:$B$310)-COUNTA(条幅!$B$11:$B$310)),""))))</f>
        <v/>
      </c>
      <c r="I37" s="38" t="str">
        <f>IF(IF(32&lt;=COUNTA(半紙!$B$11:$B$310),INDEX(半紙!$I$11:$I$310,32),IF(32&lt;=COUNTA(半紙!$B$11:$B$310)+COUNTA(条幅!$B$11:$B$310),INDEX(条幅!$I$11:$I$310,32-COUNTA(半紙!$B$11:$B$310)),IF(32&lt;=COUNTA(半紙!$B$11:$B$310)+COUNTA(条幅!$B$11:$B$310)+COUNTA(条幅4分の1!$B$11:$B$310),INDEX(条幅4分の1!$I$11:$I$310,32-COUNTA(半紙!$B$11:$B$310)-COUNTA(条幅!$B$11:$B$310)),"")))=0,"",IF(32&lt;=COUNTA(半紙!$B$11:$B$310),INDEX(半紙!$I$11:$I$310,32),IF(32&lt;=COUNTA(半紙!$B$11:$B$310)+COUNTA(条幅!$B$11:$B$310),INDEX(条幅!$I$11:$I$310,32-COUNTA(半紙!$B$11:$B$310)),IF(32&lt;=COUNTA(半紙!$B$11:$B$310)+COUNTA(条幅!$B$11:$B$310)+COUNTA(条幅4分の1!$B$11:$B$310),INDEX(条幅4分の1!$I$11:$I$310,32-COUNTA(半紙!$B$11:$B$310)-COUNTA(条幅!$B$11:$B$310)),""))))</f>
        <v/>
      </c>
      <c r="J37" s="38" t="str">
        <f>IF(IF(32&lt;=COUNTA(半紙!$B$11:$B$310),INDEX(半紙!$J$11:$J$310,32),IF(32&lt;=COUNTA(半紙!$B$11:$B$310)+COUNTA(条幅!$B$11:$B$310),INDEX(条幅!$J$11:$J$310,32-COUNTA(半紙!$B$11:$B$310)),IF(32&lt;=COUNTA(半紙!$B$11:$B$310)+COUNTA(条幅!$B$11:$B$310)+COUNTA(条幅4分の1!$B$11:$B$310),INDEX(条幅4分の1!$J$11:$J$310,32-COUNTA(半紙!$B$11:$B$310)-COUNTA(条幅!$B$11:$B$310)),"")))=0,"",IF(32&lt;=COUNTA(半紙!$B$11:$B$310),INDEX(半紙!$J$11:$J$310,32),IF(32&lt;=COUNTA(半紙!$B$11:$B$310)+COUNTA(条幅!$B$11:$B$310),INDEX(条幅!$J$11:$J$310,32-COUNTA(半紙!$B$11:$B$310)),IF(32&lt;=COUNTA(半紙!$B$11:$B$310)+COUNTA(条幅!$B$11:$B$310)+COUNTA(条幅4分の1!$B$11:$B$310),INDEX(条幅4分の1!$J$11:$J$310,32-COUNTA(半紙!$B$11:$B$310)-COUNTA(条幅!$B$11:$B$310)),""))))</f>
        <v/>
      </c>
      <c r="K37" s="38" t="str">
        <f>IF(IF(32&lt;=COUNTA(半紙!$B$11:$B$310),INDEX(半紙!$K$11:$K$310,32),IF(32&lt;=COUNTA(半紙!$B$11:$B$310)+COUNTA(条幅!$B$11:$B$310),INDEX(条幅!$K$11:$K$310,32-COUNTA(半紙!$B$11:$B$310)),IF(32&lt;=COUNTA(半紙!$B$11:$B$310)+COUNTA(条幅!$B$11:$B$310)+COUNTA(条幅4分の1!$B$11:$B$310),INDEX(条幅4分の1!$K$11:$K$310,32-COUNTA(半紙!$B$11:$B$310)-COUNTA(条幅!$B$11:$B$310)),"")))=0,"",IF(32&lt;=COUNTA(半紙!$B$11:$B$310),INDEX(半紙!$K$11:$K$310,32),IF(32&lt;=COUNTA(半紙!$B$11:$B$310)+COUNTA(条幅!$B$11:$B$310),INDEX(条幅!$K$11:$K$310,32-COUNTA(半紙!$B$11:$B$310)),IF(32&lt;=COUNTA(半紙!$B$11:$B$310)+COUNTA(条幅!$B$11:$B$310)+COUNTA(条幅4分の1!$B$11:$B$310),INDEX(条幅4分の1!$K$11:$K$310,32-COUNTA(半紙!$B$11:$B$310)-COUNTA(条幅!$B$11:$B$310)),""))))</f>
        <v/>
      </c>
      <c r="L37" s="48" t="str">
        <f>IF($B37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32))</f>
        <v/>
      </c>
    </row>
    <row r="38" spans="1:12" ht="15" customHeight="1">
      <c r="A38" s="37" t="str">
        <f>IF(33&lt;=COUNTA(半紙!$B$11:$B$310),"半紙",IF(33&lt;=COUNTA(半紙!$B$11:$B$310)+COUNTA(条幅!$B$11:$B$310),"条幅(半切)",IF(33&lt;=COUNTA(半紙!$B$11:$B$310)+COUNTA(条幅!$B$11:$B$310)+COUNTA(条幅4分の1!$B$11:$B$310),"条幅(1/4)","")))</f>
        <v/>
      </c>
      <c r="B38" s="38" t="str">
        <f>IF(IF(33&lt;=COUNTA(半紙!$B$11:$B$310),INDEX(半紙!$B$11:$B$310,33),IF(33&lt;=COUNTA(半紙!$B$11:$B$310)+COUNTA(条幅!$B$11:$B$310),INDEX(条幅!$B$11:$B$310,33-COUNTA(半紙!$B$11:$B$310)),IF(33&lt;=COUNTA(半紙!$B$11:$B$310)+COUNTA(条幅!$B$11:$B$310)+COUNTA(条幅4分の1!$B$11:$B$310),INDEX(条幅4分の1!$B$11:$B$310,33-COUNTA(半紙!$B$11:$B$310)-COUNTA(条幅!$B$11:$B$310)),"")))=0,"",IF(33&lt;=COUNTA(半紙!$B$11:$B$310),INDEX(半紙!$B$11:$B$310,33),IF(33&lt;=COUNTA(半紙!$B$11:$B$310)+COUNTA(条幅!$B$11:$B$310),INDEX(条幅!$B$11:$B$310,33-COUNTA(半紙!$B$11:$B$310)),IF(33&lt;=COUNTA(半紙!$B$11:$B$310)+COUNTA(条幅!$B$11:$B$310)+COUNTA(条幅4分の1!$B$11:$B$310),INDEX(条幅4分の1!$B$11:$B$310,33-COUNTA(半紙!$B$11:$B$310)-COUNTA(条幅!$B$11:$B$310)),""))))</f>
        <v/>
      </c>
      <c r="C38" s="38" t="str">
        <f>IF(IF(33&lt;=COUNTA(半紙!$B$11:$B$310),INDEX(半紙!$C$11:$C$310,33),IF(33&lt;=COUNTA(半紙!$B$11:$B$310)+COUNTA(条幅!$B$11:$B$310),INDEX(条幅!$C$11:$C$310,33-COUNTA(半紙!$B$11:$B$310)),IF(33&lt;=COUNTA(半紙!$B$11:$B$310)+COUNTA(条幅!$B$11:$B$310)+COUNTA(条幅4分の1!$B$11:$B$310),INDEX(条幅4分の1!$C$11:$C$310,33-COUNTA(半紙!$B$11:$B$310)-COUNTA(条幅!$B$11:$B$310)),"")))=0,"",IF(33&lt;=COUNTA(半紙!$B$11:$B$310),INDEX(半紙!$C$11:$C$310,33),IF(33&lt;=COUNTA(半紙!$B$11:$B$310)+COUNTA(条幅!$B$11:$B$310),INDEX(条幅!$C$11:$C$310,33-COUNTA(半紙!$B$11:$B$310)),IF(33&lt;=COUNTA(半紙!$B$11:$B$310)+COUNTA(条幅!$B$11:$B$310)+COUNTA(条幅4分の1!$B$11:$B$310),INDEX(条幅4分の1!$C$11:$C$310,33-COUNTA(半紙!$B$11:$B$310)-COUNTA(条幅!$B$11:$B$310)),""))))</f>
        <v/>
      </c>
      <c r="D38" s="38" t="str">
        <f>IF(IF(33&lt;=COUNTA(半紙!$B$11:$B$310),INDEX(半紙!$D$11:$D$310,33),IF(33&lt;=COUNTA(半紙!$B$11:$B$310)+COUNTA(条幅!$B$11:$B$310),INDEX(条幅!$D$11:$D$310,33-COUNTA(半紙!$B$11:$B$310)),IF(33&lt;=COUNTA(半紙!$B$11:$B$310)+COUNTA(条幅!$B$11:$B$310)+COUNTA(条幅4分の1!$B$11:$B$310),INDEX(条幅4分の1!$D$11:$D$310,33-COUNTA(半紙!$B$11:$B$310)-COUNTA(条幅!$B$11:$B$310)),"")))=0,"",IF(33&lt;=COUNTA(半紙!$B$11:$B$310),INDEX(半紙!$D$11:$D$310,33),IF(33&lt;=COUNTA(半紙!$B$11:$B$310)+COUNTA(条幅!$B$11:$B$310),INDEX(条幅!$D$11:$D$310,33-COUNTA(半紙!$B$11:$B$310)),IF(33&lt;=COUNTA(半紙!$B$11:$B$310)+COUNTA(条幅!$B$11:$B$310)+COUNTA(条幅4分の1!$B$11:$B$310),INDEX(条幅4分の1!$D$11:$D$310,33-COUNTA(半紙!$B$11:$B$310)-COUNTA(条幅!$B$11:$B$310)),""))))</f>
        <v/>
      </c>
      <c r="E38" s="38" t="str">
        <f>IF(IF(33&lt;=COUNTA(半紙!$B$11:$B$310),INDEX(半紙!$E$11:$E$310,33),IF(33&lt;=COUNTA(半紙!$B$11:$B$310)+COUNTA(条幅!$B$11:$B$310),INDEX(条幅!$E$11:$E$310,33-COUNTA(半紙!$B$11:$B$310)),IF(33&lt;=COUNTA(半紙!$B$11:$B$310)+COUNTA(条幅!$B$11:$B$310)+COUNTA(条幅4分の1!$B$11:$B$310),INDEX(条幅4分の1!$E$11:$E$310,33-COUNTA(半紙!$B$11:$B$310)-COUNTA(条幅!$B$11:$B$310)),"")))=0,"",IF(33&lt;=COUNTA(半紙!$B$11:$B$310),INDEX(半紙!$E$11:$E$310,33),IF(33&lt;=COUNTA(半紙!$B$11:$B$310)+COUNTA(条幅!$B$11:$B$310),INDEX(条幅!$E$11:$E$310,33-COUNTA(半紙!$B$11:$B$310)),IF(33&lt;=COUNTA(半紙!$B$11:$B$310)+COUNTA(条幅!$B$11:$B$310)+COUNTA(条幅4分の1!$B$11:$B$310),INDEX(条幅4分の1!$E$11:$E$310,33-COUNTA(半紙!$B$11:$B$310)-COUNTA(条幅!$B$11:$B$310)),""))))</f>
        <v/>
      </c>
      <c r="F38" s="38" t="str">
        <f>IF(IF(33&lt;=COUNTA(半紙!$B$11:$B$310),INDEX(半紙!$F$11:$F$310,33),IF(33&lt;=COUNTA(半紙!$B$11:$B$310)+COUNTA(条幅!$B$11:$B$310),INDEX(条幅!$F$11:$F$310,33-COUNTA(半紙!$B$11:$B$310)),IF(33&lt;=COUNTA(半紙!$B$11:$B$310)+COUNTA(条幅!$B$11:$B$310)+COUNTA(条幅4分の1!$B$11:$B$310),INDEX(条幅4分の1!$F$11:$F$310,33-COUNTA(半紙!$B$11:$B$310)-COUNTA(条幅!$B$11:$B$310)),"")))=0,"",IF(33&lt;=COUNTA(半紙!$B$11:$B$310),INDEX(半紙!$F$11:$F$310,33),IF(33&lt;=COUNTA(半紙!$B$11:$B$310)+COUNTA(条幅!$B$11:$B$310),INDEX(条幅!$F$11:$F$310,33-COUNTA(半紙!$B$11:$B$310)),IF(33&lt;=COUNTA(半紙!$B$11:$B$310)+COUNTA(条幅!$B$11:$B$310)+COUNTA(条幅4分の1!$B$11:$B$310),INDEX(条幅4分の1!$F$11:$F$310,33-COUNTA(半紙!$B$11:$B$310)-COUNTA(条幅!$B$11:$B$310)),""))))</f>
        <v/>
      </c>
      <c r="G38" s="38" t="str">
        <f>IF(IF(33&lt;=COUNTA(半紙!$B$11:$B$310),INDEX(半紙!$G$11:$G$310,33),IF(33&lt;=COUNTA(半紙!$B$11:$B$310)+COUNTA(条幅!$B$11:$B$310),INDEX(条幅!$G$11:$G$310,33-COUNTA(半紙!$B$11:$B$310)),IF(33&lt;=COUNTA(半紙!$B$11:$B$310)+COUNTA(条幅!$B$11:$B$310)+COUNTA(条幅4分の1!$B$11:$B$310),INDEX(条幅4分の1!$G$11:$G$310,33-COUNTA(半紙!$B$11:$B$310)-COUNTA(条幅!$B$11:$B$310)),"")))=0,"",IF(33&lt;=COUNTA(半紙!$B$11:$B$310),INDEX(半紙!$G$11:$G$310,33),IF(33&lt;=COUNTA(半紙!$B$11:$B$310)+COUNTA(条幅!$B$11:$B$310),INDEX(条幅!$G$11:$G$310,33-COUNTA(半紙!$B$11:$B$310)),IF(33&lt;=COUNTA(半紙!$B$11:$B$310)+COUNTA(条幅!$B$11:$B$310)+COUNTA(条幅4分の1!$B$11:$B$310),INDEX(条幅4分の1!$G$11:$G$310,33-COUNTA(半紙!$B$11:$B$310)-COUNTA(条幅!$B$11:$B$310)),""))))</f>
        <v/>
      </c>
      <c r="H38" s="38" t="str">
        <f>IF(IF(33&lt;=COUNTA(半紙!$B$11:$B$310),INDEX(半紙!$H$11:$H$310,33),IF(33&lt;=COUNTA(半紙!$B$11:$B$310)+COUNTA(条幅!$B$11:$B$310),INDEX(条幅!$H$11:$H$310,33-COUNTA(半紙!$B$11:$B$310)),IF(33&lt;=COUNTA(半紙!$B$11:$B$310)+COUNTA(条幅!$B$11:$B$310)+COUNTA(条幅4分の1!$B$11:$B$310),INDEX(条幅4分の1!$H$11:$H$310,33-COUNTA(半紙!$B$11:$B$310)-COUNTA(条幅!$B$11:$B$310)),"")))=0,"",IF(33&lt;=COUNTA(半紙!$B$11:$B$310),INDEX(半紙!$H$11:$H$310,33),IF(33&lt;=COUNTA(半紙!$B$11:$B$310)+COUNTA(条幅!$B$11:$B$310),INDEX(条幅!$H$11:$H$310,33-COUNTA(半紙!$B$11:$B$310)),IF(33&lt;=COUNTA(半紙!$B$11:$B$310)+COUNTA(条幅!$B$11:$B$310)+COUNTA(条幅4分の1!$B$11:$B$310),INDEX(条幅4分の1!$H$11:$H$310,33-COUNTA(半紙!$B$11:$B$310)-COUNTA(条幅!$B$11:$B$310)),""))))</f>
        <v/>
      </c>
      <c r="I38" s="38" t="str">
        <f>IF(IF(33&lt;=COUNTA(半紙!$B$11:$B$310),INDEX(半紙!$I$11:$I$310,33),IF(33&lt;=COUNTA(半紙!$B$11:$B$310)+COUNTA(条幅!$B$11:$B$310),INDEX(条幅!$I$11:$I$310,33-COUNTA(半紙!$B$11:$B$310)),IF(33&lt;=COUNTA(半紙!$B$11:$B$310)+COUNTA(条幅!$B$11:$B$310)+COUNTA(条幅4分の1!$B$11:$B$310),INDEX(条幅4分の1!$I$11:$I$310,33-COUNTA(半紙!$B$11:$B$310)-COUNTA(条幅!$B$11:$B$310)),"")))=0,"",IF(33&lt;=COUNTA(半紙!$B$11:$B$310),INDEX(半紙!$I$11:$I$310,33),IF(33&lt;=COUNTA(半紙!$B$11:$B$310)+COUNTA(条幅!$B$11:$B$310),INDEX(条幅!$I$11:$I$310,33-COUNTA(半紙!$B$11:$B$310)),IF(33&lt;=COUNTA(半紙!$B$11:$B$310)+COUNTA(条幅!$B$11:$B$310)+COUNTA(条幅4分の1!$B$11:$B$310),INDEX(条幅4分の1!$I$11:$I$310,33-COUNTA(半紙!$B$11:$B$310)-COUNTA(条幅!$B$11:$B$310)),""))))</f>
        <v/>
      </c>
      <c r="J38" s="38" t="str">
        <f>IF(IF(33&lt;=COUNTA(半紙!$B$11:$B$310),INDEX(半紙!$J$11:$J$310,33),IF(33&lt;=COUNTA(半紙!$B$11:$B$310)+COUNTA(条幅!$B$11:$B$310),INDEX(条幅!$J$11:$J$310,33-COUNTA(半紙!$B$11:$B$310)),IF(33&lt;=COUNTA(半紙!$B$11:$B$310)+COUNTA(条幅!$B$11:$B$310)+COUNTA(条幅4分の1!$B$11:$B$310),INDEX(条幅4分の1!$J$11:$J$310,33-COUNTA(半紙!$B$11:$B$310)-COUNTA(条幅!$B$11:$B$310)),"")))=0,"",IF(33&lt;=COUNTA(半紙!$B$11:$B$310),INDEX(半紙!$J$11:$J$310,33),IF(33&lt;=COUNTA(半紙!$B$11:$B$310)+COUNTA(条幅!$B$11:$B$310),INDEX(条幅!$J$11:$J$310,33-COUNTA(半紙!$B$11:$B$310)),IF(33&lt;=COUNTA(半紙!$B$11:$B$310)+COUNTA(条幅!$B$11:$B$310)+COUNTA(条幅4分の1!$B$11:$B$310),INDEX(条幅4分の1!$J$11:$J$310,33-COUNTA(半紙!$B$11:$B$310)-COUNTA(条幅!$B$11:$B$310)),""))))</f>
        <v/>
      </c>
      <c r="K38" s="38" t="str">
        <f>IF(IF(33&lt;=COUNTA(半紙!$B$11:$B$310),INDEX(半紙!$K$11:$K$310,33),IF(33&lt;=COUNTA(半紙!$B$11:$B$310)+COUNTA(条幅!$B$11:$B$310),INDEX(条幅!$K$11:$K$310,33-COUNTA(半紙!$B$11:$B$310)),IF(33&lt;=COUNTA(半紙!$B$11:$B$310)+COUNTA(条幅!$B$11:$B$310)+COUNTA(条幅4分の1!$B$11:$B$310),INDEX(条幅4分の1!$K$11:$K$310,33-COUNTA(半紙!$B$11:$B$310)-COUNTA(条幅!$B$11:$B$310)),"")))=0,"",IF(33&lt;=COUNTA(半紙!$B$11:$B$310),INDEX(半紙!$K$11:$K$310,33),IF(33&lt;=COUNTA(半紙!$B$11:$B$310)+COUNTA(条幅!$B$11:$B$310),INDEX(条幅!$K$11:$K$310,33-COUNTA(半紙!$B$11:$B$310)),IF(33&lt;=COUNTA(半紙!$B$11:$B$310)+COUNTA(条幅!$B$11:$B$310)+COUNTA(条幅4分の1!$B$11:$B$310),INDEX(条幅4分の1!$K$11:$K$310,33-COUNTA(半紙!$B$11:$B$310)-COUNTA(条幅!$B$11:$B$310)),""))))</f>
        <v/>
      </c>
      <c r="L38" s="48" t="str">
        <f>IF($B38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33))</f>
        <v/>
      </c>
    </row>
    <row r="39" spans="1:12" ht="15" customHeight="1">
      <c r="A39" s="37" t="str">
        <f>IF(34&lt;=COUNTA(半紙!$B$11:$B$310),"半紙",IF(34&lt;=COUNTA(半紙!$B$11:$B$310)+COUNTA(条幅!$B$11:$B$310),"条幅(半切)",IF(34&lt;=COUNTA(半紙!$B$11:$B$310)+COUNTA(条幅!$B$11:$B$310)+COUNTA(条幅4分の1!$B$11:$B$310),"条幅(1/4)","")))</f>
        <v/>
      </c>
      <c r="B39" s="38" t="str">
        <f>IF(IF(34&lt;=COUNTA(半紙!$B$11:$B$310),INDEX(半紙!$B$11:$B$310,34),IF(34&lt;=COUNTA(半紙!$B$11:$B$310)+COUNTA(条幅!$B$11:$B$310),INDEX(条幅!$B$11:$B$310,34-COUNTA(半紙!$B$11:$B$310)),IF(34&lt;=COUNTA(半紙!$B$11:$B$310)+COUNTA(条幅!$B$11:$B$310)+COUNTA(条幅4分の1!$B$11:$B$310),INDEX(条幅4分の1!$B$11:$B$310,34-COUNTA(半紙!$B$11:$B$310)-COUNTA(条幅!$B$11:$B$310)),"")))=0,"",IF(34&lt;=COUNTA(半紙!$B$11:$B$310),INDEX(半紙!$B$11:$B$310,34),IF(34&lt;=COUNTA(半紙!$B$11:$B$310)+COUNTA(条幅!$B$11:$B$310),INDEX(条幅!$B$11:$B$310,34-COUNTA(半紙!$B$11:$B$310)),IF(34&lt;=COUNTA(半紙!$B$11:$B$310)+COUNTA(条幅!$B$11:$B$310)+COUNTA(条幅4分の1!$B$11:$B$310),INDEX(条幅4分の1!$B$11:$B$310,34-COUNTA(半紙!$B$11:$B$310)-COUNTA(条幅!$B$11:$B$310)),""))))</f>
        <v/>
      </c>
      <c r="C39" s="38" t="str">
        <f>IF(IF(34&lt;=COUNTA(半紙!$B$11:$B$310),INDEX(半紙!$C$11:$C$310,34),IF(34&lt;=COUNTA(半紙!$B$11:$B$310)+COUNTA(条幅!$B$11:$B$310),INDEX(条幅!$C$11:$C$310,34-COUNTA(半紙!$B$11:$B$310)),IF(34&lt;=COUNTA(半紙!$B$11:$B$310)+COUNTA(条幅!$B$11:$B$310)+COUNTA(条幅4分の1!$B$11:$B$310),INDEX(条幅4分の1!$C$11:$C$310,34-COUNTA(半紙!$B$11:$B$310)-COUNTA(条幅!$B$11:$B$310)),"")))=0,"",IF(34&lt;=COUNTA(半紙!$B$11:$B$310),INDEX(半紙!$C$11:$C$310,34),IF(34&lt;=COUNTA(半紙!$B$11:$B$310)+COUNTA(条幅!$B$11:$B$310),INDEX(条幅!$C$11:$C$310,34-COUNTA(半紙!$B$11:$B$310)),IF(34&lt;=COUNTA(半紙!$B$11:$B$310)+COUNTA(条幅!$B$11:$B$310)+COUNTA(条幅4分の1!$B$11:$B$310),INDEX(条幅4分の1!$C$11:$C$310,34-COUNTA(半紙!$B$11:$B$310)-COUNTA(条幅!$B$11:$B$310)),""))))</f>
        <v/>
      </c>
      <c r="D39" s="38" t="str">
        <f>IF(IF(34&lt;=COUNTA(半紙!$B$11:$B$310),INDEX(半紙!$D$11:$D$310,34),IF(34&lt;=COUNTA(半紙!$B$11:$B$310)+COUNTA(条幅!$B$11:$B$310),INDEX(条幅!$D$11:$D$310,34-COUNTA(半紙!$B$11:$B$310)),IF(34&lt;=COUNTA(半紙!$B$11:$B$310)+COUNTA(条幅!$B$11:$B$310)+COUNTA(条幅4分の1!$B$11:$B$310),INDEX(条幅4分の1!$D$11:$D$310,34-COUNTA(半紙!$B$11:$B$310)-COUNTA(条幅!$B$11:$B$310)),"")))=0,"",IF(34&lt;=COUNTA(半紙!$B$11:$B$310),INDEX(半紙!$D$11:$D$310,34),IF(34&lt;=COUNTA(半紙!$B$11:$B$310)+COUNTA(条幅!$B$11:$B$310),INDEX(条幅!$D$11:$D$310,34-COUNTA(半紙!$B$11:$B$310)),IF(34&lt;=COUNTA(半紙!$B$11:$B$310)+COUNTA(条幅!$B$11:$B$310)+COUNTA(条幅4分の1!$B$11:$B$310),INDEX(条幅4分の1!$D$11:$D$310,34-COUNTA(半紙!$B$11:$B$310)-COUNTA(条幅!$B$11:$B$310)),""))))</f>
        <v/>
      </c>
      <c r="E39" s="38" t="str">
        <f>IF(IF(34&lt;=COUNTA(半紙!$B$11:$B$310),INDEX(半紙!$E$11:$E$310,34),IF(34&lt;=COUNTA(半紙!$B$11:$B$310)+COUNTA(条幅!$B$11:$B$310),INDEX(条幅!$E$11:$E$310,34-COUNTA(半紙!$B$11:$B$310)),IF(34&lt;=COUNTA(半紙!$B$11:$B$310)+COUNTA(条幅!$B$11:$B$310)+COUNTA(条幅4分の1!$B$11:$B$310),INDEX(条幅4分の1!$E$11:$E$310,34-COUNTA(半紙!$B$11:$B$310)-COUNTA(条幅!$B$11:$B$310)),"")))=0,"",IF(34&lt;=COUNTA(半紙!$B$11:$B$310),INDEX(半紙!$E$11:$E$310,34),IF(34&lt;=COUNTA(半紙!$B$11:$B$310)+COUNTA(条幅!$B$11:$B$310),INDEX(条幅!$E$11:$E$310,34-COUNTA(半紙!$B$11:$B$310)),IF(34&lt;=COUNTA(半紙!$B$11:$B$310)+COUNTA(条幅!$B$11:$B$310)+COUNTA(条幅4分の1!$B$11:$B$310),INDEX(条幅4分の1!$E$11:$E$310,34-COUNTA(半紙!$B$11:$B$310)-COUNTA(条幅!$B$11:$B$310)),""))))</f>
        <v/>
      </c>
      <c r="F39" s="38" t="str">
        <f>IF(IF(34&lt;=COUNTA(半紙!$B$11:$B$310),INDEX(半紙!$F$11:$F$310,34),IF(34&lt;=COUNTA(半紙!$B$11:$B$310)+COUNTA(条幅!$B$11:$B$310),INDEX(条幅!$F$11:$F$310,34-COUNTA(半紙!$B$11:$B$310)),IF(34&lt;=COUNTA(半紙!$B$11:$B$310)+COUNTA(条幅!$B$11:$B$310)+COUNTA(条幅4分の1!$B$11:$B$310),INDEX(条幅4分の1!$F$11:$F$310,34-COUNTA(半紙!$B$11:$B$310)-COUNTA(条幅!$B$11:$B$310)),"")))=0,"",IF(34&lt;=COUNTA(半紙!$B$11:$B$310),INDEX(半紙!$F$11:$F$310,34),IF(34&lt;=COUNTA(半紙!$B$11:$B$310)+COUNTA(条幅!$B$11:$B$310),INDEX(条幅!$F$11:$F$310,34-COUNTA(半紙!$B$11:$B$310)),IF(34&lt;=COUNTA(半紙!$B$11:$B$310)+COUNTA(条幅!$B$11:$B$310)+COUNTA(条幅4分の1!$B$11:$B$310),INDEX(条幅4分の1!$F$11:$F$310,34-COUNTA(半紙!$B$11:$B$310)-COUNTA(条幅!$B$11:$B$310)),""))))</f>
        <v/>
      </c>
      <c r="G39" s="38" t="str">
        <f>IF(IF(34&lt;=COUNTA(半紙!$B$11:$B$310),INDEX(半紙!$G$11:$G$310,34),IF(34&lt;=COUNTA(半紙!$B$11:$B$310)+COUNTA(条幅!$B$11:$B$310),INDEX(条幅!$G$11:$G$310,34-COUNTA(半紙!$B$11:$B$310)),IF(34&lt;=COUNTA(半紙!$B$11:$B$310)+COUNTA(条幅!$B$11:$B$310)+COUNTA(条幅4分の1!$B$11:$B$310),INDEX(条幅4分の1!$G$11:$G$310,34-COUNTA(半紙!$B$11:$B$310)-COUNTA(条幅!$B$11:$B$310)),"")))=0,"",IF(34&lt;=COUNTA(半紙!$B$11:$B$310),INDEX(半紙!$G$11:$G$310,34),IF(34&lt;=COUNTA(半紙!$B$11:$B$310)+COUNTA(条幅!$B$11:$B$310),INDEX(条幅!$G$11:$G$310,34-COUNTA(半紙!$B$11:$B$310)),IF(34&lt;=COUNTA(半紙!$B$11:$B$310)+COUNTA(条幅!$B$11:$B$310)+COUNTA(条幅4分の1!$B$11:$B$310),INDEX(条幅4分の1!$G$11:$G$310,34-COUNTA(半紙!$B$11:$B$310)-COUNTA(条幅!$B$11:$B$310)),""))))</f>
        <v/>
      </c>
      <c r="H39" s="38" t="str">
        <f>IF(IF(34&lt;=COUNTA(半紙!$B$11:$B$310),INDEX(半紙!$H$11:$H$310,34),IF(34&lt;=COUNTA(半紙!$B$11:$B$310)+COUNTA(条幅!$B$11:$B$310),INDEX(条幅!$H$11:$H$310,34-COUNTA(半紙!$B$11:$B$310)),IF(34&lt;=COUNTA(半紙!$B$11:$B$310)+COUNTA(条幅!$B$11:$B$310)+COUNTA(条幅4分の1!$B$11:$B$310),INDEX(条幅4分の1!$H$11:$H$310,34-COUNTA(半紙!$B$11:$B$310)-COUNTA(条幅!$B$11:$B$310)),"")))=0,"",IF(34&lt;=COUNTA(半紙!$B$11:$B$310),INDEX(半紙!$H$11:$H$310,34),IF(34&lt;=COUNTA(半紙!$B$11:$B$310)+COUNTA(条幅!$B$11:$B$310),INDEX(条幅!$H$11:$H$310,34-COUNTA(半紙!$B$11:$B$310)),IF(34&lt;=COUNTA(半紙!$B$11:$B$310)+COUNTA(条幅!$B$11:$B$310)+COUNTA(条幅4分の1!$B$11:$B$310),INDEX(条幅4分の1!$H$11:$H$310,34-COUNTA(半紙!$B$11:$B$310)-COUNTA(条幅!$B$11:$B$310)),""))))</f>
        <v/>
      </c>
      <c r="I39" s="38" t="str">
        <f>IF(IF(34&lt;=COUNTA(半紙!$B$11:$B$310),INDEX(半紙!$I$11:$I$310,34),IF(34&lt;=COUNTA(半紙!$B$11:$B$310)+COUNTA(条幅!$B$11:$B$310),INDEX(条幅!$I$11:$I$310,34-COUNTA(半紙!$B$11:$B$310)),IF(34&lt;=COUNTA(半紙!$B$11:$B$310)+COUNTA(条幅!$B$11:$B$310)+COUNTA(条幅4分の1!$B$11:$B$310),INDEX(条幅4分の1!$I$11:$I$310,34-COUNTA(半紙!$B$11:$B$310)-COUNTA(条幅!$B$11:$B$310)),"")))=0,"",IF(34&lt;=COUNTA(半紙!$B$11:$B$310),INDEX(半紙!$I$11:$I$310,34),IF(34&lt;=COUNTA(半紙!$B$11:$B$310)+COUNTA(条幅!$B$11:$B$310),INDEX(条幅!$I$11:$I$310,34-COUNTA(半紙!$B$11:$B$310)),IF(34&lt;=COUNTA(半紙!$B$11:$B$310)+COUNTA(条幅!$B$11:$B$310)+COUNTA(条幅4分の1!$B$11:$B$310),INDEX(条幅4分の1!$I$11:$I$310,34-COUNTA(半紙!$B$11:$B$310)-COUNTA(条幅!$B$11:$B$310)),""))))</f>
        <v/>
      </c>
      <c r="J39" s="38" t="str">
        <f>IF(IF(34&lt;=COUNTA(半紙!$B$11:$B$310),INDEX(半紙!$J$11:$J$310,34),IF(34&lt;=COUNTA(半紙!$B$11:$B$310)+COUNTA(条幅!$B$11:$B$310),INDEX(条幅!$J$11:$J$310,34-COUNTA(半紙!$B$11:$B$310)),IF(34&lt;=COUNTA(半紙!$B$11:$B$310)+COUNTA(条幅!$B$11:$B$310)+COUNTA(条幅4分の1!$B$11:$B$310),INDEX(条幅4分の1!$J$11:$J$310,34-COUNTA(半紙!$B$11:$B$310)-COUNTA(条幅!$B$11:$B$310)),"")))=0,"",IF(34&lt;=COUNTA(半紙!$B$11:$B$310),INDEX(半紙!$J$11:$J$310,34),IF(34&lt;=COUNTA(半紙!$B$11:$B$310)+COUNTA(条幅!$B$11:$B$310),INDEX(条幅!$J$11:$J$310,34-COUNTA(半紙!$B$11:$B$310)),IF(34&lt;=COUNTA(半紙!$B$11:$B$310)+COUNTA(条幅!$B$11:$B$310)+COUNTA(条幅4分の1!$B$11:$B$310),INDEX(条幅4分の1!$J$11:$J$310,34-COUNTA(半紙!$B$11:$B$310)-COUNTA(条幅!$B$11:$B$310)),""))))</f>
        <v/>
      </c>
      <c r="K39" s="38" t="str">
        <f>IF(IF(34&lt;=COUNTA(半紙!$B$11:$B$310),INDEX(半紙!$K$11:$K$310,34),IF(34&lt;=COUNTA(半紙!$B$11:$B$310)+COUNTA(条幅!$B$11:$B$310),INDEX(条幅!$K$11:$K$310,34-COUNTA(半紙!$B$11:$B$310)),IF(34&lt;=COUNTA(半紙!$B$11:$B$310)+COUNTA(条幅!$B$11:$B$310)+COUNTA(条幅4分の1!$B$11:$B$310),INDEX(条幅4分の1!$K$11:$K$310,34-COUNTA(半紙!$B$11:$B$310)-COUNTA(条幅!$B$11:$B$310)),"")))=0,"",IF(34&lt;=COUNTA(半紙!$B$11:$B$310),INDEX(半紙!$K$11:$K$310,34),IF(34&lt;=COUNTA(半紙!$B$11:$B$310)+COUNTA(条幅!$B$11:$B$310),INDEX(条幅!$K$11:$K$310,34-COUNTA(半紙!$B$11:$B$310)),IF(34&lt;=COUNTA(半紙!$B$11:$B$310)+COUNTA(条幅!$B$11:$B$310)+COUNTA(条幅4分の1!$B$11:$B$310),INDEX(条幅4分の1!$K$11:$K$310,34-COUNTA(半紙!$B$11:$B$310)-COUNTA(条幅!$B$11:$B$310)),""))))</f>
        <v/>
      </c>
      <c r="L39" s="48" t="str">
        <f>IF($B39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34))</f>
        <v/>
      </c>
    </row>
    <row r="40" spans="1:12" ht="15" customHeight="1">
      <c r="A40" s="37" t="str">
        <f>IF(35&lt;=COUNTA(半紙!$B$11:$B$310),"半紙",IF(35&lt;=COUNTA(半紙!$B$11:$B$310)+COUNTA(条幅!$B$11:$B$310),"条幅(半切)",IF(35&lt;=COUNTA(半紙!$B$11:$B$310)+COUNTA(条幅!$B$11:$B$310)+COUNTA(条幅4分の1!$B$11:$B$310),"条幅(1/4)","")))</f>
        <v/>
      </c>
      <c r="B40" s="38" t="str">
        <f>IF(IF(35&lt;=COUNTA(半紙!$B$11:$B$310),INDEX(半紙!$B$11:$B$310,35),IF(35&lt;=COUNTA(半紙!$B$11:$B$310)+COUNTA(条幅!$B$11:$B$310),INDEX(条幅!$B$11:$B$310,35-COUNTA(半紙!$B$11:$B$310)),IF(35&lt;=COUNTA(半紙!$B$11:$B$310)+COUNTA(条幅!$B$11:$B$310)+COUNTA(条幅4分の1!$B$11:$B$310),INDEX(条幅4分の1!$B$11:$B$310,35-COUNTA(半紙!$B$11:$B$310)-COUNTA(条幅!$B$11:$B$310)),"")))=0,"",IF(35&lt;=COUNTA(半紙!$B$11:$B$310),INDEX(半紙!$B$11:$B$310,35),IF(35&lt;=COUNTA(半紙!$B$11:$B$310)+COUNTA(条幅!$B$11:$B$310),INDEX(条幅!$B$11:$B$310,35-COUNTA(半紙!$B$11:$B$310)),IF(35&lt;=COUNTA(半紙!$B$11:$B$310)+COUNTA(条幅!$B$11:$B$310)+COUNTA(条幅4分の1!$B$11:$B$310),INDEX(条幅4分の1!$B$11:$B$310,35-COUNTA(半紙!$B$11:$B$310)-COUNTA(条幅!$B$11:$B$310)),""))))</f>
        <v/>
      </c>
      <c r="C40" s="38" t="str">
        <f>IF(IF(35&lt;=COUNTA(半紙!$B$11:$B$310),INDEX(半紙!$C$11:$C$310,35),IF(35&lt;=COUNTA(半紙!$B$11:$B$310)+COUNTA(条幅!$B$11:$B$310),INDEX(条幅!$C$11:$C$310,35-COUNTA(半紙!$B$11:$B$310)),IF(35&lt;=COUNTA(半紙!$B$11:$B$310)+COUNTA(条幅!$B$11:$B$310)+COUNTA(条幅4分の1!$B$11:$B$310),INDEX(条幅4分の1!$C$11:$C$310,35-COUNTA(半紙!$B$11:$B$310)-COUNTA(条幅!$B$11:$B$310)),"")))=0,"",IF(35&lt;=COUNTA(半紙!$B$11:$B$310),INDEX(半紙!$C$11:$C$310,35),IF(35&lt;=COUNTA(半紙!$B$11:$B$310)+COUNTA(条幅!$B$11:$B$310),INDEX(条幅!$C$11:$C$310,35-COUNTA(半紙!$B$11:$B$310)),IF(35&lt;=COUNTA(半紙!$B$11:$B$310)+COUNTA(条幅!$B$11:$B$310)+COUNTA(条幅4分の1!$B$11:$B$310),INDEX(条幅4分の1!$C$11:$C$310,35-COUNTA(半紙!$B$11:$B$310)-COUNTA(条幅!$B$11:$B$310)),""))))</f>
        <v/>
      </c>
      <c r="D40" s="38" t="str">
        <f>IF(IF(35&lt;=COUNTA(半紙!$B$11:$B$310),INDEX(半紙!$D$11:$D$310,35),IF(35&lt;=COUNTA(半紙!$B$11:$B$310)+COUNTA(条幅!$B$11:$B$310),INDEX(条幅!$D$11:$D$310,35-COUNTA(半紙!$B$11:$B$310)),IF(35&lt;=COUNTA(半紙!$B$11:$B$310)+COUNTA(条幅!$B$11:$B$310)+COUNTA(条幅4分の1!$B$11:$B$310),INDEX(条幅4分の1!$D$11:$D$310,35-COUNTA(半紙!$B$11:$B$310)-COUNTA(条幅!$B$11:$B$310)),"")))=0,"",IF(35&lt;=COUNTA(半紙!$B$11:$B$310),INDEX(半紙!$D$11:$D$310,35),IF(35&lt;=COUNTA(半紙!$B$11:$B$310)+COUNTA(条幅!$B$11:$B$310),INDEX(条幅!$D$11:$D$310,35-COUNTA(半紙!$B$11:$B$310)),IF(35&lt;=COUNTA(半紙!$B$11:$B$310)+COUNTA(条幅!$B$11:$B$310)+COUNTA(条幅4分の1!$B$11:$B$310),INDEX(条幅4分の1!$D$11:$D$310,35-COUNTA(半紙!$B$11:$B$310)-COUNTA(条幅!$B$11:$B$310)),""))))</f>
        <v/>
      </c>
      <c r="E40" s="38" t="str">
        <f>IF(IF(35&lt;=COUNTA(半紙!$B$11:$B$310),INDEX(半紙!$E$11:$E$310,35),IF(35&lt;=COUNTA(半紙!$B$11:$B$310)+COUNTA(条幅!$B$11:$B$310),INDEX(条幅!$E$11:$E$310,35-COUNTA(半紙!$B$11:$B$310)),IF(35&lt;=COUNTA(半紙!$B$11:$B$310)+COUNTA(条幅!$B$11:$B$310)+COUNTA(条幅4分の1!$B$11:$B$310),INDEX(条幅4分の1!$E$11:$E$310,35-COUNTA(半紙!$B$11:$B$310)-COUNTA(条幅!$B$11:$B$310)),"")))=0,"",IF(35&lt;=COUNTA(半紙!$B$11:$B$310),INDEX(半紙!$E$11:$E$310,35),IF(35&lt;=COUNTA(半紙!$B$11:$B$310)+COUNTA(条幅!$B$11:$B$310),INDEX(条幅!$E$11:$E$310,35-COUNTA(半紙!$B$11:$B$310)),IF(35&lt;=COUNTA(半紙!$B$11:$B$310)+COUNTA(条幅!$B$11:$B$310)+COUNTA(条幅4分の1!$B$11:$B$310),INDEX(条幅4分の1!$E$11:$E$310,35-COUNTA(半紙!$B$11:$B$310)-COUNTA(条幅!$B$11:$B$310)),""))))</f>
        <v/>
      </c>
      <c r="F40" s="38" t="str">
        <f>IF(IF(35&lt;=COUNTA(半紙!$B$11:$B$310),INDEX(半紙!$F$11:$F$310,35),IF(35&lt;=COUNTA(半紙!$B$11:$B$310)+COUNTA(条幅!$B$11:$B$310),INDEX(条幅!$F$11:$F$310,35-COUNTA(半紙!$B$11:$B$310)),IF(35&lt;=COUNTA(半紙!$B$11:$B$310)+COUNTA(条幅!$B$11:$B$310)+COUNTA(条幅4分の1!$B$11:$B$310),INDEX(条幅4分の1!$F$11:$F$310,35-COUNTA(半紙!$B$11:$B$310)-COUNTA(条幅!$B$11:$B$310)),"")))=0,"",IF(35&lt;=COUNTA(半紙!$B$11:$B$310),INDEX(半紙!$F$11:$F$310,35),IF(35&lt;=COUNTA(半紙!$B$11:$B$310)+COUNTA(条幅!$B$11:$B$310),INDEX(条幅!$F$11:$F$310,35-COUNTA(半紙!$B$11:$B$310)),IF(35&lt;=COUNTA(半紙!$B$11:$B$310)+COUNTA(条幅!$B$11:$B$310)+COUNTA(条幅4分の1!$B$11:$B$310),INDEX(条幅4分の1!$F$11:$F$310,35-COUNTA(半紙!$B$11:$B$310)-COUNTA(条幅!$B$11:$B$310)),""))))</f>
        <v/>
      </c>
      <c r="G40" s="38" t="str">
        <f>IF(IF(35&lt;=COUNTA(半紙!$B$11:$B$310),INDEX(半紙!$G$11:$G$310,35),IF(35&lt;=COUNTA(半紙!$B$11:$B$310)+COUNTA(条幅!$B$11:$B$310),INDEX(条幅!$G$11:$G$310,35-COUNTA(半紙!$B$11:$B$310)),IF(35&lt;=COUNTA(半紙!$B$11:$B$310)+COUNTA(条幅!$B$11:$B$310)+COUNTA(条幅4分の1!$B$11:$B$310),INDEX(条幅4分の1!$G$11:$G$310,35-COUNTA(半紙!$B$11:$B$310)-COUNTA(条幅!$B$11:$B$310)),"")))=0,"",IF(35&lt;=COUNTA(半紙!$B$11:$B$310),INDEX(半紙!$G$11:$G$310,35),IF(35&lt;=COUNTA(半紙!$B$11:$B$310)+COUNTA(条幅!$B$11:$B$310),INDEX(条幅!$G$11:$G$310,35-COUNTA(半紙!$B$11:$B$310)),IF(35&lt;=COUNTA(半紙!$B$11:$B$310)+COUNTA(条幅!$B$11:$B$310)+COUNTA(条幅4分の1!$B$11:$B$310),INDEX(条幅4分の1!$G$11:$G$310,35-COUNTA(半紙!$B$11:$B$310)-COUNTA(条幅!$B$11:$B$310)),""))))</f>
        <v/>
      </c>
      <c r="H40" s="38" t="str">
        <f>IF(IF(35&lt;=COUNTA(半紙!$B$11:$B$310),INDEX(半紙!$H$11:$H$310,35),IF(35&lt;=COUNTA(半紙!$B$11:$B$310)+COUNTA(条幅!$B$11:$B$310),INDEX(条幅!$H$11:$H$310,35-COUNTA(半紙!$B$11:$B$310)),IF(35&lt;=COUNTA(半紙!$B$11:$B$310)+COUNTA(条幅!$B$11:$B$310)+COUNTA(条幅4分の1!$B$11:$B$310),INDEX(条幅4分の1!$H$11:$H$310,35-COUNTA(半紙!$B$11:$B$310)-COUNTA(条幅!$B$11:$B$310)),"")))=0,"",IF(35&lt;=COUNTA(半紙!$B$11:$B$310),INDEX(半紙!$H$11:$H$310,35),IF(35&lt;=COUNTA(半紙!$B$11:$B$310)+COUNTA(条幅!$B$11:$B$310),INDEX(条幅!$H$11:$H$310,35-COUNTA(半紙!$B$11:$B$310)),IF(35&lt;=COUNTA(半紙!$B$11:$B$310)+COUNTA(条幅!$B$11:$B$310)+COUNTA(条幅4分の1!$B$11:$B$310),INDEX(条幅4分の1!$H$11:$H$310,35-COUNTA(半紙!$B$11:$B$310)-COUNTA(条幅!$B$11:$B$310)),""))))</f>
        <v/>
      </c>
      <c r="I40" s="38" t="str">
        <f>IF(IF(35&lt;=COUNTA(半紙!$B$11:$B$310),INDEX(半紙!$I$11:$I$310,35),IF(35&lt;=COUNTA(半紙!$B$11:$B$310)+COUNTA(条幅!$B$11:$B$310),INDEX(条幅!$I$11:$I$310,35-COUNTA(半紙!$B$11:$B$310)),IF(35&lt;=COUNTA(半紙!$B$11:$B$310)+COUNTA(条幅!$B$11:$B$310)+COUNTA(条幅4分の1!$B$11:$B$310),INDEX(条幅4分の1!$I$11:$I$310,35-COUNTA(半紙!$B$11:$B$310)-COUNTA(条幅!$B$11:$B$310)),"")))=0,"",IF(35&lt;=COUNTA(半紙!$B$11:$B$310),INDEX(半紙!$I$11:$I$310,35),IF(35&lt;=COUNTA(半紙!$B$11:$B$310)+COUNTA(条幅!$B$11:$B$310),INDEX(条幅!$I$11:$I$310,35-COUNTA(半紙!$B$11:$B$310)),IF(35&lt;=COUNTA(半紙!$B$11:$B$310)+COUNTA(条幅!$B$11:$B$310)+COUNTA(条幅4分の1!$B$11:$B$310),INDEX(条幅4分の1!$I$11:$I$310,35-COUNTA(半紙!$B$11:$B$310)-COUNTA(条幅!$B$11:$B$310)),""))))</f>
        <v/>
      </c>
      <c r="J40" s="38" t="str">
        <f>IF(IF(35&lt;=COUNTA(半紙!$B$11:$B$310),INDEX(半紙!$J$11:$J$310,35),IF(35&lt;=COUNTA(半紙!$B$11:$B$310)+COUNTA(条幅!$B$11:$B$310),INDEX(条幅!$J$11:$J$310,35-COUNTA(半紙!$B$11:$B$310)),IF(35&lt;=COUNTA(半紙!$B$11:$B$310)+COUNTA(条幅!$B$11:$B$310)+COUNTA(条幅4分の1!$B$11:$B$310),INDEX(条幅4分の1!$J$11:$J$310,35-COUNTA(半紙!$B$11:$B$310)-COUNTA(条幅!$B$11:$B$310)),"")))=0,"",IF(35&lt;=COUNTA(半紙!$B$11:$B$310),INDEX(半紙!$J$11:$J$310,35),IF(35&lt;=COUNTA(半紙!$B$11:$B$310)+COUNTA(条幅!$B$11:$B$310),INDEX(条幅!$J$11:$J$310,35-COUNTA(半紙!$B$11:$B$310)),IF(35&lt;=COUNTA(半紙!$B$11:$B$310)+COUNTA(条幅!$B$11:$B$310)+COUNTA(条幅4分の1!$B$11:$B$310),INDEX(条幅4分の1!$J$11:$J$310,35-COUNTA(半紙!$B$11:$B$310)-COUNTA(条幅!$B$11:$B$310)),""))))</f>
        <v/>
      </c>
      <c r="K40" s="38" t="str">
        <f>IF(IF(35&lt;=COUNTA(半紙!$B$11:$B$310),INDEX(半紙!$K$11:$K$310,35),IF(35&lt;=COUNTA(半紙!$B$11:$B$310)+COUNTA(条幅!$B$11:$B$310),INDEX(条幅!$K$11:$K$310,35-COUNTA(半紙!$B$11:$B$310)),IF(35&lt;=COUNTA(半紙!$B$11:$B$310)+COUNTA(条幅!$B$11:$B$310)+COUNTA(条幅4分の1!$B$11:$B$310),INDEX(条幅4分の1!$K$11:$K$310,35-COUNTA(半紙!$B$11:$B$310)-COUNTA(条幅!$B$11:$B$310)),"")))=0,"",IF(35&lt;=COUNTA(半紙!$B$11:$B$310),INDEX(半紙!$K$11:$K$310,35),IF(35&lt;=COUNTA(半紙!$B$11:$B$310)+COUNTA(条幅!$B$11:$B$310),INDEX(条幅!$K$11:$K$310,35-COUNTA(半紙!$B$11:$B$310)),IF(35&lt;=COUNTA(半紙!$B$11:$B$310)+COUNTA(条幅!$B$11:$B$310)+COUNTA(条幅4分の1!$B$11:$B$310),INDEX(条幅4分の1!$K$11:$K$310,35-COUNTA(半紙!$B$11:$B$310)-COUNTA(条幅!$B$11:$B$310)),""))))</f>
        <v/>
      </c>
      <c r="L40" s="48" t="str">
        <f>IF($B40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35))</f>
        <v/>
      </c>
    </row>
    <row r="41" spans="1:12" ht="15" customHeight="1">
      <c r="A41" s="37" t="str">
        <f>IF(36&lt;=COUNTA(半紙!$B$11:$B$310),"半紙",IF(36&lt;=COUNTA(半紙!$B$11:$B$310)+COUNTA(条幅!$B$11:$B$310),"条幅(半切)",IF(36&lt;=COUNTA(半紙!$B$11:$B$310)+COUNTA(条幅!$B$11:$B$310)+COUNTA(条幅4分の1!$B$11:$B$310),"条幅(1/4)","")))</f>
        <v/>
      </c>
      <c r="B41" s="38" t="str">
        <f>IF(IF(36&lt;=COUNTA(半紙!$B$11:$B$310),INDEX(半紙!$B$11:$B$310,36),IF(36&lt;=COUNTA(半紙!$B$11:$B$310)+COUNTA(条幅!$B$11:$B$310),INDEX(条幅!$B$11:$B$310,36-COUNTA(半紙!$B$11:$B$310)),IF(36&lt;=COUNTA(半紙!$B$11:$B$310)+COUNTA(条幅!$B$11:$B$310)+COUNTA(条幅4分の1!$B$11:$B$310),INDEX(条幅4分の1!$B$11:$B$310,36-COUNTA(半紙!$B$11:$B$310)-COUNTA(条幅!$B$11:$B$310)),"")))=0,"",IF(36&lt;=COUNTA(半紙!$B$11:$B$310),INDEX(半紙!$B$11:$B$310,36),IF(36&lt;=COUNTA(半紙!$B$11:$B$310)+COUNTA(条幅!$B$11:$B$310),INDEX(条幅!$B$11:$B$310,36-COUNTA(半紙!$B$11:$B$310)),IF(36&lt;=COUNTA(半紙!$B$11:$B$310)+COUNTA(条幅!$B$11:$B$310)+COUNTA(条幅4分の1!$B$11:$B$310),INDEX(条幅4分の1!$B$11:$B$310,36-COUNTA(半紙!$B$11:$B$310)-COUNTA(条幅!$B$11:$B$310)),""))))</f>
        <v/>
      </c>
      <c r="C41" s="38" t="str">
        <f>IF(IF(36&lt;=COUNTA(半紙!$B$11:$B$310),INDEX(半紙!$C$11:$C$310,36),IF(36&lt;=COUNTA(半紙!$B$11:$B$310)+COUNTA(条幅!$B$11:$B$310),INDEX(条幅!$C$11:$C$310,36-COUNTA(半紙!$B$11:$B$310)),IF(36&lt;=COUNTA(半紙!$B$11:$B$310)+COUNTA(条幅!$B$11:$B$310)+COUNTA(条幅4分の1!$B$11:$B$310),INDEX(条幅4分の1!$C$11:$C$310,36-COUNTA(半紙!$B$11:$B$310)-COUNTA(条幅!$B$11:$B$310)),"")))=0,"",IF(36&lt;=COUNTA(半紙!$B$11:$B$310),INDEX(半紙!$C$11:$C$310,36),IF(36&lt;=COUNTA(半紙!$B$11:$B$310)+COUNTA(条幅!$B$11:$B$310),INDEX(条幅!$C$11:$C$310,36-COUNTA(半紙!$B$11:$B$310)),IF(36&lt;=COUNTA(半紙!$B$11:$B$310)+COUNTA(条幅!$B$11:$B$310)+COUNTA(条幅4分の1!$B$11:$B$310),INDEX(条幅4分の1!$C$11:$C$310,36-COUNTA(半紙!$B$11:$B$310)-COUNTA(条幅!$B$11:$B$310)),""))))</f>
        <v/>
      </c>
      <c r="D41" s="38" t="str">
        <f>IF(IF(36&lt;=COUNTA(半紙!$B$11:$B$310),INDEX(半紙!$D$11:$D$310,36),IF(36&lt;=COUNTA(半紙!$B$11:$B$310)+COUNTA(条幅!$B$11:$B$310),INDEX(条幅!$D$11:$D$310,36-COUNTA(半紙!$B$11:$B$310)),IF(36&lt;=COUNTA(半紙!$B$11:$B$310)+COUNTA(条幅!$B$11:$B$310)+COUNTA(条幅4分の1!$B$11:$B$310),INDEX(条幅4分の1!$D$11:$D$310,36-COUNTA(半紙!$B$11:$B$310)-COUNTA(条幅!$B$11:$B$310)),"")))=0,"",IF(36&lt;=COUNTA(半紙!$B$11:$B$310),INDEX(半紙!$D$11:$D$310,36),IF(36&lt;=COUNTA(半紙!$B$11:$B$310)+COUNTA(条幅!$B$11:$B$310),INDEX(条幅!$D$11:$D$310,36-COUNTA(半紙!$B$11:$B$310)),IF(36&lt;=COUNTA(半紙!$B$11:$B$310)+COUNTA(条幅!$B$11:$B$310)+COUNTA(条幅4分の1!$B$11:$B$310),INDEX(条幅4分の1!$D$11:$D$310,36-COUNTA(半紙!$B$11:$B$310)-COUNTA(条幅!$B$11:$B$310)),""))))</f>
        <v/>
      </c>
      <c r="E41" s="38" t="str">
        <f>IF(IF(36&lt;=COUNTA(半紙!$B$11:$B$310),INDEX(半紙!$E$11:$E$310,36),IF(36&lt;=COUNTA(半紙!$B$11:$B$310)+COUNTA(条幅!$B$11:$B$310),INDEX(条幅!$E$11:$E$310,36-COUNTA(半紙!$B$11:$B$310)),IF(36&lt;=COUNTA(半紙!$B$11:$B$310)+COUNTA(条幅!$B$11:$B$310)+COUNTA(条幅4分の1!$B$11:$B$310),INDEX(条幅4分の1!$E$11:$E$310,36-COUNTA(半紙!$B$11:$B$310)-COUNTA(条幅!$B$11:$B$310)),"")))=0,"",IF(36&lt;=COUNTA(半紙!$B$11:$B$310),INDEX(半紙!$E$11:$E$310,36),IF(36&lt;=COUNTA(半紙!$B$11:$B$310)+COUNTA(条幅!$B$11:$B$310),INDEX(条幅!$E$11:$E$310,36-COUNTA(半紙!$B$11:$B$310)),IF(36&lt;=COUNTA(半紙!$B$11:$B$310)+COUNTA(条幅!$B$11:$B$310)+COUNTA(条幅4分の1!$B$11:$B$310),INDEX(条幅4分の1!$E$11:$E$310,36-COUNTA(半紙!$B$11:$B$310)-COUNTA(条幅!$B$11:$B$310)),""))))</f>
        <v/>
      </c>
      <c r="F41" s="38" t="str">
        <f>IF(IF(36&lt;=COUNTA(半紙!$B$11:$B$310),INDEX(半紙!$F$11:$F$310,36),IF(36&lt;=COUNTA(半紙!$B$11:$B$310)+COUNTA(条幅!$B$11:$B$310),INDEX(条幅!$F$11:$F$310,36-COUNTA(半紙!$B$11:$B$310)),IF(36&lt;=COUNTA(半紙!$B$11:$B$310)+COUNTA(条幅!$B$11:$B$310)+COUNTA(条幅4分の1!$B$11:$B$310),INDEX(条幅4分の1!$F$11:$F$310,36-COUNTA(半紙!$B$11:$B$310)-COUNTA(条幅!$B$11:$B$310)),"")))=0,"",IF(36&lt;=COUNTA(半紙!$B$11:$B$310),INDEX(半紙!$F$11:$F$310,36),IF(36&lt;=COUNTA(半紙!$B$11:$B$310)+COUNTA(条幅!$B$11:$B$310),INDEX(条幅!$F$11:$F$310,36-COUNTA(半紙!$B$11:$B$310)),IF(36&lt;=COUNTA(半紙!$B$11:$B$310)+COUNTA(条幅!$B$11:$B$310)+COUNTA(条幅4分の1!$B$11:$B$310),INDEX(条幅4分の1!$F$11:$F$310,36-COUNTA(半紙!$B$11:$B$310)-COUNTA(条幅!$B$11:$B$310)),""))))</f>
        <v/>
      </c>
      <c r="G41" s="38" t="str">
        <f>IF(IF(36&lt;=COUNTA(半紙!$B$11:$B$310),INDEX(半紙!$G$11:$G$310,36),IF(36&lt;=COUNTA(半紙!$B$11:$B$310)+COUNTA(条幅!$B$11:$B$310),INDEX(条幅!$G$11:$G$310,36-COUNTA(半紙!$B$11:$B$310)),IF(36&lt;=COUNTA(半紙!$B$11:$B$310)+COUNTA(条幅!$B$11:$B$310)+COUNTA(条幅4分の1!$B$11:$B$310),INDEX(条幅4分の1!$G$11:$G$310,36-COUNTA(半紙!$B$11:$B$310)-COUNTA(条幅!$B$11:$B$310)),"")))=0,"",IF(36&lt;=COUNTA(半紙!$B$11:$B$310),INDEX(半紙!$G$11:$G$310,36),IF(36&lt;=COUNTA(半紙!$B$11:$B$310)+COUNTA(条幅!$B$11:$B$310),INDEX(条幅!$G$11:$G$310,36-COUNTA(半紙!$B$11:$B$310)),IF(36&lt;=COUNTA(半紙!$B$11:$B$310)+COUNTA(条幅!$B$11:$B$310)+COUNTA(条幅4分の1!$B$11:$B$310),INDEX(条幅4分の1!$G$11:$G$310,36-COUNTA(半紙!$B$11:$B$310)-COUNTA(条幅!$B$11:$B$310)),""))))</f>
        <v/>
      </c>
      <c r="H41" s="38" t="str">
        <f>IF(IF(36&lt;=COUNTA(半紙!$B$11:$B$310),INDEX(半紙!$H$11:$H$310,36),IF(36&lt;=COUNTA(半紙!$B$11:$B$310)+COUNTA(条幅!$B$11:$B$310),INDEX(条幅!$H$11:$H$310,36-COUNTA(半紙!$B$11:$B$310)),IF(36&lt;=COUNTA(半紙!$B$11:$B$310)+COUNTA(条幅!$B$11:$B$310)+COUNTA(条幅4分の1!$B$11:$B$310),INDEX(条幅4分の1!$H$11:$H$310,36-COUNTA(半紙!$B$11:$B$310)-COUNTA(条幅!$B$11:$B$310)),"")))=0,"",IF(36&lt;=COUNTA(半紙!$B$11:$B$310),INDEX(半紙!$H$11:$H$310,36),IF(36&lt;=COUNTA(半紙!$B$11:$B$310)+COUNTA(条幅!$B$11:$B$310),INDEX(条幅!$H$11:$H$310,36-COUNTA(半紙!$B$11:$B$310)),IF(36&lt;=COUNTA(半紙!$B$11:$B$310)+COUNTA(条幅!$B$11:$B$310)+COUNTA(条幅4分の1!$B$11:$B$310),INDEX(条幅4分の1!$H$11:$H$310,36-COUNTA(半紙!$B$11:$B$310)-COUNTA(条幅!$B$11:$B$310)),""))))</f>
        <v/>
      </c>
      <c r="I41" s="38" t="str">
        <f>IF(IF(36&lt;=COUNTA(半紙!$B$11:$B$310),INDEX(半紙!$I$11:$I$310,36),IF(36&lt;=COUNTA(半紙!$B$11:$B$310)+COUNTA(条幅!$B$11:$B$310),INDEX(条幅!$I$11:$I$310,36-COUNTA(半紙!$B$11:$B$310)),IF(36&lt;=COUNTA(半紙!$B$11:$B$310)+COUNTA(条幅!$B$11:$B$310)+COUNTA(条幅4分の1!$B$11:$B$310),INDEX(条幅4分の1!$I$11:$I$310,36-COUNTA(半紙!$B$11:$B$310)-COUNTA(条幅!$B$11:$B$310)),"")))=0,"",IF(36&lt;=COUNTA(半紙!$B$11:$B$310),INDEX(半紙!$I$11:$I$310,36),IF(36&lt;=COUNTA(半紙!$B$11:$B$310)+COUNTA(条幅!$B$11:$B$310),INDEX(条幅!$I$11:$I$310,36-COUNTA(半紙!$B$11:$B$310)),IF(36&lt;=COUNTA(半紙!$B$11:$B$310)+COUNTA(条幅!$B$11:$B$310)+COUNTA(条幅4分の1!$B$11:$B$310),INDEX(条幅4分の1!$I$11:$I$310,36-COUNTA(半紙!$B$11:$B$310)-COUNTA(条幅!$B$11:$B$310)),""))))</f>
        <v/>
      </c>
      <c r="J41" s="38" t="str">
        <f>IF(IF(36&lt;=COUNTA(半紙!$B$11:$B$310),INDEX(半紙!$J$11:$J$310,36),IF(36&lt;=COUNTA(半紙!$B$11:$B$310)+COUNTA(条幅!$B$11:$B$310),INDEX(条幅!$J$11:$J$310,36-COUNTA(半紙!$B$11:$B$310)),IF(36&lt;=COUNTA(半紙!$B$11:$B$310)+COUNTA(条幅!$B$11:$B$310)+COUNTA(条幅4分の1!$B$11:$B$310),INDEX(条幅4分の1!$J$11:$J$310,36-COUNTA(半紙!$B$11:$B$310)-COUNTA(条幅!$B$11:$B$310)),"")))=0,"",IF(36&lt;=COUNTA(半紙!$B$11:$B$310),INDEX(半紙!$J$11:$J$310,36),IF(36&lt;=COUNTA(半紙!$B$11:$B$310)+COUNTA(条幅!$B$11:$B$310),INDEX(条幅!$J$11:$J$310,36-COUNTA(半紙!$B$11:$B$310)),IF(36&lt;=COUNTA(半紙!$B$11:$B$310)+COUNTA(条幅!$B$11:$B$310)+COUNTA(条幅4分の1!$B$11:$B$310),INDEX(条幅4分の1!$J$11:$J$310,36-COUNTA(半紙!$B$11:$B$310)-COUNTA(条幅!$B$11:$B$310)),""))))</f>
        <v/>
      </c>
      <c r="K41" s="38" t="str">
        <f>IF(IF(36&lt;=COUNTA(半紙!$B$11:$B$310),INDEX(半紙!$K$11:$K$310,36),IF(36&lt;=COUNTA(半紙!$B$11:$B$310)+COUNTA(条幅!$B$11:$B$310),INDEX(条幅!$K$11:$K$310,36-COUNTA(半紙!$B$11:$B$310)),IF(36&lt;=COUNTA(半紙!$B$11:$B$310)+COUNTA(条幅!$B$11:$B$310)+COUNTA(条幅4分の1!$B$11:$B$310),INDEX(条幅4分の1!$K$11:$K$310,36-COUNTA(半紙!$B$11:$B$310)-COUNTA(条幅!$B$11:$B$310)),"")))=0,"",IF(36&lt;=COUNTA(半紙!$B$11:$B$310),INDEX(半紙!$K$11:$K$310,36),IF(36&lt;=COUNTA(半紙!$B$11:$B$310)+COUNTA(条幅!$B$11:$B$310),INDEX(条幅!$K$11:$K$310,36-COUNTA(半紙!$B$11:$B$310)),IF(36&lt;=COUNTA(半紙!$B$11:$B$310)+COUNTA(条幅!$B$11:$B$310)+COUNTA(条幅4分の1!$B$11:$B$310),INDEX(条幅4分の1!$K$11:$K$310,36-COUNTA(半紙!$B$11:$B$310)-COUNTA(条幅!$B$11:$B$310)),""))))</f>
        <v/>
      </c>
      <c r="L41" s="48" t="str">
        <f>IF($B41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36))</f>
        <v/>
      </c>
    </row>
    <row r="42" spans="1:12" ht="15" customHeight="1">
      <c r="A42" s="37" t="str">
        <f>IF(37&lt;=COUNTA(半紙!$B$11:$B$310),"半紙",IF(37&lt;=COUNTA(半紙!$B$11:$B$310)+COUNTA(条幅!$B$11:$B$310),"条幅(半切)",IF(37&lt;=COUNTA(半紙!$B$11:$B$310)+COUNTA(条幅!$B$11:$B$310)+COUNTA(条幅4分の1!$B$11:$B$310),"条幅(1/4)","")))</f>
        <v/>
      </c>
      <c r="B42" s="38" t="str">
        <f>IF(IF(37&lt;=COUNTA(半紙!$B$11:$B$310),INDEX(半紙!$B$11:$B$310,37),IF(37&lt;=COUNTA(半紙!$B$11:$B$310)+COUNTA(条幅!$B$11:$B$310),INDEX(条幅!$B$11:$B$310,37-COUNTA(半紙!$B$11:$B$310)),IF(37&lt;=COUNTA(半紙!$B$11:$B$310)+COUNTA(条幅!$B$11:$B$310)+COUNTA(条幅4分の1!$B$11:$B$310),INDEX(条幅4分の1!$B$11:$B$310,37-COUNTA(半紙!$B$11:$B$310)-COUNTA(条幅!$B$11:$B$310)),"")))=0,"",IF(37&lt;=COUNTA(半紙!$B$11:$B$310),INDEX(半紙!$B$11:$B$310,37),IF(37&lt;=COUNTA(半紙!$B$11:$B$310)+COUNTA(条幅!$B$11:$B$310),INDEX(条幅!$B$11:$B$310,37-COUNTA(半紙!$B$11:$B$310)),IF(37&lt;=COUNTA(半紙!$B$11:$B$310)+COUNTA(条幅!$B$11:$B$310)+COUNTA(条幅4分の1!$B$11:$B$310),INDEX(条幅4分の1!$B$11:$B$310,37-COUNTA(半紙!$B$11:$B$310)-COUNTA(条幅!$B$11:$B$310)),""))))</f>
        <v/>
      </c>
      <c r="C42" s="38" t="str">
        <f>IF(IF(37&lt;=COUNTA(半紙!$B$11:$B$310),INDEX(半紙!$C$11:$C$310,37),IF(37&lt;=COUNTA(半紙!$B$11:$B$310)+COUNTA(条幅!$B$11:$B$310),INDEX(条幅!$C$11:$C$310,37-COUNTA(半紙!$B$11:$B$310)),IF(37&lt;=COUNTA(半紙!$B$11:$B$310)+COUNTA(条幅!$B$11:$B$310)+COUNTA(条幅4分の1!$B$11:$B$310),INDEX(条幅4分の1!$C$11:$C$310,37-COUNTA(半紙!$B$11:$B$310)-COUNTA(条幅!$B$11:$B$310)),"")))=0,"",IF(37&lt;=COUNTA(半紙!$B$11:$B$310),INDEX(半紙!$C$11:$C$310,37),IF(37&lt;=COUNTA(半紙!$B$11:$B$310)+COUNTA(条幅!$B$11:$B$310),INDEX(条幅!$C$11:$C$310,37-COUNTA(半紙!$B$11:$B$310)),IF(37&lt;=COUNTA(半紙!$B$11:$B$310)+COUNTA(条幅!$B$11:$B$310)+COUNTA(条幅4分の1!$B$11:$B$310),INDEX(条幅4分の1!$C$11:$C$310,37-COUNTA(半紙!$B$11:$B$310)-COUNTA(条幅!$B$11:$B$310)),""))))</f>
        <v/>
      </c>
      <c r="D42" s="38" t="str">
        <f>IF(IF(37&lt;=COUNTA(半紙!$B$11:$B$310),INDEX(半紙!$D$11:$D$310,37),IF(37&lt;=COUNTA(半紙!$B$11:$B$310)+COUNTA(条幅!$B$11:$B$310),INDEX(条幅!$D$11:$D$310,37-COUNTA(半紙!$B$11:$B$310)),IF(37&lt;=COUNTA(半紙!$B$11:$B$310)+COUNTA(条幅!$B$11:$B$310)+COUNTA(条幅4分の1!$B$11:$B$310),INDEX(条幅4分の1!$D$11:$D$310,37-COUNTA(半紙!$B$11:$B$310)-COUNTA(条幅!$B$11:$B$310)),"")))=0,"",IF(37&lt;=COUNTA(半紙!$B$11:$B$310),INDEX(半紙!$D$11:$D$310,37),IF(37&lt;=COUNTA(半紙!$B$11:$B$310)+COUNTA(条幅!$B$11:$B$310),INDEX(条幅!$D$11:$D$310,37-COUNTA(半紙!$B$11:$B$310)),IF(37&lt;=COUNTA(半紙!$B$11:$B$310)+COUNTA(条幅!$B$11:$B$310)+COUNTA(条幅4分の1!$B$11:$B$310),INDEX(条幅4分の1!$D$11:$D$310,37-COUNTA(半紙!$B$11:$B$310)-COUNTA(条幅!$B$11:$B$310)),""))))</f>
        <v/>
      </c>
      <c r="E42" s="38" t="str">
        <f>IF(IF(37&lt;=COUNTA(半紙!$B$11:$B$310),INDEX(半紙!$E$11:$E$310,37),IF(37&lt;=COUNTA(半紙!$B$11:$B$310)+COUNTA(条幅!$B$11:$B$310),INDEX(条幅!$E$11:$E$310,37-COUNTA(半紙!$B$11:$B$310)),IF(37&lt;=COUNTA(半紙!$B$11:$B$310)+COUNTA(条幅!$B$11:$B$310)+COUNTA(条幅4分の1!$B$11:$B$310),INDEX(条幅4分の1!$E$11:$E$310,37-COUNTA(半紙!$B$11:$B$310)-COUNTA(条幅!$B$11:$B$310)),"")))=0,"",IF(37&lt;=COUNTA(半紙!$B$11:$B$310),INDEX(半紙!$E$11:$E$310,37),IF(37&lt;=COUNTA(半紙!$B$11:$B$310)+COUNTA(条幅!$B$11:$B$310),INDEX(条幅!$E$11:$E$310,37-COUNTA(半紙!$B$11:$B$310)),IF(37&lt;=COUNTA(半紙!$B$11:$B$310)+COUNTA(条幅!$B$11:$B$310)+COUNTA(条幅4分の1!$B$11:$B$310),INDEX(条幅4分の1!$E$11:$E$310,37-COUNTA(半紙!$B$11:$B$310)-COUNTA(条幅!$B$11:$B$310)),""))))</f>
        <v/>
      </c>
      <c r="F42" s="38" t="str">
        <f>IF(IF(37&lt;=COUNTA(半紙!$B$11:$B$310),INDEX(半紙!$F$11:$F$310,37),IF(37&lt;=COUNTA(半紙!$B$11:$B$310)+COUNTA(条幅!$B$11:$B$310),INDEX(条幅!$F$11:$F$310,37-COUNTA(半紙!$B$11:$B$310)),IF(37&lt;=COUNTA(半紙!$B$11:$B$310)+COUNTA(条幅!$B$11:$B$310)+COUNTA(条幅4分の1!$B$11:$B$310),INDEX(条幅4分の1!$F$11:$F$310,37-COUNTA(半紙!$B$11:$B$310)-COUNTA(条幅!$B$11:$B$310)),"")))=0,"",IF(37&lt;=COUNTA(半紙!$B$11:$B$310),INDEX(半紙!$F$11:$F$310,37),IF(37&lt;=COUNTA(半紙!$B$11:$B$310)+COUNTA(条幅!$B$11:$B$310),INDEX(条幅!$F$11:$F$310,37-COUNTA(半紙!$B$11:$B$310)),IF(37&lt;=COUNTA(半紙!$B$11:$B$310)+COUNTA(条幅!$B$11:$B$310)+COUNTA(条幅4分の1!$B$11:$B$310),INDEX(条幅4分の1!$F$11:$F$310,37-COUNTA(半紙!$B$11:$B$310)-COUNTA(条幅!$B$11:$B$310)),""))))</f>
        <v/>
      </c>
      <c r="G42" s="38" t="str">
        <f>IF(IF(37&lt;=COUNTA(半紙!$B$11:$B$310),INDEX(半紙!$G$11:$G$310,37),IF(37&lt;=COUNTA(半紙!$B$11:$B$310)+COUNTA(条幅!$B$11:$B$310),INDEX(条幅!$G$11:$G$310,37-COUNTA(半紙!$B$11:$B$310)),IF(37&lt;=COUNTA(半紙!$B$11:$B$310)+COUNTA(条幅!$B$11:$B$310)+COUNTA(条幅4分の1!$B$11:$B$310),INDEX(条幅4分の1!$G$11:$G$310,37-COUNTA(半紙!$B$11:$B$310)-COUNTA(条幅!$B$11:$B$310)),"")))=0,"",IF(37&lt;=COUNTA(半紙!$B$11:$B$310),INDEX(半紙!$G$11:$G$310,37),IF(37&lt;=COUNTA(半紙!$B$11:$B$310)+COUNTA(条幅!$B$11:$B$310),INDEX(条幅!$G$11:$G$310,37-COUNTA(半紙!$B$11:$B$310)),IF(37&lt;=COUNTA(半紙!$B$11:$B$310)+COUNTA(条幅!$B$11:$B$310)+COUNTA(条幅4分の1!$B$11:$B$310),INDEX(条幅4分の1!$G$11:$G$310,37-COUNTA(半紙!$B$11:$B$310)-COUNTA(条幅!$B$11:$B$310)),""))))</f>
        <v/>
      </c>
      <c r="H42" s="38" t="str">
        <f>IF(IF(37&lt;=COUNTA(半紙!$B$11:$B$310),INDEX(半紙!$H$11:$H$310,37),IF(37&lt;=COUNTA(半紙!$B$11:$B$310)+COUNTA(条幅!$B$11:$B$310),INDEX(条幅!$H$11:$H$310,37-COUNTA(半紙!$B$11:$B$310)),IF(37&lt;=COUNTA(半紙!$B$11:$B$310)+COUNTA(条幅!$B$11:$B$310)+COUNTA(条幅4分の1!$B$11:$B$310),INDEX(条幅4分の1!$H$11:$H$310,37-COUNTA(半紙!$B$11:$B$310)-COUNTA(条幅!$B$11:$B$310)),"")))=0,"",IF(37&lt;=COUNTA(半紙!$B$11:$B$310),INDEX(半紙!$H$11:$H$310,37),IF(37&lt;=COUNTA(半紙!$B$11:$B$310)+COUNTA(条幅!$B$11:$B$310),INDEX(条幅!$H$11:$H$310,37-COUNTA(半紙!$B$11:$B$310)),IF(37&lt;=COUNTA(半紙!$B$11:$B$310)+COUNTA(条幅!$B$11:$B$310)+COUNTA(条幅4分の1!$B$11:$B$310),INDEX(条幅4分の1!$H$11:$H$310,37-COUNTA(半紙!$B$11:$B$310)-COUNTA(条幅!$B$11:$B$310)),""))))</f>
        <v/>
      </c>
      <c r="I42" s="38" t="str">
        <f>IF(IF(37&lt;=COUNTA(半紙!$B$11:$B$310),INDEX(半紙!$I$11:$I$310,37),IF(37&lt;=COUNTA(半紙!$B$11:$B$310)+COUNTA(条幅!$B$11:$B$310),INDEX(条幅!$I$11:$I$310,37-COUNTA(半紙!$B$11:$B$310)),IF(37&lt;=COUNTA(半紙!$B$11:$B$310)+COUNTA(条幅!$B$11:$B$310)+COUNTA(条幅4分の1!$B$11:$B$310),INDEX(条幅4分の1!$I$11:$I$310,37-COUNTA(半紙!$B$11:$B$310)-COUNTA(条幅!$B$11:$B$310)),"")))=0,"",IF(37&lt;=COUNTA(半紙!$B$11:$B$310),INDEX(半紙!$I$11:$I$310,37),IF(37&lt;=COUNTA(半紙!$B$11:$B$310)+COUNTA(条幅!$B$11:$B$310),INDEX(条幅!$I$11:$I$310,37-COUNTA(半紙!$B$11:$B$310)),IF(37&lt;=COUNTA(半紙!$B$11:$B$310)+COUNTA(条幅!$B$11:$B$310)+COUNTA(条幅4分の1!$B$11:$B$310),INDEX(条幅4分の1!$I$11:$I$310,37-COUNTA(半紙!$B$11:$B$310)-COUNTA(条幅!$B$11:$B$310)),""))))</f>
        <v/>
      </c>
      <c r="J42" s="38" t="str">
        <f>IF(IF(37&lt;=COUNTA(半紙!$B$11:$B$310),INDEX(半紙!$J$11:$J$310,37),IF(37&lt;=COUNTA(半紙!$B$11:$B$310)+COUNTA(条幅!$B$11:$B$310),INDEX(条幅!$J$11:$J$310,37-COUNTA(半紙!$B$11:$B$310)),IF(37&lt;=COUNTA(半紙!$B$11:$B$310)+COUNTA(条幅!$B$11:$B$310)+COUNTA(条幅4分の1!$B$11:$B$310),INDEX(条幅4分の1!$J$11:$J$310,37-COUNTA(半紙!$B$11:$B$310)-COUNTA(条幅!$B$11:$B$310)),"")))=0,"",IF(37&lt;=COUNTA(半紙!$B$11:$B$310),INDEX(半紙!$J$11:$J$310,37),IF(37&lt;=COUNTA(半紙!$B$11:$B$310)+COUNTA(条幅!$B$11:$B$310),INDEX(条幅!$J$11:$J$310,37-COUNTA(半紙!$B$11:$B$310)),IF(37&lt;=COUNTA(半紙!$B$11:$B$310)+COUNTA(条幅!$B$11:$B$310)+COUNTA(条幅4分の1!$B$11:$B$310),INDEX(条幅4分の1!$J$11:$J$310,37-COUNTA(半紙!$B$11:$B$310)-COUNTA(条幅!$B$11:$B$310)),""))))</f>
        <v/>
      </c>
      <c r="K42" s="38" t="str">
        <f>IF(IF(37&lt;=COUNTA(半紙!$B$11:$B$310),INDEX(半紙!$K$11:$K$310,37),IF(37&lt;=COUNTA(半紙!$B$11:$B$310)+COUNTA(条幅!$B$11:$B$310),INDEX(条幅!$K$11:$K$310,37-COUNTA(半紙!$B$11:$B$310)),IF(37&lt;=COUNTA(半紙!$B$11:$B$310)+COUNTA(条幅!$B$11:$B$310)+COUNTA(条幅4分の1!$B$11:$B$310),INDEX(条幅4分の1!$K$11:$K$310,37-COUNTA(半紙!$B$11:$B$310)-COUNTA(条幅!$B$11:$B$310)),"")))=0,"",IF(37&lt;=COUNTA(半紙!$B$11:$B$310),INDEX(半紙!$K$11:$K$310,37),IF(37&lt;=COUNTA(半紙!$B$11:$B$310)+COUNTA(条幅!$B$11:$B$310),INDEX(条幅!$K$11:$K$310,37-COUNTA(半紙!$B$11:$B$310)),IF(37&lt;=COUNTA(半紙!$B$11:$B$310)+COUNTA(条幅!$B$11:$B$310)+COUNTA(条幅4分の1!$B$11:$B$310),INDEX(条幅4分の1!$K$11:$K$310,37-COUNTA(半紙!$B$11:$B$310)-COUNTA(条幅!$B$11:$B$310)),""))))</f>
        <v/>
      </c>
      <c r="L42" s="48" t="str">
        <f>IF($B42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37))</f>
        <v/>
      </c>
    </row>
    <row r="43" spans="1:12" ht="15" customHeight="1">
      <c r="A43" s="37" t="str">
        <f>IF(38&lt;=COUNTA(半紙!$B$11:$B$310),"半紙",IF(38&lt;=COUNTA(半紙!$B$11:$B$310)+COUNTA(条幅!$B$11:$B$310),"条幅(半切)",IF(38&lt;=COUNTA(半紙!$B$11:$B$310)+COUNTA(条幅!$B$11:$B$310)+COUNTA(条幅4分の1!$B$11:$B$310),"条幅(1/4)","")))</f>
        <v/>
      </c>
      <c r="B43" s="38" t="str">
        <f>IF(IF(38&lt;=COUNTA(半紙!$B$11:$B$310),INDEX(半紙!$B$11:$B$310,38),IF(38&lt;=COUNTA(半紙!$B$11:$B$310)+COUNTA(条幅!$B$11:$B$310),INDEX(条幅!$B$11:$B$310,38-COUNTA(半紙!$B$11:$B$310)),IF(38&lt;=COUNTA(半紙!$B$11:$B$310)+COUNTA(条幅!$B$11:$B$310)+COUNTA(条幅4分の1!$B$11:$B$310),INDEX(条幅4分の1!$B$11:$B$310,38-COUNTA(半紙!$B$11:$B$310)-COUNTA(条幅!$B$11:$B$310)),"")))=0,"",IF(38&lt;=COUNTA(半紙!$B$11:$B$310),INDEX(半紙!$B$11:$B$310,38),IF(38&lt;=COUNTA(半紙!$B$11:$B$310)+COUNTA(条幅!$B$11:$B$310),INDEX(条幅!$B$11:$B$310,38-COUNTA(半紙!$B$11:$B$310)),IF(38&lt;=COUNTA(半紙!$B$11:$B$310)+COUNTA(条幅!$B$11:$B$310)+COUNTA(条幅4分の1!$B$11:$B$310),INDEX(条幅4分の1!$B$11:$B$310,38-COUNTA(半紙!$B$11:$B$310)-COUNTA(条幅!$B$11:$B$310)),""))))</f>
        <v/>
      </c>
      <c r="C43" s="38" t="str">
        <f>IF(IF(38&lt;=COUNTA(半紙!$B$11:$B$310),INDEX(半紙!$C$11:$C$310,38),IF(38&lt;=COUNTA(半紙!$B$11:$B$310)+COUNTA(条幅!$B$11:$B$310),INDEX(条幅!$C$11:$C$310,38-COUNTA(半紙!$B$11:$B$310)),IF(38&lt;=COUNTA(半紙!$B$11:$B$310)+COUNTA(条幅!$B$11:$B$310)+COUNTA(条幅4分の1!$B$11:$B$310),INDEX(条幅4分の1!$C$11:$C$310,38-COUNTA(半紙!$B$11:$B$310)-COUNTA(条幅!$B$11:$B$310)),"")))=0,"",IF(38&lt;=COUNTA(半紙!$B$11:$B$310),INDEX(半紙!$C$11:$C$310,38),IF(38&lt;=COUNTA(半紙!$B$11:$B$310)+COUNTA(条幅!$B$11:$B$310),INDEX(条幅!$C$11:$C$310,38-COUNTA(半紙!$B$11:$B$310)),IF(38&lt;=COUNTA(半紙!$B$11:$B$310)+COUNTA(条幅!$B$11:$B$310)+COUNTA(条幅4分の1!$B$11:$B$310),INDEX(条幅4分の1!$C$11:$C$310,38-COUNTA(半紙!$B$11:$B$310)-COUNTA(条幅!$B$11:$B$310)),""))))</f>
        <v/>
      </c>
      <c r="D43" s="38" t="str">
        <f>IF(IF(38&lt;=COUNTA(半紙!$B$11:$B$310),INDEX(半紙!$D$11:$D$310,38),IF(38&lt;=COUNTA(半紙!$B$11:$B$310)+COUNTA(条幅!$B$11:$B$310),INDEX(条幅!$D$11:$D$310,38-COUNTA(半紙!$B$11:$B$310)),IF(38&lt;=COUNTA(半紙!$B$11:$B$310)+COUNTA(条幅!$B$11:$B$310)+COUNTA(条幅4分の1!$B$11:$B$310),INDEX(条幅4分の1!$D$11:$D$310,38-COUNTA(半紙!$B$11:$B$310)-COUNTA(条幅!$B$11:$B$310)),"")))=0,"",IF(38&lt;=COUNTA(半紙!$B$11:$B$310),INDEX(半紙!$D$11:$D$310,38),IF(38&lt;=COUNTA(半紙!$B$11:$B$310)+COUNTA(条幅!$B$11:$B$310),INDEX(条幅!$D$11:$D$310,38-COUNTA(半紙!$B$11:$B$310)),IF(38&lt;=COUNTA(半紙!$B$11:$B$310)+COUNTA(条幅!$B$11:$B$310)+COUNTA(条幅4分の1!$B$11:$B$310),INDEX(条幅4分の1!$D$11:$D$310,38-COUNTA(半紙!$B$11:$B$310)-COUNTA(条幅!$B$11:$B$310)),""))))</f>
        <v/>
      </c>
      <c r="E43" s="38" t="str">
        <f>IF(IF(38&lt;=COUNTA(半紙!$B$11:$B$310),INDEX(半紙!$E$11:$E$310,38),IF(38&lt;=COUNTA(半紙!$B$11:$B$310)+COUNTA(条幅!$B$11:$B$310),INDEX(条幅!$E$11:$E$310,38-COUNTA(半紙!$B$11:$B$310)),IF(38&lt;=COUNTA(半紙!$B$11:$B$310)+COUNTA(条幅!$B$11:$B$310)+COUNTA(条幅4分の1!$B$11:$B$310),INDEX(条幅4分の1!$E$11:$E$310,38-COUNTA(半紙!$B$11:$B$310)-COUNTA(条幅!$B$11:$B$310)),"")))=0,"",IF(38&lt;=COUNTA(半紙!$B$11:$B$310),INDEX(半紙!$E$11:$E$310,38),IF(38&lt;=COUNTA(半紙!$B$11:$B$310)+COUNTA(条幅!$B$11:$B$310),INDEX(条幅!$E$11:$E$310,38-COUNTA(半紙!$B$11:$B$310)),IF(38&lt;=COUNTA(半紙!$B$11:$B$310)+COUNTA(条幅!$B$11:$B$310)+COUNTA(条幅4分の1!$B$11:$B$310),INDEX(条幅4分の1!$E$11:$E$310,38-COUNTA(半紙!$B$11:$B$310)-COUNTA(条幅!$B$11:$B$310)),""))))</f>
        <v/>
      </c>
      <c r="F43" s="38" t="str">
        <f>IF(IF(38&lt;=COUNTA(半紙!$B$11:$B$310),INDEX(半紙!$F$11:$F$310,38),IF(38&lt;=COUNTA(半紙!$B$11:$B$310)+COUNTA(条幅!$B$11:$B$310),INDEX(条幅!$F$11:$F$310,38-COUNTA(半紙!$B$11:$B$310)),IF(38&lt;=COUNTA(半紙!$B$11:$B$310)+COUNTA(条幅!$B$11:$B$310)+COUNTA(条幅4分の1!$B$11:$B$310),INDEX(条幅4分の1!$F$11:$F$310,38-COUNTA(半紙!$B$11:$B$310)-COUNTA(条幅!$B$11:$B$310)),"")))=0,"",IF(38&lt;=COUNTA(半紙!$B$11:$B$310),INDEX(半紙!$F$11:$F$310,38),IF(38&lt;=COUNTA(半紙!$B$11:$B$310)+COUNTA(条幅!$B$11:$B$310),INDEX(条幅!$F$11:$F$310,38-COUNTA(半紙!$B$11:$B$310)),IF(38&lt;=COUNTA(半紙!$B$11:$B$310)+COUNTA(条幅!$B$11:$B$310)+COUNTA(条幅4分の1!$B$11:$B$310),INDEX(条幅4分の1!$F$11:$F$310,38-COUNTA(半紙!$B$11:$B$310)-COUNTA(条幅!$B$11:$B$310)),""))))</f>
        <v/>
      </c>
      <c r="G43" s="38" t="str">
        <f>IF(IF(38&lt;=COUNTA(半紙!$B$11:$B$310),INDEX(半紙!$G$11:$G$310,38),IF(38&lt;=COUNTA(半紙!$B$11:$B$310)+COUNTA(条幅!$B$11:$B$310),INDEX(条幅!$G$11:$G$310,38-COUNTA(半紙!$B$11:$B$310)),IF(38&lt;=COUNTA(半紙!$B$11:$B$310)+COUNTA(条幅!$B$11:$B$310)+COUNTA(条幅4分の1!$B$11:$B$310),INDEX(条幅4分の1!$G$11:$G$310,38-COUNTA(半紙!$B$11:$B$310)-COUNTA(条幅!$B$11:$B$310)),"")))=0,"",IF(38&lt;=COUNTA(半紙!$B$11:$B$310),INDEX(半紙!$G$11:$G$310,38),IF(38&lt;=COUNTA(半紙!$B$11:$B$310)+COUNTA(条幅!$B$11:$B$310),INDEX(条幅!$G$11:$G$310,38-COUNTA(半紙!$B$11:$B$310)),IF(38&lt;=COUNTA(半紙!$B$11:$B$310)+COUNTA(条幅!$B$11:$B$310)+COUNTA(条幅4分の1!$B$11:$B$310),INDEX(条幅4分の1!$G$11:$G$310,38-COUNTA(半紙!$B$11:$B$310)-COUNTA(条幅!$B$11:$B$310)),""))))</f>
        <v/>
      </c>
      <c r="H43" s="38" t="str">
        <f>IF(IF(38&lt;=COUNTA(半紙!$B$11:$B$310),INDEX(半紙!$H$11:$H$310,38),IF(38&lt;=COUNTA(半紙!$B$11:$B$310)+COUNTA(条幅!$B$11:$B$310),INDEX(条幅!$H$11:$H$310,38-COUNTA(半紙!$B$11:$B$310)),IF(38&lt;=COUNTA(半紙!$B$11:$B$310)+COUNTA(条幅!$B$11:$B$310)+COUNTA(条幅4分の1!$B$11:$B$310),INDEX(条幅4分の1!$H$11:$H$310,38-COUNTA(半紙!$B$11:$B$310)-COUNTA(条幅!$B$11:$B$310)),"")))=0,"",IF(38&lt;=COUNTA(半紙!$B$11:$B$310),INDEX(半紙!$H$11:$H$310,38),IF(38&lt;=COUNTA(半紙!$B$11:$B$310)+COUNTA(条幅!$B$11:$B$310),INDEX(条幅!$H$11:$H$310,38-COUNTA(半紙!$B$11:$B$310)),IF(38&lt;=COUNTA(半紙!$B$11:$B$310)+COUNTA(条幅!$B$11:$B$310)+COUNTA(条幅4分の1!$B$11:$B$310),INDEX(条幅4分の1!$H$11:$H$310,38-COUNTA(半紙!$B$11:$B$310)-COUNTA(条幅!$B$11:$B$310)),""))))</f>
        <v/>
      </c>
      <c r="I43" s="38" t="str">
        <f>IF(IF(38&lt;=COUNTA(半紙!$B$11:$B$310),INDEX(半紙!$I$11:$I$310,38),IF(38&lt;=COUNTA(半紙!$B$11:$B$310)+COUNTA(条幅!$B$11:$B$310),INDEX(条幅!$I$11:$I$310,38-COUNTA(半紙!$B$11:$B$310)),IF(38&lt;=COUNTA(半紙!$B$11:$B$310)+COUNTA(条幅!$B$11:$B$310)+COUNTA(条幅4分の1!$B$11:$B$310),INDEX(条幅4分の1!$I$11:$I$310,38-COUNTA(半紙!$B$11:$B$310)-COUNTA(条幅!$B$11:$B$310)),"")))=0,"",IF(38&lt;=COUNTA(半紙!$B$11:$B$310),INDEX(半紙!$I$11:$I$310,38),IF(38&lt;=COUNTA(半紙!$B$11:$B$310)+COUNTA(条幅!$B$11:$B$310),INDEX(条幅!$I$11:$I$310,38-COUNTA(半紙!$B$11:$B$310)),IF(38&lt;=COUNTA(半紙!$B$11:$B$310)+COUNTA(条幅!$B$11:$B$310)+COUNTA(条幅4分の1!$B$11:$B$310),INDEX(条幅4分の1!$I$11:$I$310,38-COUNTA(半紙!$B$11:$B$310)-COUNTA(条幅!$B$11:$B$310)),""))))</f>
        <v/>
      </c>
      <c r="J43" s="38" t="str">
        <f>IF(IF(38&lt;=COUNTA(半紙!$B$11:$B$310),INDEX(半紙!$J$11:$J$310,38),IF(38&lt;=COUNTA(半紙!$B$11:$B$310)+COUNTA(条幅!$B$11:$B$310),INDEX(条幅!$J$11:$J$310,38-COUNTA(半紙!$B$11:$B$310)),IF(38&lt;=COUNTA(半紙!$B$11:$B$310)+COUNTA(条幅!$B$11:$B$310)+COUNTA(条幅4分の1!$B$11:$B$310),INDEX(条幅4分の1!$J$11:$J$310,38-COUNTA(半紙!$B$11:$B$310)-COUNTA(条幅!$B$11:$B$310)),"")))=0,"",IF(38&lt;=COUNTA(半紙!$B$11:$B$310),INDEX(半紙!$J$11:$J$310,38),IF(38&lt;=COUNTA(半紙!$B$11:$B$310)+COUNTA(条幅!$B$11:$B$310),INDEX(条幅!$J$11:$J$310,38-COUNTA(半紙!$B$11:$B$310)),IF(38&lt;=COUNTA(半紙!$B$11:$B$310)+COUNTA(条幅!$B$11:$B$310)+COUNTA(条幅4分の1!$B$11:$B$310),INDEX(条幅4分の1!$J$11:$J$310,38-COUNTA(半紙!$B$11:$B$310)-COUNTA(条幅!$B$11:$B$310)),""))))</f>
        <v/>
      </c>
      <c r="K43" s="38" t="str">
        <f>IF(IF(38&lt;=COUNTA(半紙!$B$11:$B$310),INDEX(半紙!$K$11:$K$310,38),IF(38&lt;=COUNTA(半紙!$B$11:$B$310)+COUNTA(条幅!$B$11:$B$310),INDEX(条幅!$K$11:$K$310,38-COUNTA(半紙!$B$11:$B$310)),IF(38&lt;=COUNTA(半紙!$B$11:$B$310)+COUNTA(条幅!$B$11:$B$310)+COUNTA(条幅4分の1!$B$11:$B$310),INDEX(条幅4分の1!$K$11:$K$310,38-COUNTA(半紙!$B$11:$B$310)-COUNTA(条幅!$B$11:$B$310)),"")))=0,"",IF(38&lt;=COUNTA(半紙!$B$11:$B$310),INDEX(半紙!$K$11:$K$310,38),IF(38&lt;=COUNTA(半紙!$B$11:$B$310)+COUNTA(条幅!$B$11:$B$310),INDEX(条幅!$K$11:$K$310,38-COUNTA(半紙!$B$11:$B$310)),IF(38&lt;=COUNTA(半紙!$B$11:$B$310)+COUNTA(条幅!$B$11:$B$310)+COUNTA(条幅4分の1!$B$11:$B$310),INDEX(条幅4分の1!$K$11:$K$310,38-COUNTA(半紙!$B$11:$B$310)-COUNTA(条幅!$B$11:$B$310)),""))))</f>
        <v/>
      </c>
      <c r="L43" s="48" t="str">
        <f>IF($B43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38))</f>
        <v/>
      </c>
    </row>
    <row r="44" spans="1:12" ht="15" customHeight="1">
      <c r="A44" s="37" t="str">
        <f>IF(39&lt;=COUNTA(半紙!$B$11:$B$310),"半紙",IF(39&lt;=COUNTA(半紙!$B$11:$B$310)+COUNTA(条幅!$B$11:$B$310),"条幅(半切)",IF(39&lt;=COUNTA(半紙!$B$11:$B$310)+COUNTA(条幅!$B$11:$B$310)+COUNTA(条幅4分の1!$B$11:$B$310),"条幅(1/4)","")))</f>
        <v/>
      </c>
      <c r="B44" s="38" t="str">
        <f>IF(IF(39&lt;=COUNTA(半紙!$B$11:$B$310),INDEX(半紙!$B$11:$B$310,39),IF(39&lt;=COUNTA(半紙!$B$11:$B$310)+COUNTA(条幅!$B$11:$B$310),INDEX(条幅!$B$11:$B$310,39-COUNTA(半紙!$B$11:$B$310)),IF(39&lt;=COUNTA(半紙!$B$11:$B$310)+COUNTA(条幅!$B$11:$B$310)+COUNTA(条幅4分の1!$B$11:$B$310),INDEX(条幅4分の1!$B$11:$B$310,39-COUNTA(半紙!$B$11:$B$310)-COUNTA(条幅!$B$11:$B$310)),"")))=0,"",IF(39&lt;=COUNTA(半紙!$B$11:$B$310),INDEX(半紙!$B$11:$B$310,39),IF(39&lt;=COUNTA(半紙!$B$11:$B$310)+COUNTA(条幅!$B$11:$B$310),INDEX(条幅!$B$11:$B$310,39-COUNTA(半紙!$B$11:$B$310)),IF(39&lt;=COUNTA(半紙!$B$11:$B$310)+COUNTA(条幅!$B$11:$B$310)+COUNTA(条幅4分の1!$B$11:$B$310),INDEX(条幅4分の1!$B$11:$B$310,39-COUNTA(半紙!$B$11:$B$310)-COUNTA(条幅!$B$11:$B$310)),""))))</f>
        <v/>
      </c>
      <c r="C44" s="38" t="str">
        <f>IF(IF(39&lt;=COUNTA(半紙!$B$11:$B$310),INDEX(半紙!$C$11:$C$310,39),IF(39&lt;=COUNTA(半紙!$B$11:$B$310)+COUNTA(条幅!$B$11:$B$310),INDEX(条幅!$C$11:$C$310,39-COUNTA(半紙!$B$11:$B$310)),IF(39&lt;=COUNTA(半紙!$B$11:$B$310)+COUNTA(条幅!$B$11:$B$310)+COUNTA(条幅4分の1!$B$11:$B$310),INDEX(条幅4分の1!$C$11:$C$310,39-COUNTA(半紙!$B$11:$B$310)-COUNTA(条幅!$B$11:$B$310)),"")))=0,"",IF(39&lt;=COUNTA(半紙!$B$11:$B$310),INDEX(半紙!$C$11:$C$310,39),IF(39&lt;=COUNTA(半紙!$B$11:$B$310)+COUNTA(条幅!$B$11:$B$310),INDEX(条幅!$C$11:$C$310,39-COUNTA(半紙!$B$11:$B$310)),IF(39&lt;=COUNTA(半紙!$B$11:$B$310)+COUNTA(条幅!$B$11:$B$310)+COUNTA(条幅4分の1!$B$11:$B$310),INDEX(条幅4分の1!$C$11:$C$310,39-COUNTA(半紙!$B$11:$B$310)-COUNTA(条幅!$B$11:$B$310)),""))))</f>
        <v/>
      </c>
      <c r="D44" s="38" t="str">
        <f>IF(IF(39&lt;=COUNTA(半紙!$B$11:$B$310),INDEX(半紙!$D$11:$D$310,39),IF(39&lt;=COUNTA(半紙!$B$11:$B$310)+COUNTA(条幅!$B$11:$B$310),INDEX(条幅!$D$11:$D$310,39-COUNTA(半紙!$B$11:$B$310)),IF(39&lt;=COUNTA(半紙!$B$11:$B$310)+COUNTA(条幅!$B$11:$B$310)+COUNTA(条幅4分の1!$B$11:$B$310),INDEX(条幅4分の1!$D$11:$D$310,39-COUNTA(半紙!$B$11:$B$310)-COUNTA(条幅!$B$11:$B$310)),"")))=0,"",IF(39&lt;=COUNTA(半紙!$B$11:$B$310),INDEX(半紙!$D$11:$D$310,39),IF(39&lt;=COUNTA(半紙!$B$11:$B$310)+COUNTA(条幅!$B$11:$B$310),INDEX(条幅!$D$11:$D$310,39-COUNTA(半紙!$B$11:$B$310)),IF(39&lt;=COUNTA(半紙!$B$11:$B$310)+COUNTA(条幅!$B$11:$B$310)+COUNTA(条幅4分の1!$B$11:$B$310),INDEX(条幅4分の1!$D$11:$D$310,39-COUNTA(半紙!$B$11:$B$310)-COUNTA(条幅!$B$11:$B$310)),""))))</f>
        <v/>
      </c>
      <c r="E44" s="38" t="str">
        <f>IF(IF(39&lt;=COUNTA(半紙!$B$11:$B$310),INDEX(半紙!$E$11:$E$310,39),IF(39&lt;=COUNTA(半紙!$B$11:$B$310)+COUNTA(条幅!$B$11:$B$310),INDEX(条幅!$E$11:$E$310,39-COUNTA(半紙!$B$11:$B$310)),IF(39&lt;=COUNTA(半紙!$B$11:$B$310)+COUNTA(条幅!$B$11:$B$310)+COUNTA(条幅4分の1!$B$11:$B$310),INDEX(条幅4分の1!$E$11:$E$310,39-COUNTA(半紙!$B$11:$B$310)-COUNTA(条幅!$B$11:$B$310)),"")))=0,"",IF(39&lt;=COUNTA(半紙!$B$11:$B$310),INDEX(半紙!$E$11:$E$310,39),IF(39&lt;=COUNTA(半紙!$B$11:$B$310)+COUNTA(条幅!$B$11:$B$310),INDEX(条幅!$E$11:$E$310,39-COUNTA(半紙!$B$11:$B$310)),IF(39&lt;=COUNTA(半紙!$B$11:$B$310)+COUNTA(条幅!$B$11:$B$310)+COUNTA(条幅4分の1!$B$11:$B$310),INDEX(条幅4分の1!$E$11:$E$310,39-COUNTA(半紙!$B$11:$B$310)-COUNTA(条幅!$B$11:$B$310)),""))))</f>
        <v/>
      </c>
      <c r="F44" s="38" t="str">
        <f>IF(IF(39&lt;=COUNTA(半紙!$B$11:$B$310),INDEX(半紙!$F$11:$F$310,39),IF(39&lt;=COUNTA(半紙!$B$11:$B$310)+COUNTA(条幅!$B$11:$B$310),INDEX(条幅!$F$11:$F$310,39-COUNTA(半紙!$B$11:$B$310)),IF(39&lt;=COUNTA(半紙!$B$11:$B$310)+COUNTA(条幅!$B$11:$B$310)+COUNTA(条幅4分の1!$B$11:$B$310),INDEX(条幅4分の1!$F$11:$F$310,39-COUNTA(半紙!$B$11:$B$310)-COUNTA(条幅!$B$11:$B$310)),"")))=0,"",IF(39&lt;=COUNTA(半紙!$B$11:$B$310),INDEX(半紙!$F$11:$F$310,39),IF(39&lt;=COUNTA(半紙!$B$11:$B$310)+COUNTA(条幅!$B$11:$B$310),INDEX(条幅!$F$11:$F$310,39-COUNTA(半紙!$B$11:$B$310)),IF(39&lt;=COUNTA(半紙!$B$11:$B$310)+COUNTA(条幅!$B$11:$B$310)+COUNTA(条幅4分の1!$B$11:$B$310),INDEX(条幅4分の1!$F$11:$F$310,39-COUNTA(半紙!$B$11:$B$310)-COUNTA(条幅!$B$11:$B$310)),""))))</f>
        <v/>
      </c>
      <c r="G44" s="38" t="str">
        <f>IF(IF(39&lt;=COUNTA(半紙!$B$11:$B$310),INDEX(半紙!$G$11:$G$310,39),IF(39&lt;=COUNTA(半紙!$B$11:$B$310)+COUNTA(条幅!$B$11:$B$310),INDEX(条幅!$G$11:$G$310,39-COUNTA(半紙!$B$11:$B$310)),IF(39&lt;=COUNTA(半紙!$B$11:$B$310)+COUNTA(条幅!$B$11:$B$310)+COUNTA(条幅4分の1!$B$11:$B$310),INDEX(条幅4分の1!$G$11:$G$310,39-COUNTA(半紙!$B$11:$B$310)-COUNTA(条幅!$B$11:$B$310)),"")))=0,"",IF(39&lt;=COUNTA(半紙!$B$11:$B$310),INDEX(半紙!$G$11:$G$310,39),IF(39&lt;=COUNTA(半紙!$B$11:$B$310)+COUNTA(条幅!$B$11:$B$310),INDEX(条幅!$G$11:$G$310,39-COUNTA(半紙!$B$11:$B$310)),IF(39&lt;=COUNTA(半紙!$B$11:$B$310)+COUNTA(条幅!$B$11:$B$310)+COUNTA(条幅4分の1!$B$11:$B$310),INDEX(条幅4分の1!$G$11:$G$310,39-COUNTA(半紙!$B$11:$B$310)-COUNTA(条幅!$B$11:$B$310)),""))))</f>
        <v/>
      </c>
      <c r="H44" s="38" t="str">
        <f>IF(IF(39&lt;=COUNTA(半紙!$B$11:$B$310),INDEX(半紙!$H$11:$H$310,39),IF(39&lt;=COUNTA(半紙!$B$11:$B$310)+COUNTA(条幅!$B$11:$B$310),INDEX(条幅!$H$11:$H$310,39-COUNTA(半紙!$B$11:$B$310)),IF(39&lt;=COUNTA(半紙!$B$11:$B$310)+COUNTA(条幅!$B$11:$B$310)+COUNTA(条幅4分の1!$B$11:$B$310),INDEX(条幅4分の1!$H$11:$H$310,39-COUNTA(半紙!$B$11:$B$310)-COUNTA(条幅!$B$11:$B$310)),"")))=0,"",IF(39&lt;=COUNTA(半紙!$B$11:$B$310),INDEX(半紙!$H$11:$H$310,39),IF(39&lt;=COUNTA(半紙!$B$11:$B$310)+COUNTA(条幅!$B$11:$B$310),INDEX(条幅!$H$11:$H$310,39-COUNTA(半紙!$B$11:$B$310)),IF(39&lt;=COUNTA(半紙!$B$11:$B$310)+COUNTA(条幅!$B$11:$B$310)+COUNTA(条幅4分の1!$B$11:$B$310),INDEX(条幅4分の1!$H$11:$H$310,39-COUNTA(半紙!$B$11:$B$310)-COUNTA(条幅!$B$11:$B$310)),""))))</f>
        <v/>
      </c>
      <c r="I44" s="38" t="str">
        <f>IF(IF(39&lt;=COUNTA(半紙!$B$11:$B$310),INDEX(半紙!$I$11:$I$310,39),IF(39&lt;=COUNTA(半紙!$B$11:$B$310)+COUNTA(条幅!$B$11:$B$310),INDEX(条幅!$I$11:$I$310,39-COUNTA(半紙!$B$11:$B$310)),IF(39&lt;=COUNTA(半紙!$B$11:$B$310)+COUNTA(条幅!$B$11:$B$310)+COUNTA(条幅4分の1!$B$11:$B$310),INDEX(条幅4分の1!$I$11:$I$310,39-COUNTA(半紙!$B$11:$B$310)-COUNTA(条幅!$B$11:$B$310)),"")))=0,"",IF(39&lt;=COUNTA(半紙!$B$11:$B$310),INDEX(半紙!$I$11:$I$310,39),IF(39&lt;=COUNTA(半紙!$B$11:$B$310)+COUNTA(条幅!$B$11:$B$310),INDEX(条幅!$I$11:$I$310,39-COUNTA(半紙!$B$11:$B$310)),IF(39&lt;=COUNTA(半紙!$B$11:$B$310)+COUNTA(条幅!$B$11:$B$310)+COUNTA(条幅4分の1!$B$11:$B$310),INDEX(条幅4分の1!$I$11:$I$310,39-COUNTA(半紙!$B$11:$B$310)-COUNTA(条幅!$B$11:$B$310)),""))))</f>
        <v/>
      </c>
      <c r="J44" s="38" t="str">
        <f>IF(IF(39&lt;=COUNTA(半紙!$B$11:$B$310),INDEX(半紙!$J$11:$J$310,39),IF(39&lt;=COUNTA(半紙!$B$11:$B$310)+COUNTA(条幅!$B$11:$B$310),INDEX(条幅!$J$11:$J$310,39-COUNTA(半紙!$B$11:$B$310)),IF(39&lt;=COUNTA(半紙!$B$11:$B$310)+COUNTA(条幅!$B$11:$B$310)+COUNTA(条幅4分の1!$B$11:$B$310),INDEX(条幅4分の1!$J$11:$J$310,39-COUNTA(半紙!$B$11:$B$310)-COUNTA(条幅!$B$11:$B$310)),"")))=0,"",IF(39&lt;=COUNTA(半紙!$B$11:$B$310),INDEX(半紙!$J$11:$J$310,39),IF(39&lt;=COUNTA(半紙!$B$11:$B$310)+COUNTA(条幅!$B$11:$B$310),INDEX(条幅!$J$11:$J$310,39-COUNTA(半紙!$B$11:$B$310)),IF(39&lt;=COUNTA(半紙!$B$11:$B$310)+COUNTA(条幅!$B$11:$B$310)+COUNTA(条幅4分の1!$B$11:$B$310),INDEX(条幅4分の1!$J$11:$J$310,39-COUNTA(半紙!$B$11:$B$310)-COUNTA(条幅!$B$11:$B$310)),""))))</f>
        <v/>
      </c>
      <c r="K44" s="38" t="str">
        <f>IF(IF(39&lt;=COUNTA(半紙!$B$11:$B$310),INDEX(半紙!$K$11:$K$310,39),IF(39&lt;=COUNTA(半紙!$B$11:$B$310)+COUNTA(条幅!$B$11:$B$310),INDEX(条幅!$K$11:$K$310,39-COUNTA(半紙!$B$11:$B$310)),IF(39&lt;=COUNTA(半紙!$B$11:$B$310)+COUNTA(条幅!$B$11:$B$310)+COUNTA(条幅4分の1!$B$11:$B$310),INDEX(条幅4分の1!$K$11:$K$310,39-COUNTA(半紙!$B$11:$B$310)-COUNTA(条幅!$B$11:$B$310)),"")))=0,"",IF(39&lt;=COUNTA(半紙!$B$11:$B$310),INDEX(半紙!$K$11:$K$310,39),IF(39&lt;=COUNTA(半紙!$B$11:$B$310)+COUNTA(条幅!$B$11:$B$310),INDEX(条幅!$K$11:$K$310,39-COUNTA(半紙!$B$11:$B$310)),IF(39&lt;=COUNTA(半紙!$B$11:$B$310)+COUNTA(条幅!$B$11:$B$310)+COUNTA(条幅4分の1!$B$11:$B$310),INDEX(条幅4分の1!$K$11:$K$310,39-COUNTA(半紙!$B$11:$B$310)-COUNTA(条幅!$B$11:$B$310)),""))))</f>
        <v/>
      </c>
      <c r="L44" s="48" t="str">
        <f>IF($B44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39))</f>
        <v/>
      </c>
    </row>
    <row r="45" spans="1:12" ht="15" customHeight="1">
      <c r="A45" s="37" t="str">
        <f>IF(40&lt;=COUNTA(半紙!$B$11:$B$310),"半紙",IF(40&lt;=COUNTA(半紙!$B$11:$B$310)+COUNTA(条幅!$B$11:$B$310),"条幅(半切)",IF(40&lt;=COUNTA(半紙!$B$11:$B$310)+COUNTA(条幅!$B$11:$B$310)+COUNTA(条幅4分の1!$B$11:$B$310),"条幅(1/4)","")))</f>
        <v/>
      </c>
      <c r="B45" s="38" t="str">
        <f>IF(IF(40&lt;=COUNTA(半紙!$B$11:$B$310),INDEX(半紙!$B$11:$B$310,40),IF(40&lt;=COUNTA(半紙!$B$11:$B$310)+COUNTA(条幅!$B$11:$B$310),INDEX(条幅!$B$11:$B$310,40-COUNTA(半紙!$B$11:$B$310)),IF(40&lt;=COUNTA(半紙!$B$11:$B$310)+COUNTA(条幅!$B$11:$B$310)+COUNTA(条幅4分の1!$B$11:$B$310),INDEX(条幅4分の1!$B$11:$B$310,40-COUNTA(半紙!$B$11:$B$310)-COUNTA(条幅!$B$11:$B$310)),"")))=0,"",IF(40&lt;=COUNTA(半紙!$B$11:$B$310),INDEX(半紙!$B$11:$B$310,40),IF(40&lt;=COUNTA(半紙!$B$11:$B$310)+COUNTA(条幅!$B$11:$B$310),INDEX(条幅!$B$11:$B$310,40-COUNTA(半紙!$B$11:$B$310)),IF(40&lt;=COUNTA(半紙!$B$11:$B$310)+COUNTA(条幅!$B$11:$B$310)+COUNTA(条幅4分の1!$B$11:$B$310),INDEX(条幅4分の1!$B$11:$B$310,40-COUNTA(半紙!$B$11:$B$310)-COUNTA(条幅!$B$11:$B$310)),""))))</f>
        <v/>
      </c>
      <c r="C45" s="38" t="str">
        <f>IF(IF(40&lt;=COUNTA(半紙!$B$11:$B$310),INDEX(半紙!$C$11:$C$310,40),IF(40&lt;=COUNTA(半紙!$B$11:$B$310)+COUNTA(条幅!$B$11:$B$310),INDEX(条幅!$C$11:$C$310,40-COUNTA(半紙!$B$11:$B$310)),IF(40&lt;=COUNTA(半紙!$B$11:$B$310)+COUNTA(条幅!$B$11:$B$310)+COUNTA(条幅4分の1!$B$11:$B$310),INDEX(条幅4分の1!$C$11:$C$310,40-COUNTA(半紙!$B$11:$B$310)-COUNTA(条幅!$B$11:$B$310)),"")))=0,"",IF(40&lt;=COUNTA(半紙!$B$11:$B$310),INDEX(半紙!$C$11:$C$310,40),IF(40&lt;=COUNTA(半紙!$B$11:$B$310)+COUNTA(条幅!$B$11:$B$310),INDEX(条幅!$C$11:$C$310,40-COUNTA(半紙!$B$11:$B$310)),IF(40&lt;=COUNTA(半紙!$B$11:$B$310)+COUNTA(条幅!$B$11:$B$310)+COUNTA(条幅4分の1!$B$11:$B$310),INDEX(条幅4分の1!$C$11:$C$310,40-COUNTA(半紙!$B$11:$B$310)-COUNTA(条幅!$B$11:$B$310)),""))))</f>
        <v/>
      </c>
      <c r="D45" s="38" t="str">
        <f>IF(IF(40&lt;=COUNTA(半紙!$B$11:$B$310),INDEX(半紙!$D$11:$D$310,40),IF(40&lt;=COUNTA(半紙!$B$11:$B$310)+COUNTA(条幅!$B$11:$B$310),INDEX(条幅!$D$11:$D$310,40-COUNTA(半紙!$B$11:$B$310)),IF(40&lt;=COUNTA(半紙!$B$11:$B$310)+COUNTA(条幅!$B$11:$B$310)+COUNTA(条幅4分の1!$B$11:$B$310),INDEX(条幅4分の1!$D$11:$D$310,40-COUNTA(半紙!$B$11:$B$310)-COUNTA(条幅!$B$11:$B$310)),"")))=0,"",IF(40&lt;=COUNTA(半紙!$B$11:$B$310),INDEX(半紙!$D$11:$D$310,40),IF(40&lt;=COUNTA(半紙!$B$11:$B$310)+COUNTA(条幅!$B$11:$B$310),INDEX(条幅!$D$11:$D$310,40-COUNTA(半紙!$B$11:$B$310)),IF(40&lt;=COUNTA(半紙!$B$11:$B$310)+COUNTA(条幅!$B$11:$B$310)+COUNTA(条幅4分の1!$B$11:$B$310),INDEX(条幅4分の1!$D$11:$D$310,40-COUNTA(半紙!$B$11:$B$310)-COUNTA(条幅!$B$11:$B$310)),""))))</f>
        <v/>
      </c>
      <c r="E45" s="38" t="str">
        <f>IF(IF(40&lt;=COUNTA(半紙!$B$11:$B$310),INDEX(半紙!$E$11:$E$310,40),IF(40&lt;=COUNTA(半紙!$B$11:$B$310)+COUNTA(条幅!$B$11:$B$310),INDEX(条幅!$E$11:$E$310,40-COUNTA(半紙!$B$11:$B$310)),IF(40&lt;=COUNTA(半紙!$B$11:$B$310)+COUNTA(条幅!$B$11:$B$310)+COUNTA(条幅4分の1!$B$11:$B$310),INDEX(条幅4分の1!$E$11:$E$310,40-COUNTA(半紙!$B$11:$B$310)-COUNTA(条幅!$B$11:$B$310)),"")))=0,"",IF(40&lt;=COUNTA(半紙!$B$11:$B$310),INDEX(半紙!$E$11:$E$310,40),IF(40&lt;=COUNTA(半紙!$B$11:$B$310)+COUNTA(条幅!$B$11:$B$310),INDEX(条幅!$E$11:$E$310,40-COUNTA(半紙!$B$11:$B$310)),IF(40&lt;=COUNTA(半紙!$B$11:$B$310)+COUNTA(条幅!$B$11:$B$310)+COUNTA(条幅4分の1!$B$11:$B$310),INDEX(条幅4分の1!$E$11:$E$310,40-COUNTA(半紙!$B$11:$B$310)-COUNTA(条幅!$B$11:$B$310)),""))))</f>
        <v/>
      </c>
      <c r="F45" s="38" t="str">
        <f>IF(IF(40&lt;=COUNTA(半紙!$B$11:$B$310),INDEX(半紙!$F$11:$F$310,40),IF(40&lt;=COUNTA(半紙!$B$11:$B$310)+COUNTA(条幅!$B$11:$B$310),INDEX(条幅!$F$11:$F$310,40-COUNTA(半紙!$B$11:$B$310)),IF(40&lt;=COUNTA(半紙!$B$11:$B$310)+COUNTA(条幅!$B$11:$B$310)+COUNTA(条幅4分の1!$B$11:$B$310),INDEX(条幅4分の1!$F$11:$F$310,40-COUNTA(半紙!$B$11:$B$310)-COUNTA(条幅!$B$11:$B$310)),"")))=0,"",IF(40&lt;=COUNTA(半紙!$B$11:$B$310),INDEX(半紙!$F$11:$F$310,40),IF(40&lt;=COUNTA(半紙!$B$11:$B$310)+COUNTA(条幅!$B$11:$B$310),INDEX(条幅!$F$11:$F$310,40-COUNTA(半紙!$B$11:$B$310)),IF(40&lt;=COUNTA(半紙!$B$11:$B$310)+COUNTA(条幅!$B$11:$B$310)+COUNTA(条幅4分の1!$B$11:$B$310),INDEX(条幅4分の1!$F$11:$F$310,40-COUNTA(半紙!$B$11:$B$310)-COUNTA(条幅!$B$11:$B$310)),""))))</f>
        <v/>
      </c>
      <c r="G45" s="38" t="str">
        <f>IF(IF(40&lt;=COUNTA(半紙!$B$11:$B$310),INDEX(半紙!$G$11:$G$310,40),IF(40&lt;=COUNTA(半紙!$B$11:$B$310)+COUNTA(条幅!$B$11:$B$310),INDEX(条幅!$G$11:$G$310,40-COUNTA(半紙!$B$11:$B$310)),IF(40&lt;=COUNTA(半紙!$B$11:$B$310)+COUNTA(条幅!$B$11:$B$310)+COUNTA(条幅4分の1!$B$11:$B$310),INDEX(条幅4分の1!$G$11:$G$310,40-COUNTA(半紙!$B$11:$B$310)-COUNTA(条幅!$B$11:$B$310)),"")))=0,"",IF(40&lt;=COUNTA(半紙!$B$11:$B$310),INDEX(半紙!$G$11:$G$310,40),IF(40&lt;=COUNTA(半紙!$B$11:$B$310)+COUNTA(条幅!$B$11:$B$310),INDEX(条幅!$G$11:$G$310,40-COUNTA(半紙!$B$11:$B$310)),IF(40&lt;=COUNTA(半紙!$B$11:$B$310)+COUNTA(条幅!$B$11:$B$310)+COUNTA(条幅4分の1!$B$11:$B$310),INDEX(条幅4分の1!$G$11:$G$310,40-COUNTA(半紙!$B$11:$B$310)-COUNTA(条幅!$B$11:$B$310)),""))))</f>
        <v/>
      </c>
      <c r="H45" s="38" t="str">
        <f>IF(IF(40&lt;=COUNTA(半紙!$B$11:$B$310),INDEX(半紙!$H$11:$H$310,40),IF(40&lt;=COUNTA(半紙!$B$11:$B$310)+COUNTA(条幅!$B$11:$B$310),INDEX(条幅!$H$11:$H$310,40-COUNTA(半紙!$B$11:$B$310)),IF(40&lt;=COUNTA(半紙!$B$11:$B$310)+COUNTA(条幅!$B$11:$B$310)+COUNTA(条幅4分の1!$B$11:$B$310),INDEX(条幅4分の1!$H$11:$H$310,40-COUNTA(半紙!$B$11:$B$310)-COUNTA(条幅!$B$11:$B$310)),"")))=0,"",IF(40&lt;=COUNTA(半紙!$B$11:$B$310),INDEX(半紙!$H$11:$H$310,40),IF(40&lt;=COUNTA(半紙!$B$11:$B$310)+COUNTA(条幅!$B$11:$B$310),INDEX(条幅!$H$11:$H$310,40-COUNTA(半紙!$B$11:$B$310)),IF(40&lt;=COUNTA(半紙!$B$11:$B$310)+COUNTA(条幅!$B$11:$B$310)+COUNTA(条幅4分の1!$B$11:$B$310),INDEX(条幅4分の1!$H$11:$H$310,40-COUNTA(半紙!$B$11:$B$310)-COUNTA(条幅!$B$11:$B$310)),""))))</f>
        <v/>
      </c>
      <c r="I45" s="38" t="str">
        <f>IF(IF(40&lt;=COUNTA(半紙!$B$11:$B$310),INDEX(半紙!$I$11:$I$310,40),IF(40&lt;=COUNTA(半紙!$B$11:$B$310)+COUNTA(条幅!$B$11:$B$310),INDEX(条幅!$I$11:$I$310,40-COUNTA(半紙!$B$11:$B$310)),IF(40&lt;=COUNTA(半紙!$B$11:$B$310)+COUNTA(条幅!$B$11:$B$310)+COUNTA(条幅4分の1!$B$11:$B$310),INDEX(条幅4分の1!$I$11:$I$310,40-COUNTA(半紙!$B$11:$B$310)-COUNTA(条幅!$B$11:$B$310)),"")))=0,"",IF(40&lt;=COUNTA(半紙!$B$11:$B$310),INDEX(半紙!$I$11:$I$310,40),IF(40&lt;=COUNTA(半紙!$B$11:$B$310)+COUNTA(条幅!$B$11:$B$310),INDEX(条幅!$I$11:$I$310,40-COUNTA(半紙!$B$11:$B$310)),IF(40&lt;=COUNTA(半紙!$B$11:$B$310)+COUNTA(条幅!$B$11:$B$310)+COUNTA(条幅4分の1!$B$11:$B$310),INDEX(条幅4分の1!$I$11:$I$310,40-COUNTA(半紙!$B$11:$B$310)-COUNTA(条幅!$B$11:$B$310)),""))))</f>
        <v/>
      </c>
      <c r="J45" s="38" t="str">
        <f>IF(IF(40&lt;=COUNTA(半紙!$B$11:$B$310),INDEX(半紙!$J$11:$J$310,40),IF(40&lt;=COUNTA(半紙!$B$11:$B$310)+COUNTA(条幅!$B$11:$B$310),INDEX(条幅!$J$11:$J$310,40-COUNTA(半紙!$B$11:$B$310)),IF(40&lt;=COUNTA(半紙!$B$11:$B$310)+COUNTA(条幅!$B$11:$B$310)+COUNTA(条幅4分の1!$B$11:$B$310),INDEX(条幅4分の1!$J$11:$J$310,40-COUNTA(半紙!$B$11:$B$310)-COUNTA(条幅!$B$11:$B$310)),"")))=0,"",IF(40&lt;=COUNTA(半紙!$B$11:$B$310),INDEX(半紙!$J$11:$J$310,40),IF(40&lt;=COUNTA(半紙!$B$11:$B$310)+COUNTA(条幅!$B$11:$B$310),INDEX(条幅!$J$11:$J$310,40-COUNTA(半紙!$B$11:$B$310)),IF(40&lt;=COUNTA(半紙!$B$11:$B$310)+COUNTA(条幅!$B$11:$B$310)+COUNTA(条幅4分の1!$B$11:$B$310),INDEX(条幅4分の1!$J$11:$J$310,40-COUNTA(半紙!$B$11:$B$310)-COUNTA(条幅!$B$11:$B$310)),""))))</f>
        <v/>
      </c>
      <c r="K45" s="38" t="str">
        <f>IF(IF(40&lt;=COUNTA(半紙!$B$11:$B$310),INDEX(半紙!$K$11:$K$310,40),IF(40&lt;=COUNTA(半紙!$B$11:$B$310)+COUNTA(条幅!$B$11:$B$310),INDEX(条幅!$K$11:$K$310,40-COUNTA(半紙!$B$11:$B$310)),IF(40&lt;=COUNTA(半紙!$B$11:$B$310)+COUNTA(条幅!$B$11:$B$310)+COUNTA(条幅4分の1!$B$11:$B$310),INDEX(条幅4分の1!$K$11:$K$310,40-COUNTA(半紙!$B$11:$B$310)-COUNTA(条幅!$B$11:$B$310)),"")))=0,"",IF(40&lt;=COUNTA(半紙!$B$11:$B$310),INDEX(半紙!$K$11:$K$310,40),IF(40&lt;=COUNTA(半紙!$B$11:$B$310)+COUNTA(条幅!$B$11:$B$310),INDEX(条幅!$K$11:$K$310,40-COUNTA(半紙!$B$11:$B$310)),IF(40&lt;=COUNTA(半紙!$B$11:$B$310)+COUNTA(条幅!$B$11:$B$310)+COUNTA(条幅4分の1!$B$11:$B$310),INDEX(条幅4分の1!$K$11:$K$310,40-COUNTA(半紙!$B$11:$B$310)-COUNTA(条幅!$B$11:$B$310)),""))))</f>
        <v/>
      </c>
      <c r="L45" s="48" t="str">
        <f>IF($B45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40))</f>
        <v/>
      </c>
    </row>
    <row r="46" spans="1:12" ht="15" customHeight="1">
      <c r="A46" s="37" t="str">
        <f>IF(41&lt;=COUNTA(半紙!$B$11:$B$310),"半紙",IF(41&lt;=COUNTA(半紙!$B$11:$B$310)+COUNTA(条幅!$B$11:$B$310),"条幅(半切)",IF(41&lt;=COUNTA(半紙!$B$11:$B$310)+COUNTA(条幅!$B$11:$B$310)+COUNTA(条幅4分の1!$B$11:$B$310),"条幅(1/4)","")))</f>
        <v/>
      </c>
      <c r="B46" s="38" t="str">
        <f>IF(IF(41&lt;=COUNTA(半紙!$B$11:$B$310),INDEX(半紙!$B$11:$B$310,41),IF(41&lt;=COUNTA(半紙!$B$11:$B$310)+COUNTA(条幅!$B$11:$B$310),INDEX(条幅!$B$11:$B$310,41-COUNTA(半紙!$B$11:$B$310)),IF(41&lt;=COUNTA(半紙!$B$11:$B$310)+COUNTA(条幅!$B$11:$B$310)+COUNTA(条幅4分の1!$B$11:$B$310),INDEX(条幅4分の1!$B$11:$B$310,41-COUNTA(半紙!$B$11:$B$310)-COUNTA(条幅!$B$11:$B$310)),"")))=0,"",IF(41&lt;=COUNTA(半紙!$B$11:$B$310),INDEX(半紙!$B$11:$B$310,41),IF(41&lt;=COUNTA(半紙!$B$11:$B$310)+COUNTA(条幅!$B$11:$B$310),INDEX(条幅!$B$11:$B$310,41-COUNTA(半紙!$B$11:$B$310)),IF(41&lt;=COUNTA(半紙!$B$11:$B$310)+COUNTA(条幅!$B$11:$B$310)+COUNTA(条幅4分の1!$B$11:$B$310),INDEX(条幅4分の1!$B$11:$B$310,41-COUNTA(半紙!$B$11:$B$310)-COUNTA(条幅!$B$11:$B$310)),""))))</f>
        <v/>
      </c>
      <c r="C46" s="38" t="str">
        <f>IF(IF(41&lt;=COUNTA(半紙!$B$11:$B$310),INDEX(半紙!$C$11:$C$310,41),IF(41&lt;=COUNTA(半紙!$B$11:$B$310)+COUNTA(条幅!$B$11:$B$310),INDEX(条幅!$C$11:$C$310,41-COUNTA(半紙!$B$11:$B$310)),IF(41&lt;=COUNTA(半紙!$B$11:$B$310)+COUNTA(条幅!$B$11:$B$310)+COUNTA(条幅4分の1!$B$11:$B$310),INDEX(条幅4分の1!$C$11:$C$310,41-COUNTA(半紙!$B$11:$B$310)-COUNTA(条幅!$B$11:$B$310)),"")))=0,"",IF(41&lt;=COUNTA(半紙!$B$11:$B$310),INDEX(半紙!$C$11:$C$310,41),IF(41&lt;=COUNTA(半紙!$B$11:$B$310)+COUNTA(条幅!$B$11:$B$310),INDEX(条幅!$C$11:$C$310,41-COUNTA(半紙!$B$11:$B$310)),IF(41&lt;=COUNTA(半紙!$B$11:$B$310)+COUNTA(条幅!$B$11:$B$310)+COUNTA(条幅4分の1!$B$11:$B$310),INDEX(条幅4分の1!$C$11:$C$310,41-COUNTA(半紙!$B$11:$B$310)-COUNTA(条幅!$B$11:$B$310)),""))))</f>
        <v/>
      </c>
      <c r="D46" s="38" t="str">
        <f>IF(IF(41&lt;=COUNTA(半紙!$B$11:$B$310),INDEX(半紙!$D$11:$D$310,41),IF(41&lt;=COUNTA(半紙!$B$11:$B$310)+COUNTA(条幅!$B$11:$B$310),INDEX(条幅!$D$11:$D$310,41-COUNTA(半紙!$B$11:$B$310)),IF(41&lt;=COUNTA(半紙!$B$11:$B$310)+COUNTA(条幅!$B$11:$B$310)+COUNTA(条幅4分の1!$B$11:$B$310),INDEX(条幅4分の1!$D$11:$D$310,41-COUNTA(半紙!$B$11:$B$310)-COUNTA(条幅!$B$11:$B$310)),"")))=0,"",IF(41&lt;=COUNTA(半紙!$B$11:$B$310),INDEX(半紙!$D$11:$D$310,41),IF(41&lt;=COUNTA(半紙!$B$11:$B$310)+COUNTA(条幅!$B$11:$B$310),INDEX(条幅!$D$11:$D$310,41-COUNTA(半紙!$B$11:$B$310)),IF(41&lt;=COUNTA(半紙!$B$11:$B$310)+COUNTA(条幅!$B$11:$B$310)+COUNTA(条幅4分の1!$B$11:$B$310),INDEX(条幅4分の1!$D$11:$D$310,41-COUNTA(半紙!$B$11:$B$310)-COUNTA(条幅!$B$11:$B$310)),""))))</f>
        <v/>
      </c>
      <c r="E46" s="38" t="str">
        <f>IF(IF(41&lt;=COUNTA(半紙!$B$11:$B$310),INDEX(半紙!$E$11:$E$310,41),IF(41&lt;=COUNTA(半紙!$B$11:$B$310)+COUNTA(条幅!$B$11:$B$310),INDEX(条幅!$E$11:$E$310,41-COUNTA(半紙!$B$11:$B$310)),IF(41&lt;=COUNTA(半紙!$B$11:$B$310)+COUNTA(条幅!$B$11:$B$310)+COUNTA(条幅4分の1!$B$11:$B$310),INDEX(条幅4分の1!$E$11:$E$310,41-COUNTA(半紙!$B$11:$B$310)-COUNTA(条幅!$B$11:$B$310)),"")))=0,"",IF(41&lt;=COUNTA(半紙!$B$11:$B$310),INDEX(半紙!$E$11:$E$310,41),IF(41&lt;=COUNTA(半紙!$B$11:$B$310)+COUNTA(条幅!$B$11:$B$310),INDEX(条幅!$E$11:$E$310,41-COUNTA(半紙!$B$11:$B$310)),IF(41&lt;=COUNTA(半紙!$B$11:$B$310)+COUNTA(条幅!$B$11:$B$310)+COUNTA(条幅4分の1!$B$11:$B$310),INDEX(条幅4分の1!$E$11:$E$310,41-COUNTA(半紙!$B$11:$B$310)-COUNTA(条幅!$B$11:$B$310)),""))))</f>
        <v/>
      </c>
      <c r="F46" s="38" t="str">
        <f>IF(IF(41&lt;=COUNTA(半紙!$B$11:$B$310),INDEX(半紙!$F$11:$F$310,41),IF(41&lt;=COUNTA(半紙!$B$11:$B$310)+COUNTA(条幅!$B$11:$B$310),INDEX(条幅!$F$11:$F$310,41-COUNTA(半紙!$B$11:$B$310)),IF(41&lt;=COUNTA(半紙!$B$11:$B$310)+COUNTA(条幅!$B$11:$B$310)+COUNTA(条幅4分の1!$B$11:$B$310),INDEX(条幅4分の1!$F$11:$F$310,41-COUNTA(半紙!$B$11:$B$310)-COUNTA(条幅!$B$11:$B$310)),"")))=0,"",IF(41&lt;=COUNTA(半紙!$B$11:$B$310),INDEX(半紙!$F$11:$F$310,41),IF(41&lt;=COUNTA(半紙!$B$11:$B$310)+COUNTA(条幅!$B$11:$B$310),INDEX(条幅!$F$11:$F$310,41-COUNTA(半紙!$B$11:$B$310)),IF(41&lt;=COUNTA(半紙!$B$11:$B$310)+COUNTA(条幅!$B$11:$B$310)+COUNTA(条幅4分の1!$B$11:$B$310),INDEX(条幅4分の1!$F$11:$F$310,41-COUNTA(半紙!$B$11:$B$310)-COUNTA(条幅!$B$11:$B$310)),""))))</f>
        <v/>
      </c>
      <c r="G46" s="38" t="str">
        <f>IF(IF(41&lt;=COUNTA(半紙!$B$11:$B$310),INDEX(半紙!$G$11:$G$310,41),IF(41&lt;=COUNTA(半紙!$B$11:$B$310)+COUNTA(条幅!$B$11:$B$310),INDEX(条幅!$G$11:$G$310,41-COUNTA(半紙!$B$11:$B$310)),IF(41&lt;=COUNTA(半紙!$B$11:$B$310)+COUNTA(条幅!$B$11:$B$310)+COUNTA(条幅4分の1!$B$11:$B$310),INDEX(条幅4分の1!$G$11:$G$310,41-COUNTA(半紙!$B$11:$B$310)-COUNTA(条幅!$B$11:$B$310)),"")))=0,"",IF(41&lt;=COUNTA(半紙!$B$11:$B$310),INDEX(半紙!$G$11:$G$310,41),IF(41&lt;=COUNTA(半紙!$B$11:$B$310)+COUNTA(条幅!$B$11:$B$310),INDEX(条幅!$G$11:$G$310,41-COUNTA(半紙!$B$11:$B$310)),IF(41&lt;=COUNTA(半紙!$B$11:$B$310)+COUNTA(条幅!$B$11:$B$310)+COUNTA(条幅4分の1!$B$11:$B$310),INDEX(条幅4分の1!$G$11:$G$310,41-COUNTA(半紙!$B$11:$B$310)-COUNTA(条幅!$B$11:$B$310)),""))))</f>
        <v/>
      </c>
      <c r="H46" s="38" t="str">
        <f>IF(IF(41&lt;=COUNTA(半紙!$B$11:$B$310),INDEX(半紙!$H$11:$H$310,41),IF(41&lt;=COUNTA(半紙!$B$11:$B$310)+COUNTA(条幅!$B$11:$B$310),INDEX(条幅!$H$11:$H$310,41-COUNTA(半紙!$B$11:$B$310)),IF(41&lt;=COUNTA(半紙!$B$11:$B$310)+COUNTA(条幅!$B$11:$B$310)+COUNTA(条幅4分の1!$B$11:$B$310),INDEX(条幅4分の1!$H$11:$H$310,41-COUNTA(半紙!$B$11:$B$310)-COUNTA(条幅!$B$11:$B$310)),"")))=0,"",IF(41&lt;=COUNTA(半紙!$B$11:$B$310),INDEX(半紙!$H$11:$H$310,41),IF(41&lt;=COUNTA(半紙!$B$11:$B$310)+COUNTA(条幅!$B$11:$B$310),INDEX(条幅!$H$11:$H$310,41-COUNTA(半紙!$B$11:$B$310)),IF(41&lt;=COUNTA(半紙!$B$11:$B$310)+COUNTA(条幅!$B$11:$B$310)+COUNTA(条幅4分の1!$B$11:$B$310),INDEX(条幅4分の1!$H$11:$H$310,41-COUNTA(半紙!$B$11:$B$310)-COUNTA(条幅!$B$11:$B$310)),""))))</f>
        <v/>
      </c>
      <c r="I46" s="38" t="str">
        <f>IF(IF(41&lt;=COUNTA(半紙!$B$11:$B$310),INDEX(半紙!$I$11:$I$310,41),IF(41&lt;=COUNTA(半紙!$B$11:$B$310)+COUNTA(条幅!$B$11:$B$310),INDEX(条幅!$I$11:$I$310,41-COUNTA(半紙!$B$11:$B$310)),IF(41&lt;=COUNTA(半紙!$B$11:$B$310)+COUNTA(条幅!$B$11:$B$310)+COUNTA(条幅4分の1!$B$11:$B$310),INDEX(条幅4分の1!$I$11:$I$310,41-COUNTA(半紙!$B$11:$B$310)-COUNTA(条幅!$B$11:$B$310)),"")))=0,"",IF(41&lt;=COUNTA(半紙!$B$11:$B$310),INDEX(半紙!$I$11:$I$310,41),IF(41&lt;=COUNTA(半紙!$B$11:$B$310)+COUNTA(条幅!$B$11:$B$310),INDEX(条幅!$I$11:$I$310,41-COUNTA(半紙!$B$11:$B$310)),IF(41&lt;=COUNTA(半紙!$B$11:$B$310)+COUNTA(条幅!$B$11:$B$310)+COUNTA(条幅4分の1!$B$11:$B$310),INDEX(条幅4分の1!$I$11:$I$310,41-COUNTA(半紙!$B$11:$B$310)-COUNTA(条幅!$B$11:$B$310)),""))))</f>
        <v/>
      </c>
      <c r="J46" s="38" t="str">
        <f>IF(IF(41&lt;=COUNTA(半紙!$B$11:$B$310),INDEX(半紙!$J$11:$J$310,41),IF(41&lt;=COUNTA(半紙!$B$11:$B$310)+COUNTA(条幅!$B$11:$B$310),INDEX(条幅!$J$11:$J$310,41-COUNTA(半紙!$B$11:$B$310)),IF(41&lt;=COUNTA(半紙!$B$11:$B$310)+COUNTA(条幅!$B$11:$B$310)+COUNTA(条幅4分の1!$B$11:$B$310),INDEX(条幅4分の1!$J$11:$J$310,41-COUNTA(半紙!$B$11:$B$310)-COUNTA(条幅!$B$11:$B$310)),"")))=0,"",IF(41&lt;=COUNTA(半紙!$B$11:$B$310),INDEX(半紙!$J$11:$J$310,41),IF(41&lt;=COUNTA(半紙!$B$11:$B$310)+COUNTA(条幅!$B$11:$B$310),INDEX(条幅!$J$11:$J$310,41-COUNTA(半紙!$B$11:$B$310)),IF(41&lt;=COUNTA(半紙!$B$11:$B$310)+COUNTA(条幅!$B$11:$B$310)+COUNTA(条幅4分の1!$B$11:$B$310),INDEX(条幅4分の1!$J$11:$J$310,41-COUNTA(半紙!$B$11:$B$310)-COUNTA(条幅!$B$11:$B$310)),""))))</f>
        <v/>
      </c>
      <c r="K46" s="38" t="str">
        <f>IF(IF(41&lt;=COUNTA(半紙!$B$11:$B$310),INDEX(半紙!$K$11:$K$310,41),IF(41&lt;=COUNTA(半紙!$B$11:$B$310)+COUNTA(条幅!$B$11:$B$310),INDEX(条幅!$K$11:$K$310,41-COUNTA(半紙!$B$11:$B$310)),IF(41&lt;=COUNTA(半紙!$B$11:$B$310)+COUNTA(条幅!$B$11:$B$310)+COUNTA(条幅4分の1!$B$11:$B$310),INDEX(条幅4分の1!$K$11:$K$310,41-COUNTA(半紙!$B$11:$B$310)-COUNTA(条幅!$B$11:$B$310)),"")))=0,"",IF(41&lt;=COUNTA(半紙!$B$11:$B$310),INDEX(半紙!$K$11:$K$310,41),IF(41&lt;=COUNTA(半紙!$B$11:$B$310)+COUNTA(条幅!$B$11:$B$310),INDEX(条幅!$K$11:$K$310,41-COUNTA(半紙!$B$11:$B$310)),IF(41&lt;=COUNTA(半紙!$B$11:$B$310)+COUNTA(条幅!$B$11:$B$310)+COUNTA(条幅4分の1!$B$11:$B$310),INDEX(条幅4分の1!$K$11:$K$310,41-COUNTA(半紙!$B$11:$B$310)-COUNTA(条幅!$B$11:$B$310)),""))))</f>
        <v/>
      </c>
      <c r="L46" s="48" t="str">
        <f>IF($B46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41))</f>
        <v/>
      </c>
    </row>
    <row r="47" spans="1:12" ht="15" customHeight="1">
      <c r="A47" s="37" t="str">
        <f>IF(42&lt;=COUNTA(半紙!$B$11:$B$310),"半紙",IF(42&lt;=COUNTA(半紙!$B$11:$B$310)+COUNTA(条幅!$B$11:$B$310),"条幅(半切)",IF(42&lt;=COUNTA(半紙!$B$11:$B$310)+COUNTA(条幅!$B$11:$B$310)+COUNTA(条幅4分の1!$B$11:$B$310),"条幅(1/4)","")))</f>
        <v/>
      </c>
      <c r="B47" s="38" t="str">
        <f>IF(IF(42&lt;=COUNTA(半紙!$B$11:$B$310),INDEX(半紙!$B$11:$B$310,42),IF(42&lt;=COUNTA(半紙!$B$11:$B$310)+COUNTA(条幅!$B$11:$B$310),INDEX(条幅!$B$11:$B$310,42-COUNTA(半紙!$B$11:$B$310)),IF(42&lt;=COUNTA(半紙!$B$11:$B$310)+COUNTA(条幅!$B$11:$B$310)+COUNTA(条幅4分の1!$B$11:$B$310),INDEX(条幅4分の1!$B$11:$B$310,42-COUNTA(半紙!$B$11:$B$310)-COUNTA(条幅!$B$11:$B$310)),"")))=0,"",IF(42&lt;=COUNTA(半紙!$B$11:$B$310),INDEX(半紙!$B$11:$B$310,42),IF(42&lt;=COUNTA(半紙!$B$11:$B$310)+COUNTA(条幅!$B$11:$B$310),INDEX(条幅!$B$11:$B$310,42-COUNTA(半紙!$B$11:$B$310)),IF(42&lt;=COUNTA(半紙!$B$11:$B$310)+COUNTA(条幅!$B$11:$B$310)+COUNTA(条幅4分の1!$B$11:$B$310),INDEX(条幅4分の1!$B$11:$B$310,42-COUNTA(半紙!$B$11:$B$310)-COUNTA(条幅!$B$11:$B$310)),""))))</f>
        <v/>
      </c>
      <c r="C47" s="38" t="str">
        <f>IF(IF(42&lt;=COUNTA(半紙!$B$11:$B$310),INDEX(半紙!$C$11:$C$310,42),IF(42&lt;=COUNTA(半紙!$B$11:$B$310)+COUNTA(条幅!$B$11:$B$310),INDEX(条幅!$C$11:$C$310,42-COUNTA(半紙!$B$11:$B$310)),IF(42&lt;=COUNTA(半紙!$B$11:$B$310)+COUNTA(条幅!$B$11:$B$310)+COUNTA(条幅4分の1!$B$11:$B$310),INDEX(条幅4分の1!$C$11:$C$310,42-COUNTA(半紙!$B$11:$B$310)-COUNTA(条幅!$B$11:$B$310)),"")))=0,"",IF(42&lt;=COUNTA(半紙!$B$11:$B$310),INDEX(半紙!$C$11:$C$310,42),IF(42&lt;=COUNTA(半紙!$B$11:$B$310)+COUNTA(条幅!$B$11:$B$310),INDEX(条幅!$C$11:$C$310,42-COUNTA(半紙!$B$11:$B$310)),IF(42&lt;=COUNTA(半紙!$B$11:$B$310)+COUNTA(条幅!$B$11:$B$310)+COUNTA(条幅4分の1!$B$11:$B$310),INDEX(条幅4分の1!$C$11:$C$310,42-COUNTA(半紙!$B$11:$B$310)-COUNTA(条幅!$B$11:$B$310)),""))))</f>
        <v/>
      </c>
      <c r="D47" s="38" t="str">
        <f>IF(IF(42&lt;=COUNTA(半紙!$B$11:$B$310),INDEX(半紙!$D$11:$D$310,42),IF(42&lt;=COUNTA(半紙!$B$11:$B$310)+COUNTA(条幅!$B$11:$B$310),INDEX(条幅!$D$11:$D$310,42-COUNTA(半紙!$B$11:$B$310)),IF(42&lt;=COUNTA(半紙!$B$11:$B$310)+COUNTA(条幅!$B$11:$B$310)+COUNTA(条幅4分の1!$B$11:$B$310),INDEX(条幅4分の1!$D$11:$D$310,42-COUNTA(半紙!$B$11:$B$310)-COUNTA(条幅!$B$11:$B$310)),"")))=0,"",IF(42&lt;=COUNTA(半紙!$B$11:$B$310),INDEX(半紙!$D$11:$D$310,42),IF(42&lt;=COUNTA(半紙!$B$11:$B$310)+COUNTA(条幅!$B$11:$B$310),INDEX(条幅!$D$11:$D$310,42-COUNTA(半紙!$B$11:$B$310)),IF(42&lt;=COUNTA(半紙!$B$11:$B$310)+COUNTA(条幅!$B$11:$B$310)+COUNTA(条幅4分の1!$B$11:$B$310),INDEX(条幅4分の1!$D$11:$D$310,42-COUNTA(半紙!$B$11:$B$310)-COUNTA(条幅!$B$11:$B$310)),""))))</f>
        <v/>
      </c>
      <c r="E47" s="38" t="str">
        <f>IF(IF(42&lt;=COUNTA(半紙!$B$11:$B$310),INDEX(半紙!$E$11:$E$310,42),IF(42&lt;=COUNTA(半紙!$B$11:$B$310)+COUNTA(条幅!$B$11:$B$310),INDEX(条幅!$E$11:$E$310,42-COUNTA(半紙!$B$11:$B$310)),IF(42&lt;=COUNTA(半紙!$B$11:$B$310)+COUNTA(条幅!$B$11:$B$310)+COUNTA(条幅4分の1!$B$11:$B$310),INDEX(条幅4分の1!$E$11:$E$310,42-COUNTA(半紙!$B$11:$B$310)-COUNTA(条幅!$B$11:$B$310)),"")))=0,"",IF(42&lt;=COUNTA(半紙!$B$11:$B$310),INDEX(半紙!$E$11:$E$310,42),IF(42&lt;=COUNTA(半紙!$B$11:$B$310)+COUNTA(条幅!$B$11:$B$310),INDEX(条幅!$E$11:$E$310,42-COUNTA(半紙!$B$11:$B$310)),IF(42&lt;=COUNTA(半紙!$B$11:$B$310)+COUNTA(条幅!$B$11:$B$310)+COUNTA(条幅4分の1!$B$11:$B$310),INDEX(条幅4分の1!$E$11:$E$310,42-COUNTA(半紙!$B$11:$B$310)-COUNTA(条幅!$B$11:$B$310)),""))))</f>
        <v/>
      </c>
      <c r="F47" s="38" t="str">
        <f>IF(IF(42&lt;=COUNTA(半紙!$B$11:$B$310),INDEX(半紙!$F$11:$F$310,42),IF(42&lt;=COUNTA(半紙!$B$11:$B$310)+COUNTA(条幅!$B$11:$B$310),INDEX(条幅!$F$11:$F$310,42-COUNTA(半紙!$B$11:$B$310)),IF(42&lt;=COUNTA(半紙!$B$11:$B$310)+COUNTA(条幅!$B$11:$B$310)+COUNTA(条幅4分の1!$B$11:$B$310),INDEX(条幅4分の1!$F$11:$F$310,42-COUNTA(半紙!$B$11:$B$310)-COUNTA(条幅!$B$11:$B$310)),"")))=0,"",IF(42&lt;=COUNTA(半紙!$B$11:$B$310),INDEX(半紙!$F$11:$F$310,42),IF(42&lt;=COUNTA(半紙!$B$11:$B$310)+COUNTA(条幅!$B$11:$B$310),INDEX(条幅!$F$11:$F$310,42-COUNTA(半紙!$B$11:$B$310)),IF(42&lt;=COUNTA(半紙!$B$11:$B$310)+COUNTA(条幅!$B$11:$B$310)+COUNTA(条幅4分の1!$B$11:$B$310),INDEX(条幅4分の1!$F$11:$F$310,42-COUNTA(半紙!$B$11:$B$310)-COUNTA(条幅!$B$11:$B$310)),""))))</f>
        <v/>
      </c>
      <c r="G47" s="38" t="str">
        <f>IF(IF(42&lt;=COUNTA(半紙!$B$11:$B$310),INDEX(半紙!$G$11:$G$310,42),IF(42&lt;=COUNTA(半紙!$B$11:$B$310)+COUNTA(条幅!$B$11:$B$310),INDEX(条幅!$G$11:$G$310,42-COUNTA(半紙!$B$11:$B$310)),IF(42&lt;=COUNTA(半紙!$B$11:$B$310)+COUNTA(条幅!$B$11:$B$310)+COUNTA(条幅4分の1!$B$11:$B$310),INDEX(条幅4分の1!$G$11:$G$310,42-COUNTA(半紙!$B$11:$B$310)-COUNTA(条幅!$B$11:$B$310)),"")))=0,"",IF(42&lt;=COUNTA(半紙!$B$11:$B$310),INDEX(半紙!$G$11:$G$310,42),IF(42&lt;=COUNTA(半紙!$B$11:$B$310)+COUNTA(条幅!$B$11:$B$310),INDEX(条幅!$G$11:$G$310,42-COUNTA(半紙!$B$11:$B$310)),IF(42&lt;=COUNTA(半紙!$B$11:$B$310)+COUNTA(条幅!$B$11:$B$310)+COUNTA(条幅4分の1!$B$11:$B$310),INDEX(条幅4分の1!$G$11:$G$310,42-COUNTA(半紙!$B$11:$B$310)-COUNTA(条幅!$B$11:$B$310)),""))))</f>
        <v/>
      </c>
      <c r="H47" s="38" t="str">
        <f>IF(IF(42&lt;=COUNTA(半紙!$B$11:$B$310),INDEX(半紙!$H$11:$H$310,42),IF(42&lt;=COUNTA(半紙!$B$11:$B$310)+COUNTA(条幅!$B$11:$B$310),INDEX(条幅!$H$11:$H$310,42-COUNTA(半紙!$B$11:$B$310)),IF(42&lt;=COUNTA(半紙!$B$11:$B$310)+COUNTA(条幅!$B$11:$B$310)+COUNTA(条幅4分の1!$B$11:$B$310),INDEX(条幅4分の1!$H$11:$H$310,42-COUNTA(半紙!$B$11:$B$310)-COUNTA(条幅!$B$11:$B$310)),"")))=0,"",IF(42&lt;=COUNTA(半紙!$B$11:$B$310),INDEX(半紙!$H$11:$H$310,42),IF(42&lt;=COUNTA(半紙!$B$11:$B$310)+COUNTA(条幅!$B$11:$B$310),INDEX(条幅!$H$11:$H$310,42-COUNTA(半紙!$B$11:$B$310)),IF(42&lt;=COUNTA(半紙!$B$11:$B$310)+COUNTA(条幅!$B$11:$B$310)+COUNTA(条幅4分の1!$B$11:$B$310),INDEX(条幅4分の1!$H$11:$H$310,42-COUNTA(半紙!$B$11:$B$310)-COUNTA(条幅!$B$11:$B$310)),""))))</f>
        <v/>
      </c>
      <c r="I47" s="38" t="str">
        <f>IF(IF(42&lt;=COUNTA(半紙!$B$11:$B$310),INDEX(半紙!$I$11:$I$310,42),IF(42&lt;=COUNTA(半紙!$B$11:$B$310)+COUNTA(条幅!$B$11:$B$310),INDEX(条幅!$I$11:$I$310,42-COUNTA(半紙!$B$11:$B$310)),IF(42&lt;=COUNTA(半紙!$B$11:$B$310)+COUNTA(条幅!$B$11:$B$310)+COUNTA(条幅4分の1!$B$11:$B$310),INDEX(条幅4分の1!$I$11:$I$310,42-COUNTA(半紙!$B$11:$B$310)-COUNTA(条幅!$B$11:$B$310)),"")))=0,"",IF(42&lt;=COUNTA(半紙!$B$11:$B$310),INDEX(半紙!$I$11:$I$310,42),IF(42&lt;=COUNTA(半紙!$B$11:$B$310)+COUNTA(条幅!$B$11:$B$310),INDEX(条幅!$I$11:$I$310,42-COUNTA(半紙!$B$11:$B$310)),IF(42&lt;=COUNTA(半紙!$B$11:$B$310)+COUNTA(条幅!$B$11:$B$310)+COUNTA(条幅4分の1!$B$11:$B$310),INDEX(条幅4分の1!$I$11:$I$310,42-COUNTA(半紙!$B$11:$B$310)-COUNTA(条幅!$B$11:$B$310)),""))))</f>
        <v/>
      </c>
      <c r="J47" s="38" t="str">
        <f>IF(IF(42&lt;=COUNTA(半紙!$B$11:$B$310),INDEX(半紙!$J$11:$J$310,42),IF(42&lt;=COUNTA(半紙!$B$11:$B$310)+COUNTA(条幅!$B$11:$B$310),INDEX(条幅!$J$11:$J$310,42-COUNTA(半紙!$B$11:$B$310)),IF(42&lt;=COUNTA(半紙!$B$11:$B$310)+COUNTA(条幅!$B$11:$B$310)+COUNTA(条幅4分の1!$B$11:$B$310),INDEX(条幅4分の1!$J$11:$J$310,42-COUNTA(半紙!$B$11:$B$310)-COUNTA(条幅!$B$11:$B$310)),"")))=0,"",IF(42&lt;=COUNTA(半紙!$B$11:$B$310),INDEX(半紙!$J$11:$J$310,42),IF(42&lt;=COUNTA(半紙!$B$11:$B$310)+COUNTA(条幅!$B$11:$B$310),INDEX(条幅!$J$11:$J$310,42-COUNTA(半紙!$B$11:$B$310)),IF(42&lt;=COUNTA(半紙!$B$11:$B$310)+COUNTA(条幅!$B$11:$B$310)+COUNTA(条幅4分の1!$B$11:$B$310),INDEX(条幅4分の1!$J$11:$J$310,42-COUNTA(半紙!$B$11:$B$310)-COUNTA(条幅!$B$11:$B$310)),""))))</f>
        <v/>
      </c>
      <c r="K47" s="38" t="str">
        <f>IF(IF(42&lt;=COUNTA(半紙!$B$11:$B$310),INDEX(半紙!$K$11:$K$310,42),IF(42&lt;=COUNTA(半紙!$B$11:$B$310)+COUNTA(条幅!$B$11:$B$310),INDEX(条幅!$K$11:$K$310,42-COUNTA(半紙!$B$11:$B$310)),IF(42&lt;=COUNTA(半紙!$B$11:$B$310)+COUNTA(条幅!$B$11:$B$310)+COUNTA(条幅4分の1!$B$11:$B$310),INDEX(条幅4分の1!$K$11:$K$310,42-COUNTA(半紙!$B$11:$B$310)-COUNTA(条幅!$B$11:$B$310)),"")))=0,"",IF(42&lt;=COUNTA(半紙!$B$11:$B$310),INDEX(半紙!$K$11:$K$310,42),IF(42&lt;=COUNTA(半紙!$B$11:$B$310)+COUNTA(条幅!$B$11:$B$310),INDEX(条幅!$K$11:$K$310,42-COUNTA(半紙!$B$11:$B$310)),IF(42&lt;=COUNTA(半紙!$B$11:$B$310)+COUNTA(条幅!$B$11:$B$310)+COUNTA(条幅4分の1!$B$11:$B$310),INDEX(条幅4分の1!$K$11:$K$310,42-COUNTA(半紙!$B$11:$B$310)-COUNTA(条幅!$B$11:$B$310)),""))))</f>
        <v/>
      </c>
      <c r="L47" s="48" t="str">
        <f>IF($B47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42))</f>
        <v/>
      </c>
    </row>
    <row r="48" spans="1:12" ht="15" customHeight="1">
      <c r="A48" s="37" t="str">
        <f>IF(43&lt;=COUNTA(半紙!$B$11:$B$310),"半紙",IF(43&lt;=COUNTA(半紙!$B$11:$B$310)+COUNTA(条幅!$B$11:$B$310),"条幅(半切)",IF(43&lt;=COUNTA(半紙!$B$11:$B$310)+COUNTA(条幅!$B$11:$B$310)+COUNTA(条幅4分の1!$B$11:$B$310),"条幅(1/4)","")))</f>
        <v/>
      </c>
      <c r="B48" s="38" t="str">
        <f>IF(IF(43&lt;=COUNTA(半紙!$B$11:$B$310),INDEX(半紙!$B$11:$B$310,43),IF(43&lt;=COUNTA(半紙!$B$11:$B$310)+COUNTA(条幅!$B$11:$B$310),INDEX(条幅!$B$11:$B$310,43-COUNTA(半紙!$B$11:$B$310)),IF(43&lt;=COUNTA(半紙!$B$11:$B$310)+COUNTA(条幅!$B$11:$B$310)+COUNTA(条幅4分の1!$B$11:$B$310),INDEX(条幅4分の1!$B$11:$B$310,43-COUNTA(半紙!$B$11:$B$310)-COUNTA(条幅!$B$11:$B$310)),"")))=0,"",IF(43&lt;=COUNTA(半紙!$B$11:$B$310),INDEX(半紙!$B$11:$B$310,43),IF(43&lt;=COUNTA(半紙!$B$11:$B$310)+COUNTA(条幅!$B$11:$B$310),INDEX(条幅!$B$11:$B$310,43-COUNTA(半紙!$B$11:$B$310)),IF(43&lt;=COUNTA(半紙!$B$11:$B$310)+COUNTA(条幅!$B$11:$B$310)+COUNTA(条幅4分の1!$B$11:$B$310),INDEX(条幅4分の1!$B$11:$B$310,43-COUNTA(半紙!$B$11:$B$310)-COUNTA(条幅!$B$11:$B$310)),""))))</f>
        <v/>
      </c>
      <c r="C48" s="38" t="str">
        <f>IF(IF(43&lt;=COUNTA(半紙!$B$11:$B$310),INDEX(半紙!$C$11:$C$310,43),IF(43&lt;=COUNTA(半紙!$B$11:$B$310)+COUNTA(条幅!$B$11:$B$310),INDEX(条幅!$C$11:$C$310,43-COUNTA(半紙!$B$11:$B$310)),IF(43&lt;=COUNTA(半紙!$B$11:$B$310)+COUNTA(条幅!$B$11:$B$310)+COUNTA(条幅4分の1!$B$11:$B$310),INDEX(条幅4分の1!$C$11:$C$310,43-COUNTA(半紙!$B$11:$B$310)-COUNTA(条幅!$B$11:$B$310)),"")))=0,"",IF(43&lt;=COUNTA(半紙!$B$11:$B$310),INDEX(半紙!$C$11:$C$310,43),IF(43&lt;=COUNTA(半紙!$B$11:$B$310)+COUNTA(条幅!$B$11:$B$310),INDEX(条幅!$C$11:$C$310,43-COUNTA(半紙!$B$11:$B$310)),IF(43&lt;=COUNTA(半紙!$B$11:$B$310)+COUNTA(条幅!$B$11:$B$310)+COUNTA(条幅4分の1!$B$11:$B$310),INDEX(条幅4分の1!$C$11:$C$310,43-COUNTA(半紙!$B$11:$B$310)-COUNTA(条幅!$B$11:$B$310)),""))))</f>
        <v/>
      </c>
      <c r="D48" s="38" t="str">
        <f>IF(IF(43&lt;=COUNTA(半紙!$B$11:$B$310),INDEX(半紙!$D$11:$D$310,43),IF(43&lt;=COUNTA(半紙!$B$11:$B$310)+COUNTA(条幅!$B$11:$B$310),INDEX(条幅!$D$11:$D$310,43-COUNTA(半紙!$B$11:$B$310)),IF(43&lt;=COUNTA(半紙!$B$11:$B$310)+COUNTA(条幅!$B$11:$B$310)+COUNTA(条幅4分の1!$B$11:$B$310),INDEX(条幅4分の1!$D$11:$D$310,43-COUNTA(半紙!$B$11:$B$310)-COUNTA(条幅!$B$11:$B$310)),"")))=0,"",IF(43&lt;=COUNTA(半紙!$B$11:$B$310),INDEX(半紙!$D$11:$D$310,43),IF(43&lt;=COUNTA(半紙!$B$11:$B$310)+COUNTA(条幅!$B$11:$B$310),INDEX(条幅!$D$11:$D$310,43-COUNTA(半紙!$B$11:$B$310)),IF(43&lt;=COUNTA(半紙!$B$11:$B$310)+COUNTA(条幅!$B$11:$B$310)+COUNTA(条幅4分の1!$B$11:$B$310),INDEX(条幅4分の1!$D$11:$D$310,43-COUNTA(半紙!$B$11:$B$310)-COUNTA(条幅!$B$11:$B$310)),""))))</f>
        <v/>
      </c>
      <c r="E48" s="38" t="str">
        <f>IF(IF(43&lt;=COUNTA(半紙!$B$11:$B$310),INDEX(半紙!$E$11:$E$310,43),IF(43&lt;=COUNTA(半紙!$B$11:$B$310)+COUNTA(条幅!$B$11:$B$310),INDEX(条幅!$E$11:$E$310,43-COUNTA(半紙!$B$11:$B$310)),IF(43&lt;=COUNTA(半紙!$B$11:$B$310)+COUNTA(条幅!$B$11:$B$310)+COUNTA(条幅4分の1!$B$11:$B$310),INDEX(条幅4分の1!$E$11:$E$310,43-COUNTA(半紙!$B$11:$B$310)-COUNTA(条幅!$B$11:$B$310)),"")))=0,"",IF(43&lt;=COUNTA(半紙!$B$11:$B$310),INDEX(半紙!$E$11:$E$310,43),IF(43&lt;=COUNTA(半紙!$B$11:$B$310)+COUNTA(条幅!$B$11:$B$310),INDEX(条幅!$E$11:$E$310,43-COUNTA(半紙!$B$11:$B$310)),IF(43&lt;=COUNTA(半紙!$B$11:$B$310)+COUNTA(条幅!$B$11:$B$310)+COUNTA(条幅4分の1!$B$11:$B$310),INDEX(条幅4分の1!$E$11:$E$310,43-COUNTA(半紙!$B$11:$B$310)-COUNTA(条幅!$B$11:$B$310)),""))))</f>
        <v/>
      </c>
      <c r="F48" s="38" t="str">
        <f>IF(IF(43&lt;=COUNTA(半紙!$B$11:$B$310),INDEX(半紙!$F$11:$F$310,43),IF(43&lt;=COUNTA(半紙!$B$11:$B$310)+COUNTA(条幅!$B$11:$B$310),INDEX(条幅!$F$11:$F$310,43-COUNTA(半紙!$B$11:$B$310)),IF(43&lt;=COUNTA(半紙!$B$11:$B$310)+COUNTA(条幅!$B$11:$B$310)+COUNTA(条幅4分の1!$B$11:$B$310),INDEX(条幅4分の1!$F$11:$F$310,43-COUNTA(半紙!$B$11:$B$310)-COUNTA(条幅!$B$11:$B$310)),"")))=0,"",IF(43&lt;=COUNTA(半紙!$B$11:$B$310),INDEX(半紙!$F$11:$F$310,43),IF(43&lt;=COUNTA(半紙!$B$11:$B$310)+COUNTA(条幅!$B$11:$B$310),INDEX(条幅!$F$11:$F$310,43-COUNTA(半紙!$B$11:$B$310)),IF(43&lt;=COUNTA(半紙!$B$11:$B$310)+COUNTA(条幅!$B$11:$B$310)+COUNTA(条幅4分の1!$B$11:$B$310),INDEX(条幅4分の1!$F$11:$F$310,43-COUNTA(半紙!$B$11:$B$310)-COUNTA(条幅!$B$11:$B$310)),""))))</f>
        <v/>
      </c>
      <c r="G48" s="38" t="str">
        <f>IF(IF(43&lt;=COUNTA(半紙!$B$11:$B$310),INDEX(半紙!$G$11:$G$310,43),IF(43&lt;=COUNTA(半紙!$B$11:$B$310)+COUNTA(条幅!$B$11:$B$310),INDEX(条幅!$G$11:$G$310,43-COUNTA(半紙!$B$11:$B$310)),IF(43&lt;=COUNTA(半紙!$B$11:$B$310)+COUNTA(条幅!$B$11:$B$310)+COUNTA(条幅4分の1!$B$11:$B$310),INDEX(条幅4分の1!$G$11:$G$310,43-COUNTA(半紙!$B$11:$B$310)-COUNTA(条幅!$B$11:$B$310)),"")))=0,"",IF(43&lt;=COUNTA(半紙!$B$11:$B$310),INDEX(半紙!$G$11:$G$310,43),IF(43&lt;=COUNTA(半紙!$B$11:$B$310)+COUNTA(条幅!$B$11:$B$310),INDEX(条幅!$G$11:$G$310,43-COUNTA(半紙!$B$11:$B$310)),IF(43&lt;=COUNTA(半紙!$B$11:$B$310)+COUNTA(条幅!$B$11:$B$310)+COUNTA(条幅4分の1!$B$11:$B$310),INDEX(条幅4分の1!$G$11:$G$310,43-COUNTA(半紙!$B$11:$B$310)-COUNTA(条幅!$B$11:$B$310)),""))))</f>
        <v/>
      </c>
      <c r="H48" s="38" t="str">
        <f>IF(IF(43&lt;=COUNTA(半紙!$B$11:$B$310),INDEX(半紙!$H$11:$H$310,43),IF(43&lt;=COUNTA(半紙!$B$11:$B$310)+COUNTA(条幅!$B$11:$B$310),INDEX(条幅!$H$11:$H$310,43-COUNTA(半紙!$B$11:$B$310)),IF(43&lt;=COUNTA(半紙!$B$11:$B$310)+COUNTA(条幅!$B$11:$B$310)+COUNTA(条幅4分の1!$B$11:$B$310),INDEX(条幅4分の1!$H$11:$H$310,43-COUNTA(半紙!$B$11:$B$310)-COUNTA(条幅!$B$11:$B$310)),"")))=0,"",IF(43&lt;=COUNTA(半紙!$B$11:$B$310),INDEX(半紙!$H$11:$H$310,43),IF(43&lt;=COUNTA(半紙!$B$11:$B$310)+COUNTA(条幅!$B$11:$B$310),INDEX(条幅!$H$11:$H$310,43-COUNTA(半紙!$B$11:$B$310)),IF(43&lt;=COUNTA(半紙!$B$11:$B$310)+COUNTA(条幅!$B$11:$B$310)+COUNTA(条幅4分の1!$B$11:$B$310),INDEX(条幅4分の1!$H$11:$H$310,43-COUNTA(半紙!$B$11:$B$310)-COUNTA(条幅!$B$11:$B$310)),""))))</f>
        <v/>
      </c>
      <c r="I48" s="38" t="str">
        <f>IF(IF(43&lt;=COUNTA(半紙!$B$11:$B$310),INDEX(半紙!$I$11:$I$310,43),IF(43&lt;=COUNTA(半紙!$B$11:$B$310)+COUNTA(条幅!$B$11:$B$310),INDEX(条幅!$I$11:$I$310,43-COUNTA(半紙!$B$11:$B$310)),IF(43&lt;=COUNTA(半紙!$B$11:$B$310)+COUNTA(条幅!$B$11:$B$310)+COUNTA(条幅4分の1!$B$11:$B$310),INDEX(条幅4分の1!$I$11:$I$310,43-COUNTA(半紙!$B$11:$B$310)-COUNTA(条幅!$B$11:$B$310)),"")))=0,"",IF(43&lt;=COUNTA(半紙!$B$11:$B$310),INDEX(半紙!$I$11:$I$310,43),IF(43&lt;=COUNTA(半紙!$B$11:$B$310)+COUNTA(条幅!$B$11:$B$310),INDEX(条幅!$I$11:$I$310,43-COUNTA(半紙!$B$11:$B$310)),IF(43&lt;=COUNTA(半紙!$B$11:$B$310)+COUNTA(条幅!$B$11:$B$310)+COUNTA(条幅4分の1!$B$11:$B$310),INDEX(条幅4分の1!$I$11:$I$310,43-COUNTA(半紙!$B$11:$B$310)-COUNTA(条幅!$B$11:$B$310)),""))))</f>
        <v/>
      </c>
      <c r="J48" s="38" t="str">
        <f>IF(IF(43&lt;=COUNTA(半紙!$B$11:$B$310),INDEX(半紙!$J$11:$J$310,43),IF(43&lt;=COUNTA(半紙!$B$11:$B$310)+COUNTA(条幅!$B$11:$B$310),INDEX(条幅!$J$11:$J$310,43-COUNTA(半紙!$B$11:$B$310)),IF(43&lt;=COUNTA(半紙!$B$11:$B$310)+COUNTA(条幅!$B$11:$B$310)+COUNTA(条幅4分の1!$B$11:$B$310),INDEX(条幅4分の1!$J$11:$J$310,43-COUNTA(半紙!$B$11:$B$310)-COUNTA(条幅!$B$11:$B$310)),"")))=0,"",IF(43&lt;=COUNTA(半紙!$B$11:$B$310),INDEX(半紙!$J$11:$J$310,43),IF(43&lt;=COUNTA(半紙!$B$11:$B$310)+COUNTA(条幅!$B$11:$B$310),INDEX(条幅!$J$11:$J$310,43-COUNTA(半紙!$B$11:$B$310)),IF(43&lt;=COUNTA(半紙!$B$11:$B$310)+COUNTA(条幅!$B$11:$B$310)+COUNTA(条幅4分の1!$B$11:$B$310),INDEX(条幅4分の1!$J$11:$J$310,43-COUNTA(半紙!$B$11:$B$310)-COUNTA(条幅!$B$11:$B$310)),""))))</f>
        <v/>
      </c>
      <c r="K48" s="38" t="str">
        <f>IF(IF(43&lt;=COUNTA(半紙!$B$11:$B$310),INDEX(半紙!$K$11:$K$310,43),IF(43&lt;=COUNTA(半紙!$B$11:$B$310)+COUNTA(条幅!$B$11:$B$310),INDEX(条幅!$K$11:$K$310,43-COUNTA(半紙!$B$11:$B$310)),IF(43&lt;=COUNTA(半紙!$B$11:$B$310)+COUNTA(条幅!$B$11:$B$310)+COUNTA(条幅4分の1!$B$11:$B$310),INDEX(条幅4分の1!$K$11:$K$310,43-COUNTA(半紙!$B$11:$B$310)-COUNTA(条幅!$B$11:$B$310)),"")))=0,"",IF(43&lt;=COUNTA(半紙!$B$11:$B$310),INDEX(半紙!$K$11:$K$310,43),IF(43&lt;=COUNTA(半紙!$B$11:$B$310)+COUNTA(条幅!$B$11:$B$310),INDEX(条幅!$K$11:$K$310,43-COUNTA(半紙!$B$11:$B$310)),IF(43&lt;=COUNTA(半紙!$B$11:$B$310)+COUNTA(条幅!$B$11:$B$310)+COUNTA(条幅4分の1!$B$11:$B$310),INDEX(条幅4分の1!$K$11:$K$310,43-COUNTA(半紙!$B$11:$B$310)-COUNTA(条幅!$B$11:$B$310)),""))))</f>
        <v/>
      </c>
      <c r="L48" s="48" t="str">
        <f>IF($B48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43))</f>
        <v/>
      </c>
    </row>
    <row r="49" spans="1:12" ht="15" customHeight="1">
      <c r="A49" s="37" t="str">
        <f>IF(44&lt;=COUNTA(半紙!$B$11:$B$310),"半紙",IF(44&lt;=COUNTA(半紙!$B$11:$B$310)+COUNTA(条幅!$B$11:$B$310),"条幅(半切)",IF(44&lt;=COUNTA(半紙!$B$11:$B$310)+COUNTA(条幅!$B$11:$B$310)+COUNTA(条幅4分の1!$B$11:$B$310),"条幅(1/4)","")))</f>
        <v/>
      </c>
      <c r="B49" s="38" t="str">
        <f>IF(IF(44&lt;=COUNTA(半紙!$B$11:$B$310),INDEX(半紙!$B$11:$B$310,44),IF(44&lt;=COUNTA(半紙!$B$11:$B$310)+COUNTA(条幅!$B$11:$B$310),INDEX(条幅!$B$11:$B$310,44-COUNTA(半紙!$B$11:$B$310)),IF(44&lt;=COUNTA(半紙!$B$11:$B$310)+COUNTA(条幅!$B$11:$B$310)+COUNTA(条幅4分の1!$B$11:$B$310),INDEX(条幅4分の1!$B$11:$B$310,44-COUNTA(半紙!$B$11:$B$310)-COUNTA(条幅!$B$11:$B$310)),"")))=0,"",IF(44&lt;=COUNTA(半紙!$B$11:$B$310),INDEX(半紙!$B$11:$B$310,44),IF(44&lt;=COUNTA(半紙!$B$11:$B$310)+COUNTA(条幅!$B$11:$B$310),INDEX(条幅!$B$11:$B$310,44-COUNTA(半紙!$B$11:$B$310)),IF(44&lt;=COUNTA(半紙!$B$11:$B$310)+COUNTA(条幅!$B$11:$B$310)+COUNTA(条幅4分の1!$B$11:$B$310),INDEX(条幅4分の1!$B$11:$B$310,44-COUNTA(半紙!$B$11:$B$310)-COUNTA(条幅!$B$11:$B$310)),""))))</f>
        <v/>
      </c>
      <c r="C49" s="38" t="str">
        <f>IF(IF(44&lt;=COUNTA(半紙!$B$11:$B$310),INDEX(半紙!$C$11:$C$310,44),IF(44&lt;=COUNTA(半紙!$B$11:$B$310)+COUNTA(条幅!$B$11:$B$310),INDEX(条幅!$C$11:$C$310,44-COUNTA(半紙!$B$11:$B$310)),IF(44&lt;=COUNTA(半紙!$B$11:$B$310)+COUNTA(条幅!$B$11:$B$310)+COUNTA(条幅4分の1!$B$11:$B$310),INDEX(条幅4分の1!$C$11:$C$310,44-COUNTA(半紙!$B$11:$B$310)-COUNTA(条幅!$B$11:$B$310)),"")))=0,"",IF(44&lt;=COUNTA(半紙!$B$11:$B$310),INDEX(半紙!$C$11:$C$310,44),IF(44&lt;=COUNTA(半紙!$B$11:$B$310)+COUNTA(条幅!$B$11:$B$310),INDEX(条幅!$C$11:$C$310,44-COUNTA(半紙!$B$11:$B$310)),IF(44&lt;=COUNTA(半紙!$B$11:$B$310)+COUNTA(条幅!$B$11:$B$310)+COUNTA(条幅4分の1!$B$11:$B$310),INDEX(条幅4分の1!$C$11:$C$310,44-COUNTA(半紙!$B$11:$B$310)-COUNTA(条幅!$B$11:$B$310)),""))))</f>
        <v/>
      </c>
      <c r="D49" s="38" t="str">
        <f>IF(IF(44&lt;=COUNTA(半紙!$B$11:$B$310),INDEX(半紙!$D$11:$D$310,44),IF(44&lt;=COUNTA(半紙!$B$11:$B$310)+COUNTA(条幅!$B$11:$B$310),INDEX(条幅!$D$11:$D$310,44-COUNTA(半紙!$B$11:$B$310)),IF(44&lt;=COUNTA(半紙!$B$11:$B$310)+COUNTA(条幅!$B$11:$B$310)+COUNTA(条幅4分の1!$B$11:$B$310),INDEX(条幅4分の1!$D$11:$D$310,44-COUNTA(半紙!$B$11:$B$310)-COUNTA(条幅!$B$11:$B$310)),"")))=0,"",IF(44&lt;=COUNTA(半紙!$B$11:$B$310),INDEX(半紙!$D$11:$D$310,44),IF(44&lt;=COUNTA(半紙!$B$11:$B$310)+COUNTA(条幅!$B$11:$B$310),INDEX(条幅!$D$11:$D$310,44-COUNTA(半紙!$B$11:$B$310)),IF(44&lt;=COUNTA(半紙!$B$11:$B$310)+COUNTA(条幅!$B$11:$B$310)+COUNTA(条幅4分の1!$B$11:$B$310),INDEX(条幅4分の1!$D$11:$D$310,44-COUNTA(半紙!$B$11:$B$310)-COUNTA(条幅!$B$11:$B$310)),""))))</f>
        <v/>
      </c>
      <c r="E49" s="38" t="str">
        <f>IF(IF(44&lt;=COUNTA(半紙!$B$11:$B$310),INDEX(半紙!$E$11:$E$310,44),IF(44&lt;=COUNTA(半紙!$B$11:$B$310)+COUNTA(条幅!$B$11:$B$310),INDEX(条幅!$E$11:$E$310,44-COUNTA(半紙!$B$11:$B$310)),IF(44&lt;=COUNTA(半紙!$B$11:$B$310)+COUNTA(条幅!$B$11:$B$310)+COUNTA(条幅4分の1!$B$11:$B$310),INDEX(条幅4分の1!$E$11:$E$310,44-COUNTA(半紙!$B$11:$B$310)-COUNTA(条幅!$B$11:$B$310)),"")))=0,"",IF(44&lt;=COUNTA(半紙!$B$11:$B$310),INDEX(半紙!$E$11:$E$310,44),IF(44&lt;=COUNTA(半紙!$B$11:$B$310)+COUNTA(条幅!$B$11:$B$310),INDEX(条幅!$E$11:$E$310,44-COUNTA(半紙!$B$11:$B$310)),IF(44&lt;=COUNTA(半紙!$B$11:$B$310)+COUNTA(条幅!$B$11:$B$310)+COUNTA(条幅4分の1!$B$11:$B$310),INDEX(条幅4分の1!$E$11:$E$310,44-COUNTA(半紙!$B$11:$B$310)-COUNTA(条幅!$B$11:$B$310)),""))))</f>
        <v/>
      </c>
      <c r="F49" s="38" t="str">
        <f>IF(IF(44&lt;=COUNTA(半紙!$B$11:$B$310),INDEX(半紙!$F$11:$F$310,44),IF(44&lt;=COUNTA(半紙!$B$11:$B$310)+COUNTA(条幅!$B$11:$B$310),INDEX(条幅!$F$11:$F$310,44-COUNTA(半紙!$B$11:$B$310)),IF(44&lt;=COUNTA(半紙!$B$11:$B$310)+COUNTA(条幅!$B$11:$B$310)+COUNTA(条幅4分の1!$B$11:$B$310),INDEX(条幅4分の1!$F$11:$F$310,44-COUNTA(半紙!$B$11:$B$310)-COUNTA(条幅!$B$11:$B$310)),"")))=0,"",IF(44&lt;=COUNTA(半紙!$B$11:$B$310),INDEX(半紙!$F$11:$F$310,44),IF(44&lt;=COUNTA(半紙!$B$11:$B$310)+COUNTA(条幅!$B$11:$B$310),INDEX(条幅!$F$11:$F$310,44-COUNTA(半紙!$B$11:$B$310)),IF(44&lt;=COUNTA(半紙!$B$11:$B$310)+COUNTA(条幅!$B$11:$B$310)+COUNTA(条幅4分の1!$B$11:$B$310),INDEX(条幅4分の1!$F$11:$F$310,44-COUNTA(半紙!$B$11:$B$310)-COUNTA(条幅!$B$11:$B$310)),""))))</f>
        <v/>
      </c>
      <c r="G49" s="38" t="str">
        <f>IF(IF(44&lt;=COUNTA(半紙!$B$11:$B$310),INDEX(半紙!$G$11:$G$310,44),IF(44&lt;=COUNTA(半紙!$B$11:$B$310)+COUNTA(条幅!$B$11:$B$310),INDEX(条幅!$G$11:$G$310,44-COUNTA(半紙!$B$11:$B$310)),IF(44&lt;=COUNTA(半紙!$B$11:$B$310)+COUNTA(条幅!$B$11:$B$310)+COUNTA(条幅4分の1!$B$11:$B$310),INDEX(条幅4分の1!$G$11:$G$310,44-COUNTA(半紙!$B$11:$B$310)-COUNTA(条幅!$B$11:$B$310)),"")))=0,"",IF(44&lt;=COUNTA(半紙!$B$11:$B$310),INDEX(半紙!$G$11:$G$310,44),IF(44&lt;=COUNTA(半紙!$B$11:$B$310)+COUNTA(条幅!$B$11:$B$310),INDEX(条幅!$G$11:$G$310,44-COUNTA(半紙!$B$11:$B$310)),IF(44&lt;=COUNTA(半紙!$B$11:$B$310)+COUNTA(条幅!$B$11:$B$310)+COUNTA(条幅4分の1!$B$11:$B$310),INDEX(条幅4分の1!$G$11:$G$310,44-COUNTA(半紙!$B$11:$B$310)-COUNTA(条幅!$B$11:$B$310)),""))))</f>
        <v/>
      </c>
      <c r="H49" s="38" t="str">
        <f>IF(IF(44&lt;=COUNTA(半紙!$B$11:$B$310),INDEX(半紙!$H$11:$H$310,44),IF(44&lt;=COUNTA(半紙!$B$11:$B$310)+COUNTA(条幅!$B$11:$B$310),INDEX(条幅!$H$11:$H$310,44-COUNTA(半紙!$B$11:$B$310)),IF(44&lt;=COUNTA(半紙!$B$11:$B$310)+COUNTA(条幅!$B$11:$B$310)+COUNTA(条幅4分の1!$B$11:$B$310),INDEX(条幅4分の1!$H$11:$H$310,44-COUNTA(半紙!$B$11:$B$310)-COUNTA(条幅!$B$11:$B$310)),"")))=0,"",IF(44&lt;=COUNTA(半紙!$B$11:$B$310),INDEX(半紙!$H$11:$H$310,44),IF(44&lt;=COUNTA(半紙!$B$11:$B$310)+COUNTA(条幅!$B$11:$B$310),INDEX(条幅!$H$11:$H$310,44-COUNTA(半紙!$B$11:$B$310)),IF(44&lt;=COUNTA(半紙!$B$11:$B$310)+COUNTA(条幅!$B$11:$B$310)+COUNTA(条幅4分の1!$B$11:$B$310),INDEX(条幅4分の1!$H$11:$H$310,44-COUNTA(半紙!$B$11:$B$310)-COUNTA(条幅!$B$11:$B$310)),""))))</f>
        <v/>
      </c>
      <c r="I49" s="38" t="str">
        <f>IF(IF(44&lt;=COUNTA(半紙!$B$11:$B$310),INDEX(半紙!$I$11:$I$310,44),IF(44&lt;=COUNTA(半紙!$B$11:$B$310)+COUNTA(条幅!$B$11:$B$310),INDEX(条幅!$I$11:$I$310,44-COUNTA(半紙!$B$11:$B$310)),IF(44&lt;=COUNTA(半紙!$B$11:$B$310)+COUNTA(条幅!$B$11:$B$310)+COUNTA(条幅4分の1!$B$11:$B$310),INDEX(条幅4分の1!$I$11:$I$310,44-COUNTA(半紙!$B$11:$B$310)-COUNTA(条幅!$B$11:$B$310)),"")))=0,"",IF(44&lt;=COUNTA(半紙!$B$11:$B$310),INDEX(半紙!$I$11:$I$310,44),IF(44&lt;=COUNTA(半紙!$B$11:$B$310)+COUNTA(条幅!$B$11:$B$310),INDEX(条幅!$I$11:$I$310,44-COUNTA(半紙!$B$11:$B$310)),IF(44&lt;=COUNTA(半紙!$B$11:$B$310)+COUNTA(条幅!$B$11:$B$310)+COUNTA(条幅4分の1!$B$11:$B$310),INDEX(条幅4分の1!$I$11:$I$310,44-COUNTA(半紙!$B$11:$B$310)-COUNTA(条幅!$B$11:$B$310)),""))))</f>
        <v/>
      </c>
      <c r="J49" s="38" t="str">
        <f>IF(IF(44&lt;=COUNTA(半紙!$B$11:$B$310),INDEX(半紙!$J$11:$J$310,44),IF(44&lt;=COUNTA(半紙!$B$11:$B$310)+COUNTA(条幅!$B$11:$B$310),INDEX(条幅!$J$11:$J$310,44-COUNTA(半紙!$B$11:$B$310)),IF(44&lt;=COUNTA(半紙!$B$11:$B$310)+COUNTA(条幅!$B$11:$B$310)+COUNTA(条幅4分の1!$B$11:$B$310),INDEX(条幅4分の1!$J$11:$J$310,44-COUNTA(半紙!$B$11:$B$310)-COUNTA(条幅!$B$11:$B$310)),"")))=0,"",IF(44&lt;=COUNTA(半紙!$B$11:$B$310),INDEX(半紙!$J$11:$J$310,44),IF(44&lt;=COUNTA(半紙!$B$11:$B$310)+COUNTA(条幅!$B$11:$B$310),INDEX(条幅!$J$11:$J$310,44-COUNTA(半紙!$B$11:$B$310)),IF(44&lt;=COUNTA(半紙!$B$11:$B$310)+COUNTA(条幅!$B$11:$B$310)+COUNTA(条幅4分の1!$B$11:$B$310),INDEX(条幅4分の1!$J$11:$J$310,44-COUNTA(半紙!$B$11:$B$310)-COUNTA(条幅!$B$11:$B$310)),""))))</f>
        <v/>
      </c>
      <c r="K49" s="38" t="str">
        <f>IF(IF(44&lt;=COUNTA(半紙!$B$11:$B$310),INDEX(半紙!$K$11:$K$310,44),IF(44&lt;=COUNTA(半紙!$B$11:$B$310)+COUNTA(条幅!$B$11:$B$310),INDEX(条幅!$K$11:$K$310,44-COUNTA(半紙!$B$11:$B$310)),IF(44&lt;=COUNTA(半紙!$B$11:$B$310)+COUNTA(条幅!$B$11:$B$310)+COUNTA(条幅4分の1!$B$11:$B$310),INDEX(条幅4分の1!$K$11:$K$310,44-COUNTA(半紙!$B$11:$B$310)-COUNTA(条幅!$B$11:$B$310)),"")))=0,"",IF(44&lt;=COUNTA(半紙!$B$11:$B$310),INDEX(半紙!$K$11:$K$310,44),IF(44&lt;=COUNTA(半紙!$B$11:$B$310)+COUNTA(条幅!$B$11:$B$310),INDEX(条幅!$K$11:$K$310,44-COUNTA(半紙!$B$11:$B$310)),IF(44&lt;=COUNTA(半紙!$B$11:$B$310)+COUNTA(条幅!$B$11:$B$310)+COUNTA(条幅4分の1!$B$11:$B$310),INDEX(条幅4分の1!$K$11:$K$310,44-COUNTA(半紙!$B$11:$B$310)-COUNTA(条幅!$B$11:$B$310)),""))))</f>
        <v/>
      </c>
      <c r="L49" s="48" t="str">
        <f>IF($B49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44))</f>
        <v/>
      </c>
    </row>
    <row r="50" spans="1:12" ht="15" customHeight="1">
      <c r="A50" s="37" t="str">
        <f>IF(45&lt;=COUNTA(半紙!$B$11:$B$310),"半紙",IF(45&lt;=COUNTA(半紙!$B$11:$B$310)+COUNTA(条幅!$B$11:$B$310),"条幅(半切)",IF(45&lt;=COUNTA(半紙!$B$11:$B$310)+COUNTA(条幅!$B$11:$B$310)+COUNTA(条幅4分の1!$B$11:$B$310),"条幅(1/4)","")))</f>
        <v/>
      </c>
      <c r="B50" s="38" t="str">
        <f>IF(IF(45&lt;=COUNTA(半紙!$B$11:$B$310),INDEX(半紙!$B$11:$B$310,45),IF(45&lt;=COUNTA(半紙!$B$11:$B$310)+COUNTA(条幅!$B$11:$B$310),INDEX(条幅!$B$11:$B$310,45-COUNTA(半紙!$B$11:$B$310)),IF(45&lt;=COUNTA(半紙!$B$11:$B$310)+COUNTA(条幅!$B$11:$B$310)+COUNTA(条幅4分の1!$B$11:$B$310),INDEX(条幅4分の1!$B$11:$B$310,45-COUNTA(半紙!$B$11:$B$310)-COUNTA(条幅!$B$11:$B$310)),"")))=0,"",IF(45&lt;=COUNTA(半紙!$B$11:$B$310),INDEX(半紙!$B$11:$B$310,45),IF(45&lt;=COUNTA(半紙!$B$11:$B$310)+COUNTA(条幅!$B$11:$B$310),INDEX(条幅!$B$11:$B$310,45-COUNTA(半紙!$B$11:$B$310)),IF(45&lt;=COUNTA(半紙!$B$11:$B$310)+COUNTA(条幅!$B$11:$B$310)+COUNTA(条幅4分の1!$B$11:$B$310),INDEX(条幅4分の1!$B$11:$B$310,45-COUNTA(半紙!$B$11:$B$310)-COUNTA(条幅!$B$11:$B$310)),""))))</f>
        <v/>
      </c>
      <c r="C50" s="38" t="str">
        <f>IF(IF(45&lt;=COUNTA(半紙!$B$11:$B$310),INDEX(半紙!$C$11:$C$310,45),IF(45&lt;=COUNTA(半紙!$B$11:$B$310)+COUNTA(条幅!$B$11:$B$310),INDEX(条幅!$C$11:$C$310,45-COUNTA(半紙!$B$11:$B$310)),IF(45&lt;=COUNTA(半紙!$B$11:$B$310)+COUNTA(条幅!$B$11:$B$310)+COUNTA(条幅4分の1!$B$11:$B$310),INDEX(条幅4分の1!$C$11:$C$310,45-COUNTA(半紙!$B$11:$B$310)-COUNTA(条幅!$B$11:$B$310)),"")))=0,"",IF(45&lt;=COUNTA(半紙!$B$11:$B$310),INDEX(半紙!$C$11:$C$310,45),IF(45&lt;=COUNTA(半紙!$B$11:$B$310)+COUNTA(条幅!$B$11:$B$310),INDEX(条幅!$C$11:$C$310,45-COUNTA(半紙!$B$11:$B$310)),IF(45&lt;=COUNTA(半紙!$B$11:$B$310)+COUNTA(条幅!$B$11:$B$310)+COUNTA(条幅4分の1!$B$11:$B$310),INDEX(条幅4分の1!$C$11:$C$310,45-COUNTA(半紙!$B$11:$B$310)-COUNTA(条幅!$B$11:$B$310)),""))))</f>
        <v/>
      </c>
      <c r="D50" s="38" t="str">
        <f>IF(IF(45&lt;=COUNTA(半紙!$B$11:$B$310),INDEX(半紙!$D$11:$D$310,45),IF(45&lt;=COUNTA(半紙!$B$11:$B$310)+COUNTA(条幅!$B$11:$B$310),INDEX(条幅!$D$11:$D$310,45-COUNTA(半紙!$B$11:$B$310)),IF(45&lt;=COUNTA(半紙!$B$11:$B$310)+COUNTA(条幅!$B$11:$B$310)+COUNTA(条幅4分の1!$B$11:$B$310),INDEX(条幅4分の1!$D$11:$D$310,45-COUNTA(半紙!$B$11:$B$310)-COUNTA(条幅!$B$11:$B$310)),"")))=0,"",IF(45&lt;=COUNTA(半紙!$B$11:$B$310),INDEX(半紙!$D$11:$D$310,45),IF(45&lt;=COUNTA(半紙!$B$11:$B$310)+COUNTA(条幅!$B$11:$B$310),INDEX(条幅!$D$11:$D$310,45-COUNTA(半紙!$B$11:$B$310)),IF(45&lt;=COUNTA(半紙!$B$11:$B$310)+COUNTA(条幅!$B$11:$B$310)+COUNTA(条幅4分の1!$B$11:$B$310),INDEX(条幅4分の1!$D$11:$D$310,45-COUNTA(半紙!$B$11:$B$310)-COUNTA(条幅!$B$11:$B$310)),""))))</f>
        <v/>
      </c>
      <c r="E50" s="38" t="str">
        <f>IF(IF(45&lt;=COUNTA(半紙!$B$11:$B$310),INDEX(半紙!$E$11:$E$310,45),IF(45&lt;=COUNTA(半紙!$B$11:$B$310)+COUNTA(条幅!$B$11:$B$310),INDEX(条幅!$E$11:$E$310,45-COUNTA(半紙!$B$11:$B$310)),IF(45&lt;=COUNTA(半紙!$B$11:$B$310)+COUNTA(条幅!$B$11:$B$310)+COUNTA(条幅4分の1!$B$11:$B$310),INDEX(条幅4分の1!$E$11:$E$310,45-COUNTA(半紙!$B$11:$B$310)-COUNTA(条幅!$B$11:$B$310)),"")))=0,"",IF(45&lt;=COUNTA(半紙!$B$11:$B$310),INDEX(半紙!$E$11:$E$310,45),IF(45&lt;=COUNTA(半紙!$B$11:$B$310)+COUNTA(条幅!$B$11:$B$310),INDEX(条幅!$E$11:$E$310,45-COUNTA(半紙!$B$11:$B$310)),IF(45&lt;=COUNTA(半紙!$B$11:$B$310)+COUNTA(条幅!$B$11:$B$310)+COUNTA(条幅4分の1!$B$11:$B$310),INDEX(条幅4分の1!$E$11:$E$310,45-COUNTA(半紙!$B$11:$B$310)-COUNTA(条幅!$B$11:$B$310)),""))))</f>
        <v/>
      </c>
      <c r="F50" s="38" t="str">
        <f>IF(IF(45&lt;=COUNTA(半紙!$B$11:$B$310),INDEX(半紙!$F$11:$F$310,45),IF(45&lt;=COUNTA(半紙!$B$11:$B$310)+COUNTA(条幅!$B$11:$B$310),INDEX(条幅!$F$11:$F$310,45-COUNTA(半紙!$B$11:$B$310)),IF(45&lt;=COUNTA(半紙!$B$11:$B$310)+COUNTA(条幅!$B$11:$B$310)+COUNTA(条幅4分の1!$B$11:$B$310),INDEX(条幅4分の1!$F$11:$F$310,45-COUNTA(半紙!$B$11:$B$310)-COUNTA(条幅!$B$11:$B$310)),"")))=0,"",IF(45&lt;=COUNTA(半紙!$B$11:$B$310),INDEX(半紙!$F$11:$F$310,45),IF(45&lt;=COUNTA(半紙!$B$11:$B$310)+COUNTA(条幅!$B$11:$B$310),INDEX(条幅!$F$11:$F$310,45-COUNTA(半紙!$B$11:$B$310)),IF(45&lt;=COUNTA(半紙!$B$11:$B$310)+COUNTA(条幅!$B$11:$B$310)+COUNTA(条幅4分の1!$B$11:$B$310),INDEX(条幅4分の1!$F$11:$F$310,45-COUNTA(半紙!$B$11:$B$310)-COUNTA(条幅!$B$11:$B$310)),""))))</f>
        <v/>
      </c>
      <c r="G50" s="38" t="str">
        <f>IF(IF(45&lt;=COUNTA(半紙!$B$11:$B$310),INDEX(半紙!$G$11:$G$310,45),IF(45&lt;=COUNTA(半紙!$B$11:$B$310)+COUNTA(条幅!$B$11:$B$310),INDEX(条幅!$G$11:$G$310,45-COUNTA(半紙!$B$11:$B$310)),IF(45&lt;=COUNTA(半紙!$B$11:$B$310)+COUNTA(条幅!$B$11:$B$310)+COUNTA(条幅4分の1!$B$11:$B$310),INDEX(条幅4分の1!$G$11:$G$310,45-COUNTA(半紙!$B$11:$B$310)-COUNTA(条幅!$B$11:$B$310)),"")))=0,"",IF(45&lt;=COUNTA(半紙!$B$11:$B$310),INDEX(半紙!$G$11:$G$310,45),IF(45&lt;=COUNTA(半紙!$B$11:$B$310)+COUNTA(条幅!$B$11:$B$310),INDEX(条幅!$G$11:$G$310,45-COUNTA(半紙!$B$11:$B$310)),IF(45&lt;=COUNTA(半紙!$B$11:$B$310)+COUNTA(条幅!$B$11:$B$310)+COUNTA(条幅4分の1!$B$11:$B$310),INDEX(条幅4分の1!$G$11:$G$310,45-COUNTA(半紙!$B$11:$B$310)-COUNTA(条幅!$B$11:$B$310)),""))))</f>
        <v/>
      </c>
      <c r="H50" s="38" t="str">
        <f>IF(IF(45&lt;=COUNTA(半紙!$B$11:$B$310),INDEX(半紙!$H$11:$H$310,45),IF(45&lt;=COUNTA(半紙!$B$11:$B$310)+COUNTA(条幅!$B$11:$B$310),INDEX(条幅!$H$11:$H$310,45-COUNTA(半紙!$B$11:$B$310)),IF(45&lt;=COUNTA(半紙!$B$11:$B$310)+COUNTA(条幅!$B$11:$B$310)+COUNTA(条幅4分の1!$B$11:$B$310),INDEX(条幅4分の1!$H$11:$H$310,45-COUNTA(半紙!$B$11:$B$310)-COUNTA(条幅!$B$11:$B$310)),"")))=0,"",IF(45&lt;=COUNTA(半紙!$B$11:$B$310),INDEX(半紙!$H$11:$H$310,45),IF(45&lt;=COUNTA(半紙!$B$11:$B$310)+COUNTA(条幅!$B$11:$B$310),INDEX(条幅!$H$11:$H$310,45-COUNTA(半紙!$B$11:$B$310)),IF(45&lt;=COUNTA(半紙!$B$11:$B$310)+COUNTA(条幅!$B$11:$B$310)+COUNTA(条幅4分の1!$B$11:$B$310),INDEX(条幅4分の1!$H$11:$H$310,45-COUNTA(半紙!$B$11:$B$310)-COUNTA(条幅!$B$11:$B$310)),""))))</f>
        <v/>
      </c>
      <c r="I50" s="38" t="str">
        <f>IF(IF(45&lt;=COUNTA(半紙!$B$11:$B$310),INDEX(半紙!$I$11:$I$310,45),IF(45&lt;=COUNTA(半紙!$B$11:$B$310)+COUNTA(条幅!$B$11:$B$310),INDEX(条幅!$I$11:$I$310,45-COUNTA(半紙!$B$11:$B$310)),IF(45&lt;=COUNTA(半紙!$B$11:$B$310)+COUNTA(条幅!$B$11:$B$310)+COUNTA(条幅4分の1!$B$11:$B$310),INDEX(条幅4分の1!$I$11:$I$310,45-COUNTA(半紙!$B$11:$B$310)-COUNTA(条幅!$B$11:$B$310)),"")))=0,"",IF(45&lt;=COUNTA(半紙!$B$11:$B$310),INDEX(半紙!$I$11:$I$310,45),IF(45&lt;=COUNTA(半紙!$B$11:$B$310)+COUNTA(条幅!$B$11:$B$310),INDEX(条幅!$I$11:$I$310,45-COUNTA(半紙!$B$11:$B$310)),IF(45&lt;=COUNTA(半紙!$B$11:$B$310)+COUNTA(条幅!$B$11:$B$310)+COUNTA(条幅4分の1!$B$11:$B$310),INDEX(条幅4分の1!$I$11:$I$310,45-COUNTA(半紙!$B$11:$B$310)-COUNTA(条幅!$B$11:$B$310)),""))))</f>
        <v/>
      </c>
      <c r="J50" s="38" t="str">
        <f>IF(IF(45&lt;=COUNTA(半紙!$B$11:$B$310),INDEX(半紙!$J$11:$J$310,45),IF(45&lt;=COUNTA(半紙!$B$11:$B$310)+COUNTA(条幅!$B$11:$B$310),INDEX(条幅!$J$11:$J$310,45-COUNTA(半紙!$B$11:$B$310)),IF(45&lt;=COUNTA(半紙!$B$11:$B$310)+COUNTA(条幅!$B$11:$B$310)+COUNTA(条幅4分の1!$B$11:$B$310),INDEX(条幅4分の1!$J$11:$J$310,45-COUNTA(半紙!$B$11:$B$310)-COUNTA(条幅!$B$11:$B$310)),"")))=0,"",IF(45&lt;=COUNTA(半紙!$B$11:$B$310),INDEX(半紙!$J$11:$J$310,45),IF(45&lt;=COUNTA(半紙!$B$11:$B$310)+COUNTA(条幅!$B$11:$B$310),INDEX(条幅!$J$11:$J$310,45-COUNTA(半紙!$B$11:$B$310)),IF(45&lt;=COUNTA(半紙!$B$11:$B$310)+COUNTA(条幅!$B$11:$B$310)+COUNTA(条幅4分の1!$B$11:$B$310),INDEX(条幅4分の1!$J$11:$J$310,45-COUNTA(半紙!$B$11:$B$310)-COUNTA(条幅!$B$11:$B$310)),""))))</f>
        <v/>
      </c>
      <c r="K50" s="38" t="str">
        <f>IF(IF(45&lt;=COUNTA(半紙!$B$11:$B$310),INDEX(半紙!$K$11:$K$310,45),IF(45&lt;=COUNTA(半紙!$B$11:$B$310)+COUNTA(条幅!$B$11:$B$310),INDEX(条幅!$K$11:$K$310,45-COUNTA(半紙!$B$11:$B$310)),IF(45&lt;=COUNTA(半紙!$B$11:$B$310)+COUNTA(条幅!$B$11:$B$310)+COUNTA(条幅4分の1!$B$11:$B$310),INDEX(条幅4分の1!$K$11:$K$310,45-COUNTA(半紙!$B$11:$B$310)-COUNTA(条幅!$B$11:$B$310)),"")))=0,"",IF(45&lt;=COUNTA(半紙!$B$11:$B$310),INDEX(半紙!$K$11:$K$310,45),IF(45&lt;=COUNTA(半紙!$B$11:$B$310)+COUNTA(条幅!$B$11:$B$310),INDEX(条幅!$K$11:$K$310,45-COUNTA(半紙!$B$11:$B$310)),IF(45&lt;=COUNTA(半紙!$B$11:$B$310)+COUNTA(条幅!$B$11:$B$310)+COUNTA(条幅4分の1!$B$11:$B$310),INDEX(条幅4分の1!$K$11:$K$310,45-COUNTA(半紙!$B$11:$B$310)-COUNTA(条幅!$B$11:$B$310)),""))))</f>
        <v/>
      </c>
      <c r="L50" s="48" t="str">
        <f>IF($B50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45))</f>
        <v/>
      </c>
    </row>
    <row r="51" spans="1:12" ht="15" customHeight="1">
      <c r="A51" s="37" t="str">
        <f>IF(46&lt;=COUNTA(半紙!$B$11:$B$310),"半紙",IF(46&lt;=COUNTA(半紙!$B$11:$B$310)+COUNTA(条幅!$B$11:$B$310),"条幅(半切)",IF(46&lt;=COUNTA(半紙!$B$11:$B$310)+COUNTA(条幅!$B$11:$B$310)+COUNTA(条幅4分の1!$B$11:$B$310),"条幅(1/4)","")))</f>
        <v/>
      </c>
      <c r="B51" s="38" t="str">
        <f>IF(IF(46&lt;=COUNTA(半紙!$B$11:$B$310),INDEX(半紙!$B$11:$B$310,46),IF(46&lt;=COUNTA(半紙!$B$11:$B$310)+COUNTA(条幅!$B$11:$B$310),INDEX(条幅!$B$11:$B$310,46-COUNTA(半紙!$B$11:$B$310)),IF(46&lt;=COUNTA(半紙!$B$11:$B$310)+COUNTA(条幅!$B$11:$B$310)+COUNTA(条幅4分の1!$B$11:$B$310),INDEX(条幅4分の1!$B$11:$B$310,46-COUNTA(半紙!$B$11:$B$310)-COUNTA(条幅!$B$11:$B$310)),"")))=0,"",IF(46&lt;=COUNTA(半紙!$B$11:$B$310),INDEX(半紙!$B$11:$B$310,46),IF(46&lt;=COUNTA(半紙!$B$11:$B$310)+COUNTA(条幅!$B$11:$B$310),INDEX(条幅!$B$11:$B$310,46-COUNTA(半紙!$B$11:$B$310)),IF(46&lt;=COUNTA(半紙!$B$11:$B$310)+COUNTA(条幅!$B$11:$B$310)+COUNTA(条幅4分の1!$B$11:$B$310),INDEX(条幅4分の1!$B$11:$B$310,46-COUNTA(半紙!$B$11:$B$310)-COUNTA(条幅!$B$11:$B$310)),""))))</f>
        <v/>
      </c>
      <c r="C51" s="38" t="str">
        <f>IF(IF(46&lt;=COUNTA(半紙!$B$11:$B$310),INDEX(半紙!$C$11:$C$310,46),IF(46&lt;=COUNTA(半紙!$B$11:$B$310)+COUNTA(条幅!$B$11:$B$310),INDEX(条幅!$C$11:$C$310,46-COUNTA(半紙!$B$11:$B$310)),IF(46&lt;=COUNTA(半紙!$B$11:$B$310)+COUNTA(条幅!$B$11:$B$310)+COUNTA(条幅4分の1!$B$11:$B$310),INDEX(条幅4分の1!$C$11:$C$310,46-COUNTA(半紙!$B$11:$B$310)-COUNTA(条幅!$B$11:$B$310)),"")))=0,"",IF(46&lt;=COUNTA(半紙!$B$11:$B$310),INDEX(半紙!$C$11:$C$310,46),IF(46&lt;=COUNTA(半紙!$B$11:$B$310)+COUNTA(条幅!$B$11:$B$310),INDEX(条幅!$C$11:$C$310,46-COUNTA(半紙!$B$11:$B$310)),IF(46&lt;=COUNTA(半紙!$B$11:$B$310)+COUNTA(条幅!$B$11:$B$310)+COUNTA(条幅4分の1!$B$11:$B$310),INDEX(条幅4分の1!$C$11:$C$310,46-COUNTA(半紙!$B$11:$B$310)-COUNTA(条幅!$B$11:$B$310)),""))))</f>
        <v/>
      </c>
      <c r="D51" s="38" t="str">
        <f>IF(IF(46&lt;=COUNTA(半紙!$B$11:$B$310),INDEX(半紙!$D$11:$D$310,46),IF(46&lt;=COUNTA(半紙!$B$11:$B$310)+COUNTA(条幅!$B$11:$B$310),INDEX(条幅!$D$11:$D$310,46-COUNTA(半紙!$B$11:$B$310)),IF(46&lt;=COUNTA(半紙!$B$11:$B$310)+COUNTA(条幅!$B$11:$B$310)+COUNTA(条幅4分の1!$B$11:$B$310),INDEX(条幅4分の1!$D$11:$D$310,46-COUNTA(半紙!$B$11:$B$310)-COUNTA(条幅!$B$11:$B$310)),"")))=0,"",IF(46&lt;=COUNTA(半紙!$B$11:$B$310),INDEX(半紙!$D$11:$D$310,46),IF(46&lt;=COUNTA(半紙!$B$11:$B$310)+COUNTA(条幅!$B$11:$B$310),INDEX(条幅!$D$11:$D$310,46-COUNTA(半紙!$B$11:$B$310)),IF(46&lt;=COUNTA(半紙!$B$11:$B$310)+COUNTA(条幅!$B$11:$B$310)+COUNTA(条幅4分の1!$B$11:$B$310),INDEX(条幅4分の1!$D$11:$D$310,46-COUNTA(半紙!$B$11:$B$310)-COUNTA(条幅!$B$11:$B$310)),""))))</f>
        <v/>
      </c>
      <c r="E51" s="38" t="str">
        <f>IF(IF(46&lt;=COUNTA(半紙!$B$11:$B$310),INDEX(半紙!$E$11:$E$310,46),IF(46&lt;=COUNTA(半紙!$B$11:$B$310)+COUNTA(条幅!$B$11:$B$310),INDEX(条幅!$E$11:$E$310,46-COUNTA(半紙!$B$11:$B$310)),IF(46&lt;=COUNTA(半紙!$B$11:$B$310)+COUNTA(条幅!$B$11:$B$310)+COUNTA(条幅4分の1!$B$11:$B$310),INDEX(条幅4分の1!$E$11:$E$310,46-COUNTA(半紙!$B$11:$B$310)-COUNTA(条幅!$B$11:$B$310)),"")))=0,"",IF(46&lt;=COUNTA(半紙!$B$11:$B$310),INDEX(半紙!$E$11:$E$310,46),IF(46&lt;=COUNTA(半紙!$B$11:$B$310)+COUNTA(条幅!$B$11:$B$310),INDEX(条幅!$E$11:$E$310,46-COUNTA(半紙!$B$11:$B$310)),IF(46&lt;=COUNTA(半紙!$B$11:$B$310)+COUNTA(条幅!$B$11:$B$310)+COUNTA(条幅4分の1!$B$11:$B$310),INDEX(条幅4分の1!$E$11:$E$310,46-COUNTA(半紙!$B$11:$B$310)-COUNTA(条幅!$B$11:$B$310)),""))))</f>
        <v/>
      </c>
      <c r="F51" s="38" t="str">
        <f>IF(IF(46&lt;=COUNTA(半紙!$B$11:$B$310),INDEX(半紙!$F$11:$F$310,46),IF(46&lt;=COUNTA(半紙!$B$11:$B$310)+COUNTA(条幅!$B$11:$B$310),INDEX(条幅!$F$11:$F$310,46-COUNTA(半紙!$B$11:$B$310)),IF(46&lt;=COUNTA(半紙!$B$11:$B$310)+COUNTA(条幅!$B$11:$B$310)+COUNTA(条幅4分の1!$B$11:$B$310),INDEX(条幅4分の1!$F$11:$F$310,46-COUNTA(半紙!$B$11:$B$310)-COUNTA(条幅!$B$11:$B$310)),"")))=0,"",IF(46&lt;=COUNTA(半紙!$B$11:$B$310),INDEX(半紙!$F$11:$F$310,46),IF(46&lt;=COUNTA(半紙!$B$11:$B$310)+COUNTA(条幅!$B$11:$B$310),INDEX(条幅!$F$11:$F$310,46-COUNTA(半紙!$B$11:$B$310)),IF(46&lt;=COUNTA(半紙!$B$11:$B$310)+COUNTA(条幅!$B$11:$B$310)+COUNTA(条幅4分の1!$B$11:$B$310),INDEX(条幅4分の1!$F$11:$F$310,46-COUNTA(半紙!$B$11:$B$310)-COUNTA(条幅!$B$11:$B$310)),""))))</f>
        <v/>
      </c>
      <c r="G51" s="38" t="str">
        <f>IF(IF(46&lt;=COUNTA(半紙!$B$11:$B$310),INDEX(半紙!$G$11:$G$310,46),IF(46&lt;=COUNTA(半紙!$B$11:$B$310)+COUNTA(条幅!$B$11:$B$310),INDEX(条幅!$G$11:$G$310,46-COUNTA(半紙!$B$11:$B$310)),IF(46&lt;=COUNTA(半紙!$B$11:$B$310)+COUNTA(条幅!$B$11:$B$310)+COUNTA(条幅4分の1!$B$11:$B$310),INDEX(条幅4分の1!$G$11:$G$310,46-COUNTA(半紙!$B$11:$B$310)-COUNTA(条幅!$B$11:$B$310)),"")))=0,"",IF(46&lt;=COUNTA(半紙!$B$11:$B$310),INDEX(半紙!$G$11:$G$310,46),IF(46&lt;=COUNTA(半紙!$B$11:$B$310)+COUNTA(条幅!$B$11:$B$310),INDEX(条幅!$G$11:$G$310,46-COUNTA(半紙!$B$11:$B$310)),IF(46&lt;=COUNTA(半紙!$B$11:$B$310)+COUNTA(条幅!$B$11:$B$310)+COUNTA(条幅4分の1!$B$11:$B$310),INDEX(条幅4分の1!$G$11:$G$310,46-COUNTA(半紙!$B$11:$B$310)-COUNTA(条幅!$B$11:$B$310)),""))))</f>
        <v/>
      </c>
      <c r="H51" s="38" t="str">
        <f>IF(IF(46&lt;=COUNTA(半紙!$B$11:$B$310),INDEX(半紙!$H$11:$H$310,46),IF(46&lt;=COUNTA(半紙!$B$11:$B$310)+COUNTA(条幅!$B$11:$B$310),INDEX(条幅!$H$11:$H$310,46-COUNTA(半紙!$B$11:$B$310)),IF(46&lt;=COUNTA(半紙!$B$11:$B$310)+COUNTA(条幅!$B$11:$B$310)+COUNTA(条幅4分の1!$B$11:$B$310),INDEX(条幅4分の1!$H$11:$H$310,46-COUNTA(半紙!$B$11:$B$310)-COUNTA(条幅!$B$11:$B$310)),"")))=0,"",IF(46&lt;=COUNTA(半紙!$B$11:$B$310),INDEX(半紙!$H$11:$H$310,46),IF(46&lt;=COUNTA(半紙!$B$11:$B$310)+COUNTA(条幅!$B$11:$B$310),INDEX(条幅!$H$11:$H$310,46-COUNTA(半紙!$B$11:$B$310)),IF(46&lt;=COUNTA(半紙!$B$11:$B$310)+COUNTA(条幅!$B$11:$B$310)+COUNTA(条幅4分の1!$B$11:$B$310),INDEX(条幅4分の1!$H$11:$H$310,46-COUNTA(半紙!$B$11:$B$310)-COUNTA(条幅!$B$11:$B$310)),""))))</f>
        <v/>
      </c>
      <c r="I51" s="38" t="str">
        <f>IF(IF(46&lt;=COUNTA(半紙!$B$11:$B$310),INDEX(半紙!$I$11:$I$310,46),IF(46&lt;=COUNTA(半紙!$B$11:$B$310)+COUNTA(条幅!$B$11:$B$310),INDEX(条幅!$I$11:$I$310,46-COUNTA(半紙!$B$11:$B$310)),IF(46&lt;=COUNTA(半紙!$B$11:$B$310)+COUNTA(条幅!$B$11:$B$310)+COUNTA(条幅4分の1!$B$11:$B$310),INDEX(条幅4分の1!$I$11:$I$310,46-COUNTA(半紙!$B$11:$B$310)-COUNTA(条幅!$B$11:$B$310)),"")))=0,"",IF(46&lt;=COUNTA(半紙!$B$11:$B$310),INDEX(半紙!$I$11:$I$310,46),IF(46&lt;=COUNTA(半紙!$B$11:$B$310)+COUNTA(条幅!$B$11:$B$310),INDEX(条幅!$I$11:$I$310,46-COUNTA(半紙!$B$11:$B$310)),IF(46&lt;=COUNTA(半紙!$B$11:$B$310)+COUNTA(条幅!$B$11:$B$310)+COUNTA(条幅4分の1!$B$11:$B$310),INDEX(条幅4分の1!$I$11:$I$310,46-COUNTA(半紙!$B$11:$B$310)-COUNTA(条幅!$B$11:$B$310)),""))))</f>
        <v/>
      </c>
      <c r="J51" s="38" t="str">
        <f>IF(IF(46&lt;=COUNTA(半紙!$B$11:$B$310),INDEX(半紙!$J$11:$J$310,46),IF(46&lt;=COUNTA(半紙!$B$11:$B$310)+COUNTA(条幅!$B$11:$B$310),INDEX(条幅!$J$11:$J$310,46-COUNTA(半紙!$B$11:$B$310)),IF(46&lt;=COUNTA(半紙!$B$11:$B$310)+COUNTA(条幅!$B$11:$B$310)+COUNTA(条幅4分の1!$B$11:$B$310),INDEX(条幅4分の1!$J$11:$J$310,46-COUNTA(半紙!$B$11:$B$310)-COUNTA(条幅!$B$11:$B$310)),"")))=0,"",IF(46&lt;=COUNTA(半紙!$B$11:$B$310),INDEX(半紙!$J$11:$J$310,46),IF(46&lt;=COUNTA(半紙!$B$11:$B$310)+COUNTA(条幅!$B$11:$B$310),INDEX(条幅!$J$11:$J$310,46-COUNTA(半紙!$B$11:$B$310)),IF(46&lt;=COUNTA(半紙!$B$11:$B$310)+COUNTA(条幅!$B$11:$B$310)+COUNTA(条幅4分の1!$B$11:$B$310),INDEX(条幅4分の1!$J$11:$J$310,46-COUNTA(半紙!$B$11:$B$310)-COUNTA(条幅!$B$11:$B$310)),""))))</f>
        <v/>
      </c>
      <c r="K51" s="38" t="str">
        <f>IF(IF(46&lt;=COUNTA(半紙!$B$11:$B$310),INDEX(半紙!$K$11:$K$310,46),IF(46&lt;=COUNTA(半紙!$B$11:$B$310)+COUNTA(条幅!$B$11:$B$310),INDEX(条幅!$K$11:$K$310,46-COUNTA(半紙!$B$11:$B$310)),IF(46&lt;=COUNTA(半紙!$B$11:$B$310)+COUNTA(条幅!$B$11:$B$310)+COUNTA(条幅4分の1!$B$11:$B$310),INDEX(条幅4分の1!$K$11:$K$310,46-COUNTA(半紙!$B$11:$B$310)-COUNTA(条幅!$B$11:$B$310)),"")))=0,"",IF(46&lt;=COUNTA(半紙!$B$11:$B$310),INDEX(半紙!$K$11:$K$310,46),IF(46&lt;=COUNTA(半紙!$B$11:$B$310)+COUNTA(条幅!$B$11:$B$310),INDEX(条幅!$K$11:$K$310,46-COUNTA(半紙!$B$11:$B$310)),IF(46&lt;=COUNTA(半紙!$B$11:$B$310)+COUNTA(条幅!$B$11:$B$310)+COUNTA(条幅4分の1!$B$11:$B$310),INDEX(条幅4分の1!$K$11:$K$310,46-COUNTA(半紙!$B$11:$B$310)-COUNTA(条幅!$B$11:$B$310)),""))))</f>
        <v/>
      </c>
      <c r="L51" s="48" t="str">
        <f>IF($B51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46))</f>
        <v/>
      </c>
    </row>
    <row r="52" spans="1:12" ht="15" customHeight="1">
      <c r="A52" s="37" t="str">
        <f>IF(47&lt;=COUNTA(半紙!$B$11:$B$310),"半紙",IF(47&lt;=COUNTA(半紙!$B$11:$B$310)+COUNTA(条幅!$B$11:$B$310),"条幅(半切)",IF(47&lt;=COUNTA(半紙!$B$11:$B$310)+COUNTA(条幅!$B$11:$B$310)+COUNTA(条幅4分の1!$B$11:$B$310),"条幅(1/4)","")))</f>
        <v/>
      </c>
      <c r="B52" s="38" t="str">
        <f>IF(IF(47&lt;=COUNTA(半紙!$B$11:$B$310),INDEX(半紙!$B$11:$B$310,47),IF(47&lt;=COUNTA(半紙!$B$11:$B$310)+COUNTA(条幅!$B$11:$B$310),INDEX(条幅!$B$11:$B$310,47-COUNTA(半紙!$B$11:$B$310)),IF(47&lt;=COUNTA(半紙!$B$11:$B$310)+COUNTA(条幅!$B$11:$B$310)+COUNTA(条幅4分の1!$B$11:$B$310),INDEX(条幅4分の1!$B$11:$B$310,47-COUNTA(半紙!$B$11:$B$310)-COUNTA(条幅!$B$11:$B$310)),"")))=0,"",IF(47&lt;=COUNTA(半紙!$B$11:$B$310),INDEX(半紙!$B$11:$B$310,47),IF(47&lt;=COUNTA(半紙!$B$11:$B$310)+COUNTA(条幅!$B$11:$B$310),INDEX(条幅!$B$11:$B$310,47-COUNTA(半紙!$B$11:$B$310)),IF(47&lt;=COUNTA(半紙!$B$11:$B$310)+COUNTA(条幅!$B$11:$B$310)+COUNTA(条幅4分の1!$B$11:$B$310),INDEX(条幅4分の1!$B$11:$B$310,47-COUNTA(半紙!$B$11:$B$310)-COUNTA(条幅!$B$11:$B$310)),""))))</f>
        <v/>
      </c>
      <c r="C52" s="38" t="str">
        <f>IF(IF(47&lt;=COUNTA(半紙!$B$11:$B$310),INDEX(半紙!$C$11:$C$310,47),IF(47&lt;=COUNTA(半紙!$B$11:$B$310)+COUNTA(条幅!$B$11:$B$310),INDEX(条幅!$C$11:$C$310,47-COUNTA(半紙!$B$11:$B$310)),IF(47&lt;=COUNTA(半紙!$B$11:$B$310)+COUNTA(条幅!$B$11:$B$310)+COUNTA(条幅4分の1!$B$11:$B$310),INDEX(条幅4分の1!$C$11:$C$310,47-COUNTA(半紙!$B$11:$B$310)-COUNTA(条幅!$B$11:$B$310)),"")))=0,"",IF(47&lt;=COUNTA(半紙!$B$11:$B$310),INDEX(半紙!$C$11:$C$310,47),IF(47&lt;=COUNTA(半紙!$B$11:$B$310)+COUNTA(条幅!$B$11:$B$310),INDEX(条幅!$C$11:$C$310,47-COUNTA(半紙!$B$11:$B$310)),IF(47&lt;=COUNTA(半紙!$B$11:$B$310)+COUNTA(条幅!$B$11:$B$310)+COUNTA(条幅4分の1!$B$11:$B$310),INDEX(条幅4分の1!$C$11:$C$310,47-COUNTA(半紙!$B$11:$B$310)-COUNTA(条幅!$B$11:$B$310)),""))))</f>
        <v/>
      </c>
      <c r="D52" s="38" t="str">
        <f>IF(IF(47&lt;=COUNTA(半紙!$B$11:$B$310),INDEX(半紙!$D$11:$D$310,47),IF(47&lt;=COUNTA(半紙!$B$11:$B$310)+COUNTA(条幅!$B$11:$B$310),INDEX(条幅!$D$11:$D$310,47-COUNTA(半紙!$B$11:$B$310)),IF(47&lt;=COUNTA(半紙!$B$11:$B$310)+COUNTA(条幅!$B$11:$B$310)+COUNTA(条幅4分の1!$B$11:$B$310),INDEX(条幅4分の1!$D$11:$D$310,47-COUNTA(半紙!$B$11:$B$310)-COUNTA(条幅!$B$11:$B$310)),"")))=0,"",IF(47&lt;=COUNTA(半紙!$B$11:$B$310),INDEX(半紙!$D$11:$D$310,47),IF(47&lt;=COUNTA(半紙!$B$11:$B$310)+COUNTA(条幅!$B$11:$B$310),INDEX(条幅!$D$11:$D$310,47-COUNTA(半紙!$B$11:$B$310)),IF(47&lt;=COUNTA(半紙!$B$11:$B$310)+COUNTA(条幅!$B$11:$B$310)+COUNTA(条幅4分の1!$B$11:$B$310),INDEX(条幅4分の1!$D$11:$D$310,47-COUNTA(半紙!$B$11:$B$310)-COUNTA(条幅!$B$11:$B$310)),""))))</f>
        <v/>
      </c>
      <c r="E52" s="38" t="str">
        <f>IF(IF(47&lt;=COUNTA(半紙!$B$11:$B$310),INDEX(半紙!$E$11:$E$310,47),IF(47&lt;=COUNTA(半紙!$B$11:$B$310)+COUNTA(条幅!$B$11:$B$310),INDEX(条幅!$E$11:$E$310,47-COUNTA(半紙!$B$11:$B$310)),IF(47&lt;=COUNTA(半紙!$B$11:$B$310)+COUNTA(条幅!$B$11:$B$310)+COUNTA(条幅4分の1!$B$11:$B$310),INDEX(条幅4分の1!$E$11:$E$310,47-COUNTA(半紙!$B$11:$B$310)-COUNTA(条幅!$B$11:$B$310)),"")))=0,"",IF(47&lt;=COUNTA(半紙!$B$11:$B$310),INDEX(半紙!$E$11:$E$310,47),IF(47&lt;=COUNTA(半紙!$B$11:$B$310)+COUNTA(条幅!$B$11:$B$310),INDEX(条幅!$E$11:$E$310,47-COUNTA(半紙!$B$11:$B$310)),IF(47&lt;=COUNTA(半紙!$B$11:$B$310)+COUNTA(条幅!$B$11:$B$310)+COUNTA(条幅4分の1!$B$11:$B$310),INDEX(条幅4分の1!$E$11:$E$310,47-COUNTA(半紙!$B$11:$B$310)-COUNTA(条幅!$B$11:$B$310)),""))))</f>
        <v/>
      </c>
      <c r="F52" s="38" t="str">
        <f>IF(IF(47&lt;=COUNTA(半紙!$B$11:$B$310),INDEX(半紙!$F$11:$F$310,47),IF(47&lt;=COUNTA(半紙!$B$11:$B$310)+COUNTA(条幅!$B$11:$B$310),INDEX(条幅!$F$11:$F$310,47-COUNTA(半紙!$B$11:$B$310)),IF(47&lt;=COUNTA(半紙!$B$11:$B$310)+COUNTA(条幅!$B$11:$B$310)+COUNTA(条幅4分の1!$B$11:$B$310),INDEX(条幅4分の1!$F$11:$F$310,47-COUNTA(半紙!$B$11:$B$310)-COUNTA(条幅!$B$11:$B$310)),"")))=0,"",IF(47&lt;=COUNTA(半紙!$B$11:$B$310),INDEX(半紙!$F$11:$F$310,47),IF(47&lt;=COUNTA(半紙!$B$11:$B$310)+COUNTA(条幅!$B$11:$B$310),INDEX(条幅!$F$11:$F$310,47-COUNTA(半紙!$B$11:$B$310)),IF(47&lt;=COUNTA(半紙!$B$11:$B$310)+COUNTA(条幅!$B$11:$B$310)+COUNTA(条幅4分の1!$B$11:$B$310),INDEX(条幅4分の1!$F$11:$F$310,47-COUNTA(半紙!$B$11:$B$310)-COUNTA(条幅!$B$11:$B$310)),""))))</f>
        <v/>
      </c>
      <c r="G52" s="38" t="str">
        <f>IF(IF(47&lt;=COUNTA(半紙!$B$11:$B$310),INDEX(半紙!$G$11:$G$310,47),IF(47&lt;=COUNTA(半紙!$B$11:$B$310)+COUNTA(条幅!$B$11:$B$310),INDEX(条幅!$G$11:$G$310,47-COUNTA(半紙!$B$11:$B$310)),IF(47&lt;=COUNTA(半紙!$B$11:$B$310)+COUNTA(条幅!$B$11:$B$310)+COUNTA(条幅4分の1!$B$11:$B$310),INDEX(条幅4分の1!$G$11:$G$310,47-COUNTA(半紙!$B$11:$B$310)-COUNTA(条幅!$B$11:$B$310)),"")))=0,"",IF(47&lt;=COUNTA(半紙!$B$11:$B$310),INDEX(半紙!$G$11:$G$310,47),IF(47&lt;=COUNTA(半紙!$B$11:$B$310)+COUNTA(条幅!$B$11:$B$310),INDEX(条幅!$G$11:$G$310,47-COUNTA(半紙!$B$11:$B$310)),IF(47&lt;=COUNTA(半紙!$B$11:$B$310)+COUNTA(条幅!$B$11:$B$310)+COUNTA(条幅4分の1!$B$11:$B$310),INDEX(条幅4分の1!$G$11:$G$310,47-COUNTA(半紙!$B$11:$B$310)-COUNTA(条幅!$B$11:$B$310)),""))))</f>
        <v/>
      </c>
      <c r="H52" s="38" t="str">
        <f>IF(IF(47&lt;=COUNTA(半紙!$B$11:$B$310),INDEX(半紙!$H$11:$H$310,47),IF(47&lt;=COUNTA(半紙!$B$11:$B$310)+COUNTA(条幅!$B$11:$B$310),INDEX(条幅!$H$11:$H$310,47-COUNTA(半紙!$B$11:$B$310)),IF(47&lt;=COUNTA(半紙!$B$11:$B$310)+COUNTA(条幅!$B$11:$B$310)+COUNTA(条幅4分の1!$B$11:$B$310),INDEX(条幅4分の1!$H$11:$H$310,47-COUNTA(半紙!$B$11:$B$310)-COUNTA(条幅!$B$11:$B$310)),"")))=0,"",IF(47&lt;=COUNTA(半紙!$B$11:$B$310),INDEX(半紙!$H$11:$H$310,47),IF(47&lt;=COUNTA(半紙!$B$11:$B$310)+COUNTA(条幅!$B$11:$B$310),INDEX(条幅!$H$11:$H$310,47-COUNTA(半紙!$B$11:$B$310)),IF(47&lt;=COUNTA(半紙!$B$11:$B$310)+COUNTA(条幅!$B$11:$B$310)+COUNTA(条幅4分の1!$B$11:$B$310),INDEX(条幅4分の1!$H$11:$H$310,47-COUNTA(半紙!$B$11:$B$310)-COUNTA(条幅!$B$11:$B$310)),""))))</f>
        <v/>
      </c>
      <c r="I52" s="38" t="str">
        <f>IF(IF(47&lt;=COUNTA(半紙!$B$11:$B$310),INDEX(半紙!$I$11:$I$310,47),IF(47&lt;=COUNTA(半紙!$B$11:$B$310)+COUNTA(条幅!$B$11:$B$310),INDEX(条幅!$I$11:$I$310,47-COUNTA(半紙!$B$11:$B$310)),IF(47&lt;=COUNTA(半紙!$B$11:$B$310)+COUNTA(条幅!$B$11:$B$310)+COUNTA(条幅4分の1!$B$11:$B$310),INDEX(条幅4分の1!$I$11:$I$310,47-COUNTA(半紙!$B$11:$B$310)-COUNTA(条幅!$B$11:$B$310)),"")))=0,"",IF(47&lt;=COUNTA(半紙!$B$11:$B$310),INDEX(半紙!$I$11:$I$310,47),IF(47&lt;=COUNTA(半紙!$B$11:$B$310)+COUNTA(条幅!$B$11:$B$310),INDEX(条幅!$I$11:$I$310,47-COUNTA(半紙!$B$11:$B$310)),IF(47&lt;=COUNTA(半紙!$B$11:$B$310)+COUNTA(条幅!$B$11:$B$310)+COUNTA(条幅4分の1!$B$11:$B$310),INDEX(条幅4分の1!$I$11:$I$310,47-COUNTA(半紙!$B$11:$B$310)-COUNTA(条幅!$B$11:$B$310)),""))))</f>
        <v/>
      </c>
      <c r="J52" s="38" t="str">
        <f>IF(IF(47&lt;=COUNTA(半紙!$B$11:$B$310),INDEX(半紙!$J$11:$J$310,47),IF(47&lt;=COUNTA(半紙!$B$11:$B$310)+COUNTA(条幅!$B$11:$B$310),INDEX(条幅!$J$11:$J$310,47-COUNTA(半紙!$B$11:$B$310)),IF(47&lt;=COUNTA(半紙!$B$11:$B$310)+COUNTA(条幅!$B$11:$B$310)+COUNTA(条幅4分の1!$B$11:$B$310),INDEX(条幅4分の1!$J$11:$J$310,47-COUNTA(半紙!$B$11:$B$310)-COUNTA(条幅!$B$11:$B$310)),"")))=0,"",IF(47&lt;=COUNTA(半紙!$B$11:$B$310),INDEX(半紙!$J$11:$J$310,47),IF(47&lt;=COUNTA(半紙!$B$11:$B$310)+COUNTA(条幅!$B$11:$B$310),INDEX(条幅!$J$11:$J$310,47-COUNTA(半紙!$B$11:$B$310)),IF(47&lt;=COUNTA(半紙!$B$11:$B$310)+COUNTA(条幅!$B$11:$B$310)+COUNTA(条幅4分の1!$B$11:$B$310),INDEX(条幅4分の1!$J$11:$J$310,47-COUNTA(半紙!$B$11:$B$310)-COUNTA(条幅!$B$11:$B$310)),""))))</f>
        <v/>
      </c>
      <c r="K52" s="38" t="str">
        <f>IF(IF(47&lt;=COUNTA(半紙!$B$11:$B$310),INDEX(半紙!$K$11:$K$310,47),IF(47&lt;=COUNTA(半紙!$B$11:$B$310)+COUNTA(条幅!$B$11:$B$310),INDEX(条幅!$K$11:$K$310,47-COUNTA(半紙!$B$11:$B$310)),IF(47&lt;=COUNTA(半紙!$B$11:$B$310)+COUNTA(条幅!$B$11:$B$310)+COUNTA(条幅4分の1!$B$11:$B$310),INDEX(条幅4分の1!$K$11:$K$310,47-COUNTA(半紙!$B$11:$B$310)-COUNTA(条幅!$B$11:$B$310)),"")))=0,"",IF(47&lt;=COUNTA(半紙!$B$11:$B$310),INDEX(半紙!$K$11:$K$310,47),IF(47&lt;=COUNTA(半紙!$B$11:$B$310)+COUNTA(条幅!$B$11:$B$310),INDEX(条幅!$K$11:$K$310,47-COUNTA(半紙!$B$11:$B$310)),IF(47&lt;=COUNTA(半紙!$B$11:$B$310)+COUNTA(条幅!$B$11:$B$310)+COUNTA(条幅4分の1!$B$11:$B$310),INDEX(条幅4分の1!$K$11:$K$310,47-COUNTA(半紙!$B$11:$B$310)-COUNTA(条幅!$B$11:$B$310)),""))))</f>
        <v/>
      </c>
      <c r="L52" s="48" t="str">
        <f>IF($B52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47))</f>
        <v/>
      </c>
    </row>
    <row r="53" spans="1:12" ht="15" customHeight="1">
      <c r="A53" s="37" t="str">
        <f>IF(48&lt;=COUNTA(半紙!$B$11:$B$310),"半紙",IF(48&lt;=COUNTA(半紙!$B$11:$B$310)+COUNTA(条幅!$B$11:$B$310),"条幅(半切)",IF(48&lt;=COUNTA(半紙!$B$11:$B$310)+COUNTA(条幅!$B$11:$B$310)+COUNTA(条幅4分の1!$B$11:$B$310),"条幅(1/4)","")))</f>
        <v/>
      </c>
      <c r="B53" s="38" t="str">
        <f>IF(IF(48&lt;=COUNTA(半紙!$B$11:$B$310),INDEX(半紙!$B$11:$B$310,48),IF(48&lt;=COUNTA(半紙!$B$11:$B$310)+COUNTA(条幅!$B$11:$B$310),INDEX(条幅!$B$11:$B$310,48-COUNTA(半紙!$B$11:$B$310)),IF(48&lt;=COUNTA(半紙!$B$11:$B$310)+COUNTA(条幅!$B$11:$B$310)+COUNTA(条幅4分の1!$B$11:$B$310),INDEX(条幅4分の1!$B$11:$B$310,48-COUNTA(半紙!$B$11:$B$310)-COUNTA(条幅!$B$11:$B$310)),"")))=0,"",IF(48&lt;=COUNTA(半紙!$B$11:$B$310),INDEX(半紙!$B$11:$B$310,48),IF(48&lt;=COUNTA(半紙!$B$11:$B$310)+COUNTA(条幅!$B$11:$B$310),INDEX(条幅!$B$11:$B$310,48-COUNTA(半紙!$B$11:$B$310)),IF(48&lt;=COUNTA(半紙!$B$11:$B$310)+COUNTA(条幅!$B$11:$B$310)+COUNTA(条幅4分の1!$B$11:$B$310),INDEX(条幅4分の1!$B$11:$B$310,48-COUNTA(半紙!$B$11:$B$310)-COUNTA(条幅!$B$11:$B$310)),""))))</f>
        <v/>
      </c>
      <c r="C53" s="38" t="str">
        <f>IF(IF(48&lt;=COUNTA(半紙!$B$11:$B$310),INDEX(半紙!$C$11:$C$310,48),IF(48&lt;=COUNTA(半紙!$B$11:$B$310)+COUNTA(条幅!$B$11:$B$310),INDEX(条幅!$C$11:$C$310,48-COUNTA(半紙!$B$11:$B$310)),IF(48&lt;=COUNTA(半紙!$B$11:$B$310)+COUNTA(条幅!$B$11:$B$310)+COUNTA(条幅4分の1!$B$11:$B$310),INDEX(条幅4分の1!$C$11:$C$310,48-COUNTA(半紙!$B$11:$B$310)-COUNTA(条幅!$B$11:$B$310)),"")))=0,"",IF(48&lt;=COUNTA(半紙!$B$11:$B$310),INDEX(半紙!$C$11:$C$310,48),IF(48&lt;=COUNTA(半紙!$B$11:$B$310)+COUNTA(条幅!$B$11:$B$310),INDEX(条幅!$C$11:$C$310,48-COUNTA(半紙!$B$11:$B$310)),IF(48&lt;=COUNTA(半紙!$B$11:$B$310)+COUNTA(条幅!$B$11:$B$310)+COUNTA(条幅4分の1!$B$11:$B$310),INDEX(条幅4分の1!$C$11:$C$310,48-COUNTA(半紙!$B$11:$B$310)-COUNTA(条幅!$B$11:$B$310)),""))))</f>
        <v/>
      </c>
      <c r="D53" s="38" t="str">
        <f>IF(IF(48&lt;=COUNTA(半紙!$B$11:$B$310),INDEX(半紙!$D$11:$D$310,48),IF(48&lt;=COUNTA(半紙!$B$11:$B$310)+COUNTA(条幅!$B$11:$B$310),INDEX(条幅!$D$11:$D$310,48-COUNTA(半紙!$B$11:$B$310)),IF(48&lt;=COUNTA(半紙!$B$11:$B$310)+COUNTA(条幅!$B$11:$B$310)+COUNTA(条幅4分の1!$B$11:$B$310),INDEX(条幅4分の1!$D$11:$D$310,48-COUNTA(半紙!$B$11:$B$310)-COUNTA(条幅!$B$11:$B$310)),"")))=0,"",IF(48&lt;=COUNTA(半紙!$B$11:$B$310),INDEX(半紙!$D$11:$D$310,48),IF(48&lt;=COUNTA(半紙!$B$11:$B$310)+COUNTA(条幅!$B$11:$B$310),INDEX(条幅!$D$11:$D$310,48-COUNTA(半紙!$B$11:$B$310)),IF(48&lt;=COUNTA(半紙!$B$11:$B$310)+COUNTA(条幅!$B$11:$B$310)+COUNTA(条幅4分の1!$B$11:$B$310),INDEX(条幅4分の1!$D$11:$D$310,48-COUNTA(半紙!$B$11:$B$310)-COUNTA(条幅!$B$11:$B$310)),""))))</f>
        <v/>
      </c>
      <c r="E53" s="38" t="str">
        <f>IF(IF(48&lt;=COUNTA(半紙!$B$11:$B$310),INDEX(半紙!$E$11:$E$310,48),IF(48&lt;=COUNTA(半紙!$B$11:$B$310)+COUNTA(条幅!$B$11:$B$310),INDEX(条幅!$E$11:$E$310,48-COUNTA(半紙!$B$11:$B$310)),IF(48&lt;=COUNTA(半紙!$B$11:$B$310)+COUNTA(条幅!$B$11:$B$310)+COUNTA(条幅4分の1!$B$11:$B$310),INDEX(条幅4分の1!$E$11:$E$310,48-COUNTA(半紙!$B$11:$B$310)-COUNTA(条幅!$B$11:$B$310)),"")))=0,"",IF(48&lt;=COUNTA(半紙!$B$11:$B$310),INDEX(半紙!$E$11:$E$310,48),IF(48&lt;=COUNTA(半紙!$B$11:$B$310)+COUNTA(条幅!$B$11:$B$310),INDEX(条幅!$E$11:$E$310,48-COUNTA(半紙!$B$11:$B$310)),IF(48&lt;=COUNTA(半紙!$B$11:$B$310)+COUNTA(条幅!$B$11:$B$310)+COUNTA(条幅4分の1!$B$11:$B$310),INDEX(条幅4分の1!$E$11:$E$310,48-COUNTA(半紙!$B$11:$B$310)-COUNTA(条幅!$B$11:$B$310)),""))))</f>
        <v/>
      </c>
      <c r="F53" s="38" t="str">
        <f>IF(IF(48&lt;=COUNTA(半紙!$B$11:$B$310),INDEX(半紙!$F$11:$F$310,48),IF(48&lt;=COUNTA(半紙!$B$11:$B$310)+COUNTA(条幅!$B$11:$B$310),INDEX(条幅!$F$11:$F$310,48-COUNTA(半紙!$B$11:$B$310)),IF(48&lt;=COUNTA(半紙!$B$11:$B$310)+COUNTA(条幅!$B$11:$B$310)+COUNTA(条幅4分の1!$B$11:$B$310),INDEX(条幅4分の1!$F$11:$F$310,48-COUNTA(半紙!$B$11:$B$310)-COUNTA(条幅!$B$11:$B$310)),"")))=0,"",IF(48&lt;=COUNTA(半紙!$B$11:$B$310),INDEX(半紙!$F$11:$F$310,48),IF(48&lt;=COUNTA(半紙!$B$11:$B$310)+COUNTA(条幅!$B$11:$B$310),INDEX(条幅!$F$11:$F$310,48-COUNTA(半紙!$B$11:$B$310)),IF(48&lt;=COUNTA(半紙!$B$11:$B$310)+COUNTA(条幅!$B$11:$B$310)+COUNTA(条幅4分の1!$B$11:$B$310),INDEX(条幅4分の1!$F$11:$F$310,48-COUNTA(半紙!$B$11:$B$310)-COUNTA(条幅!$B$11:$B$310)),""))))</f>
        <v/>
      </c>
      <c r="G53" s="38" t="str">
        <f>IF(IF(48&lt;=COUNTA(半紙!$B$11:$B$310),INDEX(半紙!$G$11:$G$310,48),IF(48&lt;=COUNTA(半紙!$B$11:$B$310)+COUNTA(条幅!$B$11:$B$310),INDEX(条幅!$G$11:$G$310,48-COUNTA(半紙!$B$11:$B$310)),IF(48&lt;=COUNTA(半紙!$B$11:$B$310)+COUNTA(条幅!$B$11:$B$310)+COUNTA(条幅4分の1!$B$11:$B$310),INDEX(条幅4分の1!$G$11:$G$310,48-COUNTA(半紙!$B$11:$B$310)-COUNTA(条幅!$B$11:$B$310)),"")))=0,"",IF(48&lt;=COUNTA(半紙!$B$11:$B$310),INDEX(半紙!$G$11:$G$310,48),IF(48&lt;=COUNTA(半紙!$B$11:$B$310)+COUNTA(条幅!$B$11:$B$310),INDEX(条幅!$G$11:$G$310,48-COUNTA(半紙!$B$11:$B$310)),IF(48&lt;=COUNTA(半紙!$B$11:$B$310)+COUNTA(条幅!$B$11:$B$310)+COUNTA(条幅4分の1!$B$11:$B$310),INDEX(条幅4分の1!$G$11:$G$310,48-COUNTA(半紙!$B$11:$B$310)-COUNTA(条幅!$B$11:$B$310)),""))))</f>
        <v/>
      </c>
      <c r="H53" s="38" t="str">
        <f>IF(IF(48&lt;=COUNTA(半紙!$B$11:$B$310),INDEX(半紙!$H$11:$H$310,48),IF(48&lt;=COUNTA(半紙!$B$11:$B$310)+COUNTA(条幅!$B$11:$B$310),INDEX(条幅!$H$11:$H$310,48-COUNTA(半紙!$B$11:$B$310)),IF(48&lt;=COUNTA(半紙!$B$11:$B$310)+COUNTA(条幅!$B$11:$B$310)+COUNTA(条幅4分の1!$B$11:$B$310),INDEX(条幅4分の1!$H$11:$H$310,48-COUNTA(半紙!$B$11:$B$310)-COUNTA(条幅!$B$11:$B$310)),"")))=0,"",IF(48&lt;=COUNTA(半紙!$B$11:$B$310),INDEX(半紙!$H$11:$H$310,48),IF(48&lt;=COUNTA(半紙!$B$11:$B$310)+COUNTA(条幅!$B$11:$B$310),INDEX(条幅!$H$11:$H$310,48-COUNTA(半紙!$B$11:$B$310)),IF(48&lt;=COUNTA(半紙!$B$11:$B$310)+COUNTA(条幅!$B$11:$B$310)+COUNTA(条幅4分の1!$B$11:$B$310),INDEX(条幅4分の1!$H$11:$H$310,48-COUNTA(半紙!$B$11:$B$310)-COUNTA(条幅!$B$11:$B$310)),""))))</f>
        <v/>
      </c>
      <c r="I53" s="38" t="str">
        <f>IF(IF(48&lt;=COUNTA(半紙!$B$11:$B$310),INDEX(半紙!$I$11:$I$310,48),IF(48&lt;=COUNTA(半紙!$B$11:$B$310)+COUNTA(条幅!$B$11:$B$310),INDEX(条幅!$I$11:$I$310,48-COUNTA(半紙!$B$11:$B$310)),IF(48&lt;=COUNTA(半紙!$B$11:$B$310)+COUNTA(条幅!$B$11:$B$310)+COUNTA(条幅4分の1!$B$11:$B$310),INDEX(条幅4分の1!$I$11:$I$310,48-COUNTA(半紙!$B$11:$B$310)-COUNTA(条幅!$B$11:$B$310)),"")))=0,"",IF(48&lt;=COUNTA(半紙!$B$11:$B$310),INDEX(半紙!$I$11:$I$310,48),IF(48&lt;=COUNTA(半紙!$B$11:$B$310)+COUNTA(条幅!$B$11:$B$310),INDEX(条幅!$I$11:$I$310,48-COUNTA(半紙!$B$11:$B$310)),IF(48&lt;=COUNTA(半紙!$B$11:$B$310)+COUNTA(条幅!$B$11:$B$310)+COUNTA(条幅4分の1!$B$11:$B$310),INDEX(条幅4分の1!$I$11:$I$310,48-COUNTA(半紙!$B$11:$B$310)-COUNTA(条幅!$B$11:$B$310)),""))))</f>
        <v/>
      </c>
      <c r="J53" s="38" t="str">
        <f>IF(IF(48&lt;=COUNTA(半紙!$B$11:$B$310),INDEX(半紙!$J$11:$J$310,48),IF(48&lt;=COUNTA(半紙!$B$11:$B$310)+COUNTA(条幅!$B$11:$B$310),INDEX(条幅!$J$11:$J$310,48-COUNTA(半紙!$B$11:$B$310)),IF(48&lt;=COUNTA(半紙!$B$11:$B$310)+COUNTA(条幅!$B$11:$B$310)+COUNTA(条幅4分の1!$B$11:$B$310),INDEX(条幅4分の1!$J$11:$J$310,48-COUNTA(半紙!$B$11:$B$310)-COUNTA(条幅!$B$11:$B$310)),"")))=0,"",IF(48&lt;=COUNTA(半紙!$B$11:$B$310),INDEX(半紙!$J$11:$J$310,48),IF(48&lt;=COUNTA(半紙!$B$11:$B$310)+COUNTA(条幅!$B$11:$B$310),INDEX(条幅!$J$11:$J$310,48-COUNTA(半紙!$B$11:$B$310)),IF(48&lt;=COUNTA(半紙!$B$11:$B$310)+COUNTA(条幅!$B$11:$B$310)+COUNTA(条幅4分の1!$B$11:$B$310),INDEX(条幅4分の1!$J$11:$J$310,48-COUNTA(半紙!$B$11:$B$310)-COUNTA(条幅!$B$11:$B$310)),""))))</f>
        <v/>
      </c>
      <c r="K53" s="38" t="str">
        <f>IF(IF(48&lt;=COUNTA(半紙!$B$11:$B$310),INDEX(半紙!$K$11:$K$310,48),IF(48&lt;=COUNTA(半紙!$B$11:$B$310)+COUNTA(条幅!$B$11:$B$310),INDEX(条幅!$K$11:$K$310,48-COUNTA(半紙!$B$11:$B$310)),IF(48&lt;=COUNTA(半紙!$B$11:$B$310)+COUNTA(条幅!$B$11:$B$310)+COUNTA(条幅4分の1!$B$11:$B$310),INDEX(条幅4分の1!$K$11:$K$310,48-COUNTA(半紙!$B$11:$B$310)-COUNTA(条幅!$B$11:$B$310)),"")))=0,"",IF(48&lt;=COUNTA(半紙!$B$11:$B$310),INDEX(半紙!$K$11:$K$310,48),IF(48&lt;=COUNTA(半紙!$B$11:$B$310)+COUNTA(条幅!$B$11:$B$310),INDEX(条幅!$K$11:$K$310,48-COUNTA(半紙!$B$11:$B$310)),IF(48&lt;=COUNTA(半紙!$B$11:$B$310)+COUNTA(条幅!$B$11:$B$310)+COUNTA(条幅4分の1!$B$11:$B$310),INDEX(条幅4分の1!$K$11:$K$310,48-COUNTA(半紙!$B$11:$B$310)-COUNTA(条幅!$B$11:$B$310)),""))))</f>
        <v/>
      </c>
      <c r="L53" s="48" t="str">
        <f>IF($B53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48))</f>
        <v/>
      </c>
    </row>
    <row r="54" spans="1:12" ht="15" customHeight="1">
      <c r="A54" s="37" t="str">
        <f>IF(49&lt;=COUNTA(半紙!$B$11:$B$310),"半紙",IF(49&lt;=COUNTA(半紙!$B$11:$B$310)+COUNTA(条幅!$B$11:$B$310),"条幅(半切)",IF(49&lt;=COUNTA(半紙!$B$11:$B$310)+COUNTA(条幅!$B$11:$B$310)+COUNTA(条幅4分の1!$B$11:$B$310),"条幅(1/4)","")))</f>
        <v/>
      </c>
      <c r="B54" s="38" t="str">
        <f>IF(IF(49&lt;=COUNTA(半紙!$B$11:$B$310),INDEX(半紙!$B$11:$B$310,49),IF(49&lt;=COUNTA(半紙!$B$11:$B$310)+COUNTA(条幅!$B$11:$B$310),INDEX(条幅!$B$11:$B$310,49-COUNTA(半紙!$B$11:$B$310)),IF(49&lt;=COUNTA(半紙!$B$11:$B$310)+COUNTA(条幅!$B$11:$B$310)+COUNTA(条幅4分の1!$B$11:$B$310),INDEX(条幅4分の1!$B$11:$B$310,49-COUNTA(半紙!$B$11:$B$310)-COUNTA(条幅!$B$11:$B$310)),"")))=0,"",IF(49&lt;=COUNTA(半紙!$B$11:$B$310),INDEX(半紙!$B$11:$B$310,49),IF(49&lt;=COUNTA(半紙!$B$11:$B$310)+COUNTA(条幅!$B$11:$B$310),INDEX(条幅!$B$11:$B$310,49-COUNTA(半紙!$B$11:$B$310)),IF(49&lt;=COUNTA(半紙!$B$11:$B$310)+COUNTA(条幅!$B$11:$B$310)+COUNTA(条幅4分の1!$B$11:$B$310),INDEX(条幅4分の1!$B$11:$B$310,49-COUNTA(半紙!$B$11:$B$310)-COUNTA(条幅!$B$11:$B$310)),""))))</f>
        <v/>
      </c>
      <c r="C54" s="38" t="str">
        <f>IF(IF(49&lt;=COUNTA(半紙!$B$11:$B$310),INDEX(半紙!$C$11:$C$310,49),IF(49&lt;=COUNTA(半紙!$B$11:$B$310)+COUNTA(条幅!$B$11:$B$310),INDEX(条幅!$C$11:$C$310,49-COUNTA(半紙!$B$11:$B$310)),IF(49&lt;=COUNTA(半紙!$B$11:$B$310)+COUNTA(条幅!$B$11:$B$310)+COUNTA(条幅4分の1!$B$11:$B$310),INDEX(条幅4分の1!$C$11:$C$310,49-COUNTA(半紙!$B$11:$B$310)-COUNTA(条幅!$B$11:$B$310)),"")))=0,"",IF(49&lt;=COUNTA(半紙!$B$11:$B$310),INDEX(半紙!$C$11:$C$310,49),IF(49&lt;=COUNTA(半紙!$B$11:$B$310)+COUNTA(条幅!$B$11:$B$310),INDEX(条幅!$C$11:$C$310,49-COUNTA(半紙!$B$11:$B$310)),IF(49&lt;=COUNTA(半紙!$B$11:$B$310)+COUNTA(条幅!$B$11:$B$310)+COUNTA(条幅4分の1!$B$11:$B$310),INDEX(条幅4分の1!$C$11:$C$310,49-COUNTA(半紙!$B$11:$B$310)-COUNTA(条幅!$B$11:$B$310)),""))))</f>
        <v/>
      </c>
      <c r="D54" s="38" t="str">
        <f>IF(IF(49&lt;=COUNTA(半紙!$B$11:$B$310),INDEX(半紙!$D$11:$D$310,49),IF(49&lt;=COUNTA(半紙!$B$11:$B$310)+COUNTA(条幅!$B$11:$B$310),INDEX(条幅!$D$11:$D$310,49-COUNTA(半紙!$B$11:$B$310)),IF(49&lt;=COUNTA(半紙!$B$11:$B$310)+COUNTA(条幅!$B$11:$B$310)+COUNTA(条幅4分の1!$B$11:$B$310),INDEX(条幅4分の1!$D$11:$D$310,49-COUNTA(半紙!$B$11:$B$310)-COUNTA(条幅!$B$11:$B$310)),"")))=0,"",IF(49&lt;=COUNTA(半紙!$B$11:$B$310),INDEX(半紙!$D$11:$D$310,49),IF(49&lt;=COUNTA(半紙!$B$11:$B$310)+COUNTA(条幅!$B$11:$B$310),INDEX(条幅!$D$11:$D$310,49-COUNTA(半紙!$B$11:$B$310)),IF(49&lt;=COUNTA(半紙!$B$11:$B$310)+COUNTA(条幅!$B$11:$B$310)+COUNTA(条幅4分の1!$B$11:$B$310),INDEX(条幅4分の1!$D$11:$D$310,49-COUNTA(半紙!$B$11:$B$310)-COUNTA(条幅!$B$11:$B$310)),""))))</f>
        <v/>
      </c>
      <c r="E54" s="38" t="str">
        <f>IF(IF(49&lt;=COUNTA(半紙!$B$11:$B$310),INDEX(半紙!$E$11:$E$310,49),IF(49&lt;=COUNTA(半紙!$B$11:$B$310)+COUNTA(条幅!$B$11:$B$310),INDEX(条幅!$E$11:$E$310,49-COUNTA(半紙!$B$11:$B$310)),IF(49&lt;=COUNTA(半紙!$B$11:$B$310)+COUNTA(条幅!$B$11:$B$310)+COUNTA(条幅4分の1!$B$11:$B$310),INDEX(条幅4分の1!$E$11:$E$310,49-COUNTA(半紙!$B$11:$B$310)-COUNTA(条幅!$B$11:$B$310)),"")))=0,"",IF(49&lt;=COUNTA(半紙!$B$11:$B$310),INDEX(半紙!$E$11:$E$310,49),IF(49&lt;=COUNTA(半紙!$B$11:$B$310)+COUNTA(条幅!$B$11:$B$310),INDEX(条幅!$E$11:$E$310,49-COUNTA(半紙!$B$11:$B$310)),IF(49&lt;=COUNTA(半紙!$B$11:$B$310)+COUNTA(条幅!$B$11:$B$310)+COUNTA(条幅4分の1!$B$11:$B$310),INDEX(条幅4分の1!$E$11:$E$310,49-COUNTA(半紙!$B$11:$B$310)-COUNTA(条幅!$B$11:$B$310)),""))))</f>
        <v/>
      </c>
      <c r="F54" s="38" t="str">
        <f>IF(IF(49&lt;=COUNTA(半紙!$B$11:$B$310),INDEX(半紙!$F$11:$F$310,49),IF(49&lt;=COUNTA(半紙!$B$11:$B$310)+COUNTA(条幅!$B$11:$B$310),INDEX(条幅!$F$11:$F$310,49-COUNTA(半紙!$B$11:$B$310)),IF(49&lt;=COUNTA(半紙!$B$11:$B$310)+COUNTA(条幅!$B$11:$B$310)+COUNTA(条幅4分の1!$B$11:$B$310),INDEX(条幅4分の1!$F$11:$F$310,49-COUNTA(半紙!$B$11:$B$310)-COUNTA(条幅!$B$11:$B$310)),"")))=0,"",IF(49&lt;=COUNTA(半紙!$B$11:$B$310),INDEX(半紙!$F$11:$F$310,49),IF(49&lt;=COUNTA(半紙!$B$11:$B$310)+COUNTA(条幅!$B$11:$B$310),INDEX(条幅!$F$11:$F$310,49-COUNTA(半紙!$B$11:$B$310)),IF(49&lt;=COUNTA(半紙!$B$11:$B$310)+COUNTA(条幅!$B$11:$B$310)+COUNTA(条幅4分の1!$B$11:$B$310),INDEX(条幅4分の1!$F$11:$F$310,49-COUNTA(半紙!$B$11:$B$310)-COUNTA(条幅!$B$11:$B$310)),""))))</f>
        <v/>
      </c>
      <c r="G54" s="38" t="str">
        <f>IF(IF(49&lt;=COUNTA(半紙!$B$11:$B$310),INDEX(半紙!$G$11:$G$310,49),IF(49&lt;=COUNTA(半紙!$B$11:$B$310)+COUNTA(条幅!$B$11:$B$310),INDEX(条幅!$G$11:$G$310,49-COUNTA(半紙!$B$11:$B$310)),IF(49&lt;=COUNTA(半紙!$B$11:$B$310)+COUNTA(条幅!$B$11:$B$310)+COUNTA(条幅4分の1!$B$11:$B$310),INDEX(条幅4分の1!$G$11:$G$310,49-COUNTA(半紙!$B$11:$B$310)-COUNTA(条幅!$B$11:$B$310)),"")))=0,"",IF(49&lt;=COUNTA(半紙!$B$11:$B$310),INDEX(半紙!$G$11:$G$310,49),IF(49&lt;=COUNTA(半紙!$B$11:$B$310)+COUNTA(条幅!$B$11:$B$310),INDEX(条幅!$G$11:$G$310,49-COUNTA(半紙!$B$11:$B$310)),IF(49&lt;=COUNTA(半紙!$B$11:$B$310)+COUNTA(条幅!$B$11:$B$310)+COUNTA(条幅4分の1!$B$11:$B$310),INDEX(条幅4分の1!$G$11:$G$310,49-COUNTA(半紙!$B$11:$B$310)-COUNTA(条幅!$B$11:$B$310)),""))))</f>
        <v/>
      </c>
      <c r="H54" s="38" t="str">
        <f>IF(IF(49&lt;=COUNTA(半紙!$B$11:$B$310),INDEX(半紙!$H$11:$H$310,49),IF(49&lt;=COUNTA(半紙!$B$11:$B$310)+COUNTA(条幅!$B$11:$B$310),INDEX(条幅!$H$11:$H$310,49-COUNTA(半紙!$B$11:$B$310)),IF(49&lt;=COUNTA(半紙!$B$11:$B$310)+COUNTA(条幅!$B$11:$B$310)+COUNTA(条幅4分の1!$B$11:$B$310),INDEX(条幅4分の1!$H$11:$H$310,49-COUNTA(半紙!$B$11:$B$310)-COUNTA(条幅!$B$11:$B$310)),"")))=0,"",IF(49&lt;=COUNTA(半紙!$B$11:$B$310),INDEX(半紙!$H$11:$H$310,49),IF(49&lt;=COUNTA(半紙!$B$11:$B$310)+COUNTA(条幅!$B$11:$B$310),INDEX(条幅!$H$11:$H$310,49-COUNTA(半紙!$B$11:$B$310)),IF(49&lt;=COUNTA(半紙!$B$11:$B$310)+COUNTA(条幅!$B$11:$B$310)+COUNTA(条幅4分の1!$B$11:$B$310),INDEX(条幅4分の1!$H$11:$H$310,49-COUNTA(半紙!$B$11:$B$310)-COUNTA(条幅!$B$11:$B$310)),""))))</f>
        <v/>
      </c>
      <c r="I54" s="38" t="str">
        <f>IF(IF(49&lt;=COUNTA(半紙!$B$11:$B$310),INDEX(半紙!$I$11:$I$310,49),IF(49&lt;=COUNTA(半紙!$B$11:$B$310)+COUNTA(条幅!$B$11:$B$310),INDEX(条幅!$I$11:$I$310,49-COUNTA(半紙!$B$11:$B$310)),IF(49&lt;=COUNTA(半紙!$B$11:$B$310)+COUNTA(条幅!$B$11:$B$310)+COUNTA(条幅4分の1!$B$11:$B$310),INDEX(条幅4分の1!$I$11:$I$310,49-COUNTA(半紙!$B$11:$B$310)-COUNTA(条幅!$B$11:$B$310)),"")))=0,"",IF(49&lt;=COUNTA(半紙!$B$11:$B$310),INDEX(半紙!$I$11:$I$310,49),IF(49&lt;=COUNTA(半紙!$B$11:$B$310)+COUNTA(条幅!$B$11:$B$310),INDEX(条幅!$I$11:$I$310,49-COUNTA(半紙!$B$11:$B$310)),IF(49&lt;=COUNTA(半紙!$B$11:$B$310)+COUNTA(条幅!$B$11:$B$310)+COUNTA(条幅4分の1!$B$11:$B$310),INDEX(条幅4分の1!$I$11:$I$310,49-COUNTA(半紙!$B$11:$B$310)-COUNTA(条幅!$B$11:$B$310)),""))))</f>
        <v/>
      </c>
      <c r="J54" s="38" t="str">
        <f>IF(IF(49&lt;=COUNTA(半紙!$B$11:$B$310),INDEX(半紙!$J$11:$J$310,49),IF(49&lt;=COUNTA(半紙!$B$11:$B$310)+COUNTA(条幅!$B$11:$B$310),INDEX(条幅!$J$11:$J$310,49-COUNTA(半紙!$B$11:$B$310)),IF(49&lt;=COUNTA(半紙!$B$11:$B$310)+COUNTA(条幅!$B$11:$B$310)+COUNTA(条幅4分の1!$B$11:$B$310),INDEX(条幅4分の1!$J$11:$J$310,49-COUNTA(半紙!$B$11:$B$310)-COUNTA(条幅!$B$11:$B$310)),"")))=0,"",IF(49&lt;=COUNTA(半紙!$B$11:$B$310),INDEX(半紙!$J$11:$J$310,49),IF(49&lt;=COUNTA(半紙!$B$11:$B$310)+COUNTA(条幅!$B$11:$B$310),INDEX(条幅!$J$11:$J$310,49-COUNTA(半紙!$B$11:$B$310)),IF(49&lt;=COUNTA(半紙!$B$11:$B$310)+COUNTA(条幅!$B$11:$B$310)+COUNTA(条幅4分の1!$B$11:$B$310),INDEX(条幅4分の1!$J$11:$J$310,49-COUNTA(半紙!$B$11:$B$310)-COUNTA(条幅!$B$11:$B$310)),""))))</f>
        <v/>
      </c>
      <c r="K54" s="38" t="str">
        <f>IF(IF(49&lt;=COUNTA(半紙!$B$11:$B$310),INDEX(半紙!$K$11:$K$310,49),IF(49&lt;=COUNTA(半紙!$B$11:$B$310)+COUNTA(条幅!$B$11:$B$310),INDEX(条幅!$K$11:$K$310,49-COUNTA(半紙!$B$11:$B$310)),IF(49&lt;=COUNTA(半紙!$B$11:$B$310)+COUNTA(条幅!$B$11:$B$310)+COUNTA(条幅4分の1!$B$11:$B$310),INDEX(条幅4分の1!$K$11:$K$310,49-COUNTA(半紙!$B$11:$B$310)-COUNTA(条幅!$B$11:$B$310)),"")))=0,"",IF(49&lt;=COUNTA(半紙!$B$11:$B$310),INDEX(半紙!$K$11:$K$310,49),IF(49&lt;=COUNTA(半紙!$B$11:$B$310)+COUNTA(条幅!$B$11:$B$310),INDEX(条幅!$K$11:$K$310,49-COUNTA(半紙!$B$11:$B$310)),IF(49&lt;=COUNTA(半紙!$B$11:$B$310)+COUNTA(条幅!$B$11:$B$310)+COUNTA(条幅4分の1!$B$11:$B$310),INDEX(条幅4分の1!$K$11:$K$310,49-COUNTA(半紙!$B$11:$B$310)-COUNTA(条幅!$B$11:$B$310)),""))))</f>
        <v/>
      </c>
      <c r="L54" s="48" t="str">
        <f>IF($B54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49))</f>
        <v/>
      </c>
    </row>
    <row r="55" spans="1:12" ht="15" customHeight="1">
      <c r="A55" s="37" t="str">
        <f>IF(50&lt;=COUNTA(半紙!$B$11:$B$310),"半紙",IF(50&lt;=COUNTA(半紙!$B$11:$B$310)+COUNTA(条幅!$B$11:$B$310),"条幅(半切)",IF(50&lt;=COUNTA(半紙!$B$11:$B$310)+COUNTA(条幅!$B$11:$B$310)+COUNTA(条幅4分の1!$B$11:$B$310),"条幅(1/4)","")))</f>
        <v/>
      </c>
      <c r="B55" s="38" t="str">
        <f>IF(IF(50&lt;=COUNTA(半紙!$B$11:$B$310),INDEX(半紙!$B$11:$B$310,50),IF(50&lt;=COUNTA(半紙!$B$11:$B$310)+COUNTA(条幅!$B$11:$B$310),INDEX(条幅!$B$11:$B$310,50-COUNTA(半紙!$B$11:$B$310)),IF(50&lt;=COUNTA(半紙!$B$11:$B$310)+COUNTA(条幅!$B$11:$B$310)+COUNTA(条幅4分の1!$B$11:$B$310),INDEX(条幅4分の1!$B$11:$B$310,50-COUNTA(半紙!$B$11:$B$310)-COUNTA(条幅!$B$11:$B$310)),"")))=0,"",IF(50&lt;=COUNTA(半紙!$B$11:$B$310),INDEX(半紙!$B$11:$B$310,50),IF(50&lt;=COUNTA(半紙!$B$11:$B$310)+COUNTA(条幅!$B$11:$B$310),INDEX(条幅!$B$11:$B$310,50-COUNTA(半紙!$B$11:$B$310)),IF(50&lt;=COUNTA(半紙!$B$11:$B$310)+COUNTA(条幅!$B$11:$B$310)+COUNTA(条幅4分の1!$B$11:$B$310),INDEX(条幅4分の1!$B$11:$B$310,50-COUNTA(半紙!$B$11:$B$310)-COUNTA(条幅!$B$11:$B$310)),""))))</f>
        <v/>
      </c>
      <c r="C55" s="38" t="str">
        <f>IF(IF(50&lt;=COUNTA(半紙!$B$11:$B$310),INDEX(半紙!$C$11:$C$310,50),IF(50&lt;=COUNTA(半紙!$B$11:$B$310)+COUNTA(条幅!$B$11:$B$310),INDEX(条幅!$C$11:$C$310,50-COUNTA(半紙!$B$11:$B$310)),IF(50&lt;=COUNTA(半紙!$B$11:$B$310)+COUNTA(条幅!$B$11:$B$310)+COUNTA(条幅4分の1!$B$11:$B$310),INDEX(条幅4分の1!$C$11:$C$310,50-COUNTA(半紙!$B$11:$B$310)-COUNTA(条幅!$B$11:$B$310)),"")))=0,"",IF(50&lt;=COUNTA(半紙!$B$11:$B$310),INDEX(半紙!$C$11:$C$310,50),IF(50&lt;=COUNTA(半紙!$B$11:$B$310)+COUNTA(条幅!$B$11:$B$310),INDEX(条幅!$C$11:$C$310,50-COUNTA(半紙!$B$11:$B$310)),IF(50&lt;=COUNTA(半紙!$B$11:$B$310)+COUNTA(条幅!$B$11:$B$310)+COUNTA(条幅4分の1!$B$11:$B$310),INDEX(条幅4分の1!$C$11:$C$310,50-COUNTA(半紙!$B$11:$B$310)-COUNTA(条幅!$B$11:$B$310)),""))))</f>
        <v/>
      </c>
      <c r="D55" s="38" t="str">
        <f>IF(IF(50&lt;=COUNTA(半紙!$B$11:$B$310),INDEX(半紙!$D$11:$D$310,50),IF(50&lt;=COUNTA(半紙!$B$11:$B$310)+COUNTA(条幅!$B$11:$B$310),INDEX(条幅!$D$11:$D$310,50-COUNTA(半紙!$B$11:$B$310)),IF(50&lt;=COUNTA(半紙!$B$11:$B$310)+COUNTA(条幅!$B$11:$B$310)+COUNTA(条幅4分の1!$B$11:$B$310),INDEX(条幅4分の1!$D$11:$D$310,50-COUNTA(半紙!$B$11:$B$310)-COUNTA(条幅!$B$11:$B$310)),"")))=0,"",IF(50&lt;=COUNTA(半紙!$B$11:$B$310),INDEX(半紙!$D$11:$D$310,50),IF(50&lt;=COUNTA(半紙!$B$11:$B$310)+COUNTA(条幅!$B$11:$B$310),INDEX(条幅!$D$11:$D$310,50-COUNTA(半紙!$B$11:$B$310)),IF(50&lt;=COUNTA(半紙!$B$11:$B$310)+COUNTA(条幅!$B$11:$B$310)+COUNTA(条幅4分の1!$B$11:$B$310),INDEX(条幅4分の1!$D$11:$D$310,50-COUNTA(半紙!$B$11:$B$310)-COUNTA(条幅!$B$11:$B$310)),""))))</f>
        <v/>
      </c>
      <c r="E55" s="38" t="str">
        <f>IF(IF(50&lt;=COUNTA(半紙!$B$11:$B$310),INDEX(半紙!$E$11:$E$310,50),IF(50&lt;=COUNTA(半紙!$B$11:$B$310)+COUNTA(条幅!$B$11:$B$310),INDEX(条幅!$E$11:$E$310,50-COUNTA(半紙!$B$11:$B$310)),IF(50&lt;=COUNTA(半紙!$B$11:$B$310)+COUNTA(条幅!$B$11:$B$310)+COUNTA(条幅4分の1!$B$11:$B$310),INDEX(条幅4分の1!$E$11:$E$310,50-COUNTA(半紙!$B$11:$B$310)-COUNTA(条幅!$B$11:$B$310)),"")))=0,"",IF(50&lt;=COUNTA(半紙!$B$11:$B$310),INDEX(半紙!$E$11:$E$310,50),IF(50&lt;=COUNTA(半紙!$B$11:$B$310)+COUNTA(条幅!$B$11:$B$310),INDEX(条幅!$E$11:$E$310,50-COUNTA(半紙!$B$11:$B$310)),IF(50&lt;=COUNTA(半紙!$B$11:$B$310)+COUNTA(条幅!$B$11:$B$310)+COUNTA(条幅4分の1!$B$11:$B$310),INDEX(条幅4分の1!$E$11:$E$310,50-COUNTA(半紙!$B$11:$B$310)-COUNTA(条幅!$B$11:$B$310)),""))))</f>
        <v/>
      </c>
      <c r="F55" s="38" t="str">
        <f>IF(IF(50&lt;=COUNTA(半紙!$B$11:$B$310),INDEX(半紙!$F$11:$F$310,50),IF(50&lt;=COUNTA(半紙!$B$11:$B$310)+COUNTA(条幅!$B$11:$B$310),INDEX(条幅!$F$11:$F$310,50-COUNTA(半紙!$B$11:$B$310)),IF(50&lt;=COUNTA(半紙!$B$11:$B$310)+COUNTA(条幅!$B$11:$B$310)+COUNTA(条幅4分の1!$B$11:$B$310),INDEX(条幅4分の1!$F$11:$F$310,50-COUNTA(半紙!$B$11:$B$310)-COUNTA(条幅!$B$11:$B$310)),"")))=0,"",IF(50&lt;=COUNTA(半紙!$B$11:$B$310),INDEX(半紙!$F$11:$F$310,50),IF(50&lt;=COUNTA(半紙!$B$11:$B$310)+COUNTA(条幅!$B$11:$B$310),INDEX(条幅!$F$11:$F$310,50-COUNTA(半紙!$B$11:$B$310)),IF(50&lt;=COUNTA(半紙!$B$11:$B$310)+COUNTA(条幅!$B$11:$B$310)+COUNTA(条幅4分の1!$B$11:$B$310),INDEX(条幅4分の1!$F$11:$F$310,50-COUNTA(半紙!$B$11:$B$310)-COUNTA(条幅!$B$11:$B$310)),""))))</f>
        <v/>
      </c>
      <c r="G55" s="38" t="str">
        <f>IF(IF(50&lt;=COUNTA(半紙!$B$11:$B$310),INDEX(半紙!$G$11:$G$310,50),IF(50&lt;=COUNTA(半紙!$B$11:$B$310)+COUNTA(条幅!$B$11:$B$310),INDEX(条幅!$G$11:$G$310,50-COUNTA(半紙!$B$11:$B$310)),IF(50&lt;=COUNTA(半紙!$B$11:$B$310)+COUNTA(条幅!$B$11:$B$310)+COUNTA(条幅4分の1!$B$11:$B$310),INDEX(条幅4分の1!$G$11:$G$310,50-COUNTA(半紙!$B$11:$B$310)-COUNTA(条幅!$B$11:$B$310)),"")))=0,"",IF(50&lt;=COUNTA(半紙!$B$11:$B$310),INDEX(半紙!$G$11:$G$310,50),IF(50&lt;=COUNTA(半紙!$B$11:$B$310)+COUNTA(条幅!$B$11:$B$310),INDEX(条幅!$G$11:$G$310,50-COUNTA(半紙!$B$11:$B$310)),IF(50&lt;=COUNTA(半紙!$B$11:$B$310)+COUNTA(条幅!$B$11:$B$310)+COUNTA(条幅4分の1!$B$11:$B$310),INDEX(条幅4分の1!$G$11:$G$310,50-COUNTA(半紙!$B$11:$B$310)-COUNTA(条幅!$B$11:$B$310)),""))))</f>
        <v/>
      </c>
      <c r="H55" s="38" t="str">
        <f>IF(IF(50&lt;=COUNTA(半紙!$B$11:$B$310),INDEX(半紙!$H$11:$H$310,50),IF(50&lt;=COUNTA(半紙!$B$11:$B$310)+COUNTA(条幅!$B$11:$B$310),INDEX(条幅!$H$11:$H$310,50-COUNTA(半紙!$B$11:$B$310)),IF(50&lt;=COUNTA(半紙!$B$11:$B$310)+COUNTA(条幅!$B$11:$B$310)+COUNTA(条幅4分の1!$B$11:$B$310),INDEX(条幅4分の1!$H$11:$H$310,50-COUNTA(半紙!$B$11:$B$310)-COUNTA(条幅!$B$11:$B$310)),"")))=0,"",IF(50&lt;=COUNTA(半紙!$B$11:$B$310),INDEX(半紙!$H$11:$H$310,50),IF(50&lt;=COUNTA(半紙!$B$11:$B$310)+COUNTA(条幅!$B$11:$B$310),INDEX(条幅!$H$11:$H$310,50-COUNTA(半紙!$B$11:$B$310)),IF(50&lt;=COUNTA(半紙!$B$11:$B$310)+COUNTA(条幅!$B$11:$B$310)+COUNTA(条幅4分の1!$B$11:$B$310),INDEX(条幅4分の1!$H$11:$H$310,50-COUNTA(半紙!$B$11:$B$310)-COUNTA(条幅!$B$11:$B$310)),""))))</f>
        <v/>
      </c>
      <c r="I55" s="38" t="str">
        <f>IF(IF(50&lt;=COUNTA(半紙!$B$11:$B$310),INDEX(半紙!$I$11:$I$310,50),IF(50&lt;=COUNTA(半紙!$B$11:$B$310)+COUNTA(条幅!$B$11:$B$310),INDEX(条幅!$I$11:$I$310,50-COUNTA(半紙!$B$11:$B$310)),IF(50&lt;=COUNTA(半紙!$B$11:$B$310)+COUNTA(条幅!$B$11:$B$310)+COUNTA(条幅4分の1!$B$11:$B$310),INDEX(条幅4分の1!$I$11:$I$310,50-COUNTA(半紙!$B$11:$B$310)-COUNTA(条幅!$B$11:$B$310)),"")))=0,"",IF(50&lt;=COUNTA(半紙!$B$11:$B$310),INDEX(半紙!$I$11:$I$310,50),IF(50&lt;=COUNTA(半紙!$B$11:$B$310)+COUNTA(条幅!$B$11:$B$310),INDEX(条幅!$I$11:$I$310,50-COUNTA(半紙!$B$11:$B$310)),IF(50&lt;=COUNTA(半紙!$B$11:$B$310)+COUNTA(条幅!$B$11:$B$310)+COUNTA(条幅4分の1!$B$11:$B$310),INDEX(条幅4分の1!$I$11:$I$310,50-COUNTA(半紙!$B$11:$B$310)-COUNTA(条幅!$B$11:$B$310)),""))))</f>
        <v/>
      </c>
      <c r="J55" s="38" t="str">
        <f>IF(IF(50&lt;=COUNTA(半紙!$B$11:$B$310),INDEX(半紙!$J$11:$J$310,50),IF(50&lt;=COUNTA(半紙!$B$11:$B$310)+COUNTA(条幅!$B$11:$B$310),INDEX(条幅!$J$11:$J$310,50-COUNTA(半紙!$B$11:$B$310)),IF(50&lt;=COUNTA(半紙!$B$11:$B$310)+COUNTA(条幅!$B$11:$B$310)+COUNTA(条幅4分の1!$B$11:$B$310),INDEX(条幅4分の1!$J$11:$J$310,50-COUNTA(半紙!$B$11:$B$310)-COUNTA(条幅!$B$11:$B$310)),"")))=0,"",IF(50&lt;=COUNTA(半紙!$B$11:$B$310),INDEX(半紙!$J$11:$J$310,50),IF(50&lt;=COUNTA(半紙!$B$11:$B$310)+COUNTA(条幅!$B$11:$B$310),INDEX(条幅!$J$11:$J$310,50-COUNTA(半紙!$B$11:$B$310)),IF(50&lt;=COUNTA(半紙!$B$11:$B$310)+COUNTA(条幅!$B$11:$B$310)+COUNTA(条幅4分の1!$B$11:$B$310),INDEX(条幅4分の1!$J$11:$J$310,50-COUNTA(半紙!$B$11:$B$310)-COUNTA(条幅!$B$11:$B$310)),""))))</f>
        <v/>
      </c>
      <c r="K55" s="38" t="str">
        <f>IF(IF(50&lt;=COUNTA(半紙!$B$11:$B$310),INDEX(半紙!$K$11:$K$310,50),IF(50&lt;=COUNTA(半紙!$B$11:$B$310)+COUNTA(条幅!$B$11:$B$310),INDEX(条幅!$K$11:$K$310,50-COUNTA(半紙!$B$11:$B$310)),IF(50&lt;=COUNTA(半紙!$B$11:$B$310)+COUNTA(条幅!$B$11:$B$310)+COUNTA(条幅4分の1!$B$11:$B$310),INDEX(条幅4分の1!$K$11:$K$310,50-COUNTA(半紙!$B$11:$B$310)-COUNTA(条幅!$B$11:$B$310)),"")))=0,"",IF(50&lt;=COUNTA(半紙!$B$11:$B$310),INDEX(半紙!$K$11:$K$310,50),IF(50&lt;=COUNTA(半紙!$B$11:$B$310)+COUNTA(条幅!$B$11:$B$310),INDEX(条幅!$K$11:$K$310,50-COUNTA(半紙!$B$11:$B$310)),IF(50&lt;=COUNTA(半紙!$B$11:$B$310)+COUNTA(条幅!$B$11:$B$310)+COUNTA(条幅4分の1!$B$11:$B$310),INDEX(条幅4分の1!$K$11:$K$310,50-COUNTA(半紙!$B$11:$B$310)-COUNTA(条幅!$B$11:$B$310)),""))))</f>
        <v/>
      </c>
      <c r="L55" s="48" t="str">
        <f>IF($B55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50))</f>
        <v/>
      </c>
    </row>
    <row r="56" spans="1:12" ht="15" customHeight="1">
      <c r="A56" s="37" t="str">
        <f>IF(51&lt;=COUNTA(半紙!$B$11:$B$310),"半紙",IF(51&lt;=COUNTA(半紙!$B$11:$B$310)+COUNTA(条幅!$B$11:$B$310),"条幅(半切)",IF(51&lt;=COUNTA(半紙!$B$11:$B$310)+COUNTA(条幅!$B$11:$B$310)+COUNTA(条幅4分の1!$B$11:$B$310),"条幅(1/4)","")))</f>
        <v/>
      </c>
      <c r="B56" s="38" t="str">
        <f>IF(IF(51&lt;=COUNTA(半紙!$B$11:$B$310),INDEX(半紙!$B$11:$B$310,51),IF(51&lt;=COUNTA(半紙!$B$11:$B$310)+COUNTA(条幅!$B$11:$B$310),INDEX(条幅!$B$11:$B$310,51-COUNTA(半紙!$B$11:$B$310)),IF(51&lt;=COUNTA(半紙!$B$11:$B$310)+COUNTA(条幅!$B$11:$B$310)+COUNTA(条幅4分の1!$B$11:$B$310),INDEX(条幅4分の1!$B$11:$B$310,51-COUNTA(半紙!$B$11:$B$310)-COUNTA(条幅!$B$11:$B$310)),"")))=0,"",IF(51&lt;=COUNTA(半紙!$B$11:$B$310),INDEX(半紙!$B$11:$B$310,51),IF(51&lt;=COUNTA(半紙!$B$11:$B$310)+COUNTA(条幅!$B$11:$B$310),INDEX(条幅!$B$11:$B$310,51-COUNTA(半紙!$B$11:$B$310)),IF(51&lt;=COUNTA(半紙!$B$11:$B$310)+COUNTA(条幅!$B$11:$B$310)+COUNTA(条幅4分の1!$B$11:$B$310),INDEX(条幅4分の1!$B$11:$B$310,51-COUNTA(半紙!$B$11:$B$310)-COUNTA(条幅!$B$11:$B$310)),""))))</f>
        <v/>
      </c>
      <c r="C56" s="38" t="str">
        <f>IF(IF(51&lt;=COUNTA(半紙!$B$11:$B$310),INDEX(半紙!$C$11:$C$310,51),IF(51&lt;=COUNTA(半紙!$B$11:$B$310)+COUNTA(条幅!$B$11:$B$310),INDEX(条幅!$C$11:$C$310,51-COUNTA(半紙!$B$11:$B$310)),IF(51&lt;=COUNTA(半紙!$B$11:$B$310)+COUNTA(条幅!$B$11:$B$310)+COUNTA(条幅4分の1!$B$11:$B$310),INDEX(条幅4分の1!$C$11:$C$310,51-COUNTA(半紙!$B$11:$B$310)-COUNTA(条幅!$B$11:$B$310)),"")))=0,"",IF(51&lt;=COUNTA(半紙!$B$11:$B$310),INDEX(半紙!$C$11:$C$310,51),IF(51&lt;=COUNTA(半紙!$B$11:$B$310)+COUNTA(条幅!$B$11:$B$310),INDEX(条幅!$C$11:$C$310,51-COUNTA(半紙!$B$11:$B$310)),IF(51&lt;=COUNTA(半紙!$B$11:$B$310)+COUNTA(条幅!$B$11:$B$310)+COUNTA(条幅4分の1!$B$11:$B$310),INDEX(条幅4分の1!$C$11:$C$310,51-COUNTA(半紙!$B$11:$B$310)-COUNTA(条幅!$B$11:$B$310)),""))))</f>
        <v/>
      </c>
      <c r="D56" s="38" t="str">
        <f>IF(IF(51&lt;=COUNTA(半紙!$B$11:$B$310),INDEX(半紙!$D$11:$D$310,51),IF(51&lt;=COUNTA(半紙!$B$11:$B$310)+COUNTA(条幅!$B$11:$B$310),INDEX(条幅!$D$11:$D$310,51-COUNTA(半紙!$B$11:$B$310)),IF(51&lt;=COUNTA(半紙!$B$11:$B$310)+COUNTA(条幅!$B$11:$B$310)+COUNTA(条幅4分の1!$B$11:$B$310),INDEX(条幅4分の1!$D$11:$D$310,51-COUNTA(半紙!$B$11:$B$310)-COUNTA(条幅!$B$11:$B$310)),"")))=0,"",IF(51&lt;=COUNTA(半紙!$B$11:$B$310),INDEX(半紙!$D$11:$D$310,51),IF(51&lt;=COUNTA(半紙!$B$11:$B$310)+COUNTA(条幅!$B$11:$B$310),INDEX(条幅!$D$11:$D$310,51-COUNTA(半紙!$B$11:$B$310)),IF(51&lt;=COUNTA(半紙!$B$11:$B$310)+COUNTA(条幅!$B$11:$B$310)+COUNTA(条幅4分の1!$B$11:$B$310),INDEX(条幅4分の1!$D$11:$D$310,51-COUNTA(半紙!$B$11:$B$310)-COUNTA(条幅!$B$11:$B$310)),""))))</f>
        <v/>
      </c>
      <c r="E56" s="38" t="str">
        <f>IF(IF(51&lt;=COUNTA(半紙!$B$11:$B$310),INDEX(半紙!$E$11:$E$310,51),IF(51&lt;=COUNTA(半紙!$B$11:$B$310)+COUNTA(条幅!$B$11:$B$310),INDEX(条幅!$E$11:$E$310,51-COUNTA(半紙!$B$11:$B$310)),IF(51&lt;=COUNTA(半紙!$B$11:$B$310)+COUNTA(条幅!$B$11:$B$310)+COUNTA(条幅4分の1!$B$11:$B$310),INDEX(条幅4分の1!$E$11:$E$310,51-COUNTA(半紙!$B$11:$B$310)-COUNTA(条幅!$B$11:$B$310)),"")))=0,"",IF(51&lt;=COUNTA(半紙!$B$11:$B$310),INDEX(半紙!$E$11:$E$310,51),IF(51&lt;=COUNTA(半紙!$B$11:$B$310)+COUNTA(条幅!$B$11:$B$310),INDEX(条幅!$E$11:$E$310,51-COUNTA(半紙!$B$11:$B$310)),IF(51&lt;=COUNTA(半紙!$B$11:$B$310)+COUNTA(条幅!$B$11:$B$310)+COUNTA(条幅4分の1!$B$11:$B$310),INDEX(条幅4分の1!$E$11:$E$310,51-COUNTA(半紙!$B$11:$B$310)-COUNTA(条幅!$B$11:$B$310)),""))))</f>
        <v/>
      </c>
      <c r="F56" s="38" t="str">
        <f>IF(IF(51&lt;=COUNTA(半紙!$B$11:$B$310),INDEX(半紙!$F$11:$F$310,51),IF(51&lt;=COUNTA(半紙!$B$11:$B$310)+COUNTA(条幅!$B$11:$B$310),INDEX(条幅!$F$11:$F$310,51-COUNTA(半紙!$B$11:$B$310)),IF(51&lt;=COUNTA(半紙!$B$11:$B$310)+COUNTA(条幅!$B$11:$B$310)+COUNTA(条幅4分の1!$B$11:$B$310),INDEX(条幅4分の1!$F$11:$F$310,51-COUNTA(半紙!$B$11:$B$310)-COUNTA(条幅!$B$11:$B$310)),"")))=0,"",IF(51&lt;=COUNTA(半紙!$B$11:$B$310),INDEX(半紙!$F$11:$F$310,51),IF(51&lt;=COUNTA(半紙!$B$11:$B$310)+COUNTA(条幅!$B$11:$B$310),INDEX(条幅!$F$11:$F$310,51-COUNTA(半紙!$B$11:$B$310)),IF(51&lt;=COUNTA(半紙!$B$11:$B$310)+COUNTA(条幅!$B$11:$B$310)+COUNTA(条幅4分の1!$B$11:$B$310),INDEX(条幅4分の1!$F$11:$F$310,51-COUNTA(半紙!$B$11:$B$310)-COUNTA(条幅!$B$11:$B$310)),""))))</f>
        <v/>
      </c>
      <c r="G56" s="38" t="str">
        <f>IF(IF(51&lt;=COUNTA(半紙!$B$11:$B$310),INDEX(半紙!$G$11:$G$310,51),IF(51&lt;=COUNTA(半紙!$B$11:$B$310)+COUNTA(条幅!$B$11:$B$310),INDEX(条幅!$G$11:$G$310,51-COUNTA(半紙!$B$11:$B$310)),IF(51&lt;=COUNTA(半紙!$B$11:$B$310)+COUNTA(条幅!$B$11:$B$310)+COUNTA(条幅4分の1!$B$11:$B$310),INDEX(条幅4分の1!$G$11:$G$310,51-COUNTA(半紙!$B$11:$B$310)-COUNTA(条幅!$B$11:$B$310)),"")))=0,"",IF(51&lt;=COUNTA(半紙!$B$11:$B$310),INDEX(半紙!$G$11:$G$310,51),IF(51&lt;=COUNTA(半紙!$B$11:$B$310)+COUNTA(条幅!$B$11:$B$310),INDEX(条幅!$G$11:$G$310,51-COUNTA(半紙!$B$11:$B$310)),IF(51&lt;=COUNTA(半紙!$B$11:$B$310)+COUNTA(条幅!$B$11:$B$310)+COUNTA(条幅4分の1!$B$11:$B$310),INDEX(条幅4分の1!$G$11:$G$310,51-COUNTA(半紙!$B$11:$B$310)-COUNTA(条幅!$B$11:$B$310)),""))))</f>
        <v/>
      </c>
      <c r="H56" s="38" t="str">
        <f>IF(IF(51&lt;=COUNTA(半紙!$B$11:$B$310),INDEX(半紙!$H$11:$H$310,51),IF(51&lt;=COUNTA(半紙!$B$11:$B$310)+COUNTA(条幅!$B$11:$B$310),INDEX(条幅!$H$11:$H$310,51-COUNTA(半紙!$B$11:$B$310)),IF(51&lt;=COUNTA(半紙!$B$11:$B$310)+COUNTA(条幅!$B$11:$B$310)+COUNTA(条幅4分の1!$B$11:$B$310),INDEX(条幅4分の1!$H$11:$H$310,51-COUNTA(半紙!$B$11:$B$310)-COUNTA(条幅!$B$11:$B$310)),"")))=0,"",IF(51&lt;=COUNTA(半紙!$B$11:$B$310),INDEX(半紙!$H$11:$H$310,51),IF(51&lt;=COUNTA(半紙!$B$11:$B$310)+COUNTA(条幅!$B$11:$B$310),INDEX(条幅!$H$11:$H$310,51-COUNTA(半紙!$B$11:$B$310)),IF(51&lt;=COUNTA(半紙!$B$11:$B$310)+COUNTA(条幅!$B$11:$B$310)+COUNTA(条幅4分の1!$B$11:$B$310),INDEX(条幅4分の1!$H$11:$H$310,51-COUNTA(半紙!$B$11:$B$310)-COUNTA(条幅!$B$11:$B$310)),""))))</f>
        <v/>
      </c>
      <c r="I56" s="38" t="str">
        <f>IF(IF(51&lt;=COUNTA(半紙!$B$11:$B$310),INDEX(半紙!$I$11:$I$310,51),IF(51&lt;=COUNTA(半紙!$B$11:$B$310)+COUNTA(条幅!$B$11:$B$310),INDEX(条幅!$I$11:$I$310,51-COUNTA(半紙!$B$11:$B$310)),IF(51&lt;=COUNTA(半紙!$B$11:$B$310)+COUNTA(条幅!$B$11:$B$310)+COUNTA(条幅4分の1!$B$11:$B$310),INDEX(条幅4分の1!$I$11:$I$310,51-COUNTA(半紙!$B$11:$B$310)-COUNTA(条幅!$B$11:$B$310)),"")))=0,"",IF(51&lt;=COUNTA(半紙!$B$11:$B$310),INDEX(半紙!$I$11:$I$310,51),IF(51&lt;=COUNTA(半紙!$B$11:$B$310)+COUNTA(条幅!$B$11:$B$310),INDEX(条幅!$I$11:$I$310,51-COUNTA(半紙!$B$11:$B$310)),IF(51&lt;=COUNTA(半紙!$B$11:$B$310)+COUNTA(条幅!$B$11:$B$310)+COUNTA(条幅4分の1!$B$11:$B$310),INDEX(条幅4分の1!$I$11:$I$310,51-COUNTA(半紙!$B$11:$B$310)-COUNTA(条幅!$B$11:$B$310)),""))))</f>
        <v/>
      </c>
      <c r="J56" s="38" t="str">
        <f>IF(IF(51&lt;=COUNTA(半紙!$B$11:$B$310),INDEX(半紙!$J$11:$J$310,51),IF(51&lt;=COUNTA(半紙!$B$11:$B$310)+COUNTA(条幅!$B$11:$B$310),INDEX(条幅!$J$11:$J$310,51-COUNTA(半紙!$B$11:$B$310)),IF(51&lt;=COUNTA(半紙!$B$11:$B$310)+COUNTA(条幅!$B$11:$B$310)+COUNTA(条幅4分の1!$B$11:$B$310),INDEX(条幅4分の1!$J$11:$J$310,51-COUNTA(半紙!$B$11:$B$310)-COUNTA(条幅!$B$11:$B$310)),"")))=0,"",IF(51&lt;=COUNTA(半紙!$B$11:$B$310),INDEX(半紙!$J$11:$J$310,51),IF(51&lt;=COUNTA(半紙!$B$11:$B$310)+COUNTA(条幅!$B$11:$B$310),INDEX(条幅!$J$11:$J$310,51-COUNTA(半紙!$B$11:$B$310)),IF(51&lt;=COUNTA(半紙!$B$11:$B$310)+COUNTA(条幅!$B$11:$B$310)+COUNTA(条幅4分の1!$B$11:$B$310),INDEX(条幅4分の1!$J$11:$J$310,51-COUNTA(半紙!$B$11:$B$310)-COUNTA(条幅!$B$11:$B$310)),""))))</f>
        <v/>
      </c>
      <c r="K56" s="38" t="str">
        <f>IF(IF(51&lt;=COUNTA(半紙!$B$11:$B$310),INDEX(半紙!$K$11:$K$310,51),IF(51&lt;=COUNTA(半紙!$B$11:$B$310)+COUNTA(条幅!$B$11:$B$310),INDEX(条幅!$K$11:$K$310,51-COUNTA(半紙!$B$11:$B$310)),IF(51&lt;=COUNTA(半紙!$B$11:$B$310)+COUNTA(条幅!$B$11:$B$310)+COUNTA(条幅4分の1!$B$11:$B$310),INDEX(条幅4分の1!$K$11:$K$310,51-COUNTA(半紙!$B$11:$B$310)-COUNTA(条幅!$B$11:$B$310)),"")))=0,"",IF(51&lt;=COUNTA(半紙!$B$11:$B$310),INDEX(半紙!$K$11:$K$310,51),IF(51&lt;=COUNTA(半紙!$B$11:$B$310)+COUNTA(条幅!$B$11:$B$310),INDEX(条幅!$K$11:$K$310,51-COUNTA(半紙!$B$11:$B$310)),IF(51&lt;=COUNTA(半紙!$B$11:$B$310)+COUNTA(条幅!$B$11:$B$310)+COUNTA(条幅4分の1!$B$11:$B$310),INDEX(条幅4分の1!$K$11:$K$310,51-COUNTA(半紙!$B$11:$B$310)-COUNTA(条幅!$B$11:$B$310)),""))))</f>
        <v/>
      </c>
      <c r="L56" s="48" t="str">
        <f>IF($B56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51))</f>
        <v/>
      </c>
    </row>
    <row r="57" spans="1:12" ht="15" customHeight="1">
      <c r="A57" s="37" t="str">
        <f>IF(52&lt;=COUNTA(半紙!$B$11:$B$310),"半紙",IF(52&lt;=COUNTA(半紙!$B$11:$B$310)+COUNTA(条幅!$B$11:$B$310),"条幅(半切)",IF(52&lt;=COUNTA(半紙!$B$11:$B$310)+COUNTA(条幅!$B$11:$B$310)+COUNTA(条幅4分の1!$B$11:$B$310),"条幅(1/4)","")))</f>
        <v/>
      </c>
      <c r="B57" s="38" t="str">
        <f>IF(IF(52&lt;=COUNTA(半紙!$B$11:$B$310),INDEX(半紙!$B$11:$B$310,52),IF(52&lt;=COUNTA(半紙!$B$11:$B$310)+COUNTA(条幅!$B$11:$B$310),INDEX(条幅!$B$11:$B$310,52-COUNTA(半紙!$B$11:$B$310)),IF(52&lt;=COUNTA(半紙!$B$11:$B$310)+COUNTA(条幅!$B$11:$B$310)+COUNTA(条幅4分の1!$B$11:$B$310),INDEX(条幅4分の1!$B$11:$B$310,52-COUNTA(半紙!$B$11:$B$310)-COUNTA(条幅!$B$11:$B$310)),"")))=0,"",IF(52&lt;=COUNTA(半紙!$B$11:$B$310),INDEX(半紙!$B$11:$B$310,52),IF(52&lt;=COUNTA(半紙!$B$11:$B$310)+COUNTA(条幅!$B$11:$B$310),INDEX(条幅!$B$11:$B$310,52-COUNTA(半紙!$B$11:$B$310)),IF(52&lt;=COUNTA(半紙!$B$11:$B$310)+COUNTA(条幅!$B$11:$B$310)+COUNTA(条幅4分の1!$B$11:$B$310),INDEX(条幅4分の1!$B$11:$B$310,52-COUNTA(半紙!$B$11:$B$310)-COUNTA(条幅!$B$11:$B$310)),""))))</f>
        <v/>
      </c>
      <c r="C57" s="38" t="str">
        <f>IF(IF(52&lt;=COUNTA(半紙!$B$11:$B$310),INDEX(半紙!$C$11:$C$310,52),IF(52&lt;=COUNTA(半紙!$B$11:$B$310)+COUNTA(条幅!$B$11:$B$310),INDEX(条幅!$C$11:$C$310,52-COUNTA(半紙!$B$11:$B$310)),IF(52&lt;=COUNTA(半紙!$B$11:$B$310)+COUNTA(条幅!$B$11:$B$310)+COUNTA(条幅4分の1!$B$11:$B$310),INDEX(条幅4分の1!$C$11:$C$310,52-COUNTA(半紙!$B$11:$B$310)-COUNTA(条幅!$B$11:$B$310)),"")))=0,"",IF(52&lt;=COUNTA(半紙!$B$11:$B$310),INDEX(半紙!$C$11:$C$310,52),IF(52&lt;=COUNTA(半紙!$B$11:$B$310)+COUNTA(条幅!$B$11:$B$310),INDEX(条幅!$C$11:$C$310,52-COUNTA(半紙!$B$11:$B$310)),IF(52&lt;=COUNTA(半紙!$B$11:$B$310)+COUNTA(条幅!$B$11:$B$310)+COUNTA(条幅4分の1!$B$11:$B$310),INDEX(条幅4分の1!$C$11:$C$310,52-COUNTA(半紙!$B$11:$B$310)-COUNTA(条幅!$B$11:$B$310)),""))))</f>
        <v/>
      </c>
      <c r="D57" s="38" t="str">
        <f>IF(IF(52&lt;=COUNTA(半紙!$B$11:$B$310),INDEX(半紙!$D$11:$D$310,52),IF(52&lt;=COUNTA(半紙!$B$11:$B$310)+COUNTA(条幅!$B$11:$B$310),INDEX(条幅!$D$11:$D$310,52-COUNTA(半紙!$B$11:$B$310)),IF(52&lt;=COUNTA(半紙!$B$11:$B$310)+COUNTA(条幅!$B$11:$B$310)+COUNTA(条幅4分の1!$B$11:$B$310),INDEX(条幅4分の1!$D$11:$D$310,52-COUNTA(半紙!$B$11:$B$310)-COUNTA(条幅!$B$11:$B$310)),"")))=0,"",IF(52&lt;=COUNTA(半紙!$B$11:$B$310),INDEX(半紙!$D$11:$D$310,52),IF(52&lt;=COUNTA(半紙!$B$11:$B$310)+COUNTA(条幅!$B$11:$B$310),INDEX(条幅!$D$11:$D$310,52-COUNTA(半紙!$B$11:$B$310)),IF(52&lt;=COUNTA(半紙!$B$11:$B$310)+COUNTA(条幅!$B$11:$B$310)+COUNTA(条幅4分の1!$B$11:$B$310),INDEX(条幅4分の1!$D$11:$D$310,52-COUNTA(半紙!$B$11:$B$310)-COUNTA(条幅!$B$11:$B$310)),""))))</f>
        <v/>
      </c>
      <c r="E57" s="38" t="str">
        <f>IF(IF(52&lt;=COUNTA(半紙!$B$11:$B$310),INDEX(半紙!$E$11:$E$310,52),IF(52&lt;=COUNTA(半紙!$B$11:$B$310)+COUNTA(条幅!$B$11:$B$310),INDEX(条幅!$E$11:$E$310,52-COUNTA(半紙!$B$11:$B$310)),IF(52&lt;=COUNTA(半紙!$B$11:$B$310)+COUNTA(条幅!$B$11:$B$310)+COUNTA(条幅4分の1!$B$11:$B$310),INDEX(条幅4分の1!$E$11:$E$310,52-COUNTA(半紙!$B$11:$B$310)-COUNTA(条幅!$B$11:$B$310)),"")))=0,"",IF(52&lt;=COUNTA(半紙!$B$11:$B$310),INDEX(半紙!$E$11:$E$310,52),IF(52&lt;=COUNTA(半紙!$B$11:$B$310)+COUNTA(条幅!$B$11:$B$310),INDEX(条幅!$E$11:$E$310,52-COUNTA(半紙!$B$11:$B$310)),IF(52&lt;=COUNTA(半紙!$B$11:$B$310)+COUNTA(条幅!$B$11:$B$310)+COUNTA(条幅4分の1!$B$11:$B$310),INDEX(条幅4分の1!$E$11:$E$310,52-COUNTA(半紙!$B$11:$B$310)-COUNTA(条幅!$B$11:$B$310)),""))))</f>
        <v/>
      </c>
      <c r="F57" s="38" t="str">
        <f>IF(IF(52&lt;=COUNTA(半紙!$B$11:$B$310),INDEX(半紙!$F$11:$F$310,52),IF(52&lt;=COUNTA(半紙!$B$11:$B$310)+COUNTA(条幅!$B$11:$B$310),INDEX(条幅!$F$11:$F$310,52-COUNTA(半紙!$B$11:$B$310)),IF(52&lt;=COUNTA(半紙!$B$11:$B$310)+COUNTA(条幅!$B$11:$B$310)+COUNTA(条幅4分の1!$B$11:$B$310),INDEX(条幅4分の1!$F$11:$F$310,52-COUNTA(半紙!$B$11:$B$310)-COUNTA(条幅!$B$11:$B$310)),"")))=0,"",IF(52&lt;=COUNTA(半紙!$B$11:$B$310),INDEX(半紙!$F$11:$F$310,52),IF(52&lt;=COUNTA(半紙!$B$11:$B$310)+COUNTA(条幅!$B$11:$B$310),INDEX(条幅!$F$11:$F$310,52-COUNTA(半紙!$B$11:$B$310)),IF(52&lt;=COUNTA(半紙!$B$11:$B$310)+COUNTA(条幅!$B$11:$B$310)+COUNTA(条幅4分の1!$B$11:$B$310),INDEX(条幅4分の1!$F$11:$F$310,52-COUNTA(半紙!$B$11:$B$310)-COUNTA(条幅!$B$11:$B$310)),""))))</f>
        <v/>
      </c>
      <c r="G57" s="38" t="str">
        <f>IF(IF(52&lt;=COUNTA(半紙!$B$11:$B$310),INDEX(半紙!$G$11:$G$310,52),IF(52&lt;=COUNTA(半紙!$B$11:$B$310)+COUNTA(条幅!$B$11:$B$310),INDEX(条幅!$G$11:$G$310,52-COUNTA(半紙!$B$11:$B$310)),IF(52&lt;=COUNTA(半紙!$B$11:$B$310)+COUNTA(条幅!$B$11:$B$310)+COUNTA(条幅4分の1!$B$11:$B$310),INDEX(条幅4分の1!$G$11:$G$310,52-COUNTA(半紙!$B$11:$B$310)-COUNTA(条幅!$B$11:$B$310)),"")))=0,"",IF(52&lt;=COUNTA(半紙!$B$11:$B$310),INDEX(半紙!$G$11:$G$310,52),IF(52&lt;=COUNTA(半紙!$B$11:$B$310)+COUNTA(条幅!$B$11:$B$310),INDEX(条幅!$G$11:$G$310,52-COUNTA(半紙!$B$11:$B$310)),IF(52&lt;=COUNTA(半紙!$B$11:$B$310)+COUNTA(条幅!$B$11:$B$310)+COUNTA(条幅4分の1!$B$11:$B$310),INDEX(条幅4分の1!$G$11:$G$310,52-COUNTA(半紙!$B$11:$B$310)-COUNTA(条幅!$B$11:$B$310)),""))))</f>
        <v/>
      </c>
      <c r="H57" s="38" t="str">
        <f>IF(IF(52&lt;=COUNTA(半紙!$B$11:$B$310),INDEX(半紙!$H$11:$H$310,52),IF(52&lt;=COUNTA(半紙!$B$11:$B$310)+COUNTA(条幅!$B$11:$B$310),INDEX(条幅!$H$11:$H$310,52-COUNTA(半紙!$B$11:$B$310)),IF(52&lt;=COUNTA(半紙!$B$11:$B$310)+COUNTA(条幅!$B$11:$B$310)+COUNTA(条幅4分の1!$B$11:$B$310),INDEX(条幅4分の1!$H$11:$H$310,52-COUNTA(半紙!$B$11:$B$310)-COUNTA(条幅!$B$11:$B$310)),"")))=0,"",IF(52&lt;=COUNTA(半紙!$B$11:$B$310),INDEX(半紙!$H$11:$H$310,52),IF(52&lt;=COUNTA(半紙!$B$11:$B$310)+COUNTA(条幅!$B$11:$B$310),INDEX(条幅!$H$11:$H$310,52-COUNTA(半紙!$B$11:$B$310)),IF(52&lt;=COUNTA(半紙!$B$11:$B$310)+COUNTA(条幅!$B$11:$B$310)+COUNTA(条幅4分の1!$B$11:$B$310),INDEX(条幅4分の1!$H$11:$H$310,52-COUNTA(半紙!$B$11:$B$310)-COUNTA(条幅!$B$11:$B$310)),""))))</f>
        <v/>
      </c>
      <c r="I57" s="38" t="str">
        <f>IF(IF(52&lt;=COUNTA(半紙!$B$11:$B$310),INDEX(半紙!$I$11:$I$310,52),IF(52&lt;=COUNTA(半紙!$B$11:$B$310)+COUNTA(条幅!$B$11:$B$310),INDEX(条幅!$I$11:$I$310,52-COUNTA(半紙!$B$11:$B$310)),IF(52&lt;=COUNTA(半紙!$B$11:$B$310)+COUNTA(条幅!$B$11:$B$310)+COUNTA(条幅4分の1!$B$11:$B$310),INDEX(条幅4分の1!$I$11:$I$310,52-COUNTA(半紙!$B$11:$B$310)-COUNTA(条幅!$B$11:$B$310)),"")))=0,"",IF(52&lt;=COUNTA(半紙!$B$11:$B$310),INDEX(半紙!$I$11:$I$310,52),IF(52&lt;=COUNTA(半紙!$B$11:$B$310)+COUNTA(条幅!$B$11:$B$310),INDEX(条幅!$I$11:$I$310,52-COUNTA(半紙!$B$11:$B$310)),IF(52&lt;=COUNTA(半紙!$B$11:$B$310)+COUNTA(条幅!$B$11:$B$310)+COUNTA(条幅4分の1!$B$11:$B$310),INDEX(条幅4分の1!$I$11:$I$310,52-COUNTA(半紙!$B$11:$B$310)-COUNTA(条幅!$B$11:$B$310)),""))))</f>
        <v/>
      </c>
      <c r="J57" s="38" t="str">
        <f>IF(IF(52&lt;=COUNTA(半紙!$B$11:$B$310),INDEX(半紙!$J$11:$J$310,52),IF(52&lt;=COUNTA(半紙!$B$11:$B$310)+COUNTA(条幅!$B$11:$B$310),INDEX(条幅!$J$11:$J$310,52-COUNTA(半紙!$B$11:$B$310)),IF(52&lt;=COUNTA(半紙!$B$11:$B$310)+COUNTA(条幅!$B$11:$B$310)+COUNTA(条幅4分の1!$B$11:$B$310),INDEX(条幅4分の1!$J$11:$J$310,52-COUNTA(半紙!$B$11:$B$310)-COUNTA(条幅!$B$11:$B$310)),"")))=0,"",IF(52&lt;=COUNTA(半紙!$B$11:$B$310),INDEX(半紙!$J$11:$J$310,52),IF(52&lt;=COUNTA(半紙!$B$11:$B$310)+COUNTA(条幅!$B$11:$B$310),INDEX(条幅!$J$11:$J$310,52-COUNTA(半紙!$B$11:$B$310)),IF(52&lt;=COUNTA(半紙!$B$11:$B$310)+COUNTA(条幅!$B$11:$B$310)+COUNTA(条幅4分の1!$B$11:$B$310),INDEX(条幅4分の1!$J$11:$J$310,52-COUNTA(半紙!$B$11:$B$310)-COUNTA(条幅!$B$11:$B$310)),""))))</f>
        <v/>
      </c>
      <c r="K57" s="38" t="str">
        <f>IF(IF(52&lt;=COUNTA(半紙!$B$11:$B$310),INDEX(半紙!$K$11:$K$310,52),IF(52&lt;=COUNTA(半紙!$B$11:$B$310)+COUNTA(条幅!$B$11:$B$310),INDEX(条幅!$K$11:$K$310,52-COUNTA(半紙!$B$11:$B$310)),IF(52&lt;=COUNTA(半紙!$B$11:$B$310)+COUNTA(条幅!$B$11:$B$310)+COUNTA(条幅4分の1!$B$11:$B$310),INDEX(条幅4分の1!$K$11:$K$310,52-COUNTA(半紙!$B$11:$B$310)-COUNTA(条幅!$B$11:$B$310)),"")))=0,"",IF(52&lt;=COUNTA(半紙!$B$11:$B$310),INDEX(半紙!$K$11:$K$310,52),IF(52&lt;=COUNTA(半紙!$B$11:$B$310)+COUNTA(条幅!$B$11:$B$310),INDEX(条幅!$K$11:$K$310,52-COUNTA(半紙!$B$11:$B$310)),IF(52&lt;=COUNTA(半紙!$B$11:$B$310)+COUNTA(条幅!$B$11:$B$310)+COUNTA(条幅4分の1!$B$11:$B$310),INDEX(条幅4分の1!$K$11:$K$310,52-COUNTA(半紙!$B$11:$B$310)-COUNTA(条幅!$B$11:$B$310)),""))))</f>
        <v/>
      </c>
      <c r="L57" s="48" t="str">
        <f>IF($B57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52))</f>
        <v/>
      </c>
    </row>
    <row r="58" spans="1:12" ht="15" customHeight="1">
      <c r="A58" s="37" t="str">
        <f>IF(53&lt;=COUNTA(半紙!$B$11:$B$310),"半紙",IF(53&lt;=COUNTA(半紙!$B$11:$B$310)+COUNTA(条幅!$B$11:$B$310),"条幅(半切)",IF(53&lt;=COUNTA(半紙!$B$11:$B$310)+COUNTA(条幅!$B$11:$B$310)+COUNTA(条幅4分の1!$B$11:$B$310),"条幅(1/4)","")))</f>
        <v/>
      </c>
      <c r="B58" s="38" t="str">
        <f>IF(IF(53&lt;=COUNTA(半紙!$B$11:$B$310),INDEX(半紙!$B$11:$B$310,53),IF(53&lt;=COUNTA(半紙!$B$11:$B$310)+COUNTA(条幅!$B$11:$B$310),INDEX(条幅!$B$11:$B$310,53-COUNTA(半紙!$B$11:$B$310)),IF(53&lt;=COUNTA(半紙!$B$11:$B$310)+COUNTA(条幅!$B$11:$B$310)+COUNTA(条幅4分の1!$B$11:$B$310),INDEX(条幅4分の1!$B$11:$B$310,53-COUNTA(半紙!$B$11:$B$310)-COUNTA(条幅!$B$11:$B$310)),"")))=0,"",IF(53&lt;=COUNTA(半紙!$B$11:$B$310),INDEX(半紙!$B$11:$B$310,53),IF(53&lt;=COUNTA(半紙!$B$11:$B$310)+COUNTA(条幅!$B$11:$B$310),INDEX(条幅!$B$11:$B$310,53-COUNTA(半紙!$B$11:$B$310)),IF(53&lt;=COUNTA(半紙!$B$11:$B$310)+COUNTA(条幅!$B$11:$B$310)+COUNTA(条幅4分の1!$B$11:$B$310),INDEX(条幅4分の1!$B$11:$B$310,53-COUNTA(半紙!$B$11:$B$310)-COUNTA(条幅!$B$11:$B$310)),""))))</f>
        <v/>
      </c>
      <c r="C58" s="38" t="str">
        <f>IF(IF(53&lt;=COUNTA(半紙!$B$11:$B$310),INDEX(半紙!$C$11:$C$310,53),IF(53&lt;=COUNTA(半紙!$B$11:$B$310)+COUNTA(条幅!$B$11:$B$310),INDEX(条幅!$C$11:$C$310,53-COUNTA(半紙!$B$11:$B$310)),IF(53&lt;=COUNTA(半紙!$B$11:$B$310)+COUNTA(条幅!$B$11:$B$310)+COUNTA(条幅4分の1!$B$11:$B$310),INDEX(条幅4分の1!$C$11:$C$310,53-COUNTA(半紙!$B$11:$B$310)-COUNTA(条幅!$B$11:$B$310)),"")))=0,"",IF(53&lt;=COUNTA(半紙!$B$11:$B$310),INDEX(半紙!$C$11:$C$310,53),IF(53&lt;=COUNTA(半紙!$B$11:$B$310)+COUNTA(条幅!$B$11:$B$310),INDEX(条幅!$C$11:$C$310,53-COUNTA(半紙!$B$11:$B$310)),IF(53&lt;=COUNTA(半紙!$B$11:$B$310)+COUNTA(条幅!$B$11:$B$310)+COUNTA(条幅4分の1!$B$11:$B$310),INDEX(条幅4分の1!$C$11:$C$310,53-COUNTA(半紙!$B$11:$B$310)-COUNTA(条幅!$B$11:$B$310)),""))))</f>
        <v/>
      </c>
      <c r="D58" s="38" t="str">
        <f>IF(IF(53&lt;=COUNTA(半紙!$B$11:$B$310),INDEX(半紙!$D$11:$D$310,53),IF(53&lt;=COUNTA(半紙!$B$11:$B$310)+COUNTA(条幅!$B$11:$B$310),INDEX(条幅!$D$11:$D$310,53-COUNTA(半紙!$B$11:$B$310)),IF(53&lt;=COUNTA(半紙!$B$11:$B$310)+COUNTA(条幅!$B$11:$B$310)+COUNTA(条幅4分の1!$B$11:$B$310),INDEX(条幅4分の1!$D$11:$D$310,53-COUNTA(半紙!$B$11:$B$310)-COUNTA(条幅!$B$11:$B$310)),"")))=0,"",IF(53&lt;=COUNTA(半紙!$B$11:$B$310),INDEX(半紙!$D$11:$D$310,53),IF(53&lt;=COUNTA(半紙!$B$11:$B$310)+COUNTA(条幅!$B$11:$B$310),INDEX(条幅!$D$11:$D$310,53-COUNTA(半紙!$B$11:$B$310)),IF(53&lt;=COUNTA(半紙!$B$11:$B$310)+COUNTA(条幅!$B$11:$B$310)+COUNTA(条幅4分の1!$B$11:$B$310),INDEX(条幅4分の1!$D$11:$D$310,53-COUNTA(半紙!$B$11:$B$310)-COUNTA(条幅!$B$11:$B$310)),""))))</f>
        <v/>
      </c>
      <c r="E58" s="38" t="str">
        <f>IF(IF(53&lt;=COUNTA(半紙!$B$11:$B$310),INDEX(半紙!$E$11:$E$310,53),IF(53&lt;=COUNTA(半紙!$B$11:$B$310)+COUNTA(条幅!$B$11:$B$310),INDEX(条幅!$E$11:$E$310,53-COUNTA(半紙!$B$11:$B$310)),IF(53&lt;=COUNTA(半紙!$B$11:$B$310)+COUNTA(条幅!$B$11:$B$310)+COUNTA(条幅4分の1!$B$11:$B$310),INDEX(条幅4分の1!$E$11:$E$310,53-COUNTA(半紙!$B$11:$B$310)-COUNTA(条幅!$B$11:$B$310)),"")))=0,"",IF(53&lt;=COUNTA(半紙!$B$11:$B$310),INDEX(半紙!$E$11:$E$310,53),IF(53&lt;=COUNTA(半紙!$B$11:$B$310)+COUNTA(条幅!$B$11:$B$310),INDEX(条幅!$E$11:$E$310,53-COUNTA(半紙!$B$11:$B$310)),IF(53&lt;=COUNTA(半紙!$B$11:$B$310)+COUNTA(条幅!$B$11:$B$310)+COUNTA(条幅4分の1!$B$11:$B$310),INDEX(条幅4分の1!$E$11:$E$310,53-COUNTA(半紙!$B$11:$B$310)-COUNTA(条幅!$B$11:$B$310)),""))))</f>
        <v/>
      </c>
      <c r="F58" s="38" t="str">
        <f>IF(IF(53&lt;=COUNTA(半紙!$B$11:$B$310),INDEX(半紙!$F$11:$F$310,53),IF(53&lt;=COUNTA(半紙!$B$11:$B$310)+COUNTA(条幅!$B$11:$B$310),INDEX(条幅!$F$11:$F$310,53-COUNTA(半紙!$B$11:$B$310)),IF(53&lt;=COUNTA(半紙!$B$11:$B$310)+COUNTA(条幅!$B$11:$B$310)+COUNTA(条幅4分の1!$B$11:$B$310),INDEX(条幅4分の1!$F$11:$F$310,53-COUNTA(半紙!$B$11:$B$310)-COUNTA(条幅!$B$11:$B$310)),"")))=0,"",IF(53&lt;=COUNTA(半紙!$B$11:$B$310),INDEX(半紙!$F$11:$F$310,53),IF(53&lt;=COUNTA(半紙!$B$11:$B$310)+COUNTA(条幅!$B$11:$B$310),INDEX(条幅!$F$11:$F$310,53-COUNTA(半紙!$B$11:$B$310)),IF(53&lt;=COUNTA(半紙!$B$11:$B$310)+COUNTA(条幅!$B$11:$B$310)+COUNTA(条幅4分の1!$B$11:$B$310),INDEX(条幅4分の1!$F$11:$F$310,53-COUNTA(半紙!$B$11:$B$310)-COUNTA(条幅!$B$11:$B$310)),""))))</f>
        <v/>
      </c>
      <c r="G58" s="38" t="str">
        <f>IF(IF(53&lt;=COUNTA(半紙!$B$11:$B$310),INDEX(半紙!$G$11:$G$310,53),IF(53&lt;=COUNTA(半紙!$B$11:$B$310)+COUNTA(条幅!$B$11:$B$310),INDEX(条幅!$G$11:$G$310,53-COUNTA(半紙!$B$11:$B$310)),IF(53&lt;=COUNTA(半紙!$B$11:$B$310)+COUNTA(条幅!$B$11:$B$310)+COUNTA(条幅4分の1!$B$11:$B$310),INDEX(条幅4分の1!$G$11:$G$310,53-COUNTA(半紙!$B$11:$B$310)-COUNTA(条幅!$B$11:$B$310)),"")))=0,"",IF(53&lt;=COUNTA(半紙!$B$11:$B$310),INDEX(半紙!$G$11:$G$310,53),IF(53&lt;=COUNTA(半紙!$B$11:$B$310)+COUNTA(条幅!$B$11:$B$310),INDEX(条幅!$G$11:$G$310,53-COUNTA(半紙!$B$11:$B$310)),IF(53&lt;=COUNTA(半紙!$B$11:$B$310)+COUNTA(条幅!$B$11:$B$310)+COUNTA(条幅4分の1!$B$11:$B$310),INDEX(条幅4分の1!$G$11:$G$310,53-COUNTA(半紙!$B$11:$B$310)-COUNTA(条幅!$B$11:$B$310)),""))))</f>
        <v/>
      </c>
      <c r="H58" s="38" t="str">
        <f>IF(IF(53&lt;=COUNTA(半紙!$B$11:$B$310),INDEX(半紙!$H$11:$H$310,53),IF(53&lt;=COUNTA(半紙!$B$11:$B$310)+COUNTA(条幅!$B$11:$B$310),INDEX(条幅!$H$11:$H$310,53-COUNTA(半紙!$B$11:$B$310)),IF(53&lt;=COUNTA(半紙!$B$11:$B$310)+COUNTA(条幅!$B$11:$B$310)+COUNTA(条幅4分の1!$B$11:$B$310),INDEX(条幅4分の1!$H$11:$H$310,53-COUNTA(半紙!$B$11:$B$310)-COUNTA(条幅!$B$11:$B$310)),"")))=0,"",IF(53&lt;=COUNTA(半紙!$B$11:$B$310),INDEX(半紙!$H$11:$H$310,53),IF(53&lt;=COUNTA(半紙!$B$11:$B$310)+COUNTA(条幅!$B$11:$B$310),INDEX(条幅!$H$11:$H$310,53-COUNTA(半紙!$B$11:$B$310)),IF(53&lt;=COUNTA(半紙!$B$11:$B$310)+COUNTA(条幅!$B$11:$B$310)+COUNTA(条幅4分の1!$B$11:$B$310),INDEX(条幅4分の1!$H$11:$H$310,53-COUNTA(半紙!$B$11:$B$310)-COUNTA(条幅!$B$11:$B$310)),""))))</f>
        <v/>
      </c>
      <c r="I58" s="38" t="str">
        <f>IF(IF(53&lt;=COUNTA(半紙!$B$11:$B$310),INDEX(半紙!$I$11:$I$310,53),IF(53&lt;=COUNTA(半紙!$B$11:$B$310)+COUNTA(条幅!$B$11:$B$310),INDEX(条幅!$I$11:$I$310,53-COUNTA(半紙!$B$11:$B$310)),IF(53&lt;=COUNTA(半紙!$B$11:$B$310)+COUNTA(条幅!$B$11:$B$310)+COUNTA(条幅4分の1!$B$11:$B$310),INDEX(条幅4分の1!$I$11:$I$310,53-COUNTA(半紙!$B$11:$B$310)-COUNTA(条幅!$B$11:$B$310)),"")))=0,"",IF(53&lt;=COUNTA(半紙!$B$11:$B$310),INDEX(半紙!$I$11:$I$310,53),IF(53&lt;=COUNTA(半紙!$B$11:$B$310)+COUNTA(条幅!$B$11:$B$310),INDEX(条幅!$I$11:$I$310,53-COUNTA(半紙!$B$11:$B$310)),IF(53&lt;=COUNTA(半紙!$B$11:$B$310)+COUNTA(条幅!$B$11:$B$310)+COUNTA(条幅4分の1!$B$11:$B$310),INDEX(条幅4分の1!$I$11:$I$310,53-COUNTA(半紙!$B$11:$B$310)-COUNTA(条幅!$B$11:$B$310)),""))))</f>
        <v/>
      </c>
      <c r="J58" s="38" t="str">
        <f>IF(IF(53&lt;=COUNTA(半紙!$B$11:$B$310),INDEX(半紙!$J$11:$J$310,53),IF(53&lt;=COUNTA(半紙!$B$11:$B$310)+COUNTA(条幅!$B$11:$B$310),INDEX(条幅!$J$11:$J$310,53-COUNTA(半紙!$B$11:$B$310)),IF(53&lt;=COUNTA(半紙!$B$11:$B$310)+COUNTA(条幅!$B$11:$B$310)+COUNTA(条幅4分の1!$B$11:$B$310),INDEX(条幅4分の1!$J$11:$J$310,53-COUNTA(半紙!$B$11:$B$310)-COUNTA(条幅!$B$11:$B$310)),"")))=0,"",IF(53&lt;=COUNTA(半紙!$B$11:$B$310),INDEX(半紙!$J$11:$J$310,53),IF(53&lt;=COUNTA(半紙!$B$11:$B$310)+COUNTA(条幅!$B$11:$B$310),INDEX(条幅!$J$11:$J$310,53-COUNTA(半紙!$B$11:$B$310)),IF(53&lt;=COUNTA(半紙!$B$11:$B$310)+COUNTA(条幅!$B$11:$B$310)+COUNTA(条幅4分の1!$B$11:$B$310),INDEX(条幅4分の1!$J$11:$J$310,53-COUNTA(半紙!$B$11:$B$310)-COUNTA(条幅!$B$11:$B$310)),""))))</f>
        <v/>
      </c>
      <c r="K58" s="38" t="str">
        <f>IF(IF(53&lt;=COUNTA(半紙!$B$11:$B$310),INDEX(半紙!$K$11:$K$310,53),IF(53&lt;=COUNTA(半紙!$B$11:$B$310)+COUNTA(条幅!$B$11:$B$310),INDEX(条幅!$K$11:$K$310,53-COUNTA(半紙!$B$11:$B$310)),IF(53&lt;=COUNTA(半紙!$B$11:$B$310)+COUNTA(条幅!$B$11:$B$310)+COUNTA(条幅4分の1!$B$11:$B$310),INDEX(条幅4分の1!$K$11:$K$310,53-COUNTA(半紙!$B$11:$B$310)-COUNTA(条幅!$B$11:$B$310)),"")))=0,"",IF(53&lt;=COUNTA(半紙!$B$11:$B$310),INDEX(半紙!$K$11:$K$310,53),IF(53&lt;=COUNTA(半紙!$B$11:$B$310)+COUNTA(条幅!$B$11:$B$310),INDEX(条幅!$K$11:$K$310,53-COUNTA(半紙!$B$11:$B$310)),IF(53&lt;=COUNTA(半紙!$B$11:$B$310)+COUNTA(条幅!$B$11:$B$310)+COUNTA(条幅4分の1!$B$11:$B$310),INDEX(条幅4分の1!$K$11:$K$310,53-COUNTA(半紙!$B$11:$B$310)-COUNTA(条幅!$B$11:$B$310)),""))))</f>
        <v/>
      </c>
      <c r="L58" s="48" t="str">
        <f>IF($B58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53))</f>
        <v/>
      </c>
    </row>
    <row r="59" spans="1:12" ht="15" customHeight="1">
      <c r="A59" s="37" t="str">
        <f>IF(54&lt;=COUNTA(半紙!$B$11:$B$310),"半紙",IF(54&lt;=COUNTA(半紙!$B$11:$B$310)+COUNTA(条幅!$B$11:$B$310),"条幅(半切)",IF(54&lt;=COUNTA(半紙!$B$11:$B$310)+COUNTA(条幅!$B$11:$B$310)+COUNTA(条幅4分の1!$B$11:$B$310),"条幅(1/4)","")))</f>
        <v/>
      </c>
      <c r="B59" s="38" t="str">
        <f>IF(IF(54&lt;=COUNTA(半紙!$B$11:$B$310),INDEX(半紙!$B$11:$B$310,54),IF(54&lt;=COUNTA(半紙!$B$11:$B$310)+COUNTA(条幅!$B$11:$B$310),INDEX(条幅!$B$11:$B$310,54-COUNTA(半紙!$B$11:$B$310)),IF(54&lt;=COUNTA(半紙!$B$11:$B$310)+COUNTA(条幅!$B$11:$B$310)+COUNTA(条幅4分の1!$B$11:$B$310),INDEX(条幅4分の1!$B$11:$B$310,54-COUNTA(半紙!$B$11:$B$310)-COUNTA(条幅!$B$11:$B$310)),"")))=0,"",IF(54&lt;=COUNTA(半紙!$B$11:$B$310),INDEX(半紙!$B$11:$B$310,54),IF(54&lt;=COUNTA(半紙!$B$11:$B$310)+COUNTA(条幅!$B$11:$B$310),INDEX(条幅!$B$11:$B$310,54-COUNTA(半紙!$B$11:$B$310)),IF(54&lt;=COUNTA(半紙!$B$11:$B$310)+COUNTA(条幅!$B$11:$B$310)+COUNTA(条幅4分の1!$B$11:$B$310),INDEX(条幅4分の1!$B$11:$B$310,54-COUNTA(半紙!$B$11:$B$310)-COUNTA(条幅!$B$11:$B$310)),""))))</f>
        <v/>
      </c>
      <c r="C59" s="38" t="str">
        <f>IF(IF(54&lt;=COUNTA(半紙!$B$11:$B$310),INDEX(半紙!$C$11:$C$310,54),IF(54&lt;=COUNTA(半紙!$B$11:$B$310)+COUNTA(条幅!$B$11:$B$310),INDEX(条幅!$C$11:$C$310,54-COUNTA(半紙!$B$11:$B$310)),IF(54&lt;=COUNTA(半紙!$B$11:$B$310)+COUNTA(条幅!$B$11:$B$310)+COUNTA(条幅4分の1!$B$11:$B$310),INDEX(条幅4分の1!$C$11:$C$310,54-COUNTA(半紙!$B$11:$B$310)-COUNTA(条幅!$B$11:$B$310)),"")))=0,"",IF(54&lt;=COUNTA(半紙!$B$11:$B$310),INDEX(半紙!$C$11:$C$310,54),IF(54&lt;=COUNTA(半紙!$B$11:$B$310)+COUNTA(条幅!$B$11:$B$310),INDEX(条幅!$C$11:$C$310,54-COUNTA(半紙!$B$11:$B$310)),IF(54&lt;=COUNTA(半紙!$B$11:$B$310)+COUNTA(条幅!$B$11:$B$310)+COUNTA(条幅4分の1!$B$11:$B$310),INDEX(条幅4分の1!$C$11:$C$310,54-COUNTA(半紙!$B$11:$B$310)-COUNTA(条幅!$B$11:$B$310)),""))))</f>
        <v/>
      </c>
      <c r="D59" s="38" t="str">
        <f>IF(IF(54&lt;=COUNTA(半紙!$B$11:$B$310),INDEX(半紙!$D$11:$D$310,54),IF(54&lt;=COUNTA(半紙!$B$11:$B$310)+COUNTA(条幅!$B$11:$B$310),INDEX(条幅!$D$11:$D$310,54-COUNTA(半紙!$B$11:$B$310)),IF(54&lt;=COUNTA(半紙!$B$11:$B$310)+COUNTA(条幅!$B$11:$B$310)+COUNTA(条幅4分の1!$B$11:$B$310),INDEX(条幅4分の1!$D$11:$D$310,54-COUNTA(半紙!$B$11:$B$310)-COUNTA(条幅!$B$11:$B$310)),"")))=0,"",IF(54&lt;=COUNTA(半紙!$B$11:$B$310),INDEX(半紙!$D$11:$D$310,54),IF(54&lt;=COUNTA(半紙!$B$11:$B$310)+COUNTA(条幅!$B$11:$B$310),INDEX(条幅!$D$11:$D$310,54-COUNTA(半紙!$B$11:$B$310)),IF(54&lt;=COUNTA(半紙!$B$11:$B$310)+COUNTA(条幅!$B$11:$B$310)+COUNTA(条幅4分の1!$B$11:$B$310),INDEX(条幅4分の1!$D$11:$D$310,54-COUNTA(半紙!$B$11:$B$310)-COUNTA(条幅!$B$11:$B$310)),""))))</f>
        <v/>
      </c>
      <c r="E59" s="38" t="str">
        <f>IF(IF(54&lt;=COUNTA(半紙!$B$11:$B$310),INDEX(半紙!$E$11:$E$310,54),IF(54&lt;=COUNTA(半紙!$B$11:$B$310)+COUNTA(条幅!$B$11:$B$310),INDEX(条幅!$E$11:$E$310,54-COUNTA(半紙!$B$11:$B$310)),IF(54&lt;=COUNTA(半紙!$B$11:$B$310)+COUNTA(条幅!$B$11:$B$310)+COUNTA(条幅4分の1!$B$11:$B$310),INDEX(条幅4分の1!$E$11:$E$310,54-COUNTA(半紙!$B$11:$B$310)-COUNTA(条幅!$B$11:$B$310)),"")))=0,"",IF(54&lt;=COUNTA(半紙!$B$11:$B$310),INDEX(半紙!$E$11:$E$310,54),IF(54&lt;=COUNTA(半紙!$B$11:$B$310)+COUNTA(条幅!$B$11:$B$310),INDEX(条幅!$E$11:$E$310,54-COUNTA(半紙!$B$11:$B$310)),IF(54&lt;=COUNTA(半紙!$B$11:$B$310)+COUNTA(条幅!$B$11:$B$310)+COUNTA(条幅4分の1!$B$11:$B$310),INDEX(条幅4分の1!$E$11:$E$310,54-COUNTA(半紙!$B$11:$B$310)-COUNTA(条幅!$B$11:$B$310)),""))))</f>
        <v/>
      </c>
      <c r="F59" s="38" t="str">
        <f>IF(IF(54&lt;=COUNTA(半紙!$B$11:$B$310),INDEX(半紙!$F$11:$F$310,54),IF(54&lt;=COUNTA(半紙!$B$11:$B$310)+COUNTA(条幅!$B$11:$B$310),INDEX(条幅!$F$11:$F$310,54-COUNTA(半紙!$B$11:$B$310)),IF(54&lt;=COUNTA(半紙!$B$11:$B$310)+COUNTA(条幅!$B$11:$B$310)+COUNTA(条幅4分の1!$B$11:$B$310),INDEX(条幅4分の1!$F$11:$F$310,54-COUNTA(半紙!$B$11:$B$310)-COUNTA(条幅!$B$11:$B$310)),"")))=0,"",IF(54&lt;=COUNTA(半紙!$B$11:$B$310),INDEX(半紙!$F$11:$F$310,54),IF(54&lt;=COUNTA(半紙!$B$11:$B$310)+COUNTA(条幅!$B$11:$B$310),INDEX(条幅!$F$11:$F$310,54-COUNTA(半紙!$B$11:$B$310)),IF(54&lt;=COUNTA(半紙!$B$11:$B$310)+COUNTA(条幅!$B$11:$B$310)+COUNTA(条幅4分の1!$B$11:$B$310),INDEX(条幅4分の1!$F$11:$F$310,54-COUNTA(半紙!$B$11:$B$310)-COUNTA(条幅!$B$11:$B$310)),""))))</f>
        <v/>
      </c>
      <c r="G59" s="38" t="str">
        <f>IF(IF(54&lt;=COUNTA(半紙!$B$11:$B$310),INDEX(半紙!$G$11:$G$310,54),IF(54&lt;=COUNTA(半紙!$B$11:$B$310)+COUNTA(条幅!$B$11:$B$310),INDEX(条幅!$G$11:$G$310,54-COUNTA(半紙!$B$11:$B$310)),IF(54&lt;=COUNTA(半紙!$B$11:$B$310)+COUNTA(条幅!$B$11:$B$310)+COUNTA(条幅4分の1!$B$11:$B$310),INDEX(条幅4分の1!$G$11:$G$310,54-COUNTA(半紙!$B$11:$B$310)-COUNTA(条幅!$B$11:$B$310)),"")))=0,"",IF(54&lt;=COUNTA(半紙!$B$11:$B$310),INDEX(半紙!$G$11:$G$310,54),IF(54&lt;=COUNTA(半紙!$B$11:$B$310)+COUNTA(条幅!$B$11:$B$310),INDEX(条幅!$G$11:$G$310,54-COUNTA(半紙!$B$11:$B$310)),IF(54&lt;=COUNTA(半紙!$B$11:$B$310)+COUNTA(条幅!$B$11:$B$310)+COUNTA(条幅4分の1!$B$11:$B$310),INDEX(条幅4分の1!$G$11:$G$310,54-COUNTA(半紙!$B$11:$B$310)-COUNTA(条幅!$B$11:$B$310)),""))))</f>
        <v/>
      </c>
      <c r="H59" s="38" t="str">
        <f>IF(IF(54&lt;=COUNTA(半紙!$B$11:$B$310),INDEX(半紙!$H$11:$H$310,54),IF(54&lt;=COUNTA(半紙!$B$11:$B$310)+COUNTA(条幅!$B$11:$B$310),INDEX(条幅!$H$11:$H$310,54-COUNTA(半紙!$B$11:$B$310)),IF(54&lt;=COUNTA(半紙!$B$11:$B$310)+COUNTA(条幅!$B$11:$B$310)+COUNTA(条幅4分の1!$B$11:$B$310),INDEX(条幅4分の1!$H$11:$H$310,54-COUNTA(半紙!$B$11:$B$310)-COUNTA(条幅!$B$11:$B$310)),"")))=0,"",IF(54&lt;=COUNTA(半紙!$B$11:$B$310),INDEX(半紙!$H$11:$H$310,54),IF(54&lt;=COUNTA(半紙!$B$11:$B$310)+COUNTA(条幅!$B$11:$B$310),INDEX(条幅!$H$11:$H$310,54-COUNTA(半紙!$B$11:$B$310)),IF(54&lt;=COUNTA(半紙!$B$11:$B$310)+COUNTA(条幅!$B$11:$B$310)+COUNTA(条幅4分の1!$B$11:$B$310),INDEX(条幅4分の1!$H$11:$H$310,54-COUNTA(半紙!$B$11:$B$310)-COUNTA(条幅!$B$11:$B$310)),""))))</f>
        <v/>
      </c>
      <c r="I59" s="38" t="str">
        <f>IF(IF(54&lt;=COUNTA(半紙!$B$11:$B$310),INDEX(半紙!$I$11:$I$310,54),IF(54&lt;=COUNTA(半紙!$B$11:$B$310)+COUNTA(条幅!$B$11:$B$310),INDEX(条幅!$I$11:$I$310,54-COUNTA(半紙!$B$11:$B$310)),IF(54&lt;=COUNTA(半紙!$B$11:$B$310)+COUNTA(条幅!$B$11:$B$310)+COUNTA(条幅4分の1!$B$11:$B$310),INDEX(条幅4分の1!$I$11:$I$310,54-COUNTA(半紙!$B$11:$B$310)-COUNTA(条幅!$B$11:$B$310)),"")))=0,"",IF(54&lt;=COUNTA(半紙!$B$11:$B$310),INDEX(半紙!$I$11:$I$310,54),IF(54&lt;=COUNTA(半紙!$B$11:$B$310)+COUNTA(条幅!$B$11:$B$310),INDEX(条幅!$I$11:$I$310,54-COUNTA(半紙!$B$11:$B$310)),IF(54&lt;=COUNTA(半紙!$B$11:$B$310)+COUNTA(条幅!$B$11:$B$310)+COUNTA(条幅4分の1!$B$11:$B$310),INDEX(条幅4分の1!$I$11:$I$310,54-COUNTA(半紙!$B$11:$B$310)-COUNTA(条幅!$B$11:$B$310)),""))))</f>
        <v/>
      </c>
      <c r="J59" s="38" t="str">
        <f>IF(IF(54&lt;=COUNTA(半紙!$B$11:$B$310),INDEX(半紙!$J$11:$J$310,54),IF(54&lt;=COUNTA(半紙!$B$11:$B$310)+COUNTA(条幅!$B$11:$B$310),INDEX(条幅!$J$11:$J$310,54-COUNTA(半紙!$B$11:$B$310)),IF(54&lt;=COUNTA(半紙!$B$11:$B$310)+COUNTA(条幅!$B$11:$B$310)+COUNTA(条幅4分の1!$B$11:$B$310),INDEX(条幅4分の1!$J$11:$J$310,54-COUNTA(半紙!$B$11:$B$310)-COUNTA(条幅!$B$11:$B$310)),"")))=0,"",IF(54&lt;=COUNTA(半紙!$B$11:$B$310),INDEX(半紙!$J$11:$J$310,54),IF(54&lt;=COUNTA(半紙!$B$11:$B$310)+COUNTA(条幅!$B$11:$B$310),INDEX(条幅!$J$11:$J$310,54-COUNTA(半紙!$B$11:$B$310)),IF(54&lt;=COUNTA(半紙!$B$11:$B$310)+COUNTA(条幅!$B$11:$B$310)+COUNTA(条幅4分の1!$B$11:$B$310),INDEX(条幅4分の1!$J$11:$J$310,54-COUNTA(半紙!$B$11:$B$310)-COUNTA(条幅!$B$11:$B$310)),""))))</f>
        <v/>
      </c>
      <c r="K59" s="38" t="str">
        <f>IF(IF(54&lt;=COUNTA(半紙!$B$11:$B$310),INDEX(半紙!$K$11:$K$310,54),IF(54&lt;=COUNTA(半紙!$B$11:$B$310)+COUNTA(条幅!$B$11:$B$310),INDEX(条幅!$K$11:$K$310,54-COUNTA(半紙!$B$11:$B$310)),IF(54&lt;=COUNTA(半紙!$B$11:$B$310)+COUNTA(条幅!$B$11:$B$310)+COUNTA(条幅4分の1!$B$11:$B$310),INDEX(条幅4分の1!$K$11:$K$310,54-COUNTA(半紙!$B$11:$B$310)-COUNTA(条幅!$B$11:$B$310)),"")))=0,"",IF(54&lt;=COUNTA(半紙!$B$11:$B$310),INDEX(半紙!$K$11:$K$310,54),IF(54&lt;=COUNTA(半紙!$B$11:$B$310)+COUNTA(条幅!$B$11:$B$310),INDEX(条幅!$K$11:$K$310,54-COUNTA(半紙!$B$11:$B$310)),IF(54&lt;=COUNTA(半紙!$B$11:$B$310)+COUNTA(条幅!$B$11:$B$310)+COUNTA(条幅4分の1!$B$11:$B$310),INDEX(条幅4分の1!$K$11:$K$310,54-COUNTA(半紙!$B$11:$B$310)-COUNTA(条幅!$B$11:$B$310)),""))))</f>
        <v/>
      </c>
      <c r="L59" s="48" t="str">
        <f>IF($B59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54))</f>
        <v/>
      </c>
    </row>
    <row r="60" spans="1:12" ht="15" customHeight="1">
      <c r="A60" s="37" t="str">
        <f>IF(55&lt;=COUNTA(半紙!$B$11:$B$310),"半紙",IF(55&lt;=COUNTA(半紙!$B$11:$B$310)+COUNTA(条幅!$B$11:$B$310),"条幅(半切)",IF(55&lt;=COUNTA(半紙!$B$11:$B$310)+COUNTA(条幅!$B$11:$B$310)+COUNTA(条幅4分の1!$B$11:$B$310),"条幅(1/4)","")))</f>
        <v/>
      </c>
      <c r="B60" s="38" t="str">
        <f>IF(IF(55&lt;=COUNTA(半紙!$B$11:$B$310),INDEX(半紙!$B$11:$B$310,55),IF(55&lt;=COUNTA(半紙!$B$11:$B$310)+COUNTA(条幅!$B$11:$B$310),INDEX(条幅!$B$11:$B$310,55-COUNTA(半紙!$B$11:$B$310)),IF(55&lt;=COUNTA(半紙!$B$11:$B$310)+COUNTA(条幅!$B$11:$B$310)+COUNTA(条幅4分の1!$B$11:$B$310),INDEX(条幅4分の1!$B$11:$B$310,55-COUNTA(半紙!$B$11:$B$310)-COUNTA(条幅!$B$11:$B$310)),"")))=0,"",IF(55&lt;=COUNTA(半紙!$B$11:$B$310),INDEX(半紙!$B$11:$B$310,55),IF(55&lt;=COUNTA(半紙!$B$11:$B$310)+COUNTA(条幅!$B$11:$B$310),INDEX(条幅!$B$11:$B$310,55-COUNTA(半紙!$B$11:$B$310)),IF(55&lt;=COUNTA(半紙!$B$11:$B$310)+COUNTA(条幅!$B$11:$B$310)+COUNTA(条幅4分の1!$B$11:$B$310),INDEX(条幅4分の1!$B$11:$B$310,55-COUNTA(半紙!$B$11:$B$310)-COUNTA(条幅!$B$11:$B$310)),""))))</f>
        <v/>
      </c>
      <c r="C60" s="38" t="str">
        <f>IF(IF(55&lt;=COUNTA(半紙!$B$11:$B$310),INDEX(半紙!$C$11:$C$310,55),IF(55&lt;=COUNTA(半紙!$B$11:$B$310)+COUNTA(条幅!$B$11:$B$310),INDEX(条幅!$C$11:$C$310,55-COUNTA(半紙!$B$11:$B$310)),IF(55&lt;=COUNTA(半紙!$B$11:$B$310)+COUNTA(条幅!$B$11:$B$310)+COUNTA(条幅4分の1!$B$11:$B$310),INDEX(条幅4分の1!$C$11:$C$310,55-COUNTA(半紙!$B$11:$B$310)-COUNTA(条幅!$B$11:$B$310)),"")))=0,"",IF(55&lt;=COUNTA(半紙!$B$11:$B$310),INDEX(半紙!$C$11:$C$310,55),IF(55&lt;=COUNTA(半紙!$B$11:$B$310)+COUNTA(条幅!$B$11:$B$310),INDEX(条幅!$C$11:$C$310,55-COUNTA(半紙!$B$11:$B$310)),IF(55&lt;=COUNTA(半紙!$B$11:$B$310)+COUNTA(条幅!$B$11:$B$310)+COUNTA(条幅4分の1!$B$11:$B$310),INDEX(条幅4分の1!$C$11:$C$310,55-COUNTA(半紙!$B$11:$B$310)-COUNTA(条幅!$B$11:$B$310)),""))))</f>
        <v/>
      </c>
      <c r="D60" s="38" t="str">
        <f>IF(IF(55&lt;=COUNTA(半紙!$B$11:$B$310),INDEX(半紙!$D$11:$D$310,55),IF(55&lt;=COUNTA(半紙!$B$11:$B$310)+COUNTA(条幅!$B$11:$B$310),INDEX(条幅!$D$11:$D$310,55-COUNTA(半紙!$B$11:$B$310)),IF(55&lt;=COUNTA(半紙!$B$11:$B$310)+COUNTA(条幅!$B$11:$B$310)+COUNTA(条幅4分の1!$B$11:$B$310),INDEX(条幅4分の1!$D$11:$D$310,55-COUNTA(半紙!$B$11:$B$310)-COUNTA(条幅!$B$11:$B$310)),"")))=0,"",IF(55&lt;=COUNTA(半紙!$B$11:$B$310),INDEX(半紙!$D$11:$D$310,55),IF(55&lt;=COUNTA(半紙!$B$11:$B$310)+COUNTA(条幅!$B$11:$B$310),INDEX(条幅!$D$11:$D$310,55-COUNTA(半紙!$B$11:$B$310)),IF(55&lt;=COUNTA(半紙!$B$11:$B$310)+COUNTA(条幅!$B$11:$B$310)+COUNTA(条幅4分の1!$B$11:$B$310),INDEX(条幅4分の1!$D$11:$D$310,55-COUNTA(半紙!$B$11:$B$310)-COUNTA(条幅!$B$11:$B$310)),""))))</f>
        <v/>
      </c>
      <c r="E60" s="38" t="str">
        <f>IF(IF(55&lt;=COUNTA(半紙!$B$11:$B$310),INDEX(半紙!$E$11:$E$310,55),IF(55&lt;=COUNTA(半紙!$B$11:$B$310)+COUNTA(条幅!$B$11:$B$310),INDEX(条幅!$E$11:$E$310,55-COUNTA(半紙!$B$11:$B$310)),IF(55&lt;=COUNTA(半紙!$B$11:$B$310)+COUNTA(条幅!$B$11:$B$310)+COUNTA(条幅4分の1!$B$11:$B$310),INDEX(条幅4分の1!$E$11:$E$310,55-COUNTA(半紙!$B$11:$B$310)-COUNTA(条幅!$B$11:$B$310)),"")))=0,"",IF(55&lt;=COUNTA(半紙!$B$11:$B$310),INDEX(半紙!$E$11:$E$310,55),IF(55&lt;=COUNTA(半紙!$B$11:$B$310)+COUNTA(条幅!$B$11:$B$310),INDEX(条幅!$E$11:$E$310,55-COUNTA(半紙!$B$11:$B$310)),IF(55&lt;=COUNTA(半紙!$B$11:$B$310)+COUNTA(条幅!$B$11:$B$310)+COUNTA(条幅4分の1!$B$11:$B$310),INDEX(条幅4分の1!$E$11:$E$310,55-COUNTA(半紙!$B$11:$B$310)-COUNTA(条幅!$B$11:$B$310)),""))))</f>
        <v/>
      </c>
      <c r="F60" s="38" t="str">
        <f>IF(IF(55&lt;=COUNTA(半紙!$B$11:$B$310),INDEX(半紙!$F$11:$F$310,55),IF(55&lt;=COUNTA(半紙!$B$11:$B$310)+COUNTA(条幅!$B$11:$B$310),INDEX(条幅!$F$11:$F$310,55-COUNTA(半紙!$B$11:$B$310)),IF(55&lt;=COUNTA(半紙!$B$11:$B$310)+COUNTA(条幅!$B$11:$B$310)+COUNTA(条幅4分の1!$B$11:$B$310),INDEX(条幅4分の1!$F$11:$F$310,55-COUNTA(半紙!$B$11:$B$310)-COUNTA(条幅!$B$11:$B$310)),"")))=0,"",IF(55&lt;=COUNTA(半紙!$B$11:$B$310),INDEX(半紙!$F$11:$F$310,55),IF(55&lt;=COUNTA(半紙!$B$11:$B$310)+COUNTA(条幅!$B$11:$B$310),INDEX(条幅!$F$11:$F$310,55-COUNTA(半紙!$B$11:$B$310)),IF(55&lt;=COUNTA(半紙!$B$11:$B$310)+COUNTA(条幅!$B$11:$B$310)+COUNTA(条幅4分の1!$B$11:$B$310),INDEX(条幅4分の1!$F$11:$F$310,55-COUNTA(半紙!$B$11:$B$310)-COUNTA(条幅!$B$11:$B$310)),""))))</f>
        <v/>
      </c>
      <c r="G60" s="38" t="str">
        <f>IF(IF(55&lt;=COUNTA(半紙!$B$11:$B$310),INDEX(半紙!$G$11:$G$310,55),IF(55&lt;=COUNTA(半紙!$B$11:$B$310)+COUNTA(条幅!$B$11:$B$310),INDEX(条幅!$G$11:$G$310,55-COUNTA(半紙!$B$11:$B$310)),IF(55&lt;=COUNTA(半紙!$B$11:$B$310)+COUNTA(条幅!$B$11:$B$310)+COUNTA(条幅4分の1!$B$11:$B$310),INDEX(条幅4分の1!$G$11:$G$310,55-COUNTA(半紙!$B$11:$B$310)-COUNTA(条幅!$B$11:$B$310)),"")))=0,"",IF(55&lt;=COUNTA(半紙!$B$11:$B$310),INDEX(半紙!$G$11:$G$310,55),IF(55&lt;=COUNTA(半紙!$B$11:$B$310)+COUNTA(条幅!$B$11:$B$310),INDEX(条幅!$G$11:$G$310,55-COUNTA(半紙!$B$11:$B$310)),IF(55&lt;=COUNTA(半紙!$B$11:$B$310)+COUNTA(条幅!$B$11:$B$310)+COUNTA(条幅4分の1!$B$11:$B$310),INDEX(条幅4分の1!$G$11:$G$310,55-COUNTA(半紙!$B$11:$B$310)-COUNTA(条幅!$B$11:$B$310)),""))))</f>
        <v/>
      </c>
      <c r="H60" s="38" t="str">
        <f>IF(IF(55&lt;=COUNTA(半紙!$B$11:$B$310),INDEX(半紙!$H$11:$H$310,55),IF(55&lt;=COUNTA(半紙!$B$11:$B$310)+COUNTA(条幅!$B$11:$B$310),INDEX(条幅!$H$11:$H$310,55-COUNTA(半紙!$B$11:$B$310)),IF(55&lt;=COUNTA(半紙!$B$11:$B$310)+COUNTA(条幅!$B$11:$B$310)+COUNTA(条幅4分の1!$B$11:$B$310),INDEX(条幅4分の1!$H$11:$H$310,55-COUNTA(半紙!$B$11:$B$310)-COUNTA(条幅!$B$11:$B$310)),"")))=0,"",IF(55&lt;=COUNTA(半紙!$B$11:$B$310),INDEX(半紙!$H$11:$H$310,55),IF(55&lt;=COUNTA(半紙!$B$11:$B$310)+COUNTA(条幅!$B$11:$B$310),INDEX(条幅!$H$11:$H$310,55-COUNTA(半紙!$B$11:$B$310)),IF(55&lt;=COUNTA(半紙!$B$11:$B$310)+COUNTA(条幅!$B$11:$B$310)+COUNTA(条幅4分の1!$B$11:$B$310),INDEX(条幅4分の1!$H$11:$H$310,55-COUNTA(半紙!$B$11:$B$310)-COUNTA(条幅!$B$11:$B$310)),""))))</f>
        <v/>
      </c>
      <c r="I60" s="38" t="str">
        <f>IF(IF(55&lt;=COUNTA(半紙!$B$11:$B$310),INDEX(半紙!$I$11:$I$310,55),IF(55&lt;=COUNTA(半紙!$B$11:$B$310)+COUNTA(条幅!$B$11:$B$310),INDEX(条幅!$I$11:$I$310,55-COUNTA(半紙!$B$11:$B$310)),IF(55&lt;=COUNTA(半紙!$B$11:$B$310)+COUNTA(条幅!$B$11:$B$310)+COUNTA(条幅4分の1!$B$11:$B$310),INDEX(条幅4分の1!$I$11:$I$310,55-COUNTA(半紙!$B$11:$B$310)-COUNTA(条幅!$B$11:$B$310)),"")))=0,"",IF(55&lt;=COUNTA(半紙!$B$11:$B$310),INDEX(半紙!$I$11:$I$310,55),IF(55&lt;=COUNTA(半紙!$B$11:$B$310)+COUNTA(条幅!$B$11:$B$310),INDEX(条幅!$I$11:$I$310,55-COUNTA(半紙!$B$11:$B$310)),IF(55&lt;=COUNTA(半紙!$B$11:$B$310)+COUNTA(条幅!$B$11:$B$310)+COUNTA(条幅4分の1!$B$11:$B$310),INDEX(条幅4分の1!$I$11:$I$310,55-COUNTA(半紙!$B$11:$B$310)-COUNTA(条幅!$B$11:$B$310)),""))))</f>
        <v/>
      </c>
      <c r="J60" s="38" t="str">
        <f>IF(IF(55&lt;=COUNTA(半紙!$B$11:$B$310),INDEX(半紙!$J$11:$J$310,55),IF(55&lt;=COUNTA(半紙!$B$11:$B$310)+COUNTA(条幅!$B$11:$B$310),INDEX(条幅!$J$11:$J$310,55-COUNTA(半紙!$B$11:$B$310)),IF(55&lt;=COUNTA(半紙!$B$11:$B$310)+COUNTA(条幅!$B$11:$B$310)+COUNTA(条幅4分の1!$B$11:$B$310),INDEX(条幅4分の1!$J$11:$J$310,55-COUNTA(半紙!$B$11:$B$310)-COUNTA(条幅!$B$11:$B$310)),"")))=0,"",IF(55&lt;=COUNTA(半紙!$B$11:$B$310),INDEX(半紙!$J$11:$J$310,55),IF(55&lt;=COUNTA(半紙!$B$11:$B$310)+COUNTA(条幅!$B$11:$B$310),INDEX(条幅!$J$11:$J$310,55-COUNTA(半紙!$B$11:$B$310)),IF(55&lt;=COUNTA(半紙!$B$11:$B$310)+COUNTA(条幅!$B$11:$B$310)+COUNTA(条幅4分の1!$B$11:$B$310),INDEX(条幅4分の1!$J$11:$J$310,55-COUNTA(半紙!$B$11:$B$310)-COUNTA(条幅!$B$11:$B$310)),""))))</f>
        <v/>
      </c>
      <c r="K60" s="38" t="str">
        <f>IF(IF(55&lt;=COUNTA(半紙!$B$11:$B$310),INDEX(半紙!$K$11:$K$310,55),IF(55&lt;=COUNTA(半紙!$B$11:$B$310)+COUNTA(条幅!$B$11:$B$310),INDEX(条幅!$K$11:$K$310,55-COUNTA(半紙!$B$11:$B$310)),IF(55&lt;=COUNTA(半紙!$B$11:$B$310)+COUNTA(条幅!$B$11:$B$310)+COUNTA(条幅4分の1!$B$11:$B$310),INDEX(条幅4分の1!$K$11:$K$310,55-COUNTA(半紙!$B$11:$B$310)-COUNTA(条幅!$B$11:$B$310)),"")))=0,"",IF(55&lt;=COUNTA(半紙!$B$11:$B$310),INDEX(半紙!$K$11:$K$310,55),IF(55&lt;=COUNTA(半紙!$B$11:$B$310)+COUNTA(条幅!$B$11:$B$310),INDEX(条幅!$K$11:$K$310,55-COUNTA(半紙!$B$11:$B$310)),IF(55&lt;=COUNTA(半紙!$B$11:$B$310)+COUNTA(条幅!$B$11:$B$310)+COUNTA(条幅4分の1!$B$11:$B$310),INDEX(条幅4分の1!$K$11:$K$310,55-COUNTA(半紙!$B$11:$B$310)-COUNTA(条幅!$B$11:$B$310)),""))))</f>
        <v/>
      </c>
      <c r="L60" s="48" t="str">
        <f>IF($B60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55))</f>
        <v/>
      </c>
    </row>
    <row r="61" spans="1:12" ht="15" customHeight="1">
      <c r="A61" s="37" t="str">
        <f>IF(56&lt;=COUNTA(半紙!$B$11:$B$310),"半紙",IF(56&lt;=COUNTA(半紙!$B$11:$B$310)+COUNTA(条幅!$B$11:$B$310),"条幅(半切)",IF(56&lt;=COUNTA(半紙!$B$11:$B$310)+COUNTA(条幅!$B$11:$B$310)+COUNTA(条幅4分の1!$B$11:$B$310),"条幅(1/4)","")))</f>
        <v/>
      </c>
      <c r="B61" s="38" t="str">
        <f>IF(IF(56&lt;=COUNTA(半紙!$B$11:$B$310),INDEX(半紙!$B$11:$B$310,56),IF(56&lt;=COUNTA(半紙!$B$11:$B$310)+COUNTA(条幅!$B$11:$B$310),INDEX(条幅!$B$11:$B$310,56-COUNTA(半紙!$B$11:$B$310)),IF(56&lt;=COUNTA(半紙!$B$11:$B$310)+COUNTA(条幅!$B$11:$B$310)+COUNTA(条幅4分の1!$B$11:$B$310),INDEX(条幅4分の1!$B$11:$B$310,56-COUNTA(半紙!$B$11:$B$310)-COUNTA(条幅!$B$11:$B$310)),"")))=0,"",IF(56&lt;=COUNTA(半紙!$B$11:$B$310),INDEX(半紙!$B$11:$B$310,56),IF(56&lt;=COUNTA(半紙!$B$11:$B$310)+COUNTA(条幅!$B$11:$B$310),INDEX(条幅!$B$11:$B$310,56-COUNTA(半紙!$B$11:$B$310)),IF(56&lt;=COUNTA(半紙!$B$11:$B$310)+COUNTA(条幅!$B$11:$B$310)+COUNTA(条幅4分の1!$B$11:$B$310),INDEX(条幅4分の1!$B$11:$B$310,56-COUNTA(半紙!$B$11:$B$310)-COUNTA(条幅!$B$11:$B$310)),""))))</f>
        <v/>
      </c>
      <c r="C61" s="38" t="str">
        <f>IF(IF(56&lt;=COUNTA(半紙!$B$11:$B$310),INDEX(半紙!$C$11:$C$310,56),IF(56&lt;=COUNTA(半紙!$B$11:$B$310)+COUNTA(条幅!$B$11:$B$310),INDEX(条幅!$C$11:$C$310,56-COUNTA(半紙!$B$11:$B$310)),IF(56&lt;=COUNTA(半紙!$B$11:$B$310)+COUNTA(条幅!$B$11:$B$310)+COUNTA(条幅4分の1!$B$11:$B$310),INDEX(条幅4分の1!$C$11:$C$310,56-COUNTA(半紙!$B$11:$B$310)-COUNTA(条幅!$B$11:$B$310)),"")))=0,"",IF(56&lt;=COUNTA(半紙!$B$11:$B$310),INDEX(半紙!$C$11:$C$310,56),IF(56&lt;=COUNTA(半紙!$B$11:$B$310)+COUNTA(条幅!$B$11:$B$310),INDEX(条幅!$C$11:$C$310,56-COUNTA(半紙!$B$11:$B$310)),IF(56&lt;=COUNTA(半紙!$B$11:$B$310)+COUNTA(条幅!$B$11:$B$310)+COUNTA(条幅4分の1!$B$11:$B$310),INDEX(条幅4分の1!$C$11:$C$310,56-COUNTA(半紙!$B$11:$B$310)-COUNTA(条幅!$B$11:$B$310)),""))))</f>
        <v/>
      </c>
      <c r="D61" s="38" t="str">
        <f>IF(IF(56&lt;=COUNTA(半紙!$B$11:$B$310),INDEX(半紙!$D$11:$D$310,56),IF(56&lt;=COUNTA(半紙!$B$11:$B$310)+COUNTA(条幅!$B$11:$B$310),INDEX(条幅!$D$11:$D$310,56-COUNTA(半紙!$B$11:$B$310)),IF(56&lt;=COUNTA(半紙!$B$11:$B$310)+COUNTA(条幅!$B$11:$B$310)+COUNTA(条幅4分の1!$B$11:$B$310),INDEX(条幅4分の1!$D$11:$D$310,56-COUNTA(半紙!$B$11:$B$310)-COUNTA(条幅!$B$11:$B$310)),"")))=0,"",IF(56&lt;=COUNTA(半紙!$B$11:$B$310),INDEX(半紙!$D$11:$D$310,56),IF(56&lt;=COUNTA(半紙!$B$11:$B$310)+COUNTA(条幅!$B$11:$B$310),INDEX(条幅!$D$11:$D$310,56-COUNTA(半紙!$B$11:$B$310)),IF(56&lt;=COUNTA(半紙!$B$11:$B$310)+COUNTA(条幅!$B$11:$B$310)+COUNTA(条幅4分の1!$B$11:$B$310),INDEX(条幅4分の1!$D$11:$D$310,56-COUNTA(半紙!$B$11:$B$310)-COUNTA(条幅!$B$11:$B$310)),""))))</f>
        <v/>
      </c>
      <c r="E61" s="38" t="str">
        <f>IF(IF(56&lt;=COUNTA(半紙!$B$11:$B$310),INDEX(半紙!$E$11:$E$310,56),IF(56&lt;=COUNTA(半紙!$B$11:$B$310)+COUNTA(条幅!$B$11:$B$310),INDEX(条幅!$E$11:$E$310,56-COUNTA(半紙!$B$11:$B$310)),IF(56&lt;=COUNTA(半紙!$B$11:$B$310)+COUNTA(条幅!$B$11:$B$310)+COUNTA(条幅4分の1!$B$11:$B$310),INDEX(条幅4分の1!$E$11:$E$310,56-COUNTA(半紙!$B$11:$B$310)-COUNTA(条幅!$B$11:$B$310)),"")))=0,"",IF(56&lt;=COUNTA(半紙!$B$11:$B$310),INDEX(半紙!$E$11:$E$310,56),IF(56&lt;=COUNTA(半紙!$B$11:$B$310)+COUNTA(条幅!$B$11:$B$310),INDEX(条幅!$E$11:$E$310,56-COUNTA(半紙!$B$11:$B$310)),IF(56&lt;=COUNTA(半紙!$B$11:$B$310)+COUNTA(条幅!$B$11:$B$310)+COUNTA(条幅4分の1!$B$11:$B$310),INDEX(条幅4分の1!$E$11:$E$310,56-COUNTA(半紙!$B$11:$B$310)-COUNTA(条幅!$B$11:$B$310)),""))))</f>
        <v/>
      </c>
      <c r="F61" s="38" t="str">
        <f>IF(IF(56&lt;=COUNTA(半紙!$B$11:$B$310),INDEX(半紙!$F$11:$F$310,56),IF(56&lt;=COUNTA(半紙!$B$11:$B$310)+COUNTA(条幅!$B$11:$B$310),INDEX(条幅!$F$11:$F$310,56-COUNTA(半紙!$B$11:$B$310)),IF(56&lt;=COUNTA(半紙!$B$11:$B$310)+COUNTA(条幅!$B$11:$B$310)+COUNTA(条幅4分の1!$B$11:$B$310),INDEX(条幅4分の1!$F$11:$F$310,56-COUNTA(半紙!$B$11:$B$310)-COUNTA(条幅!$B$11:$B$310)),"")))=0,"",IF(56&lt;=COUNTA(半紙!$B$11:$B$310),INDEX(半紙!$F$11:$F$310,56),IF(56&lt;=COUNTA(半紙!$B$11:$B$310)+COUNTA(条幅!$B$11:$B$310),INDEX(条幅!$F$11:$F$310,56-COUNTA(半紙!$B$11:$B$310)),IF(56&lt;=COUNTA(半紙!$B$11:$B$310)+COUNTA(条幅!$B$11:$B$310)+COUNTA(条幅4分の1!$B$11:$B$310),INDEX(条幅4分の1!$F$11:$F$310,56-COUNTA(半紙!$B$11:$B$310)-COUNTA(条幅!$B$11:$B$310)),""))))</f>
        <v/>
      </c>
      <c r="G61" s="38" t="str">
        <f>IF(IF(56&lt;=COUNTA(半紙!$B$11:$B$310),INDEX(半紙!$G$11:$G$310,56),IF(56&lt;=COUNTA(半紙!$B$11:$B$310)+COUNTA(条幅!$B$11:$B$310),INDEX(条幅!$G$11:$G$310,56-COUNTA(半紙!$B$11:$B$310)),IF(56&lt;=COUNTA(半紙!$B$11:$B$310)+COUNTA(条幅!$B$11:$B$310)+COUNTA(条幅4分の1!$B$11:$B$310),INDEX(条幅4分の1!$G$11:$G$310,56-COUNTA(半紙!$B$11:$B$310)-COUNTA(条幅!$B$11:$B$310)),"")))=0,"",IF(56&lt;=COUNTA(半紙!$B$11:$B$310),INDEX(半紙!$G$11:$G$310,56),IF(56&lt;=COUNTA(半紙!$B$11:$B$310)+COUNTA(条幅!$B$11:$B$310),INDEX(条幅!$G$11:$G$310,56-COUNTA(半紙!$B$11:$B$310)),IF(56&lt;=COUNTA(半紙!$B$11:$B$310)+COUNTA(条幅!$B$11:$B$310)+COUNTA(条幅4分の1!$B$11:$B$310),INDEX(条幅4分の1!$G$11:$G$310,56-COUNTA(半紙!$B$11:$B$310)-COUNTA(条幅!$B$11:$B$310)),""))))</f>
        <v/>
      </c>
      <c r="H61" s="38" t="str">
        <f>IF(IF(56&lt;=COUNTA(半紙!$B$11:$B$310),INDEX(半紙!$H$11:$H$310,56),IF(56&lt;=COUNTA(半紙!$B$11:$B$310)+COUNTA(条幅!$B$11:$B$310),INDEX(条幅!$H$11:$H$310,56-COUNTA(半紙!$B$11:$B$310)),IF(56&lt;=COUNTA(半紙!$B$11:$B$310)+COUNTA(条幅!$B$11:$B$310)+COUNTA(条幅4分の1!$B$11:$B$310),INDEX(条幅4分の1!$H$11:$H$310,56-COUNTA(半紙!$B$11:$B$310)-COUNTA(条幅!$B$11:$B$310)),"")))=0,"",IF(56&lt;=COUNTA(半紙!$B$11:$B$310),INDEX(半紙!$H$11:$H$310,56),IF(56&lt;=COUNTA(半紙!$B$11:$B$310)+COUNTA(条幅!$B$11:$B$310),INDEX(条幅!$H$11:$H$310,56-COUNTA(半紙!$B$11:$B$310)),IF(56&lt;=COUNTA(半紙!$B$11:$B$310)+COUNTA(条幅!$B$11:$B$310)+COUNTA(条幅4分の1!$B$11:$B$310),INDEX(条幅4分の1!$H$11:$H$310,56-COUNTA(半紙!$B$11:$B$310)-COUNTA(条幅!$B$11:$B$310)),""))))</f>
        <v/>
      </c>
      <c r="I61" s="38" t="str">
        <f>IF(IF(56&lt;=COUNTA(半紙!$B$11:$B$310),INDEX(半紙!$I$11:$I$310,56),IF(56&lt;=COUNTA(半紙!$B$11:$B$310)+COUNTA(条幅!$B$11:$B$310),INDEX(条幅!$I$11:$I$310,56-COUNTA(半紙!$B$11:$B$310)),IF(56&lt;=COUNTA(半紙!$B$11:$B$310)+COUNTA(条幅!$B$11:$B$310)+COUNTA(条幅4分の1!$B$11:$B$310),INDEX(条幅4分の1!$I$11:$I$310,56-COUNTA(半紙!$B$11:$B$310)-COUNTA(条幅!$B$11:$B$310)),"")))=0,"",IF(56&lt;=COUNTA(半紙!$B$11:$B$310),INDEX(半紙!$I$11:$I$310,56),IF(56&lt;=COUNTA(半紙!$B$11:$B$310)+COUNTA(条幅!$B$11:$B$310),INDEX(条幅!$I$11:$I$310,56-COUNTA(半紙!$B$11:$B$310)),IF(56&lt;=COUNTA(半紙!$B$11:$B$310)+COUNTA(条幅!$B$11:$B$310)+COUNTA(条幅4分の1!$B$11:$B$310),INDEX(条幅4分の1!$I$11:$I$310,56-COUNTA(半紙!$B$11:$B$310)-COUNTA(条幅!$B$11:$B$310)),""))))</f>
        <v/>
      </c>
      <c r="J61" s="38" t="str">
        <f>IF(IF(56&lt;=COUNTA(半紙!$B$11:$B$310),INDEX(半紙!$J$11:$J$310,56),IF(56&lt;=COUNTA(半紙!$B$11:$B$310)+COUNTA(条幅!$B$11:$B$310),INDEX(条幅!$J$11:$J$310,56-COUNTA(半紙!$B$11:$B$310)),IF(56&lt;=COUNTA(半紙!$B$11:$B$310)+COUNTA(条幅!$B$11:$B$310)+COUNTA(条幅4分の1!$B$11:$B$310),INDEX(条幅4分の1!$J$11:$J$310,56-COUNTA(半紙!$B$11:$B$310)-COUNTA(条幅!$B$11:$B$310)),"")))=0,"",IF(56&lt;=COUNTA(半紙!$B$11:$B$310),INDEX(半紙!$J$11:$J$310,56),IF(56&lt;=COUNTA(半紙!$B$11:$B$310)+COUNTA(条幅!$B$11:$B$310),INDEX(条幅!$J$11:$J$310,56-COUNTA(半紙!$B$11:$B$310)),IF(56&lt;=COUNTA(半紙!$B$11:$B$310)+COUNTA(条幅!$B$11:$B$310)+COUNTA(条幅4分の1!$B$11:$B$310),INDEX(条幅4分の1!$J$11:$J$310,56-COUNTA(半紙!$B$11:$B$310)-COUNTA(条幅!$B$11:$B$310)),""))))</f>
        <v/>
      </c>
      <c r="K61" s="38" t="str">
        <f>IF(IF(56&lt;=COUNTA(半紙!$B$11:$B$310),INDEX(半紙!$K$11:$K$310,56),IF(56&lt;=COUNTA(半紙!$B$11:$B$310)+COUNTA(条幅!$B$11:$B$310),INDEX(条幅!$K$11:$K$310,56-COUNTA(半紙!$B$11:$B$310)),IF(56&lt;=COUNTA(半紙!$B$11:$B$310)+COUNTA(条幅!$B$11:$B$310)+COUNTA(条幅4分の1!$B$11:$B$310),INDEX(条幅4分の1!$K$11:$K$310,56-COUNTA(半紙!$B$11:$B$310)-COUNTA(条幅!$B$11:$B$310)),"")))=0,"",IF(56&lt;=COUNTA(半紙!$B$11:$B$310),INDEX(半紙!$K$11:$K$310,56),IF(56&lt;=COUNTA(半紙!$B$11:$B$310)+COUNTA(条幅!$B$11:$B$310),INDEX(条幅!$K$11:$K$310,56-COUNTA(半紙!$B$11:$B$310)),IF(56&lt;=COUNTA(半紙!$B$11:$B$310)+COUNTA(条幅!$B$11:$B$310)+COUNTA(条幅4分の1!$B$11:$B$310),INDEX(条幅4分の1!$K$11:$K$310,56-COUNTA(半紙!$B$11:$B$310)-COUNTA(条幅!$B$11:$B$310)),""))))</f>
        <v/>
      </c>
      <c r="L61" s="48" t="str">
        <f>IF($B61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56))</f>
        <v/>
      </c>
    </row>
    <row r="62" spans="1:12" ht="15" customHeight="1">
      <c r="A62" s="37" t="str">
        <f>IF(57&lt;=COUNTA(半紙!$B$11:$B$310),"半紙",IF(57&lt;=COUNTA(半紙!$B$11:$B$310)+COUNTA(条幅!$B$11:$B$310),"条幅(半切)",IF(57&lt;=COUNTA(半紙!$B$11:$B$310)+COUNTA(条幅!$B$11:$B$310)+COUNTA(条幅4分の1!$B$11:$B$310),"条幅(1/4)","")))</f>
        <v/>
      </c>
      <c r="B62" s="38" t="str">
        <f>IF(IF(57&lt;=COUNTA(半紙!$B$11:$B$310),INDEX(半紙!$B$11:$B$310,57),IF(57&lt;=COUNTA(半紙!$B$11:$B$310)+COUNTA(条幅!$B$11:$B$310),INDEX(条幅!$B$11:$B$310,57-COUNTA(半紙!$B$11:$B$310)),IF(57&lt;=COUNTA(半紙!$B$11:$B$310)+COUNTA(条幅!$B$11:$B$310)+COUNTA(条幅4分の1!$B$11:$B$310),INDEX(条幅4分の1!$B$11:$B$310,57-COUNTA(半紙!$B$11:$B$310)-COUNTA(条幅!$B$11:$B$310)),"")))=0,"",IF(57&lt;=COUNTA(半紙!$B$11:$B$310),INDEX(半紙!$B$11:$B$310,57),IF(57&lt;=COUNTA(半紙!$B$11:$B$310)+COUNTA(条幅!$B$11:$B$310),INDEX(条幅!$B$11:$B$310,57-COUNTA(半紙!$B$11:$B$310)),IF(57&lt;=COUNTA(半紙!$B$11:$B$310)+COUNTA(条幅!$B$11:$B$310)+COUNTA(条幅4分の1!$B$11:$B$310),INDEX(条幅4分の1!$B$11:$B$310,57-COUNTA(半紙!$B$11:$B$310)-COUNTA(条幅!$B$11:$B$310)),""))))</f>
        <v/>
      </c>
      <c r="C62" s="38" t="str">
        <f>IF(IF(57&lt;=COUNTA(半紙!$B$11:$B$310),INDEX(半紙!$C$11:$C$310,57),IF(57&lt;=COUNTA(半紙!$B$11:$B$310)+COUNTA(条幅!$B$11:$B$310),INDEX(条幅!$C$11:$C$310,57-COUNTA(半紙!$B$11:$B$310)),IF(57&lt;=COUNTA(半紙!$B$11:$B$310)+COUNTA(条幅!$B$11:$B$310)+COUNTA(条幅4分の1!$B$11:$B$310),INDEX(条幅4分の1!$C$11:$C$310,57-COUNTA(半紙!$B$11:$B$310)-COUNTA(条幅!$B$11:$B$310)),"")))=0,"",IF(57&lt;=COUNTA(半紙!$B$11:$B$310),INDEX(半紙!$C$11:$C$310,57),IF(57&lt;=COUNTA(半紙!$B$11:$B$310)+COUNTA(条幅!$B$11:$B$310),INDEX(条幅!$C$11:$C$310,57-COUNTA(半紙!$B$11:$B$310)),IF(57&lt;=COUNTA(半紙!$B$11:$B$310)+COUNTA(条幅!$B$11:$B$310)+COUNTA(条幅4分の1!$B$11:$B$310),INDEX(条幅4分の1!$C$11:$C$310,57-COUNTA(半紙!$B$11:$B$310)-COUNTA(条幅!$B$11:$B$310)),""))))</f>
        <v/>
      </c>
      <c r="D62" s="38" t="str">
        <f>IF(IF(57&lt;=COUNTA(半紙!$B$11:$B$310),INDEX(半紙!$D$11:$D$310,57),IF(57&lt;=COUNTA(半紙!$B$11:$B$310)+COUNTA(条幅!$B$11:$B$310),INDEX(条幅!$D$11:$D$310,57-COUNTA(半紙!$B$11:$B$310)),IF(57&lt;=COUNTA(半紙!$B$11:$B$310)+COUNTA(条幅!$B$11:$B$310)+COUNTA(条幅4分の1!$B$11:$B$310),INDEX(条幅4分の1!$D$11:$D$310,57-COUNTA(半紙!$B$11:$B$310)-COUNTA(条幅!$B$11:$B$310)),"")))=0,"",IF(57&lt;=COUNTA(半紙!$B$11:$B$310),INDEX(半紙!$D$11:$D$310,57),IF(57&lt;=COUNTA(半紙!$B$11:$B$310)+COUNTA(条幅!$B$11:$B$310),INDEX(条幅!$D$11:$D$310,57-COUNTA(半紙!$B$11:$B$310)),IF(57&lt;=COUNTA(半紙!$B$11:$B$310)+COUNTA(条幅!$B$11:$B$310)+COUNTA(条幅4分の1!$B$11:$B$310),INDEX(条幅4分の1!$D$11:$D$310,57-COUNTA(半紙!$B$11:$B$310)-COUNTA(条幅!$B$11:$B$310)),""))))</f>
        <v/>
      </c>
      <c r="E62" s="38" t="str">
        <f>IF(IF(57&lt;=COUNTA(半紙!$B$11:$B$310),INDEX(半紙!$E$11:$E$310,57),IF(57&lt;=COUNTA(半紙!$B$11:$B$310)+COUNTA(条幅!$B$11:$B$310),INDEX(条幅!$E$11:$E$310,57-COUNTA(半紙!$B$11:$B$310)),IF(57&lt;=COUNTA(半紙!$B$11:$B$310)+COUNTA(条幅!$B$11:$B$310)+COUNTA(条幅4分の1!$B$11:$B$310),INDEX(条幅4分の1!$E$11:$E$310,57-COUNTA(半紙!$B$11:$B$310)-COUNTA(条幅!$B$11:$B$310)),"")))=0,"",IF(57&lt;=COUNTA(半紙!$B$11:$B$310),INDEX(半紙!$E$11:$E$310,57),IF(57&lt;=COUNTA(半紙!$B$11:$B$310)+COUNTA(条幅!$B$11:$B$310),INDEX(条幅!$E$11:$E$310,57-COUNTA(半紙!$B$11:$B$310)),IF(57&lt;=COUNTA(半紙!$B$11:$B$310)+COUNTA(条幅!$B$11:$B$310)+COUNTA(条幅4分の1!$B$11:$B$310),INDEX(条幅4分の1!$E$11:$E$310,57-COUNTA(半紙!$B$11:$B$310)-COUNTA(条幅!$B$11:$B$310)),""))))</f>
        <v/>
      </c>
      <c r="F62" s="38" t="str">
        <f>IF(IF(57&lt;=COUNTA(半紙!$B$11:$B$310),INDEX(半紙!$F$11:$F$310,57),IF(57&lt;=COUNTA(半紙!$B$11:$B$310)+COUNTA(条幅!$B$11:$B$310),INDEX(条幅!$F$11:$F$310,57-COUNTA(半紙!$B$11:$B$310)),IF(57&lt;=COUNTA(半紙!$B$11:$B$310)+COUNTA(条幅!$B$11:$B$310)+COUNTA(条幅4分の1!$B$11:$B$310),INDEX(条幅4分の1!$F$11:$F$310,57-COUNTA(半紙!$B$11:$B$310)-COUNTA(条幅!$B$11:$B$310)),"")))=0,"",IF(57&lt;=COUNTA(半紙!$B$11:$B$310),INDEX(半紙!$F$11:$F$310,57),IF(57&lt;=COUNTA(半紙!$B$11:$B$310)+COUNTA(条幅!$B$11:$B$310),INDEX(条幅!$F$11:$F$310,57-COUNTA(半紙!$B$11:$B$310)),IF(57&lt;=COUNTA(半紙!$B$11:$B$310)+COUNTA(条幅!$B$11:$B$310)+COUNTA(条幅4分の1!$B$11:$B$310),INDEX(条幅4分の1!$F$11:$F$310,57-COUNTA(半紙!$B$11:$B$310)-COUNTA(条幅!$B$11:$B$310)),""))))</f>
        <v/>
      </c>
      <c r="G62" s="38" t="str">
        <f>IF(IF(57&lt;=COUNTA(半紙!$B$11:$B$310),INDEX(半紙!$G$11:$G$310,57),IF(57&lt;=COUNTA(半紙!$B$11:$B$310)+COUNTA(条幅!$B$11:$B$310),INDEX(条幅!$G$11:$G$310,57-COUNTA(半紙!$B$11:$B$310)),IF(57&lt;=COUNTA(半紙!$B$11:$B$310)+COUNTA(条幅!$B$11:$B$310)+COUNTA(条幅4分の1!$B$11:$B$310),INDEX(条幅4分の1!$G$11:$G$310,57-COUNTA(半紙!$B$11:$B$310)-COUNTA(条幅!$B$11:$B$310)),"")))=0,"",IF(57&lt;=COUNTA(半紙!$B$11:$B$310),INDEX(半紙!$G$11:$G$310,57),IF(57&lt;=COUNTA(半紙!$B$11:$B$310)+COUNTA(条幅!$B$11:$B$310),INDEX(条幅!$G$11:$G$310,57-COUNTA(半紙!$B$11:$B$310)),IF(57&lt;=COUNTA(半紙!$B$11:$B$310)+COUNTA(条幅!$B$11:$B$310)+COUNTA(条幅4分の1!$B$11:$B$310),INDEX(条幅4分の1!$G$11:$G$310,57-COUNTA(半紙!$B$11:$B$310)-COUNTA(条幅!$B$11:$B$310)),""))))</f>
        <v/>
      </c>
      <c r="H62" s="38" t="str">
        <f>IF(IF(57&lt;=COUNTA(半紙!$B$11:$B$310),INDEX(半紙!$H$11:$H$310,57),IF(57&lt;=COUNTA(半紙!$B$11:$B$310)+COUNTA(条幅!$B$11:$B$310),INDEX(条幅!$H$11:$H$310,57-COUNTA(半紙!$B$11:$B$310)),IF(57&lt;=COUNTA(半紙!$B$11:$B$310)+COUNTA(条幅!$B$11:$B$310)+COUNTA(条幅4分の1!$B$11:$B$310),INDEX(条幅4分の1!$H$11:$H$310,57-COUNTA(半紙!$B$11:$B$310)-COUNTA(条幅!$B$11:$B$310)),"")))=0,"",IF(57&lt;=COUNTA(半紙!$B$11:$B$310),INDEX(半紙!$H$11:$H$310,57),IF(57&lt;=COUNTA(半紙!$B$11:$B$310)+COUNTA(条幅!$B$11:$B$310),INDEX(条幅!$H$11:$H$310,57-COUNTA(半紙!$B$11:$B$310)),IF(57&lt;=COUNTA(半紙!$B$11:$B$310)+COUNTA(条幅!$B$11:$B$310)+COUNTA(条幅4分の1!$B$11:$B$310),INDEX(条幅4分の1!$H$11:$H$310,57-COUNTA(半紙!$B$11:$B$310)-COUNTA(条幅!$B$11:$B$310)),""))))</f>
        <v/>
      </c>
      <c r="I62" s="38" t="str">
        <f>IF(IF(57&lt;=COUNTA(半紙!$B$11:$B$310),INDEX(半紙!$I$11:$I$310,57),IF(57&lt;=COUNTA(半紙!$B$11:$B$310)+COUNTA(条幅!$B$11:$B$310),INDEX(条幅!$I$11:$I$310,57-COUNTA(半紙!$B$11:$B$310)),IF(57&lt;=COUNTA(半紙!$B$11:$B$310)+COUNTA(条幅!$B$11:$B$310)+COUNTA(条幅4分の1!$B$11:$B$310),INDEX(条幅4分の1!$I$11:$I$310,57-COUNTA(半紙!$B$11:$B$310)-COUNTA(条幅!$B$11:$B$310)),"")))=0,"",IF(57&lt;=COUNTA(半紙!$B$11:$B$310),INDEX(半紙!$I$11:$I$310,57),IF(57&lt;=COUNTA(半紙!$B$11:$B$310)+COUNTA(条幅!$B$11:$B$310),INDEX(条幅!$I$11:$I$310,57-COUNTA(半紙!$B$11:$B$310)),IF(57&lt;=COUNTA(半紙!$B$11:$B$310)+COUNTA(条幅!$B$11:$B$310)+COUNTA(条幅4分の1!$B$11:$B$310),INDEX(条幅4分の1!$I$11:$I$310,57-COUNTA(半紙!$B$11:$B$310)-COUNTA(条幅!$B$11:$B$310)),""))))</f>
        <v/>
      </c>
      <c r="J62" s="38" t="str">
        <f>IF(IF(57&lt;=COUNTA(半紙!$B$11:$B$310),INDEX(半紙!$J$11:$J$310,57),IF(57&lt;=COUNTA(半紙!$B$11:$B$310)+COUNTA(条幅!$B$11:$B$310),INDEX(条幅!$J$11:$J$310,57-COUNTA(半紙!$B$11:$B$310)),IF(57&lt;=COUNTA(半紙!$B$11:$B$310)+COUNTA(条幅!$B$11:$B$310)+COUNTA(条幅4分の1!$B$11:$B$310),INDEX(条幅4分の1!$J$11:$J$310,57-COUNTA(半紙!$B$11:$B$310)-COUNTA(条幅!$B$11:$B$310)),"")))=0,"",IF(57&lt;=COUNTA(半紙!$B$11:$B$310),INDEX(半紙!$J$11:$J$310,57),IF(57&lt;=COUNTA(半紙!$B$11:$B$310)+COUNTA(条幅!$B$11:$B$310),INDEX(条幅!$J$11:$J$310,57-COUNTA(半紙!$B$11:$B$310)),IF(57&lt;=COUNTA(半紙!$B$11:$B$310)+COUNTA(条幅!$B$11:$B$310)+COUNTA(条幅4分の1!$B$11:$B$310),INDEX(条幅4分の1!$J$11:$J$310,57-COUNTA(半紙!$B$11:$B$310)-COUNTA(条幅!$B$11:$B$310)),""))))</f>
        <v/>
      </c>
      <c r="K62" s="38" t="str">
        <f>IF(IF(57&lt;=COUNTA(半紙!$B$11:$B$310),INDEX(半紙!$K$11:$K$310,57),IF(57&lt;=COUNTA(半紙!$B$11:$B$310)+COUNTA(条幅!$B$11:$B$310),INDEX(条幅!$K$11:$K$310,57-COUNTA(半紙!$B$11:$B$310)),IF(57&lt;=COUNTA(半紙!$B$11:$B$310)+COUNTA(条幅!$B$11:$B$310)+COUNTA(条幅4分の1!$B$11:$B$310),INDEX(条幅4分の1!$K$11:$K$310,57-COUNTA(半紙!$B$11:$B$310)-COUNTA(条幅!$B$11:$B$310)),"")))=0,"",IF(57&lt;=COUNTA(半紙!$B$11:$B$310),INDEX(半紙!$K$11:$K$310,57),IF(57&lt;=COUNTA(半紙!$B$11:$B$310)+COUNTA(条幅!$B$11:$B$310),INDEX(条幅!$K$11:$K$310,57-COUNTA(半紙!$B$11:$B$310)),IF(57&lt;=COUNTA(半紙!$B$11:$B$310)+COUNTA(条幅!$B$11:$B$310)+COUNTA(条幅4分の1!$B$11:$B$310),INDEX(条幅4分の1!$K$11:$K$310,57-COUNTA(半紙!$B$11:$B$310)-COUNTA(条幅!$B$11:$B$310)),""))))</f>
        <v/>
      </c>
      <c r="L62" s="48" t="str">
        <f>IF($B62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57))</f>
        <v/>
      </c>
    </row>
    <row r="63" spans="1:12" ht="15" customHeight="1">
      <c r="A63" s="37" t="str">
        <f>IF(58&lt;=COUNTA(半紙!$B$11:$B$310),"半紙",IF(58&lt;=COUNTA(半紙!$B$11:$B$310)+COUNTA(条幅!$B$11:$B$310),"条幅(半切)",IF(58&lt;=COUNTA(半紙!$B$11:$B$310)+COUNTA(条幅!$B$11:$B$310)+COUNTA(条幅4分の1!$B$11:$B$310),"条幅(1/4)","")))</f>
        <v/>
      </c>
      <c r="B63" s="38" t="str">
        <f>IF(IF(58&lt;=COUNTA(半紙!$B$11:$B$310),INDEX(半紙!$B$11:$B$310,58),IF(58&lt;=COUNTA(半紙!$B$11:$B$310)+COUNTA(条幅!$B$11:$B$310),INDEX(条幅!$B$11:$B$310,58-COUNTA(半紙!$B$11:$B$310)),IF(58&lt;=COUNTA(半紙!$B$11:$B$310)+COUNTA(条幅!$B$11:$B$310)+COUNTA(条幅4分の1!$B$11:$B$310),INDEX(条幅4分の1!$B$11:$B$310,58-COUNTA(半紙!$B$11:$B$310)-COUNTA(条幅!$B$11:$B$310)),"")))=0,"",IF(58&lt;=COUNTA(半紙!$B$11:$B$310),INDEX(半紙!$B$11:$B$310,58),IF(58&lt;=COUNTA(半紙!$B$11:$B$310)+COUNTA(条幅!$B$11:$B$310),INDEX(条幅!$B$11:$B$310,58-COUNTA(半紙!$B$11:$B$310)),IF(58&lt;=COUNTA(半紙!$B$11:$B$310)+COUNTA(条幅!$B$11:$B$310)+COUNTA(条幅4分の1!$B$11:$B$310),INDEX(条幅4分の1!$B$11:$B$310,58-COUNTA(半紙!$B$11:$B$310)-COUNTA(条幅!$B$11:$B$310)),""))))</f>
        <v/>
      </c>
      <c r="C63" s="38" t="str">
        <f>IF(IF(58&lt;=COUNTA(半紙!$B$11:$B$310),INDEX(半紙!$C$11:$C$310,58),IF(58&lt;=COUNTA(半紙!$B$11:$B$310)+COUNTA(条幅!$B$11:$B$310),INDEX(条幅!$C$11:$C$310,58-COUNTA(半紙!$B$11:$B$310)),IF(58&lt;=COUNTA(半紙!$B$11:$B$310)+COUNTA(条幅!$B$11:$B$310)+COUNTA(条幅4分の1!$B$11:$B$310),INDEX(条幅4分の1!$C$11:$C$310,58-COUNTA(半紙!$B$11:$B$310)-COUNTA(条幅!$B$11:$B$310)),"")))=0,"",IF(58&lt;=COUNTA(半紙!$B$11:$B$310),INDEX(半紙!$C$11:$C$310,58),IF(58&lt;=COUNTA(半紙!$B$11:$B$310)+COUNTA(条幅!$B$11:$B$310),INDEX(条幅!$C$11:$C$310,58-COUNTA(半紙!$B$11:$B$310)),IF(58&lt;=COUNTA(半紙!$B$11:$B$310)+COUNTA(条幅!$B$11:$B$310)+COUNTA(条幅4分の1!$B$11:$B$310),INDEX(条幅4分の1!$C$11:$C$310,58-COUNTA(半紙!$B$11:$B$310)-COUNTA(条幅!$B$11:$B$310)),""))))</f>
        <v/>
      </c>
      <c r="D63" s="38" t="str">
        <f>IF(IF(58&lt;=COUNTA(半紙!$B$11:$B$310),INDEX(半紙!$D$11:$D$310,58),IF(58&lt;=COUNTA(半紙!$B$11:$B$310)+COUNTA(条幅!$B$11:$B$310),INDEX(条幅!$D$11:$D$310,58-COUNTA(半紙!$B$11:$B$310)),IF(58&lt;=COUNTA(半紙!$B$11:$B$310)+COUNTA(条幅!$B$11:$B$310)+COUNTA(条幅4分の1!$B$11:$B$310),INDEX(条幅4分の1!$D$11:$D$310,58-COUNTA(半紙!$B$11:$B$310)-COUNTA(条幅!$B$11:$B$310)),"")))=0,"",IF(58&lt;=COUNTA(半紙!$B$11:$B$310),INDEX(半紙!$D$11:$D$310,58),IF(58&lt;=COUNTA(半紙!$B$11:$B$310)+COUNTA(条幅!$B$11:$B$310),INDEX(条幅!$D$11:$D$310,58-COUNTA(半紙!$B$11:$B$310)),IF(58&lt;=COUNTA(半紙!$B$11:$B$310)+COUNTA(条幅!$B$11:$B$310)+COUNTA(条幅4分の1!$B$11:$B$310),INDEX(条幅4分の1!$D$11:$D$310,58-COUNTA(半紙!$B$11:$B$310)-COUNTA(条幅!$B$11:$B$310)),""))))</f>
        <v/>
      </c>
      <c r="E63" s="38" t="str">
        <f>IF(IF(58&lt;=COUNTA(半紙!$B$11:$B$310),INDEX(半紙!$E$11:$E$310,58),IF(58&lt;=COUNTA(半紙!$B$11:$B$310)+COUNTA(条幅!$B$11:$B$310),INDEX(条幅!$E$11:$E$310,58-COUNTA(半紙!$B$11:$B$310)),IF(58&lt;=COUNTA(半紙!$B$11:$B$310)+COUNTA(条幅!$B$11:$B$310)+COUNTA(条幅4分の1!$B$11:$B$310),INDEX(条幅4分の1!$E$11:$E$310,58-COUNTA(半紙!$B$11:$B$310)-COUNTA(条幅!$B$11:$B$310)),"")))=0,"",IF(58&lt;=COUNTA(半紙!$B$11:$B$310),INDEX(半紙!$E$11:$E$310,58),IF(58&lt;=COUNTA(半紙!$B$11:$B$310)+COUNTA(条幅!$B$11:$B$310),INDEX(条幅!$E$11:$E$310,58-COUNTA(半紙!$B$11:$B$310)),IF(58&lt;=COUNTA(半紙!$B$11:$B$310)+COUNTA(条幅!$B$11:$B$310)+COUNTA(条幅4分の1!$B$11:$B$310),INDEX(条幅4分の1!$E$11:$E$310,58-COUNTA(半紙!$B$11:$B$310)-COUNTA(条幅!$B$11:$B$310)),""))))</f>
        <v/>
      </c>
      <c r="F63" s="38" t="str">
        <f>IF(IF(58&lt;=COUNTA(半紙!$B$11:$B$310),INDEX(半紙!$F$11:$F$310,58),IF(58&lt;=COUNTA(半紙!$B$11:$B$310)+COUNTA(条幅!$B$11:$B$310),INDEX(条幅!$F$11:$F$310,58-COUNTA(半紙!$B$11:$B$310)),IF(58&lt;=COUNTA(半紙!$B$11:$B$310)+COUNTA(条幅!$B$11:$B$310)+COUNTA(条幅4分の1!$B$11:$B$310),INDEX(条幅4分の1!$F$11:$F$310,58-COUNTA(半紙!$B$11:$B$310)-COUNTA(条幅!$B$11:$B$310)),"")))=0,"",IF(58&lt;=COUNTA(半紙!$B$11:$B$310),INDEX(半紙!$F$11:$F$310,58),IF(58&lt;=COUNTA(半紙!$B$11:$B$310)+COUNTA(条幅!$B$11:$B$310),INDEX(条幅!$F$11:$F$310,58-COUNTA(半紙!$B$11:$B$310)),IF(58&lt;=COUNTA(半紙!$B$11:$B$310)+COUNTA(条幅!$B$11:$B$310)+COUNTA(条幅4分の1!$B$11:$B$310),INDEX(条幅4分の1!$F$11:$F$310,58-COUNTA(半紙!$B$11:$B$310)-COUNTA(条幅!$B$11:$B$310)),""))))</f>
        <v/>
      </c>
      <c r="G63" s="38" t="str">
        <f>IF(IF(58&lt;=COUNTA(半紙!$B$11:$B$310),INDEX(半紙!$G$11:$G$310,58),IF(58&lt;=COUNTA(半紙!$B$11:$B$310)+COUNTA(条幅!$B$11:$B$310),INDEX(条幅!$G$11:$G$310,58-COUNTA(半紙!$B$11:$B$310)),IF(58&lt;=COUNTA(半紙!$B$11:$B$310)+COUNTA(条幅!$B$11:$B$310)+COUNTA(条幅4分の1!$B$11:$B$310),INDEX(条幅4分の1!$G$11:$G$310,58-COUNTA(半紙!$B$11:$B$310)-COUNTA(条幅!$B$11:$B$310)),"")))=0,"",IF(58&lt;=COUNTA(半紙!$B$11:$B$310),INDEX(半紙!$G$11:$G$310,58),IF(58&lt;=COUNTA(半紙!$B$11:$B$310)+COUNTA(条幅!$B$11:$B$310),INDEX(条幅!$G$11:$G$310,58-COUNTA(半紙!$B$11:$B$310)),IF(58&lt;=COUNTA(半紙!$B$11:$B$310)+COUNTA(条幅!$B$11:$B$310)+COUNTA(条幅4分の1!$B$11:$B$310),INDEX(条幅4分の1!$G$11:$G$310,58-COUNTA(半紙!$B$11:$B$310)-COUNTA(条幅!$B$11:$B$310)),""))))</f>
        <v/>
      </c>
      <c r="H63" s="38" t="str">
        <f>IF(IF(58&lt;=COUNTA(半紙!$B$11:$B$310),INDEX(半紙!$H$11:$H$310,58),IF(58&lt;=COUNTA(半紙!$B$11:$B$310)+COUNTA(条幅!$B$11:$B$310),INDEX(条幅!$H$11:$H$310,58-COUNTA(半紙!$B$11:$B$310)),IF(58&lt;=COUNTA(半紙!$B$11:$B$310)+COUNTA(条幅!$B$11:$B$310)+COUNTA(条幅4分の1!$B$11:$B$310),INDEX(条幅4分の1!$H$11:$H$310,58-COUNTA(半紙!$B$11:$B$310)-COUNTA(条幅!$B$11:$B$310)),"")))=0,"",IF(58&lt;=COUNTA(半紙!$B$11:$B$310),INDEX(半紙!$H$11:$H$310,58),IF(58&lt;=COUNTA(半紙!$B$11:$B$310)+COUNTA(条幅!$B$11:$B$310),INDEX(条幅!$H$11:$H$310,58-COUNTA(半紙!$B$11:$B$310)),IF(58&lt;=COUNTA(半紙!$B$11:$B$310)+COUNTA(条幅!$B$11:$B$310)+COUNTA(条幅4分の1!$B$11:$B$310),INDEX(条幅4分の1!$H$11:$H$310,58-COUNTA(半紙!$B$11:$B$310)-COUNTA(条幅!$B$11:$B$310)),""))))</f>
        <v/>
      </c>
      <c r="I63" s="38" t="str">
        <f>IF(IF(58&lt;=COUNTA(半紙!$B$11:$B$310),INDEX(半紙!$I$11:$I$310,58),IF(58&lt;=COUNTA(半紙!$B$11:$B$310)+COUNTA(条幅!$B$11:$B$310),INDEX(条幅!$I$11:$I$310,58-COUNTA(半紙!$B$11:$B$310)),IF(58&lt;=COUNTA(半紙!$B$11:$B$310)+COUNTA(条幅!$B$11:$B$310)+COUNTA(条幅4分の1!$B$11:$B$310),INDEX(条幅4分の1!$I$11:$I$310,58-COUNTA(半紙!$B$11:$B$310)-COUNTA(条幅!$B$11:$B$310)),"")))=0,"",IF(58&lt;=COUNTA(半紙!$B$11:$B$310),INDEX(半紙!$I$11:$I$310,58),IF(58&lt;=COUNTA(半紙!$B$11:$B$310)+COUNTA(条幅!$B$11:$B$310),INDEX(条幅!$I$11:$I$310,58-COUNTA(半紙!$B$11:$B$310)),IF(58&lt;=COUNTA(半紙!$B$11:$B$310)+COUNTA(条幅!$B$11:$B$310)+COUNTA(条幅4分の1!$B$11:$B$310),INDEX(条幅4分の1!$I$11:$I$310,58-COUNTA(半紙!$B$11:$B$310)-COUNTA(条幅!$B$11:$B$310)),""))))</f>
        <v/>
      </c>
      <c r="J63" s="38" t="str">
        <f>IF(IF(58&lt;=COUNTA(半紙!$B$11:$B$310),INDEX(半紙!$J$11:$J$310,58),IF(58&lt;=COUNTA(半紙!$B$11:$B$310)+COUNTA(条幅!$B$11:$B$310),INDEX(条幅!$J$11:$J$310,58-COUNTA(半紙!$B$11:$B$310)),IF(58&lt;=COUNTA(半紙!$B$11:$B$310)+COUNTA(条幅!$B$11:$B$310)+COUNTA(条幅4分の1!$B$11:$B$310),INDEX(条幅4分の1!$J$11:$J$310,58-COUNTA(半紙!$B$11:$B$310)-COUNTA(条幅!$B$11:$B$310)),"")))=0,"",IF(58&lt;=COUNTA(半紙!$B$11:$B$310),INDEX(半紙!$J$11:$J$310,58),IF(58&lt;=COUNTA(半紙!$B$11:$B$310)+COUNTA(条幅!$B$11:$B$310),INDEX(条幅!$J$11:$J$310,58-COUNTA(半紙!$B$11:$B$310)),IF(58&lt;=COUNTA(半紙!$B$11:$B$310)+COUNTA(条幅!$B$11:$B$310)+COUNTA(条幅4分の1!$B$11:$B$310),INDEX(条幅4分の1!$J$11:$J$310,58-COUNTA(半紙!$B$11:$B$310)-COUNTA(条幅!$B$11:$B$310)),""))))</f>
        <v/>
      </c>
      <c r="K63" s="38" t="str">
        <f>IF(IF(58&lt;=COUNTA(半紙!$B$11:$B$310),INDEX(半紙!$K$11:$K$310,58),IF(58&lt;=COUNTA(半紙!$B$11:$B$310)+COUNTA(条幅!$B$11:$B$310),INDEX(条幅!$K$11:$K$310,58-COUNTA(半紙!$B$11:$B$310)),IF(58&lt;=COUNTA(半紙!$B$11:$B$310)+COUNTA(条幅!$B$11:$B$310)+COUNTA(条幅4分の1!$B$11:$B$310),INDEX(条幅4分の1!$K$11:$K$310,58-COUNTA(半紙!$B$11:$B$310)-COUNTA(条幅!$B$11:$B$310)),"")))=0,"",IF(58&lt;=COUNTA(半紙!$B$11:$B$310),INDEX(半紙!$K$11:$K$310,58),IF(58&lt;=COUNTA(半紙!$B$11:$B$310)+COUNTA(条幅!$B$11:$B$310),INDEX(条幅!$K$11:$K$310,58-COUNTA(半紙!$B$11:$B$310)),IF(58&lt;=COUNTA(半紙!$B$11:$B$310)+COUNTA(条幅!$B$11:$B$310)+COUNTA(条幅4分の1!$B$11:$B$310),INDEX(条幅4分の1!$K$11:$K$310,58-COUNTA(半紙!$B$11:$B$310)-COUNTA(条幅!$B$11:$B$310)),""))))</f>
        <v/>
      </c>
      <c r="L63" s="48" t="str">
        <f>IF($B63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58))</f>
        <v/>
      </c>
    </row>
    <row r="64" spans="1:12" ht="15" customHeight="1">
      <c r="A64" s="37" t="str">
        <f>IF(59&lt;=COUNTA(半紙!$B$11:$B$310),"半紙",IF(59&lt;=COUNTA(半紙!$B$11:$B$310)+COUNTA(条幅!$B$11:$B$310),"条幅(半切)",IF(59&lt;=COUNTA(半紙!$B$11:$B$310)+COUNTA(条幅!$B$11:$B$310)+COUNTA(条幅4分の1!$B$11:$B$310),"条幅(1/4)","")))</f>
        <v/>
      </c>
      <c r="B64" s="38" t="str">
        <f>IF(IF(59&lt;=COUNTA(半紙!$B$11:$B$310),INDEX(半紙!$B$11:$B$310,59),IF(59&lt;=COUNTA(半紙!$B$11:$B$310)+COUNTA(条幅!$B$11:$B$310),INDEX(条幅!$B$11:$B$310,59-COUNTA(半紙!$B$11:$B$310)),IF(59&lt;=COUNTA(半紙!$B$11:$B$310)+COUNTA(条幅!$B$11:$B$310)+COUNTA(条幅4分の1!$B$11:$B$310),INDEX(条幅4分の1!$B$11:$B$310,59-COUNTA(半紙!$B$11:$B$310)-COUNTA(条幅!$B$11:$B$310)),"")))=0,"",IF(59&lt;=COUNTA(半紙!$B$11:$B$310),INDEX(半紙!$B$11:$B$310,59),IF(59&lt;=COUNTA(半紙!$B$11:$B$310)+COUNTA(条幅!$B$11:$B$310),INDEX(条幅!$B$11:$B$310,59-COUNTA(半紙!$B$11:$B$310)),IF(59&lt;=COUNTA(半紙!$B$11:$B$310)+COUNTA(条幅!$B$11:$B$310)+COUNTA(条幅4分の1!$B$11:$B$310),INDEX(条幅4分の1!$B$11:$B$310,59-COUNTA(半紙!$B$11:$B$310)-COUNTA(条幅!$B$11:$B$310)),""))))</f>
        <v/>
      </c>
      <c r="C64" s="38" t="str">
        <f>IF(IF(59&lt;=COUNTA(半紙!$B$11:$B$310),INDEX(半紙!$C$11:$C$310,59),IF(59&lt;=COUNTA(半紙!$B$11:$B$310)+COUNTA(条幅!$B$11:$B$310),INDEX(条幅!$C$11:$C$310,59-COUNTA(半紙!$B$11:$B$310)),IF(59&lt;=COUNTA(半紙!$B$11:$B$310)+COUNTA(条幅!$B$11:$B$310)+COUNTA(条幅4分の1!$B$11:$B$310),INDEX(条幅4分の1!$C$11:$C$310,59-COUNTA(半紙!$B$11:$B$310)-COUNTA(条幅!$B$11:$B$310)),"")))=0,"",IF(59&lt;=COUNTA(半紙!$B$11:$B$310),INDEX(半紙!$C$11:$C$310,59),IF(59&lt;=COUNTA(半紙!$B$11:$B$310)+COUNTA(条幅!$B$11:$B$310),INDEX(条幅!$C$11:$C$310,59-COUNTA(半紙!$B$11:$B$310)),IF(59&lt;=COUNTA(半紙!$B$11:$B$310)+COUNTA(条幅!$B$11:$B$310)+COUNTA(条幅4分の1!$B$11:$B$310),INDEX(条幅4分の1!$C$11:$C$310,59-COUNTA(半紙!$B$11:$B$310)-COUNTA(条幅!$B$11:$B$310)),""))))</f>
        <v/>
      </c>
      <c r="D64" s="38" t="str">
        <f>IF(IF(59&lt;=COUNTA(半紙!$B$11:$B$310),INDEX(半紙!$D$11:$D$310,59),IF(59&lt;=COUNTA(半紙!$B$11:$B$310)+COUNTA(条幅!$B$11:$B$310),INDEX(条幅!$D$11:$D$310,59-COUNTA(半紙!$B$11:$B$310)),IF(59&lt;=COUNTA(半紙!$B$11:$B$310)+COUNTA(条幅!$B$11:$B$310)+COUNTA(条幅4分の1!$B$11:$B$310),INDEX(条幅4分の1!$D$11:$D$310,59-COUNTA(半紙!$B$11:$B$310)-COUNTA(条幅!$B$11:$B$310)),"")))=0,"",IF(59&lt;=COUNTA(半紙!$B$11:$B$310),INDEX(半紙!$D$11:$D$310,59),IF(59&lt;=COUNTA(半紙!$B$11:$B$310)+COUNTA(条幅!$B$11:$B$310),INDEX(条幅!$D$11:$D$310,59-COUNTA(半紙!$B$11:$B$310)),IF(59&lt;=COUNTA(半紙!$B$11:$B$310)+COUNTA(条幅!$B$11:$B$310)+COUNTA(条幅4分の1!$B$11:$B$310),INDEX(条幅4分の1!$D$11:$D$310,59-COUNTA(半紙!$B$11:$B$310)-COUNTA(条幅!$B$11:$B$310)),""))))</f>
        <v/>
      </c>
      <c r="E64" s="38" t="str">
        <f>IF(IF(59&lt;=COUNTA(半紙!$B$11:$B$310),INDEX(半紙!$E$11:$E$310,59),IF(59&lt;=COUNTA(半紙!$B$11:$B$310)+COUNTA(条幅!$B$11:$B$310),INDEX(条幅!$E$11:$E$310,59-COUNTA(半紙!$B$11:$B$310)),IF(59&lt;=COUNTA(半紙!$B$11:$B$310)+COUNTA(条幅!$B$11:$B$310)+COUNTA(条幅4分の1!$B$11:$B$310),INDEX(条幅4分の1!$E$11:$E$310,59-COUNTA(半紙!$B$11:$B$310)-COUNTA(条幅!$B$11:$B$310)),"")))=0,"",IF(59&lt;=COUNTA(半紙!$B$11:$B$310),INDEX(半紙!$E$11:$E$310,59),IF(59&lt;=COUNTA(半紙!$B$11:$B$310)+COUNTA(条幅!$B$11:$B$310),INDEX(条幅!$E$11:$E$310,59-COUNTA(半紙!$B$11:$B$310)),IF(59&lt;=COUNTA(半紙!$B$11:$B$310)+COUNTA(条幅!$B$11:$B$310)+COUNTA(条幅4分の1!$B$11:$B$310),INDEX(条幅4分の1!$E$11:$E$310,59-COUNTA(半紙!$B$11:$B$310)-COUNTA(条幅!$B$11:$B$310)),""))))</f>
        <v/>
      </c>
      <c r="F64" s="38" t="str">
        <f>IF(IF(59&lt;=COUNTA(半紙!$B$11:$B$310),INDEX(半紙!$F$11:$F$310,59),IF(59&lt;=COUNTA(半紙!$B$11:$B$310)+COUNTA(条幅!$B$11:$B$310),INDEX(条幅!$F$11:$F$310,59-COUNTA(半紙!$B$11:$B$310)),IF(59&lt;=COUNTA(半紙!$B$11:$B$310)+COUNTA(条幅!$B$11:$B$310)+COUNTA(条幅4分の1!$B$11:$B$310),INDEX(条幅4分の1!$F$11:$F$310,59-COUNTA(半紙!$B$11:$B$310)-COUNTA(条幅!$B$11:$B$310)),"")))=0,"",IF(59&lt;=COUNTA(半紙!$B$11:$B$310),INDEX(半紙!$F$11:$F$310,59),IF(59&lt;=COUNTA(半紙!$B$11:$B$310)+COUNTA(条幅!$B$11:$B$310),INDEX(条幅!$F$11:$F$310,59-COUNTA(半紙!$B$11:$B$310)),IF(59&lt;=COUNTA(半紙!$B$11:$B$310)+COUNTA(条幅!$B$11:$B$310)+COUNTA(条幅4分の1!$B$11:$B$310),INDEX(条幅4分の1!$F$11:$F$310,59-COUNTA(半紙!$B$11:$B$310)-COUNTA(条幅!$B$11:$B$310)),""))))</f>
        <v/>
      </c>
      <c r="G64" s="38" t="str">
        <f>IF(IF(59&lt;=COUNTA(半紙!$B$11:$B$310),INDEX(半紙!$G$11:$G$310,59),IF(59&lt;=COUNTA(半紙!$B$11:$B$310)+COUNTA(条幅!$B$11:$B$310),INDEX(条幅!$G$11:$G$310,59-COUNTA(半紙!$B$11:$B$310)),IF(59&lt;=COUNTA(半紙!$B$11:$B$310)+COUNTA(条幅!$B$11:$B$310)+COUNTA(条幅4分の1!$B$11:$B$310),INDEX(条幅4分の1!$G$11:$G$310,59-COUNTA(半紙!$B$11:$B$310)-COUNTA(条幅!$B$11:$B$310)),"")))=0,"",IF(59&lt;=COUNTA(半紙!$B$11:$B$310),INDEX(半紙!$G$11:$G$310,59),IF(59&lt;=COUNTA(半紙!$B$11:$B$310)+COUNTA(条幅!$B$11:$B$310),INDEX(条幅!$G$11:$G$310,59-COUNTA(半紙!$B$11:$B$310)),IF(59&lt;=COUNTA(半紙!$B$11:$B$310)+COUNTA(条幅!$B$11:$B$310)+COUNTA(条幅4分の1!$B$11:$B$310),INDEX(条幅4分の1!$G$11:$G$310,59-COUNTA(半紙!$B$11:$B$310)-COUNTA(条幅!$B$11:$B$310)),""))))</f>
        <v/>
      </c>
      <c r="H64" s="38" t="str">
        <f>IF(IF(59&lt;=COUNTA(半紙!$B$11:$B$310),INDEX(半紙!$H$11:$H$310,59),IF(59&lt;=COUNTA(半紙!$B$11:$B$310)+COUNTA(条幅!$B$11:$B$310),INDEX(条幅!$H$11:$H$310,59-COUNTA(半紙!$B$11:$B$310)),IF(59&lt;=COUNTA(半紙!$B$11:$B$310)+COUNTA(条幅!$B$11:$B$310)+COUNTA(条幅4分の1!$B$11:$B$310),INDEX(条幅4分の1!$H$11:$H$310,59-COUNTA(半紙!$B$11:$B$310)-COUNTA(条幅!$B$11:$B$310)),"")))=0,"",IF(59&lt;=COUNTA(半紙!$B$11:$B$310),INDEX(半紙!$H$11:$H$310,59),IF(59&lt;=COUNTA(半紙!$B$11:$B$310)+COUNTA(条幅!$B$11:$B$310),INDEX(条幅!$H$11:$H$310,59-COUNTA(半紙!$B$11:$B$310)),IF(59&lt;=COUNTA(半紙!$B$11:$B$310)+COUNTA(条幅!$B$11:$B$310)+COUNTA(条幅4分の1!$B$11:$B$310),INDEX(条幅4分の1!$H$11:$H$310,59-COUNTA(半紙!$B$11:$B$310)-COUNTA(条幅!$B$11:$B$310)),""))))</f>
        <v/>
      </c>
      <c r="I64" s="38" t="str">
        <f>IF(IF(59&lt;=COUNTA(半紙!$B$11:$B$310),INDEX(半紙!$I$11:$I$310,59),IF(59&lt;=COUNTA(半紙!$B$11:$B$310)+COUNTA(条幅!$B$11:$B$310),INDEX(条幅!$I$11:$I$310,59-COUNTA(半紙!$B$11:$B$310)),IF(59&lt;=COUNTA(半紙!$B$11:$B$310)+COUNTA(条幅!$B$11:$B$310)+COUNTA(条幅4分の1!$B$11:$B$310),INDEX(条幅4分の1!$I$11:$I$310,59-COUNTA(半紙!$B$11:$B$310)-COUNTA(条幅!$B$11:$B$310)),"")))=0,"",IF(59&lt;=COUNTA(半紙!$B$11:$B$310),INDEX(半紙!$I$11:$I$310,59),IF(59&lt;=COUNTA(半紙!$B$11:$B$310)+COUNTA(条幅!$B$11:$B$310),INDEX(条幅!$I$11:$I$310,59-COUNTA(半紙!$B$11:$B$310)),IF(59&lt;=COUNTA(半紙!$B$11:$B$310)+COUNTA(条幅!$B$11:$B$310)+COUNTA(条幅4分の1!$B$11:$B$310),INDEX(条幅4分の1!$I$11:$I$310,59-COUNTA(半紙!$B$11:$B$310)-COUNTA(条幅!$B$11:$B$310)),""))))</f>
        <v/>
      </c>
      <c r="J64" s="38" t="str">
        <f>IF(IF(59&lt;=COUNTA(半紙!$B$11:$B$310),INDEX(半紙!$J$11:$J$310,59),IF(59&lt;=COUNTA(半紙!$B$11:$B$310)+COUNTA(条幅!$B$11:$B$310),INDEX(条幅!$J$11:$J$310,59-COUNTA(半紙!$B$11:$B$310)),IF(59&lt;=COUNTA(半紙!$B$11:$B$310)+COUNTA(条幅!$B$11:$B$310)+COUNTA(条幅4分の1!$B$11:$B$310),INDEX(条幅4分の1!$J$11:$J$310,59-COUNTA(半紙!$B$11:$B$310)-COUNTA(条幅!$B$11:$B$310)),"")))=0,"",IF(59&lt;=COUNTA(半紙!$B$11:$B$310),INDEX(半紙!$J$11:$J$310,59),IF(59&lt;=COUNTA(半紙!$B$11:$B$310)+COUNTA(条幅!$B$11:$B$310),INDEX(条幅!$J$11:$J$310,59-COUNTA(半紙!$B$11:$B$310)),IF(59&lt;=COUNTA(半紙!$B$11:$B$310)+COUNTA(条幅!$B$11:$B$310)+COUNTA(条幅4分の1!$B$11:$B$310),INDEX(条幅4分の1!$J$11:$J$310,59-COUNTA(半紙!$B$11:$B$310)-COUNTA(条幅!$B$11:$B$310)),""))))</f>
        <v/>
      </c>
      <c r="K64" s="38" t="str">
        <f>IF(IF(59&lt;=COUNTA(半紙!$B$11:$B$310),INDEX(半紙!$K$11:$K$310,59),IF(59&lt;=COUNTA(半紙!$B$11:$B$310)+COUNTA(条幅!$B$11:$B$310),INDEX(条幅!$K$11:$K$310,59-COUNTA(半紙!$B$11:$B$310)),IF(59&lt;=COUNTA(半紙!$B$11:$B$310)+COUNTA(条幅!$B$11:$B$310)+COUNTA(条幅4分の1!$B$11:$B$310),INDEX(条幅4分の1!$K$11:$K$310,59-COUNTA(半紙!$B$11:$B$310)-COUNTA(条幅!$B$11:$B$310)),"")))=0,"",IF(59&lt;=COUNTA(半紙!$B$11:$B$310),INDEX(半紙!$K$11:$K$310,59),IF(59&lt;=COUNTA(半紙!$B$11:$B$310)+COUNTA(条幅!$B$11:$B$310),INDEX(条幅!$K$11:$K$310,59-COUNTA(半紙!$B$11:$B$310)),IF(59&lt;=COUNTA(半紙!$B$11:$B$310)+COUNTA(条幅!$B$11:$B$310)+COUNTA(条幅4分の1!$B$11:$B$310),INDEX(条幅4分の1!$K$11:$K$310,59-COUNTA(半紙!$B$11:$B$310)-COUNTA(条幅!$B$11:$B$310)),""))))</f>
        <v/>
      </c>
      <c r="L64" s="48" t="str">
        <f>IF($B64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59))</f>
        <v/>
      </c>
    </row>
    <row r="65" spans="1:12" ht="15" customHeight="1">
      <c r="A65" s="37" t="str">
        <f>IF(60&lt;=COUNTA(半紙!$B$11:$B$310),"半紙",IF(60&lt;=COUNTA(半紙!$B$11:$B$310)+COUNTA(条幅!$B$11:$B$310),"条幅(半切)",IF(60&lt;=COUNTA(半紙!$B$11:$B$310)+COUNTA(条幅!$B$11:$B$310)+COUNTA(条幅4分の1!$B$11:$B$310),"条幅(1/4)","")))</f>
        <v/>
      </c>
      <c r="B65" s="38" t="str">
        <f>IF(IF(60&lt;=COUNTA(半紙!$B$11:$B$310),INDEX(半紙!$B$11:$B$310,60),IF(60&lt;=COUNTA(半紙!$B$11:$B$310)+COUNTA(条幅!$B$11:$B$310),INDEX(条幅!$B$11:$B$310,60-COUNTA(半紙!$B$11:$B$310)),IF(60&lt;=COUNTA(半紙!$B$11:$B$310)+COUNTA(条幅!$B$11:$B$310)+COUNTA(条幅4分の1!$B$11:$B$310),INDEX(条幅4分の1!$B$11:$B$310,60-COUNTA(半紙!$B$11:$B$310)-COUNTA(条幅!$B$11:$B$310)),"")))=0,"",IF(60&lt;=COUNTA(半紙!$B$11:$B$310),INDEX(半紙!$B$11:$B$310,60),IF(60&lt;=COUNTA(半紙!$B$11:$B$310)+COUNTA(条幅!$B$11:$B$310),INDEX(条幅!$B$11:$B$310,60-COUNTA(半紙!$B$11:$B$310)),IF(60&lt;=COUNTA(半紙!$B$11:$B$310)+COUNTA(条幅!$B$11:$B$310)+COUNTA(条幅4分の1!$B$11:$B$310),INDEX(条幅4分の1!$B$11:$B$310,60-COUNTA(半紙!$B$11:$B$310)-COUNTA(条幅!$B$11:$B$310)),""))))</f>
        <v/>
      </c>
      <c r="C65" s="38" t="str">
        <f>IF(IF(60&lt;=COUNTA(半紙!$B$11:$B$310),INDEX(半紙!$C$11:$C$310,60),IF(60&lt;=COUNTA(半紙!$B$11:$B$310)+COUNTA(条幅!$B$11:$B$310),INDEX(条幅!$C$11:$C$310,60-COUNTA(半紙!$B$11:$B$310)),IF(60&lt;=COUNTA(半紙!$B$11:$B$310)+COUNTA(条幅!$B$11:$B$310)+COUNTA(条幅4分の1!$B$11:$B$310),INDEX(条幅4分の1!$C$11:$C$310,60-COUNTA(半紙!$B$11:$B$310)-COUNTA(条幅!$B$11:$B$310)),"")))=0,"",IF(60&lt;=COUNTA(半紙!$B$11:$B$310),INDEX(半紙!$C$11:$C$310,60),IF(60&lt;=COUNTA(半紙!$B$11:$B$310)+COUNTA(条幅!$B$11:$B$310),INDEX(条幅!$C$11:$C$310,60-COUNTA(半紙!$B$11:$B$310)),IF(60&lt;=COUNTA(半紙!$B$11:$B$310)+COUNTA(条幅!$B$11:$B$310)+COUNTA(条幅4分の1!$B$11:$B$310),INDEX(条幅4分の1!$C$11:$C$310,60-COUNTA(半紙!$B$11:$B$310)-COUNTA(条幅!$B$11:$B$310)),""))))</f>
        <v/>
      </c>
      <c r="D65" s="38" t="str">
        <f>IF(IF(60&lt;=COUNTA(半紙!$B$11:$B$310),INDEX(半紙!$D$11:$D$310,60),IF(60&lt;=COUNTA(半紙!$B$11:$B$310)+COUNTA(条幅!$B$11:$B$310),INDEX(条幅!$D$11:$D$310,60-COUNTA(半紙!$B$11:$B$310)),IF(60&lt;=COUNTA(半紙!$B$11:$B$310)+COUNTA(条幅!$B$11:$B$310)+COUNTA(条幅4分の1!$B$11:$B$310),INDEX(条幅4分の1!$D$11:$D$310,60-COUNTA(半紙!$B$11:$B$310)-COUNTA(条幅!$B$11:$B$310)),"")))=0,"",IF(60&lt;=COUNTA(半紙!$B$11:$B$310),INDEX(半紙!$D$11:$D$310,60),IF(60&lt;=COUNTA(半紙!$B$11:$B$310)+COUNTA(条幅!$B$11:$B$310),INDEX(条幅!$D$11:$D$310,60-COUNTA(半紙!$B$11:$B$310)),IF(60&lt;=COUNTA(半紙!$B$11:$B$310)+COUNTA(条幅!$B$11:$B$310)+COUNTA(条幅4分の1!$B$11:$B$310),INDEX(条幅4分の1!$D$11:$D$310,60-COUNTA(半紙!$B$11:$B$310)-COUNTA(条幅!$B$11:$B$310)),""))))</f>
        <v/>
      </c>
      <c r="E65" s="38" t="str">
        <f>IF(IF(60&lt;=COUNTA(半紙!$B$11:$B$310),INDEX(半紙!$E$11:$E$310,60),IF(60&lt;=COUNTA(半紙!$B$11:$B$310)+COUNTA(条幅!$B$11:$B$310),INDEX(条幅!$E$11:$E$310,60-COUNTA(半紙!$B$11:$B$310)),IF(60&lt;=COUNTA(半紙!$B$11:$B$310)+COUNTA(条幅!$B$11:$B$310)+COUNTA(条幅4分の1!$B$11:$B$310),INDEX(条幅4分の1!$E$11:$E$310,60-COUNTA(半紙!$B$11:$B$310)-COUNTA(条幅!$B$11:$B$310)),"")))=0,"",IF(60&lt;=COUNTA(半紙!$B$11:$B$310),INDEX(半紙!$E$11:$E$310,60),IF(60&lt;=COUNTA(半紙!$B$11:$B$310)+COUNTA(条幅!$B$11:$B$310),INDEX(条幅!$E$11:$E$310,60-COUNTA(半紙!$B$11:$B$310)),IF(60&lt;=COUNTA(半紙!$B$11:$B$310)+COUNTA(条幅!$B$11:$B$310)+COUNTA(条幅4分の1!$B$11:$B$310),INDEX(条幅4分の1!$E$11:$E$310,60-COUNTA(半紙!$B$11:$B$310)-COUNTA(条幅!$B$11:$B$310)),""))))</f>
        <v/>
      </c>
      <c r="F65" s="38" t="str">
        <f>IF(IF(60&lt;=COUNTA(半紙!$B$11:$B$310),INDEX(半紙!$F$11:$F$310,60),IF(60&lt;=COUNTA(半紙!$B$11:$B$310)+COUNTA(条幅!$B$11:$B$310),INDEX(条幅!$F$11:$F$310,60-COUNTA(半紙!$B$11:$B$310)),IF(60&lt;=COUNTA(半紙!$B$11:$B$310)+COUNTA(条幅!$B$11:$B$310)+COUNTA(条幅4分の1!$B$11:$B$310),INDEX(条幅4分の1!$F$11:$F$310,60-COUNTA(半紙!$B$11:$B$310)-COUNTA(条幅!$B$11:$B$310)),"")))=0,"",IF(60&lt;=COUNTA(半紙!$B$11:$B$310),INDEX(半紙!$F$11:$F$310,60),IF(60&lt;=COUNTA(半紙!$B$11:$B$310)+COUNTA(条幅!$B$11:$B$310),INDEX(条幅!$F$11:$F$310,60-COUNTA(半紙!$B$11:$B$310)),IF(60&lt;=COUNTA(半紙!$B$11:$B$310)+COUNTA(条幅!$B$11:$B$310)+COUNTA(条幅4分の1!$B$11:$B$310),INDEX(条幅4分の1!$F$11:$F$310,60-COUNTA(半紙!$B$11:$B$310)-COUNTA(条幅!$B$11:$B$310)),""))))</f>
        <v/>
      </c>
      <c r="G65" s="38" t="str">
        <f>IF(IF(60&lt;=COUNTA(半紙!$B$11:$B$310),INDEX(半紙!$G$11:$G$310,60),IF(60&lt;=COUNTA(半紙!$B$11:$B$310)+COUNTA(条幅!$B$11:$B$310),INDEX(条幅!$G$11:$G$310,60-COUNTA(半紙!$B$11:$B$310)),IF(60&lt;=COUNTA(半紙!$B$11:$B$310)+COUNTA(条幅!$B$11:$B$310)+COUNTA(条幅4分の1!$B$11:$B$310),INDEX(条幅4分の1!$G$11:$G$310,60-COUNTA(半紙!$B$11:$B$310)-COUNTA(条幅!$B$11:$B$310)),"")))=0,"",IF(60&lt;=COUNTA(半紙!$B$11:$B$310),INDEX(半紙!$G$11:$G$310,60),IF(60&lt;=COUNTA(半紙!$B$11:$B$310)+COUNTA(条幅!$B$11:$B$310),INDEX(条幅!$G$11:$G$310,60-COUNTA(半紙!$B$11:$B$310)),IF(60&lt;=COUNTA(半紙!$B$11:$B$310)+COUNTA(条幅!$B$11:$B$310)+COUNTA(条幅4分の1!$B$11:$B$310),INDEX(条幅4分の1!$G$11:$G$310,60-COUNTA(半紙!$B$11:$B$310)-COUNTA(条幅!$B$11:$B$310)),""))))</f>
        <v/>
      </c>
      <c r="H65" s="38" t="str">
        <f>IF(IF(60&lt;=COUNTA(半紙!$B$11:$B$310),INDEX(半紙!$H$11:$H$310,60),IF(60&lt;=COUNTA(半紙!$B$11:$B$310)+COUNTA(条幅!$B$11:$B$310),INDEX(条幅!$H$11:$H$310,60-COUNTA(半紙!$B$11:$B$310)),IF(60&lt;=COUNTA(半紙!$B$11:$B$310)+COUNTA(条幅!$B$11:$B$310)+COUNTA(条幅4分の1!$B$11:$B$310),INDEX(条幅4分の1!$H$11:$H$310,60-COUNTA(半紙!$B$11:$B$310)-COUNTA(条幅!$B$11:$B$310)),"")))=0,"",IF(60&lt;=COUNTA(半紙!$B$11:$B$310),INDEX(半紙!$H$11:$H$310,60),IF(60&lt;=COUNTA(半紙!$B$11:$B$310)+COUNTA(条幅!$B$11:$B$310),INDEX(条幅!$H$11:$H$310,60-COUNTA(半紙!$B$11:$B$310)),IF(60&lt;=COUNTA(半紙!$B$11:$B$310)+COUNTA(条幅!$B$11:$B$310)+COUNTA(条幅4分の1!$B$11:$B$310),INDEX(条幅4分の1!$H$11:$H$310,60-COUNTA(半紙!$B$11:$B$310)-COUNTA(条幅!$B$11:$B$310)),""))))</f>
        <v/>
      </c>
      <c r="I65" s="38" t="str">
        <f>IF(IF(60&lt;=COUNTA(半紙!$B$11:$B$310),INDEX(半紙!$I$11:$I$310,60),IF(60&lt;=COUNTA(半紙!$B$11:$B$310)+COUNTA(条幅!$B$11:$B$310),INDEX(条幅!$I$11:$I$310,60-COUNTA(半紙!$B$11:$B$310)),IF(60&lt;=COUNTA(半紙!$B$11:$B$310)+COUNTA(条幅!$B$11:$B$310)+COUNTA(条幅4分の1!$B$11:$B$310),INDEX(条幅4分の1!$I$11:$I$310,60-COUNTA(半紙!$B$11:$B$310)-COUNTA(条幅!$B$11:$B$310)),"")))=0,"",IF(60&lt;=COUNTA(半紙!$B$11:$B$310),INDEX(半紙!$I$11:$I$310,60),IF(60&lt;=COUNTA(半紙!$B$11:$B$310)+COUNTA(条幅!$B$11:$B$310),INDEX(条幅!$I$11:$I$310,60-COUNTA(半紙!$B$11:$B$310)),IF(60&lt;=COUNTA(半紙!$B$11:$B$310)+COUNTA(条幅!$B$11:$B$310)+COUNTA(条幅4分の1!$B$11:$B$310),INDEX(条幅4分の1!$I$11:$I$310,60-COUNTA(半紙!$B$11:$B$310)-COUNTA(条幅!$B$11:$B$310)),""))))</f>
        <v/>
      </c>
      <c r="J65" s="38" t="str">
        <f>IF(IF(60&lt;=COUNTA(半紙!$B$11:$B$310),INDEX(半紙!$J$11:$J$310,60),IF(60&lt;=COUNTA(半紙!$B$11:$B$310)+COUNTA(条幅!$B$11:$B$310),INDEX(条幅!$J$11:$J$310,60-COUNTA(半紙!$B$11:$B$310)),IF(60&lt;=COUNTA(半紙!$B$11:$B$310)+COUNTA(条幅!$B$11:$B$310)+COUNTA(条幅4分の1!$B$11:$B$310),INDEX(条幅4分の1!$J$11:$J$310,60-COUNTA(半紙!$B$11:$B$310)-COUNTA(条幅!$B$11:$B$310)),"")))=0,"",IF(60&lt;=COUNTA(半紙!$B$11:$B$310),INDEX(半紙!$J$11:$J$310,60),IF(60&lt;=COUNTA(半紙!$B$11:$B$310)+COUNTA(条幅!$B$11:$B$310),INDEX(条幅!$J$11:$J$310,60-COUNTA(半紙!$B$11:$B$310)),IF(60&lt;=COUNTA(半紙!$B$11:$B$310)+COUNTA(条幅!$B$11:$B$310)+COUNTA(条幅4分の1!$B$11:$B$310),INDEX(条幅4分の1!$J$11:$J$310,60-COUNTA(半紙!$B$11:$B$310)-COUNTA(条幅!$B$11:$B$310)),""))))</f>
        <v/>
      </c>
      <c r="K65" s="38" t="str">
        <f>IF(IF(60&lt;=COUNTA(半紙!$B$11:$B$310),INDEX(半紙!$K$11:$K$310,60),IF(60&lt;=COUNTA(半紙!$B$11:$B$310)+COUNTA(条幅!$B$11:$B$310),INDEX(条幅!$K$11:$K$310,60-COUNTA(半紙!$B$11:$B$310)),IF(60&lt;=COUNTA(半紙!$B$11:$B$310)+COUNTA(条幅!$B$11:$B$310)+COUNTA(条幅4分の1!$B$11:$B$310),INDEX(条幅4分の1!$K$11:$K$310,60-COUNTA(半紙!$B$11:$B$310)-COUNTA(条幅!$B$11:$B$310)),"")))=0,"",IF(60&lt;=COUNTA(半紙!$B$11:$B$310),INDEX(半紙!$K$11:$K$310,60),IF(60&lt;=COUNTA(半紙!$B$11:$B$310)+COUNTA(条幅!$B$11:$B$310),INDEX(条幅!$K$11:$K$310,60-COUNTA(半紙!$B$11:$B$310)),IF(60&lt;=COUNTA(半紙!$B$11:$B$310)+COUNTA(条幅!$B$11:$B$310)+COUNTA(条幅4分の1!$B$11:$B$310),INDEX(条幅4分の1!$K$11:$K$310,60-COUNTA(半紙!$B$11:$B$310)-COUNTA(条幅!$B$11:$B$310)),""))))</f>
        <v/>
      </c>
      <c r="L65" s="48" t="str">
        <f>IF($B65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60))</f>
        <v/>
      </c>
    </row>
    <row r="66" spans="1:12" ht="15" customHeight="1">
      <c r="A66" s="37" t="str">
        <f>IF(61&lt;=COUNTA(半紙!$B$11:$B$310),"半紙",IF(61&lt;=COUNTA(半紙!$B$11:$B$310)+COUNTA(条幅!$B$11:$B$310),"条幅(半切)",IF(61&lt;=COUNTA(半紙!$B$11:$B$310)+COUNTA(条幅!$B$11:$B$310)+COUNTA(条幅4分の1!$B$11:$B$310),"条幅(1/4)","")))</f>
        <v/>
      </c>
      <c r="B66" s="38" t="str">
        <f>IF(IF(61&lt;=COUNTA(半紙!$B$11:$B$310),INDEX(半紙!$B$11:$B$310,61),IF(61&lt;=COUNTA(半紙!$B$11:$B$310)+COUNTA(条幅!$B$11:$B$310),INDEX(条幅!$B$11:$B$310,61-COUNTA(半紙!$B$11:$B$310)),IF(61&lt;=COUNTA(半紙!$B$11:$B$310)+COUNTA(条幅!$B$11:$B$310)+COUNTA(条幅4分の1!$B$11:$B$310),INDEX(条幅4分の1!$B$11:$B$310,61-COUNTA(半紙!$B$11:$B$310)-COUNTA(条幅!$B$11:$B$310)),"")))=0,"",IF(61&lt;=COUNTA(半紙!$B$11:$B$310),INDEX(半紙!$B$11:$B$310,61),IF(61&lt;=COUNTA(半紙!$B$11:$B$310)+COUNTA(条幅!$B$11:$B$310),INDEX(条幅!$B$11:$B$310,61-COUNTA(半紙!$B$11:$B$310)),IF(61&lt;=COUNTA(半紙!$B$11:$B$310)+COUNTA(条幅!$B$11:$B$310)+COUNTA(条幅4分の1!$B$11:$B$310),INDEX(条幅4分の1!$B$11:$B$310,61-COUNTA(半紙!$B$11:$B$310)-COUNTA(条幅!$B$11:$B$310)),""))))</f>
        <v/>
      </c>
      <c r="C66" s="38" t="str">
        <f>IF(IF(61&lt;=COUNTA(半紙!$B$11:$B$310),INDEX(半紙!$C$11:$C$310,61),IF(61&lt;=COUNTA(半紙!$B$11:$B$310)+COUNTA(条幅!$B$11:$B$310),INDEX(条幅!$C$11:$C$310,61-COUNTA(半紙!$B$11:$B$310)),IF(61&lt;=COUNTA(半紙!$B$11:$B$310)+COUNTA(条幅!$B$11:$B$310)+COUNTA(条幅4分の1!$B$11:$B$310),INDEX(条幅4分の1!$C$11:$C$310,61-COUNTA(半紙!$B$11:$B$310)-COUNTA(条幅!$B$11:$B$310)),"")))=0,"",IF(61&lt;=COUNTA(半紙!$B$11:$B$310),INDEX(半紙!$C$11:$C$310,61),IF(61&lt;=COUNTA(半紙!$B$11:$B$310)+COUNTA(条幅!$B$11:$B$310),INDEX(条幅!$C$11:$C$310,61-COUNTA(半紙!$B$11:$B$310)),IF(61&lt;=COUNTA(半紙!$B$11:$B$310)+COUNTA(条幅!$B$11:$B$310)+COUNTA(条幅4分の1!$B$11:$B$310),INDEX(条幅4分の1!$C$11:$C$310,61-COUNTA(半紙!$B$11:$B$310)-COUNTA(条幅!$B$11:$B$310)),""))))</f>
        <v/>
      </c>
      <c r="D66" s="38" t="str">
        <f>IF(IF(61&lt;=COUNTA(半紙!$B$11:$B$310),INDEX(半紙!$D$11:$D$310,61),IF(61&lt;=COUNTA(半紙!$B$11:$B$310)+COUNTA(条幅!$B$11:$B$310),INDEX(条幅!$D$11:$D$310,61-COUNTA(半紙!$B$11:$B$310)),IF(61&lt;=COUNTA(半紙!$B$11:$B$310)+COUNTA(条幅!$B$11:$B$310)+COUNTA(条幅4分の1!$B$11:$B$310),INDEX(条幅4分の1!$D$11:$D$310,61-COUNTA(半紙!$B$11:$B$310)-COUNTA(条幅!$B$11:$B$310)),"")))=0,"",IF(61&lt;=COUNTA(半紙!$B$11:$B$310),INDEX(半紙!$D$11:$D$310,61),IF(61&lt;=COUNTA(半紙!$B$11:$B$310)+COUNTA(条幅!$B$11:$B$310),INDEX(条幅!$D$11:$D$310,61-COUNTA(半紙!$B$11:$B$310)),IF(61&lt;=COUNTA(半紙!$B$11:$B$310)+COUNTA(条幅!$B$11:$B$310)+COUNTA(条幅4分の1!$B$11:$B$310),INDEX(条幅4分の1!$D$11:$D$310,61-COUNTA(半紙!$B$11:$B$310)-COUNTA(条幅!$B$11:$B$310)),""))))</f>
        <v/>
      </c>
      <c r="E66" s="38" t="str">
        <f>IF(IF(61&lt;=COUNTA(半紙!$B$11:$B$310),INDEX(半紙!$E$11:$E$310,61),IF(61&lt;=COUNTA(半紙!$B$11:$B$310)+COUNTA(条幅!$B$11:$B$310),INDEX(条幅!$E$11:$E$310,61-COUNTA(半紙!$B$11:$B$310)),IF(61&lt;=COUNTA(半紙!$B$11:$B$310)+COUNTA(条幅!$B$11:$B$310)+COUNTA(条幅4分の1!$B$11:$B$310),INDEX(条幅4分の1!$E$11:$E$310,61-COUNTA(半紙!$B$11:$B$310)-COUNTA(条幅!$B$11:$B$310)),"")))=0,"",IF(61&lt;=COUNTA(半紙!$B$11:$B$310),INDEX(半紙!$E$11:$E$310,61),IF(61&lt;=COUNTA(半紙!$B$11:$B$310)+COUNTA(条幅!$B$11:$B$310),INDEX(条幅!$E$11:$E$310,61-COUNTA(半紙!$B$11:$B$310)),IF(61&lt;=COUNTA(半紙!$B$11:$B$310)+COUNTA(条幅!$B$11:$B$310)+COUNTA(条幅4分の1!$B$11:$B$310),INDEX(条幅4分の1!$E$11:$E$310,61-COUNTA(半紙!$B$11:$B$310)-COUNTA(条幅!$B$11:$B$310)),""))))</f>
        <v/>
      </c>
      <c r="F66" s="38" t="str">
        <f>IF(IF(61&lt;=COUNTA(半紙!$B$11:$B$310),INDEX(半紙!$F$11:$F$310,61),IF(61&lt;=COUNTA(半紙!$B$11:$B$310)+COUNTA(条幅!$B$11:$B$310),INDEX(条幅!$F$11:$F$310,61-COUNTA(半紙!$B$11:$B$310)),IF(61&lt;=COUNTA(半紙!$B$11:$B$310)+COUNTA(条幅!$B$11:$B$310)+COUNTA(条幅4分の1!$B$11:$B$310),INDEX(条幅4分の1!$F$11:$F$310,61-COUNTA(半紙!$B$11:$B$310)-COUNTA(条幅!$B$11:$B$310)),"")))=0,"",IF(61&lt;=COUNTA(半紙!$B$11:$B$310),INDEX(半紙!$F$11:$F$310,61),IF(61&lt;=COUNTA(半紙!$B$11:$B$310)+COUNTA(条幅!$B$11:$B$310),INDEX(条幅!$F$11:$F$310,61-COUNTA(半紙!$B$11:$B$310)),IF(61&lt;=COUNTA(半紙!$B$11:$B$310)+COUNTA(条幅!$B$11:$B$310)+COUNTA(条幅4分の1!$B$11:$B$310),INDEX(条幅4分の1!$F$11:$F$310,61-COUNTA(半紙!$B$11:$B$310)-COUNTA(条幅!$B$11:$B$310)),""))))</f>
        <v/>
      </c>
      <c r="G66" s="38" t="str">
        <f>IF(IF(61&lt;=COUNTA(半紙!$B$11:$B$310),INDEX(半紙!$G$11:$G$310,61),IF(61&lt;=COUNTA(半紙!$B$11:$B$310)+COUNTA(条幅!$B$11:$B$310),INDEX(条幅!$G$11:$G$310,61-COUNTA(半紙!$B$11:$B$310)),IF(61&lt;=COUNTA(半紙!$B$11:$B$310)+COUNTA(条幅!$B$11:$B$310)+COUNTA(条幅4分の1!$B$11:$B$310),INDEX(条幅4分の1!$G$11:$G$310,61-COUNTA(半紙!$B$11:$B$310)-COUNTA(条幅!$B$11:$B$310)),"")))=0,"",IF(61&lt;=COUNTA(半紙!$B$11:$B$310),INDEX(半紙!$G$11:$G$310,61),IF(61&lt;=COUNTA(半紙!$B$11:$B$310)+COUNTA(条幅!$B$11:$B$310),INDEX(条幅!$G$11:$G$310,61-COUNTA(半紙!$B$11:$B$310)),IF(61&lt;=COUNTA(半紙!$B$11:$B$310)+COUNTA(条幅!$B$11:$B$310)+COUNTA(条幅4分の1!$B$11:$B$310),INDEX(条幅4分の1!$G$11:$G$310,61-COUNTA(半紙!$B$11:$B$310)-COUNTA(条幅!$B$11:$B$310)),""))))</f>
        <v/>
      </c>
      <c r="H66" s="38" t="str">
        <f>IF(IF(61&lt;=COUNTA(半紙!$B$11:$B$310),INDEX(半紙!$H$11:$H$310,61),IF(61&lt;=COUNTA(半紙!$B$11:$B$310)+COUNTA(条幅!$B$11:$B$310),INDEX(条幅!$H$11:$H$310,61-COUNTA(半紙!$B$11:$B$310)),IF(61&lt;=COUNTA(半紙!$B$11:$B$310)+COUNTA(条幅!$B$11:$B$310)+COUNTA(条幅4分の1!$B$11:$B$310),INDEX(条幅4分の1!$H$11:$H$310,61-COUNTA(半紙!$B$11:$B$310)-COUNTA(条幅!$B$11:$B$310)),"")))=0,"",IF(61&lt;=COUNTA(半紙!$B$11:$B$310),INDEX(半紙!$H$11:$H$310,61),IF(61&lt;=COUNTA(半紙!$B$11:$B$310)+COUNTA(条幅!$B$11:$B$310),INDEX(条幅!$H$11:$H$310,61-COUNTA(半紙!$B$11:$B$310)),IF(61&lt;=COUNTA(半紙!$B$11:$B$310)+COUNTA(条幅!$B$11:$B$310)+COUNTA(条幅4分の1!$B$11:$B$310),INDEX(条幅4分の1!$H$11:$H$310,61-COUNTA(半紙!$B$11:$B$310)-COUNTA(条幅!$B$11:$B$310)),""))))</f>
        <v/>
      </c>
      <c r="I66" s="38" t="str">
        <f>IF(IF(61&lt;=COUNTA(半紙!$B$11:$B$310),INDEX(半紙!$I$11:$I$310,61),IF(61&lt;=COUNTA(半紙!$B$11:$B$310)+COUNTA(条幅!$B$11:$B$310),INDEX(条幅!$I$11:$I$310,61-COUNTA(半紙!$B$11:$B$310)),IF(61&lt;=COUNTA(半紙!$B$11:$B$310)+COUNTA(条幅!$B$11:$B$310)+COUNTA(条幅4分の1!$B$11:$B$310),INDEX(条幅4分の1!$I$11:$I$310,61-COUNTA(半紙!$B$11:$B$310)-COUNTA(条幅!$B$11:$B$310)),"")))=0,"",IF(61&lt;=COUNTA(半紙!$B$11:$B$310),INDEX(半紙!$I$11:$I$310,61),IF(61&lt;=COUNTA(半紙!$B$11:$B$310)+COUNTA(条幅!$B$11:$B$310),INDEX(条幅!$I$11:$I$310,61-COUNTA(半紙!$B$11:$B$310)),IF(61&lt;=COUNTA(半紙!$B$11:$B$310)+COUNTA(条幅!$B$11:$B$310)+COUNTA(条幅4分の1!$B$11:$B$310),INDEX(条幅4分の1!$I$11:$I$310,61-COUNTA(半紙!$B$11:$B$310)-COUNTA(条幅!$B$11:$B$310)),""))))</f>
        <v/>
      </c>
      <c r="J66" s="38" t="str">
        <f>IF(IF(61&lt;=COUNTA(半紙!$B$11:$B$310),INDEX(半紙!$J$11:$J$310,61),IF(61&lt;=COUNTA(半紙!$B$11:$B$310)+COUNTA(条幅!$B$11:$B$310),INDEX(条幅!$J$11:$J$310,61-COUNTA(半紙!$B$11:$B$310)),IF(61&lt;=COUNTA(半紙!$B$11:$B$310)+COUNTA(条幅!$B$11:$B$310)+COUNTA(条幅4分の1!$B$11:$B$310),INDEX(条幅4分の1!$J$11:$J$310,61-COUNTA(半紙!$B$11:$B$310)-COUNTA(条幅!$B$11:$B$310)),"")))=0,"",IF(61&lt;=COUNTA(半紙!$B$11:$B$310),INDEX(半紙!$J$11:$J$310,61),IF(61&lt;=COUNTA(半紙!$B$11:$B$310)+COUNTA(条幅!$B$11:$B$310),INDEX(条幅!$J$11:$J$310,61-COUNTA(半紙!$B$11:$B$310)),IF(61&lt;=COUNTA(半紙!$B$11:$B$310)+COUNTA(条幅!$B$11:$B$310)+COUNTA(条幅4分の1!$B$11:$B$310),INDEX(条幅4分の1!$J$11:$J$310,61-COUNTA(半紙!$B$11:$B$310)-COUNTA(条幅!$B$11:$B$310)),""))))</f>
        <v/>
      </c>
      <c r="K66" s="38" t="str">
        <f>IF(IF(61&lt;=COUNTA(半紙!$B$11:$B$310),INDEX(半紙!$K$11:$K$310,61),IF(61&lt;=COUNTA(半紙!$B$11:$B$310)+COUNTA(条幅!$B$11:$B$310),INDEX(条幅!$K$11:$K$310,61-COUNTA(半紙!$B$11:$B$310)),IF(61&lt;=COUNTA(半紙!$B$11:$B$310)+COUNTA(条幅!$B$11:$B$310)+COUNTA(条幅4分の1!$B$11:$B$310),INDEX(条幅4分の1!$K$11:$K$310,61-COUNTA(半紙!$B$11:$B$310)-COUNTA(条幅!$B$11:$B$310)),"")))=0,"",IF(61&lt;=COUNTA(半紙!$B$11:$B$310),INDEX(半紙!$K$11:$K$310,61),IF(61&lt;=COUNTA(半紙!$B$11:$B$310)+COUNTA(条幅!$B$11:$B$310),INDEX(条幅!$K$11:$K$310,61-COUNTA(半紙!$B$11:$B$310)),IF(61&lt;=COUNTA(半紙!$B$11:$B$310)+COUNTA(条幅!$B$11:$B$310)+COUNTA(条幅4分の1!$B$11:$B$310),INDEX(条幅4分の1!$K$11:$K$310,61-COUNTA(半紙!$B$11:$B$310)-COUNTA(条幅!$B$11:$B$310)),""))))</f>
        <v/>
      </c>
      <c r="L66" s="48" t="str">
        <f>IF($B66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61))</f>
        <v/>
      </c>
    </row>
    <row r="67" spans="1:12" ht="15" customHeight="1">
      <c r="A67" s="37" t="str">
        <f>IF(62&lt;=COUNTA(半紙!$B$11:$B$310),"半紙",IF(62&lt;=COUNTA(半紙!$B$11:$B$310)+COUNTA(条幅!$B$11:$B$310),"条幅(半切)",IF(62&lt;=COUNTA(半紙!$B$11:$B$310)+COUNTA(条幅!$B$11:$B$310)+COUNTA(条幅4分の1!$B$11:$B$310),"条幅(1/4)","")))</f>
        <v/>
      </c>
      <c r="B67" s="38" t="str">
        <f>IF(IF(62&lt;=COUNTA(半紙!$B$11:$B$310),INDEX(半紙!$B$11:$B$310,62),IF(62&lt;=COUNTA(半紙!$B$11:$B$310)+COUNTA(条幅!$B$11:$B$310),INDEX(条幅!$B$11:$B$310,62-COUNTA(半紙!$B$11:$B$310)),IF(62&lt;=COUNTA(半紙!$B$11:$B$310)+COUNTA(条幅!$B$11:$B$310)+COUNTA(条幅4分の1!$B$11:$B$310),INDEX(条幅4分の1!$B$11:$B$310,62-COUNTA(半紙!$B$11:$B$310)-COUNTA(条幅!$B$11:$B$310)),"")))=0,"",IF(62&lt;=COUNTA(半紙!$B$11:$B$310),INDEX(半紙!$B$11:$B$310,62),IF(62&lt;=COUNTA(半紙!$B$11:$B$310)+COUNTA(条幅!$B$11:$B$310),INDEX(条幅!$B$11:$B$310,62-COUNTA(半紙!$B$11:$B$310)),IF(62&lt;=COUNTA(半紙!$B$11:$B$310)+COUNTA(条幅!$B$11:$B$310)+COUNTA(条幅4分の1!$B$11:$B$310),INDEX(条幅4分の1!$B$11:$B$310,62-COUNTA(半紙!$B$11:$B$310)-COUNTA(条幅!$B$11:$B$310)),""))))</f>
        <v/>
      </c>
      <c r="C67" s="38" t="str">
        <f>IF(IF(62&lt;=COUNTA(半紙!$B$11:$B$310),INDEX(半紙!$C$11:$C$310,62),IF(62&lt;=COUNTA(半紙!$B$11:$B$310)+COUNTA(条幅!$B$11:$B$310),INDEX(条幅!$C$11:$C$310,62-COUNTA(半紙!$B$11:$B$310)),IF(62&lt;=COUNTA(半紙!$B$11:$B$310)+COUNTA(条幅!$B$11:$B$310)+COUNTA(条幅4分の1!$B$11:$B$310),INDEX(条幅4分の1!$C$11:$C$310,62-COUNTA(半紙!$B$11:$B$310)-COUNTA(条幅!$B$11:$B$310)),"")))=0,"",IF(62&lt;=COUNTA(半紙!$B$11:$B$310),INDEX(半紙!$C$11:$C$310,62),IF(62&lt;=COUNTA(半紙!$B$11:$B$310)+COUNTA(条幅!$B$11:$B$310),INDEX(条幅!$C$11:$C$310,62-COUNTA(半紙!$B$11:$B$310)),IF(62&lt;=COUNTA(半紙!$B$11:$B$310)+COUNTA(条幅!$B$11:$B$310)+COUNTA(条幅4分の1!$B$11:$B$310),INDEX(条幅4分の1!$C$11:$C$310,62-COUNTA(半紙!$B$11:$B$310)-COUNTA(条幅!$B$11:$B$310)),""))))</f>
        <v/>
      </c>
      <c r="D67" s="38" t="str">
        <f>IF(IF(62&lt;=COUNTA(半紙!$B$11:$B$310),INDEX(半紙!$D$11:$D$310,62),IF(62&lt;=COUNTA(半紙!$B$11:$B$310)+COUNTA(条幅!$B$11:$B$310),INDEX(条幅!$D$11:$D$310,62-COUNTA(半紙!$B$11:$B$310)),IF(62&lt;=COUNTA(半紙!$B$11:$B$310)+COUNTA(条幅!$B$11:$B$310)+COUNTA(条幅4分の1!$B$11:$B$310),INDEX(条幅4分の1!$D$11:$D$310,62-COUNTA(半紙!$B$11:$B$310)-COUNTA(条幅!$B$11:$B$310)),"")))=0,"",IF(62&lt;=COUNTA(半紙!$B$11:$B$310),INDEX(半紙!$D$11:$D$310,62),IF(62&lt;=COUNTA(半紙!$B$11:$B$310)+COUNTA(条幅!$B$11:$B$310),INDEX(条幅!$D$11:$D$310,62-COUNTA(半紙!$B$11:$B$310)),IF(62&lt;=COUNTA(半紙!$B$11:$B$310)+COUNTA(条幅!$B$11:$B$310)+COUNTA(条幅4分の1!$B$11:$B$310),INDEX(条幅4分の1!$D$11:$D$310,62-COUNTA(半紙!$B$11:$B$310)-COUNTA(条幅!$B$11:$B$310)),""))))</f>
        <v/>
      </c>
      <c r="E67" s="38" t="str">
        <f>IF(IF(62&lt;=COUNTA(半紙!$B$11:$B$310),INDEX(半紙!$E$11:$E$310,62),IF(62&lt;=COUNTA(半紙!$B$11:$B$310)+COUNTA(条幅!$B$11:$B$310),INDEX(条幅!$E$11:$E$310,62-COUNTA(半紙!$B$11:$B$310)),IF(62&lt;=COUNTA(半紙!$B$11:$B$310)+COUNTA(条幅!$B$11:$B$310)+COUNTA(条幅4分の1!$B$11:$B$310),INDEX(条幅4分の1!$E$11:$E$310,62-COUNTA(半紙!$B$11:$B$310)-COUNTA(条幅!$B$11:$B$310)),"")))=0,"",IF(62&lt;=COUNTA(半紙!$B$11:$B$310),INDEX(半紙!$E$11:$E$310,62),IF(62&lt;=COUNTA(半紙!$B$11:$B$310)+COUNTA(条幅!$B$11:$B$310),INDEX(条幅!$E$11:$E$310,62-COUNTA(半紙!$B$11:$B$310)),IF(62&lt;=COUNTA(半紙!$B$11:$B$310)+COUNTA(条幅!$B$11:$B$310)+COUNTA(条幅4分の1!$B$11:$B$310),INDEX(条幅4分の1!$E$11:$E$310,62-COUNTA(半紙!$B$11:$B$310)-COUNTA(条幅!$B$11:$B$310)),""))))</f>
        <v/>
      </c>
      <c r="F67" s="38" t="str">
        <f>IF(IF(62&lt;=COUNTA(半紙!$B$11:$B$310),INDEX(半紙!$F$11:$F$310,62),IF(62&lt;=COUNTA(半紙!$B$11:$B$310)+COUNTA(条幅!$B$11:$B$310),INDEX(条幅!$F$11:$F$310,62-COUNTA(半紙!$B$11:$B$310)),IF(62&lt;=COUNTA(半紙!$B$11:$B$310)+COUNTA(条幅!$B$11:$B$310)+COUNTA(条幅4分の1!$B$11:$B$310),INDEX(条幅4分の1!$F$11:$F$310,62-COUNTA(半紙!$B$11:$B$310)-COUNTA(条幅!$B$11:$B$310)),"")))=0,"",IF(62&lt;=COUNTA(半紙!$B$11:$B$310),INDEX(半紙!$F$11:$F$310,62),IF(62&lt;=COUNTA(半紙!$B$11:$B$310)+COUNTA(条幅!$B$11:$B$310),INDEX(条幅!$F$11:$F$310,62-COUNTA(半紙!$B$11:$B$310)),IF(62&lt;=COUNTA(半紙!$B$11:$B$310)+COUNTA(条幅!$B$11:$B$310)+COUNTA(条幅4分の1!$B$11:$B$310),INDEX(条幅4分の1!$F$11:$F$310,62-COUNTA(半紙!$B$11:$B$310)-COUNTA(条幅!$B$11:$B$310)),""))))</f>
        <v/>
      </c>
      <c r="G67" s="38" t="str">
        <f>IF(IF(62&lt;=COUNTA(半紙!$B$11:$B$310),INDEX(半紙!$G$11:$G$310,62),IF(62&lt;=COUNTA(半紙!$B$11:$B$310)+COUNTA(条幅!$B$11:$B$310),INDEX(条幅!$G$11:$G$310,62-COUNTA(半紙!$B$11:$B$310)),IF(62&lt;=COUNTA(半紙!$B$11:$B$310)+COUNTA(条幅!$B$11:$B$310)+COUNTA(条幅4分の1!$B$11:$B$310),INDEX(条幅4分の1!$G$11:$G$310,62-COUNTA(半紙!$B$11:$B$310)-COUNTA(条幅!$B$11:$B$310)),"")))=0,"",IF(62&lt;=COUNTA(半紙!$B$11:$B$310),INDEX(半紙!$G$11:$G$310,62),IF(62&lt;=COUNTA(半紙!$B$11:$B$310)+COUNTA(条幅!$B$11:$B$310),INDEX(条幅!$G$11:$G$310,62-COUNTA(半紙!$B$11:$B$310)),IF(62&lt;=COUNTA(半紙!$B$11:$B$310)+COUNTA(条幅!$B$11:$B$310)+COUNTA(条幅4分の1!$B$11:$B$310),INDEX(条幅4分の1!$G$11:$G$310,62-COUNTA(半紙!$B$11:$B$310)-COUNTA(条幅!$B$11:$B$310)),""))))</f>
        <v/>
      </c>
      <c r="H67" s="38" t="str">
        <f>IF(IF(62&lt;=COUNTA(半紙!$B$11:$B$310),INDEX(半紙!$H$11:$H$310,62),IF(62&lt;=COUNTA(半紙!$B$11:$B$310)+COUNTA(条幅!$B$11:$B$310),INDEX(条幅!$H$11:$H$310,62-COUNTA(半紙!$B$11:$B$310)),IF(62&lt;=COUNTA(半紙!$B$11:$B$310)+COUNTA(条幅!$B$11:$B$310)+COUNTA(条幅4分の1!$B$11:$B$310),INDEX(条幅4分の1!$H$11:$H$310,62-COUNTA(半紙!$B$11:$B$310)-COUNTA(条幅!$B$11:$B$310)),"")))=0,"",IF(62&lt;=COUNTA(半紙!$B$11:$B$310),INDEX(半紙!$H$11:$H$310,62),IF(62&lt;=COUNTA(半紙!$B$11:$B$310)+COUNTA(条幅!$B$11:$B$310),INDEX(条幅!$H$11:$H$310,62-COUNTA(半紙!$B$11:$B$310)),IF(62&lt;=COUNTA(半紙!$B$11:$B$310)+COUNTA(条幅!$B$11:$B$310)+COUNTA(条幅4分の1!$B$11:$B$310),INDEX(条幅4分の1!$H$11:$H$310,62-COUNTA(半紙!$B$11:$B$310)-COUNTA(条幅!$B$11:$B$310)),""))))</f>
        <v/>
      </c>
      <c r="I67" s="38" t="str">
        <f>IF(IF(62&lt;=COUNTA(半紙!$B$11:$B$310),INDEX(半紙!$I$11:$I$310,62),IF(62&lt;=COUNTA(半紙!$B$11:$B$310)+COUNTA(条幅!$B$11:$B$310),INDEX(条幅!$I$11:$I$310,62-COUNTA(半紙!$B$11:$B$310)),IF(62&lt;=COUNTA(半紙!$B$11:$B$310)+COUNTA(条幅!$B$11:$B$310)+COUNTA(条幅4分の1!$B$11:$B$310),INDEX(条幅4分の1!$I$11:$I$310,62-COUNTA(半紙!$B$11:$B$310)-COUNTA(条幅!$B$11:$B$310)),"")))=0,"",IF(62&lt;=COUNTA(半紙!$B$11:$B$310),INDEX(半紙!$I$11:$I$310,62),IF(62&lt;=COUNTA(半紙!$B$11:$B$310)+COUNTA(条幅!$B$11:$B$310),INDEX(条幅!$I$11:$I$310,62-COUNTA(半紙!$B$11:$B$310)),IF(62&lt;=COUNTA(半紙!$B$11:$B$310)+COUNTA(条幅!$B$11:$B$310)+COUNTA(条幅4分の1!$B$11:$B$310),INDEX(条幅4分の1!$I$11:$I$310,62-COUNTA(半紙!$B$11:$B$310)-COUNTA(条幅!$B$11:$B$310)),""))))</f>
        <v/>
      </c>
      <c r="J67" s="38" t="str">
        <f>IF(IF(62&lt;=COUNTA(半紙!$B$11:$B$310),INDEX(半紙!$J$11:$J$310,62),IF(62&lt;=COUNTA(半紙!$B$11:$B$310)+COUNTA(条幅!$B$11:$B$310),INDEX(条幅!$J$11:$J$310,62-COUNTA(半紙!$B$11:$B$310)),IF(62&lt;=COUNTA(半紙!$B$11:$B$310)+COUNTA(条幅!$B$11:$B$310)+COUNTA(条幅4分の1!$B$11:$B$310),INDEX(条幅4分の1!$J$11:$J$310,62-COUNTA(半紙!$B$11:$B$310)-COUNTA(条幅!$B$11:$B$310)),"")))=0,"",IF(62&lt;=COUNTA(半紙!$B$11:$B$310),INDEX(半紙!$J$11:$J$310,62),IF(62&lt;=COUNTA(半紙!$B$11:$B$310)+COUNTA(条幅!$B$11:$B$310),INDEX(条幅!$J$11:$J$310,62-COUNTA(半紙!$B$11:$B$310)),IF(62&lt;=COUNTA(半紙!$B$11:$B$310)+COUNTA(条幅!$B$11:$B$310)+COUNTA(条幅4分の1!$B$11:$B$310),INDEX(条幅4分の1!$J$11:$J$310,62-COUNTA(半紙!$B$11:$B$310)-COUNTA(条幅!$B$11:$B$310)),""))))</f>
        <v/>
      </c>
      <c r="K67" s="38" t="str">
        <f>IF(IF(62&lt;=COUNTA(半紙!$B$11:$B$310),INDEX(半紙!$K$11:$K$310,62),IF(62&lt;=COUNTA(半紙!$B$11:$B$310)+COUNTA(条幅!$B$11:$B$310),INDEX(条幅!$K$11:$K$310,62-COUNTA(半紙!$B$11:$B$310)),IF(62&lt;=COUNTA(半紙!$B$11:$B$310)+COUNTA(条幅!$B$11:$B$310)+COUNTA(条幅4分の1!$B$11:$B$310),INDEX(条幅4分の1!$K$11:$K$310,62-COUNTA(半紙!$B$11:$B$310)-COUNTA(条幅!$B$11:$B$310)),"")))=0,"",IF(62&lt;=COUNTA(半紙!$B$11:$B$310),INDEX(半紙!$K$11:$K$310,62),IF(62&lt;=COUNTA(半紙!$B$11:$B$310)+COUNTA(条幅!$B$11:$B$310),INDEX(条幅!$K$11:$K$310,62-COUNTA(半紙!$B$11:$B$310)),IF(62&lt;=COUNTA(半紙!$B$11:$B$310)+COUNTA(条幅!$B$11:$B$310)+COUNTA(条幅4分の1!$B$11:$B$310),INDEX(条幅4分の1!$K$11:$K$310,62-COUNTA(半紙!$B$11:$B$310)-COUNTA(条幅!$B$11:$B$310)),""))))</f>
        <v/>
      </c>
      <c r="L67" s="48" t="str">
        <f>IF($B67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62))</f>
        <v/>
      </c>
    </row>
    <row r="68" spans="1:12" ht="15" customHeight="1">
      <c r="A68" s="37" t="str">
        <f>IF(63&lt;=COUNTA(半紙!$B$11:$B$310),"半紙",IF(63&lt;=COUNTA(半紙!$B$11:$B$310)+COUNTA(条幅!$B$11:$B$310),"条幅(半切)",IF(63&lt;=COUNTA(半紙!$B$11:$B$310)+COUNTA(条幅!$B$11:$B$310)+COUNTA(条幅4分の1!$B$11:$B$310),"条幅(1/4)","")))</f>
        <v/>
      </c>
      <c r="B68" s="38" t="str">
        <f>IF(IF(63&lt;=COUNTA(半紙!$B$11:$B$310),INDEX(半紙!$B$11:$B$310,63),IF(63&lt;=COUNTA(半紙!$B$11:$B$310)+COUNTA(条幅!$B$11:$B$310),INDEX(条幅!$B$11:$B$310,63-COUNTA(半紙!$B$11:$B$310)),IF(63&lt;=COUNTA(半紙!$B$11:$B$310)+COUNTA(条幅!$B$11:$B$310)+COUNTA(条幅4分の1!$B$11:$B$310),INDEX(条幅4分の1!$B$11:$B$310,63-COUNTA(半紙!$B$11:$B$310)-COUNTA(条幅!$B$11:$B$310)),"")))=0,"",IF(63&lt;=COUNTA(半紙!$B$11:$B$310),INDEX(半紙!$B$11:$B$310,63),IF(63&lt;=COUNTA(半紙!$B$11:$B$310)+COUNTA(条幅!$B$11:$B$310),INDEX(条幅!$B$11:$B$310,63-COUNTA(半紙!$B$11:$B$310)),IF(63&lt;=COUNTA(半紙!$B$11:$B$310)+COUNTA(条幅!$B$11:$B$310)+COUNTA(条幅4分の1!$B$11:$B$310),INDEX(条幅4分の1!$B$11:$B$310,63-COUNTA(半紙!$B$11:$B$310)-COUNTA(条幅!$B$11:$B$310)),""))))</f>
        <v/>
      </c>
      <c r="C68" s="38" t="str">
        <f>IF(IF(63&lt;=COUNTA(半紙!$B$11:$B$310),INDEX(半紙!$C$11:$C$310,63),IF(63&lt;=COUNTA(半紙!$B$11:$B$310)+COUNTA(条幅!$B$11:$B$310),INDEX(条幅!$C$11:$C$310,63-COUNTA(半紙!$B$11:$B$310)),IF(63&lt;=COUNTA(半紙!$B$11:$B$310)+COUNTA(条幅!$B$11:$B$310)+COUNTA(条幅4分の1!$B$11:$B$310),INDEX(条幅4分の1!$C$11:$C$310,63-COUNTA(半紙!$B$11:$B$310)-COUNTA(条幅!$B$11:$B$310)),"")))=0,"",IF(63&lt;=COUNTA(半紙!$B$11:$B$310),INDEX(半紙!$C$11:$C$310,63),IF(63&lt;=COUNTA(半紙!$B$11:$B$310)+COUNTA(条幅!$B$11:$B$310),INDEX(条幅!$C$11:$C$310,63-COUNTA(半紙!$B$11:$B$310)),IF(63&lt;=COUNTA(半紙!$B$11:$B$310)+COUNTA(条幅!$B$11:$B$310)+COUNTA(条幅4分の1!$B$11:$B$310),INDEX(条幅4分の1!$C$11:$C$310,63-COUNTA(半紙!$B$11:$B$310)-COUNTA(条幅!$B$11:$B$310)),""))))</f>
        <v/>
      </c>
      <c r="D68" s="38" t="str">
        <f>IF(IF(63&lt;=COUNTA(半紙!$B$11:$B$310),INDEX(半紙!$D$11:$D$310,63),IF(63&lt;=COUNTA(半紙!$B$11:$B$310)+COUNTA(条幅!$B$11:$B$310),INDEX(条幅!$D$11:$D$310,63-COUNTA(半紙!$B$11:$B$310)),IF(63&lt;=COUNTA(半紙!$B$11:$B$310)+COUNTA(条幅!$B$11:$B$310)+COUNTA(条幅4分の1!$B$11:$B$310),INDEX(条幅4分の1!$D$11:$D$310,63-COUNTA(半紙!$B$11:$B$310)-COUNTA(条幅!$B$11:$B$310)),"")))=0,"",IF(63&lt;=COUNTA(半紙!$B$11:$B$310),INDEX(半紙!$D$11:$D$310,63),IF(63&lt;=COUNTA(半紙!$B$11:$B$310)+COUNTA(条幅!$B$11:$B$310),INDEX(条幅!$D$11:$D$310,63-COUNTA(半紙!$B$11:$B$310)),IF(63&lt;=COUNTA(半紙!$B$11:$B$310)+COUNTA(条幅!$B$11:$B$310)+COUNTA(条幅4分の1!$B$11:$B$310),INDEX(条幅4分の1!$D$11:$D$310,63-COUNTA(半紙!$B$11:$B$310)-COUNTA(条幅!$B$11:$B$310)),""))))</f>
        <v/>
      </c>
      <c r="E68" s="38" t="str">
        <f>IF(IF(63&lt;=COUNTA(半紙!$B$11:$B$310),INDEX(半紙!$E$11:$E$310,63),IF(63&lt;=COUNTA(半紙!$B$11:$B$310)+COUNTA(条幅!$B$11:$B$310),INDEX(条幅!$E$11:$E$310,63-COUNTA(半紙!$B$11:$B$310)),IF(63&lt;=COUNTA(半紙!$B$11:$B$310)+COUNTA(条幅!$B$11:$B$310)+COUNTA(条幅4分の1!$B$11:$B$310),INDEX(条幅4分の1!$E$11:$E$310,63-COUNTA(半紙!$B$11:$B$310)-COUNTA(条幅!$B$11:$B$310)),"")))=0,"",IF(63&lt;=COUNTA(半紙!$B$11:$B$310),INDEX(半紙!$E$11:$E$310,63),IF(63&lt;=COUNTA(半紙!$B$11:$B$310)+COUNTA(条幅!$B$11:$B$310),INDEX(条幅!$E$11:$E$310,63-COUNTA(半紙!$B$11:$B$310)),IF(63&lt;=COUNTA(半紙!$B$11:$B$310)+COUNTA(条幅!$B$11:$B$310)+COUNTA(条幅4分の1!$B$11:$B$310),INDEX(条幅4分の1!$E$11:$E$310,63-COUNTA(半紙!$B$11:$B$310)-COUNTA(条幅!$B$11:$B$310)),""))))</f>
        <v/>
      </c>
      <c r="F68" s="38" t="str">
        <f>IF(IF(63&lt;=COUNTA(半紙!$B$11:$B$310),INDEX(半紙!$F$11:$F$310,63),IF(63&lt;=COUNTA(半紙!$B$11:$B$310)+COUNTA(条幅!$B$11:$B$310),INDEX(条幅!$F$11:$F$310,63-COUNTA(半紙!$B$11:$B$310)),IF(63&lt;=COUNTA(半紙!$B$11:$B$310)+COUNTA(条幅!$B$11:$B$310)+COUNTA(条幅4分の1!$B$11:$B$310),INDEX(条幅4分の1!$F$11:$F$310,63-COUNTA(半紙!$B$11:$B$310)-COUNTA(条幅!$B$11:$B$310)),"")))=0,"",IF(63&lt;=COUNTA(半紙!$B$11:$B$310),INDEX(半紙!$F$11:$F$310,63),IF(63&lt;=COUNTA(半紙!$B$11:$B$310)+COUNTA(条幅!$B$11:$B$310),INDEX(条幅!$F$11:$F$310,63-COUNTA(半紙!$B$11:$B$310)),IF(63&lt;=COUNTA(半紙!$B$11:$B$310)+COUNTA(条幅!$B$11:$B$310)+COUNTA(条幅4分の1!$B$11:$B$310),INDEX(条幅4分の1!$F$11:$F$310,63-COUNTA(半紙!$B$11:$B$310)-COUNTA(条幅!$B$11:$B$310)),""))))</f>
        <v/>
      </c>
      <c r="G68" s="38" t="str">
        <f>IF(IF(63&lt;=COUNTA(半紙!$B$11:$B$310),INDEX(半紙!$G$11:$G$310,63),IF(63&lt;=COUNTA(半紙!$B$11:$B$310)+COUNTA(条幅!$B$11:$B$310),INDEX(条幅!$G$11:$G$310,63-COUNTA(半紙!$B$11:$B$310)),IF(63&lt;=COUNTA(半紙!$B$11:$B$310)+COUNTA(条幅!$B$11:$B$310)+COUNTA(条幅4分の1!$B$11:$B$310),INDEX(条幅4分の1!$G$11:$G$310,63-COUNTA(半紙!$B$11:$B$310)-COUNTA(条幅!$B$11:$B$310)),"")))=0,"",IF(63&lt;=COUNTA(半紙!$B$11:$B$310),INDEX(半紙!$G$11:$G$310,63),IF(63&lt;=COUNTA(半紙!$B$11:$B$310)+COUNTA(条幅!$B$11:$B$310),INDEX(条幅!$G$11:$G$310,63-COUNTA(半紙!$B$11:$B$310)),IF(63&lt;=COUNTA(半紙!$B$11:$B$310)+COUNTA(条幅!$B$11:$B$310)+COUNTA(条幅4分の1!$B$11:$B$310),INDEX(条幅4分の1!$G$11:$G$310,63-COUNTA(半紙!$B$11:$B$310)-COUNTA(条幅!$B$11:$B$310)),""))))</f>
        <v/>
      </c>
      <c r="H68" s="38" t="str">
        <f>IF(IF(63&lt;=COUNTA(半紙!$B$11:$B$310),INDEX(半紙!$H$11:$H$310,63),IF(63&lt;=COUNTA(半紙!$B$11:$B$310)+COUNTA(条幅!$B$11:$B$310),INDEX(条幅!$H$11:$H$310,63-COUNTA(半紙!$B$11:$B$310)),IF(63&lt;=COUNTA(半紙!$B$11:$B$310)+COUNTA(条幅!$B$11:$B$310)+COUNTA(条幅4分の1!$B$11:$B$310),INDEX(条幅4分の1!$H$11:$H$310,63-COUNTA(半紙!$B$11:$B$310)-COUNTA(条幅!$B$11:$B$310)),"")))=0,"",IF(63&lt;=COUNTA(半紙!$B$11:$B$310),INDEX(半紙!$H$11:$H$310,63),IF(63&lt;=COUNTA(半紙!$B$11:$B$310)+COUNTA(条幅!$B$11:$B$310),INDEX(条幅!$H$11:$H$310,63-COUNTA(半紙!$B$11:$B$310)),IF(63&lt;=COUNTA(半紙!$B$11:$B$310)+COUNTA(条幅!$B$11:$B$310)+COUNTA(条幅4分の1!$B$11:$B$310),INDEX(条幅4分の1!$H$11:$H$310,63-COUNTA(半紙!$B$11:$B$310)-COUNTA(条幅!$B$11:$B$310)),""))))</f>
        <v/>
      </c>
      <c r="I68" s="38" t="str">
        <f>IF(IF(63&lt;=COUNTA(半紙!$B$11:$B$310),INDEX(半紙!$I$11:$I$310,63),IF(63&lt;=COUNTA(半紙!$B$11:$B$310)+COUNTA(条幅!$B$11:$B$310),INDEX(条幅!$I$11:$I$310,63-COUNTA(半紙!$B$11:$B$310)),IF(63&lt;=COUNTA(半紙!$B$11:$B$310)+COUNTA(条幅!$B$11:$B$310)+COUNTA(条幅4分の1!$B$11:$B$310),INDEX(条幅4分の1!$I$11:$I$310,63-COUNTA(半紙!$B$11:$B$310)-COUNTA(条幅!$B$11:$B$310)),"")))=0,"",IF(63&lt;=COUNTA(半紙!$B$11:$B$310),INDEX(半紙!$I$11:$I$310,63),IF(63&lt;=COUNTA(半紙!$B$11:$B$310)+COUNTA(条幅!$B$11:$B$310),INDEX(条幅!$I$11:$I$310,63-COUNTA(半紙!$B$11:$B$310)),IF(63&lt;=COUNTA(半紙!$B$11:$B$310)+COUNTA(条幅!$B$11:$B$310)+COUNTA(条幅4分の1!$B$11:$B$310),INDEX(条幅4分の1!$I$11:$I$310,63-COUNTA(半紙!$B$11:$B$310)-COUNTA(条幅!$B$11:$B$310)),""))))</f>
        <v/>
      </c>
      <c r="J68" s="38" t="str">
        <f>IF(IF(63&lt;=COUNTA(半紙!$B$11:$B$310),INDEX(半紙!$J$11:$J$310,63),IF(63&lt;=COUNTA(半紙!$B$11:$B$310)+COUNTA(条幅!$B$11:$B$310),INDEX(条幅!$J$11:$J$310,63-COUNTA(半紙!$B$11:$B$310)),IF(63&lt;=COUNTA(半紙!$B$11:$B$310)+COUNTA(条幅!$B$11:$B$310)+COUNTA(条幅4分の1!$B$11:$B$310),INDEX(条幅4分の1!$J$11:$J$310,63-COUNTA(半紙!$B$11:$B$310)-COUNTA(条幅!$B$11:$B$310)),"")))=0,"",IF(63&lt;=COUNTA(半紙!$B$11:$B$310),INDEX(半紙!$J$11:$J$310,63),IF(63&lt;=COUNTA(半紙!$B$11:$B$310)+COUNTA(条幅!$B$11:$B$310),INDEX(条幅!$J$11:$J$310,63-COUNTA(半紙!$B$11:$B$310)),IF(63&lt;=COUNTA(半紙!$B$11:$B$310)+COUNTA(条幅!$B$11:$B$310)+COUNTA(条幅4分の1!$B$11:$B$310),INDEX(条幅4分の1!$J$11:$J$310,63-COUNTA(半紙!$B$11:$B$310)-COUNTA(条幅!$B$11:$B$310)),""))))</f>
        <v/>
      </c>
      <c r="K68" s="38" t="str">
        <f>IF(IF(63&lt;=COUNTA(半紙!$B$11:$B$310),INDEX(半紙!$K$11:$K$310,63),IF(63&lt;=COUNTA(半紙!$B$11:$B$310)+COUNTA(条幅!$B$11:$B$310),INDEX(条幅!$K$11:$K$310,63-COUNTA(半紙!$B$11:$B$310)),IF(63&lt;=COUNTA(半紙!$B$11:$B$310)+COUNTA(条幅!$B$11:$B$310)+COUNTA(条幅4分の1!$B$11:$B$310),INDEX(条幅4分の1!$K$11:$K$310,63-COUNTA(半紙!$B$11:$B$310)-COUNTA(条幅!$B$11:$B$310)),"")))=0,"",IF(63&lt;=COUNTA(半紙!$B$11:$B$310),INDEX(半紙!$K$11:$K$310,63),IF(63&lt;=COUNTA(半紙!$B$11:$B$310)+COUNTA(条幅!$B$11:$B$310),INDEX(条幅!$K$11:$K$310,63-COUNTA(半紙!$B$11:$B$310)),IF(63&lt;=COUNTA(半紙!$B$11:$B$310)+COUNTA(条幅!$B$11:$B$310)+COUNTA(条幅4分の1!$B$11:$B$310),INDEX(条幅4分の1!$K$11:$K$310,63-COUNTA(半紙!$B$11:$B$310)-COUNTA(条幅!$B$11:$B$310)),""))))</f>
        <v/>
      </c>
      <c r="L68" s="48" t="str">
        <f>IF($B68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63))</f>
        <v/>
      </c>
    </row>
    <row r="69" spans="1:12" ht="15" customHeight="1">
      <c r="A69" s="37" t="str">
        <f>IF(64&lt;=COUNTA(半紙!$B$11:$B$310),"半紙",IF(64&lt;=COUNTA(半紙!$B$11:$B$310)+COUNTA(条幅!$B$11:$B$310),"条幅(半切)",IF(64&lt;=COUNTA(半紙!$B$11:$B$310)+COUNTA(条幅!$B$11:$B$310)+COUNTA(条幅4分の1!$B$11:$B$310),"条幅(1/4)","")))</f>
        <v/>
      </c>
      <c r="B69" s="38" t="str">
        <f>IF(IF(64&lt;=COUNTA(半紙!$B$11:$B$310),INDEX(半紙!$B$11:$B$310,64),IF(64&lt;=COUNTA(半紙!$B$11:$B$310)+COUNTA(条幅!$B$11:$B$310),INDEX(条幅!$B$11:$B$310,64-COUNTA(半紙!$B$11:$B$310)),IF(64&lt;=COUNTA(半紙!$B$11:$B$310)+COUNTA(条幅!$B$11:$B$310)+COUNTA(条幅4分の1!$B$11:$B$310),INDEX(条幅4分の1!$B$11:$B$310,64-COUNTA(半紙!$B$11:$B$310)-COUNTA(条幅!$B$11:$B$310)),"")))=0,"",IF(64&lt;=COUNTA(半紙!$B$11:$B$310),INDEX(半紙!$B$11:$B$310,64),IF(64&lt;=COUNTA(半紙!$B$11:$B$310)+COUNTA(条幅!$B$11:$B$310),INDEX(条幅!$B$11:$B$310,64-COUNTA(半紙!$B$11:$B$310)),IF(64&lt;=COUNTA(半紙!$B$11:$B$310)+COUNTA(条幅!$B$11:$B$310)+COUNTA(条幅4分の1!$B$11:$B$310),INDEX(条幅4分の1!$B$11:$B$310,64-COUNTA(半紙!$B$11:$B$310)-COUNTA(条幅!$B$11:$B$310)),""))))</f>
        <v/>
      </c>
      <c r="C69" s="38" t="str">
        <f>IF(IF(64&lt;=COUNTA(半紙!$B$11:$B$310),INDEX(半紙!$C$11:$C$310,64),IF(64&lt;=COUNTA(半紙!$B$11:$B$310)+COUNTA(条幅!$B$11:$B$310),INDEX(条幅!$C$11:$C$310,64-COUNTA(半紙!$B$11:$B$310)),IF(64&lt;=COUNTA(半紙!$B$11:$B$310)+COUNTA(条幅!$B$11:$B$310)+COUNTA(条幅4分の1!$B$11:$B$310),INDEX(条幅4分の1!$C$11:$C$310,64-COUNTA(半紙!$B$11:$B$310)-COUNTA(条幅!$B$11:$B$310)),"")))=0,"",IF(64&lt;=COUNTA(半紙!$B$11:$B$310),INDEX(半紙!$C$11:$C$310,64),IF(64&lt;=COUNTA(半紙!$B$11:$B$310)+COUNTA(条幅!$B$11:$B$310),INDEX(条幅!$C$11:$C$310,64-COUNTA(半紙!$B$11:$B$310)),IF(64&lt;=COUNTA(半紙!$B$11:$B$310)+COUNTA(条幅!$B$11:$B$310)+COUNTA(条幅4分の1!$B$11:$B$310),INDEX(条幅4分の1!$C$11:$C$310,64-COUNTA(半紙!$B$11:$B$310)-COUNTA(条幅!$B$11:$B$310)),""))))</f>
        <v/>
      </c>
      <c r="D69" s="38" t="str">
        <f>IF(IF(64&lt;=COUNTA(半紙!$B$11:$B$310),INDEX(半紙!$D$11:$D$310,64),IF(64&lt;=COUNTA(半紙!$B$11:$B$310)+COUNTA(条幅!$B$11:$B$310),INDEX(条幅!$D$11:$D$310,64-COUNTA(半紙!$B$11:$B$310)),IF(64&lt;=COUNTA(半紙!$B$11:$B$310)+COUNTA(条幅!$B$11:$B$310)+COUNTA(条幅4分の1!$B$11:$B$310),INDEX(条幅4分の1!$D$11:$D$310,64-COUNTA(半紙!$B$11:$B$310)-COUNTA(条幅!$B$11:$B$310)),"")))=0,"",IF(64&lt;=COUNTA(半紙!$B$11:$B$310),INDEX(半紙!$D$11:$D$310,64),IF(64&lt;=COUNTA(半紙!$B$11:$B$310)+COUNTA(条幅!$B$11:$B$310),INDEX(条幅!$D$11:$D$310,64-COUNTA(半紙!$B$11:$B$310)),IF(64&lt;=COUNTA(半紙!$B$11:$B$310)+COUNTA(条幅!$B$11:$B$310)+COUNTA(条幅4分の1!$B$11:$B$310),INDEX(条幅4分の1!$D$11:$D$310,64-COUNTA(半紙!$B$11:$B$310)-COUNTA(条幅!$B$11:$B$310)),""))))</f>
        <v/>
      </c>
      <c r="E69" s="38" t="str">
        <f>IF(IF(64&lt;=COUNTA(半紙!$B$11:$B$310),INDEX(半紙!$E$11:$E$310,64),IF(64&lt;=COUNTA(半紙!$B$11:$B$310)+COUNTA(条幅!$B$11:$B$310),INDEX(条幅!$E$11:$E$310,64-COUNTA(半紙!$B$11:$B$310)),IF(64&lt;=COUNTA(半紙!$B$11:$B$310)+COUNTA(条幅!$B$11:$B$310)+COUNTA(条幅4分の1!$B$11:$B$310),INDEX(条幅4分の1!$E$11:$E$310,64-COUNTA(半紙!$B$11:$B$310)-COUNTA(条幅!$B$11:$B$310)),"")))=0,"",IF(64&lt;=COUNTA(半紙!$B$11:$B$310),INDEX(半紙!$E$11:$E$310,64),IF(64&lt;=COUNTA(半紙!$B$11:$B$310)+COUNTA(条幅!$B$11:$B$310),INDEX(条幅!$E$11:$E$310,64-COUNTA(半紙!$B$11:$B$310)),IF(64&lt;=COUNTA(半紙!$B$11:$B$310)+COUNTA(条幅!$B$11:$B$310)+COUNTA(条幅4分の1!$B$11:$B$310),INDEX(条幅4分の1!$E$11:$E$310,64-COUNTA(半紙!$B$11:$B$310)-COUNTA(条幅!$B$11:$B$310)),""))))</f>
        <v/>
      </c>
      <c r="F69" s="38" t="str">
        <f>IF(IF(64&lt;=COUNTA(半紙!$B$11:$B$310),INDEX(半紙!$F$11:$F$310,64),IF(64&lt;=COUNTA(半紙!$B$11:$B$310)+COUNTA(条幅!$B$11:$B$310),INDEX(条幅!$F$11:$F$310,64-COUNTA(半紙!$B$11:$B$310)),IF(64&lt;=COUNTA(半紙!$B$11:$B$310)+COUNTA(条幅!$B$11:$B$310)+COUNTA(条幅4分の1!$B$11:$B$310),INDEX(条幅4分の1!$F$11:$F$310,64-COUNTA(半紙!$B$11:$B$310)-COUNTA(条幅!$B$11:$B$310)),"")))=0,"",IF(64&lt;=COUNTA(半紙!$B$11:$B$310),INDEX(半紙!$F$11:$F$310,64),IF(64&lt;=COUNTA(半紙!$B$11:$B$310)+COUNTA(条幅!$B$11:$B$310),INDEX(条幅!$F$11:$F$310,64-COUNTA(半紙!$B$11:$B$310)),IF(64&lt;=COUNTA(半紙!$B$11:$B$310)+COUNTA(条幅!$B$11:$B$310)+COUNTA(条幅4分の1!$B$11:$B$310),INDEX(条幅4分の1!$F$11:$F$310,64-COUNTA(半紙!$B$11:$B$310)-COUNTA(条幅!$B$11:$B$310)),""))))</f>
        <v/>
      </c>
      <c r="G69" s="38" t="str">
        <f>IF(IF(64&lt;=COUNTA(半紙!$B$11:$B$310),INDEX(半紙!$G$11:$G$310,64),IF(64&lt;=COUNTA(半紙!$B$11:$B$310)+COUNTA(条幅!$B$11:$B$310),INDEX(条幅!$G$11:$G$310,64-COUNTA(半紙!$B$11:$B$310)),IF(64&lt;=COUNTA(半紙!$B$11:$B$310)+COUNTA(条幅!$B$11:$B$310)+COUNTA(条幅4分の1!$B$11:$B$310),INDEX(条幅4分の1!$G$11:$G$310,64-COUNTA(半紙!$B$11:$B$310)-COUNTA(条幅!$B$11:$B$310)),"")))=0,"",IF(64&lt;=COUNTA(半紙!$B$11:$B$310),INDEX(半紙!$G$11:$G$310,64),IF(64&lt;=COUNTA(半紙!$B$11:$B$310)+COUNTA(条幅!$B$11:$B$310),INDEX(条幅!$G$11:$G$310,64-COUNTA(半紙!$B$11:$B$310)),IF(64&lt;=COUNTA(半紙!$B$11:$B$310)+COUNTA(条幅!$B$11:$B$310)+COUNTA(条幅4分の1!$B$11:$B$310),INDEX(条幅4分の1!$G$11:$G$310,64-COUNTA(半紙!$B$11:$B$310)-COUNTA(条幅!$B$11:$B$310)),""))))</f>
        <v/>
      </c>
      <c r="H69" s="38" t="str">
        <f>IF(IF(64&lt;=COUNTA(半紙!$B$11:$B$310),INDEX(半紙!$H$11:$H$310,64),IF(64&lt;=COUNTA(半紙!$B$11:$B$310)+COUNTA(条幅!$B$11:$B$310),INDEX(条幅!$H$11:$H$310,64-COUNTA(半紙!$B$11:$B$310)),IF(64&lt;=COUNTA(半紙!$B$11:$B$310)+COUNTA(条幅!$B$11:$B$310)+COUNTA(条幅4分の1!$B$11:$B$310),INDEX(条幅4分の1!$H$11:$H$310,64-COUNTA(半紙!$B$11:$B$310)-COUNTA(条幅!$B$11:$B$310)),"")))=0,"",IF(64&lt;=COUNTA(半紙!$B$11:$B$310),INDEX(半紙!$H$11:$H$310,64),IF(64&lt;=COUNTA(半紙!$B$11:$B$310)+COUNTA(条幅!$B$11:$B$310),INDEX(条幅!$H$11:$H$310,64-COUNTA(半紙!$B$11:$B$310)),IF(64&lt;=COUNTA(半紙!$B$11:$B$310)+COUNTA(条幅!$B$11:$B$310)+COUNTA(条幅4分の1!$B$11:$B$310),INDEX(条幅4分の1!$H$11:$H$310,64-COUNTA(半紙!$B$11:$B$310)-COUNTA(条幅!$B$11:$B$310)),""))))</f>
        <v/>
      </c>
      <c r="I69" s="38" t="str">
        <f>IF(IF(64&lt;=COUNTA(半紙!$B$11:$B$310),INDEX(半紙!$I$11:$I$310,64),IF(64&lt;=COUNTA(半紙!$B$11:$B$310)+COUNTA(条幅!$B$11:$B$310),INDEX(条幅!$I$11:$I$310,64-COUNTA(半紙!$B$11:$B$310)),IF(64&lt;=COUNTA(半紙!$B$11:$B$310)+COUNTA(条幅!$B$11:$B$310)+COUNTA(条幅4分の1!$B$11:$B$310),INDEX(条幅4分の1!$I$11:$I$310,64-COUNTA(半紙!$B$11:$B$310)-COUNTA(条幅!$B$11:$B$310)),"")))=0,"",IF(64&lt;=COUNTA(半紙!$B$11:$B$310),INDEX(半紙!$I$11:$I$310,64),IF(64&lt;=COUNTA(半紙!$B$11:$B$310)+COUNTA(条幅!$B$11:$B$310),INDEX(条幅!$I$11:$I$310,64-COUNTA(半紙!$B$11:$B$310)),IF(64&lt;=COUNTA(半紙!$B$11:$B$310)+COUNTA(条幅!$B$11:$B$310)+COUNTA(条幅4分の1!$B$11:$B$310),INDEX(条幅4分の1!$I$11:$I$310,64-COUNTA(半紙!$B$11:$B$310)-COUNTA(条幅!$B$11:$B$310)),""))))</f>
        <v/>
      </c>
      <c r="J69" s="38" t="str">
        <f>IF(IF(64&lt;=COUNTA(半紙!$B$11:$B$310),INDEX(半紙!$J$11:$J$310,64),IF(64&lt;=COUNTA(半紙!$B$11:$B$310)+COUNTA(条幅!$B$11:$B$310),INDEX(条幅!$J$11:$J$310,64-COUNTA(半紙!$B$11:$B$310)),IF(64&lt;=COUNTA(半紙!$B$11:$B$310)+COUNTA(条幅!$B$11:$B$310)+COUNTA(条幅4分の1!$B$11:$B$310),INDEX(条幅4分の1!$J$11:$J$310,64-COUNTA(半紙!$B$11:$B$310)-COUNTA(条幅!$B$11:$B$310)),"")))=0,"",IF(64&lt;=COUNTA(半紙!$B$11:$B$310),INDEX(半紙!$J$11:$J$310,64),IF(64&lt;=COUNTA(半紙!$B$11:$B$310)+COUNTA(条幅!$B$11:$B$310),INDEX(条幅!$J$11:$J$310,64-COUNTA(半紙!$B$11:$B$310)),IF(64&lt;=COUNTA(半紙!$B$11:$B$310)+COUNTA(条幅!$B$11:$B$310)+COUNTA(条幅4分の1!$B$11:$B$310),INDEX(条幅4分の1!$J$11:$J$310,64-COUNTA(半紙!$B$11:$B$310)-COUNTA(条幅!$B$11:$B$310)),""))))</f>
        <v/>
      </c>
      <c r="K69" s="38" t="str">
        <f>IF(IF(64&lt;=COUNTA(半紙!$B$11:$B$310),INDEX(半紙!$K$11:$K$310,64),IF(64&lt;=COUNTA(半紙!$B$11:$B$310)+COUNTA(条幅!$B$11:$B$310),INDEX(条幅!$K$11:$K$310,64-COUNTA(半紙!$B$11:$B$310)),IF(64&lt;=COUNTA(半紙!$B$11:$B$310)+COUNTA(条幅!$B$11:$B$310)+COUNTA(条幅4分の1!$B$11:$B$310),INDEX(条幅4分の1!$K$11:$K$310,64-COUNTA(半紙!$B$11:$B$310)-COUNTA(条幅!$B$11:$B$310)),"")))=0,"",IF(64&lt;=COUNTA(半紙!$B$11:$B$310),INDEX(半紙!$K$11:$K$310,64),IF(64&lt;=COUNTA(半紙!$B$11:$B$310)+COUNTA(条幅!$B$11:$B$310),INDEX(条幅!$K$11:$K$310,64-COUNTA(半紙!$B$11:$B$310)),IF(64&lt;=COUNTA(半紙!$B$11:$B$310)+COUNTA(条幅!$B$11:$B$310)+COUNTA(条幅4分の1!$B$11:$B$310),INDEX(条幅4分の1!$K$11:$K$310,64-COUNTA(半紙!$B$11:$B$310)-COUNTA(条幅!$B$11:$B$310)),""))))</f>
        <v/>
      </c>
      <c r="L69" s="48" t="str">
        <f>IF($B69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64))</f>
        <v/>
      </c>
    </row>
    <row r="70" spans="1:12" ht="15" customHeight="1">
      <c r="A70" s="37" t="str">
        <f>IF(65&lt;=COUNTA(半紙!$B$11:$B$310),"半紙",IF(65&lt;=COUNTA(半紙!$B$11:$B$310)+COUNTA(条幅!$B$11:$B$310),"条幅(半切)",IF(65&lt;=COUNTA(半紙!$B$11:$B$310)+COUNTA(条幅!$B$11:$B$310)+COUNTA(条幅4分の1!$B$11:$B$310),"条幅(1/4)","")))</f>
        <v/>
      </c>
      <c r="B70" s="38" t="str">
        <f>IF(IF(65&lt;=COUNTA(半紙!$B$11:$B$310),INDEX(半紙!$B$11:$B$310,65),IF(65&lt;=COUNTA(半紙!$B$11:$B$310)+COUNTA(条幅!$B$11:$B$310),INDEX(条幅!$B$11:$B$310,65-COUNTA(半紙!$B$11:$B$310)),IF(65&lt;=COUNTA(半紙!$B$11:$B$310)+COUNTA(条幅!$B$11:$B$310)+COUNTA(条幅4分の1!$B$11:$B$310),INDEX(条幅4分の1!$B$11:$B$310,65-COUNTA(半紙!$B$11:$B$310)-COUNTA(条幅!$B$11:$B$310)),"")))=0,"",IF(65&lt;=COUNTA(半紙!$B$11:$B$310),INDEX(半紙!$B$11:$B$310,65),IF(65&lt;=COUNTA(半紙!$B$11:$B$310)+COUNTA(条幅!$B$11:$B$310),INDEX(条幅!$B$11:$B$310,65-COUNTA(半紙!$B$11:$B$310)),IF(65&lt;=COUNTA(半紙!$B$11:$B$310)+COUNTA(条幅!$B$11:$B$310)+COUNTA(条幅4分の1!$B$11:$B$310),INDEX(条幅4分の1!$B$11:$B$310,65-COUNTA(半紙!$B$11:$B$310)-COUNTA(条幅!$B$11:$B$310)),""))))</f>
        <v/>
      </c>
      <c r="C70" s="38" t="str">
        <f>IF(IF(65&lt;=COUNTA(半紙!$B$11:$B$310),INDEX(半紙!$C$11:$C$310,65),IF(65&lt;=COUNTA(半紙!$B$11:$B$310)+COUNTA(条幅!$B$11:$B$310),INDEX(条幅!$C$11:$C$310,65-COUNTA(半紙!$B$11:$B$310)),IF(65&lt;=COUNTA(半紙!$B$11:$B$310)+COUNTA(条幅!$B$11:$B$310)+COUNTA(条幅4分の1!$B$11:$B$310),INDEX(条幅4分の1!$C$11:$C$310,65-COUNTA(半紙!$B$11:$B$310)-COUNTA(条幅!$B$11:$B$310)),"")))=0,"",IF(65&lt;=COUNTA(半紙!$B$11:$B$310),INDEX(半紙!$C$11:$C$310,65),IF(65&lt;=COUNTA(半紙!$B$11:$B$310)+COUNTA(条幅!$B$11:$B$310),INDEX(条幅!$C$11:$C$310,65-COUNTA(半紙!$B$11:$B$310)),IF(65&lt;=COUNTA(半紙!$B$11:$B$310)+COUNTA(条幅!$B$11:$B$310)+COUNTA(条幅4分の1!$B$11:$B$310),INDEX(条幅4分の1!$C$11:$C$310,65-COUNTA(半紙!$B$11:$B$310)-COUNTA(条幅!$B$11:$B$310)),""))))</f>
        <v/>
      </c>
      <c r="D70" s="38" t="str">
        <f>IF(IF(65&lt;=COUNTA(半紙!$B$11:$B$310),INDEX(半紙!$D$11:$D$310,65),IF(65&lt;=COUNTA(半紙!$B$11:$B$310)+COUNTA(条幅!$B$11:$B$310),INDEX(条幅!$D$11:$D$310,65-COUNTA(半紙!$B$11:$B$310)),IF(65&lt;=COUNTA(半紙!$B$11:$B$310)+COUNTA(条幅!$B$11:$B$310)+COUNTA(条幅4分の1!$B$11:$B$310),INDEX(条幅4分の1!$D$11:$D$310,65-COUNTA(半紙!$B$11:$B$310)-COUNTA(条幅!$B$11:$B$310)),"")))=0,"",IF(65&lt;=COUNTA(半紙!$B$11:$B$310),INDEX(半紙!$D$11:$D$310,65),IF(65&lt;=COUNTA(半紙!$B$11:$B$310)+COUNTA(条幅!$B$11:$B$310),INDEX(条幅!$D$11:$D$310,65-COUNTA(半紙!$B$11:$B$310)),IF(65&lt;=COUNTA(半紙!$B$11:$B$310)+COUNTA(条幅!$B$11:$B$310)+COUNTA(条幅4分の1!$B$11:$B$310),INDEX(条幅4分の1!$D$11:$D$310,65-COUNTA(半紙!$B$11:$B$310)-COUNTA(条幅!$B$11:$B$310)),""))))</f>
        <v/>
      </c>
      <c r="E70" s="38" t="str">
        <f>IF(IF(65&lt;=COUNTA(半紙!$B$11:$B$310),INDEX(半紙!$E$11:$E$310,65),IF(65&lt;=COUNTA(半紙!$B$11:$B$310)+COUNTA(条幅!$B$11:$B$310),INDEX(条幅!$E$11:$E$310,65-COUNTA(半紙!$B$11:$B$310)),IF(65&lt;=COUNTA(半紙!$B$11:$B$310)+COUNTA(条幅!$B$11:$B$310)+COUNTA(条幅4分の1!$B$11:$B$310),INDEX(条幅4分の1!$E$11:$E$310,65-COUNTA(半紙!$B$11:$B$310)-COUNTA(条幅!$B$11:$B$310)),"")))=0,"",IF(65&lt;=COUNTA(半紙!$B$11:$B$310),INDEX(半紙!$E$11:$E$310,65),IF(65&lt;=COUNTA(半紙!$B$11:$B$310)+COUNTA(条幅!$B$11:$B$310),INDEX(条幅!$E$11:$E$310,65-COUNTA(半紙!$B$11:$B$310)),IF(65&lt;=COUNTA(半紙!$B$11:$B$310)+COUNTA(条幅!$B$11:$B$310)+COUNTA(条幅4分の1!$B$11:$B$310),INDEX(条幅4分の1!$E$11:$E$310,65-COUNTA(半紙!$B$11:$B$310)-COUNTA(条幅!$B$11:$B$310)),""))))</f>
        <v/>
      </c>
      <c r="F70" s="38" t="str">
        <f>IF(IF(65&lt;=COUNTA(半紙!$B$11:$B$310),INDEX(半紙!$F$11:$F$310,65),IF(65&lt;=COUNTA(半紙!$B$11:$B$310)+COUNTA(条幅!$B$11:$B$310),INDEX(条幅!$F$11:$F$310,65-COUNTA(半紙!$B$11:$B$310)),IF(65&lt;=COUNTA(半紙!$B$11:$B$310)+COUNTA(条幅!$B$11:$B$310)+COUNTA(条幅4分の1!$B$11:$B$310),INDEX(条幅4分の1!$F$11:$F$310,65-COUNTA(半紙!$B$11:$B$310)-COUNTA(条幅!$B$11:$B$310)),"")))=0,"",IF(65&lt;=COUNTA(半紙!$B$11:$B$310),INDEX(半紙!$F$11:$F$310,65),IF(65&lt;=COUNTA(半紙!$B$11:$B$310)+COUNTA(条幅!$B$11:$B$310),INDEX(条幅!$F$11:$F$310,65-COUNTA(半紙!$B$11:$B$310)),IF(65&lt;=COUNTA(半紙!$B$11:$B$310)+COUNTA(条幅!$B$11:$B$310)+COUNTA(条幅4分の1!$B$11:$B$310),INDEX(条幅4分の1!$F$11:$F$310,65-COUNTA(半紙!$B$11:$B$310)-COUNTA(条幅!$B$11:$B$310)),""))))</f>
        <v/>
      </c>
      <c r="G70" s="38" t="str">
        <f>IF(IF(65&lt;=COUNTA(半紙!$B$11:$B$310),INDEX(半紙!$G$11:$G$310,65),IF(65&lt;=COUNTA(半紙!$B$11:$B$310)+COUNTA(条幅!$B$11:$B$310),INDEX(条幅!$G$11:$G$310,65-COUNTA(半紙!$B$11:$B$310)),IF(65&lt;=COUNTA(半紙!$B$11:$B$310)+COUNTA(条幅!$B$11:$B$310)+COUNTA(条幅4分の1!$B$11:$B$310),INDEX(条幅4分の1!$G$11:$G$310,65-COUNTA(半紙!$B$11:$B$310)-COUNTA(条幅!$B$11:$B$310)),"")))=0,"",IF(65&lt;=COUNTA(半紙!$B$11:$B$310),INDEX(半紙!$G$11:$G$310,65),IF(65&lt;=COUNTA(半紙!$B$11:$B$310)+COUNTA(条幅!$B$11:$B$310),INDEX(条幅!$G$11:$G$310,65-COUNTA(半紙!$B$11:$B$310)),IF(65&lt;=COUNTA(半紙!$B$11:$B$310)+COUNTA(条幅!$B$11:$B$310)+COUNTA(条幅4分の1!$B$11:$B$310),INDEX(条幅4分の1!$G$11:$G$310,65-COUNTA(半紙!$B$11:$B$310)-COUNTA(条幅!$B$11:$B$310)),""))))</f>
        <v/>
      </c>
      <c r="H70" s="38" t="str">
        <f>IF(IF(65&lt;=COUNTA(半紙!$B$11:$B$310),INDEX(半紙!$H$11:$H$310,65),IF(65&lt;=COUNTA(半紙!$B$11:$B$310)+COUNTA(条幅!$B$11:$B$310),INDEX(条幅!$H$11:$H$310,65-COUNTA(半紙!$B$11:$B$310)),IF(65&lt;=COUNTA(半紙!$B$11:$B$310)+COUNTA(条幅!$B$11:$B$310)+COUNTA(条幅4分の1!$B$11:$B$310),INDEX(条幅4分の1!$H$11:$H$310,65-COUNTA(半紙!$B$11:$B$310)-COUNTA(条幅!$B$11:$B$310)),"")))=0,"",IF(65&lt;=COUNTA(半紙!$B$11:$B$310),INDEX(半紙!$H$11:$H$310,65),IF(65&lt;=COUNTA(半紙!$B$11:$B$310)+COUNTA(条幅!$B$11:$B$310),INDEX(条幅!$H$11:$H$310,65-COUNTA(半紙!$B$11:$B$310)),IF(65&lt;=COUNTA(半紙!$B$11:$B$310)+COUNTA(条幅!$B$11:$B$310)+COUNTA(条幅4分の1!$B$11:$B$310),INDEX(条幅4分の1!$H$11:$H$310,65-COUNTA(半紙!$B$11:$B$310)-COUNTA(条幅!$B$11:$B$310)),""))))</f>
        <v/>
      </c>
      <c r="I70" s="38" t="str">
        <f>IF(IF(65&lt;=COUNTA(半紙!$B$11:$B$310),INDEX(半紙!$I$11:$I$310,65),IF(65&lt;=COUNTA(半紙!$B$11:$B$310)+COUNTA(条幅!$B$11:$B$310),INDEX(条幅!$I$11:$I$310,65-COUNTA(半紙!$B$11:$B$310)),IF(65&lt;=COUNTA(半紙!$B$11:$B$310)+COUNTA(条幅!$B$11:$B$310)+COUNTA(条幅4分の1!$B$11:$B$310),INDEX(条幅4分の1!$I$11:$I$310,65-COUNTA(半紙!$B$11:$B$310)-COUNTA(条幅!$B$11:$B$310)),"")))=0,"",IF(65&lt;=COUNTA(半紙!$B$11:$B$310),INDEX(半紙!$I$11:$I$310,65),IF(65&lt;=COUNTA(半紙!$B$11:$B$310)+COUNTA(条幅!$B$11:$B$310),INDEX(条幅!$I$11:$I$310,65-COUNTA(半紙!$B$11:$B$310)),IF(65&lt;=COUNTA(半紙!$B$11:$B$310)+COUNTA(条幅!$B$11:$B$310)+COUNTA(条幅4分の1!$B$11:$B$310),INDEX(条幅4分の1!$I$11:$I$310,65-COUNTA(半紙!$B$11:$B$310)-COUNTA(条幅!$B$11:$B$310)),""))))</f>
        <v/>
      </c>
      <c r="J70" s="38" t="str">
        <f>IF(IF(65&lt;=COUNTA(半紙!$B$11:$B$310),INDEX(半紙!$J$11:$J$310,65),IF(65&lt;=COUNTA(半紙!$B$11:$B$310)+COUNTA(条幅!$B$11:$B$310),INDEX(条幅!$J$11:$J$310,65-COUNTA(半紙!$B$11:$B$310)),IF(65&lt;=COUNTA(半紙!$B$11:$B$310)+COUNTA(条幅!$B$11:$B$310)+COUNTA(条幅4分の1!$B$11:$B$310),INDEX(条幅4分の1!$J$11:$J$310,65-COUNTA(半紙!$B$11:$B$310)-COUNTA(条幅!$B$11:$B$310)),"")))=0,"",IF(65&lt;=COUNTA(半紙!$B$11:$B$310),INDEX(半紙!$J$11:$J$310,65),IF(65&lt;=COUNTA(半紙!$B$11:$B$310)+COUNTA(条幅!$B$11:$B$310),INDEX(条幅!$J$11:$J$310,65-COUNTA(半紙!$B$11:$B$310)),IF(65&lt;=COUNTA(半紙!$B$11:$B$310)+COUNTA(条幅!$B$11:$B$310)+COUNTA(条幅4分の1!$B$11:$B$310),INDEX(条幅4分の1!$J$11:$J$310,65-COUNTA(半紙!$B$11:$B$310)-COUNTA(条幅!$B$11:$B$310)),""))))</f>
        <v/>
      </c>
      <c r="K70" s="38" t="str">
        <f>IF(IF(65&lt;=COUNTA(半紙!$B$11:$B$310),INDEX(半紙!$K$11:$K$310,65),IF(65&lt;=COUNTA(半紙!$B$11:$B$310)+COUNTA(条幅!$B$11:$B$310),INDEX(条幅!$K$11:$K$310,65-COUNTA(半紙!$B$11:$B$310)),IF(65&lt;=COUNTA(半紙!$B$11:$B$310)+COUNTA(条幅!$B$11:$B$310)+COUNTA(条幅4分の1!$B$11:$B$310),INDEX(条幅4分の1!$K$11:$K$310,65-COUNTA(半紙!$B$11:$B$310)-COUNTA(条幅!$B$11:$B$310)),"")))=0,"",IF(65&lt;=COUNTA(半紙!$B$11:$B$310),INDEX(半紙!$K$11:$K$310,65),IF(65&lt;=COUNTA(半紙!$B$11:$B$310)+COUNTA(条幅!$B$11:$B$310),INDEX(条幅!$K$11:$K$310,65-COUNTA(半紙!$B$11:$B$310)),IF(65&lt;=COUNTA(半紙!$B$11:$B$310)+COUNTA(条幅!$B$11:$B$310)+COUNTA(条幅4分の1!$B$11:$B$310),INDEX(条幅4分の1!$K$11:$K$310,65-COUNTA(半紙!$B$11:$B$310)-COUNTA(条幅!$B$11:$B$310)),""))))</f>
        <v/>
      </c>
      <c r="L70" s="48" t="str">
        <f>IF($B70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65))</f>
        <v/>
      </c>
    </row>
    <row r="71" spans="1:12" ht="15" customHeight="1">
      <c r="A71" s="37" t="str">
        <f>IF(66&lt;=COUNTA(半紙!$B$11:$B$310),"半紙",IF(66&lt;=COUNTA(半紙!$B$11:$B$310)+COUNTA(条幅!$B$11:$B$310),"条幅(半切)",IF(66&lt;=COUNTA(半紙!$B$11:$B$310)+COUNTA(条幅!$B$11:$B$310)+COUNTA(条幅4分の1!$B$11:$B$310),"条幅(1/4)","")))</f>
        <v/>
      </c>
      <c r="B71" s="38" t="str">
        <f>IF(IF(66&lt;=COUNTA(半紙!$B$11:$B$310),INDEX(半紙!$B$11:$B$310,66),IF(66&lt;=COUNTA(半紙!$B$11:$B$310)+COUNTA(条幅!$B$11:$B$310),INDEX(条幅!$B$11:$B$310,66-COUNTA(半紙!$B$11:$B$310)),IF(66&lt;=COUNTA(半紙!$B$11:$B$310)+COUNTA(条幅!$B$11:$B$310)+COUNTA(条幅4分の1!$B$11:$B$310),INDEX(条幅4分の1!$B$11:$B$310,66-COUNTA(半紙!$B$11:$B$310)-COUNTA(条幅!$B$11:$B$310)),"")))=0,"",IF(66&lt;=COUNTA(半紙!$B$11:$B$310),INDEX(半紙!$B$11:$B$310,66),IF(66&lt;=COUNTA(半紙!$B$11:$B$310)+COUNTA(条幅!$B$11:$B$310),INDEX(条幅!$B$11:$B$310,66-COUNTA(半紙!$B$11:$B$310)),IF(66&lt;=COUNTA(半紙!$B$11:$B$310)+COUNTA(条幅!$B$11:$B$310)+COUNTA(条幅4分の1!$B$11:$B$310),INDEX(条幅4分の1!$B$11:$B$310,66-COUNTA(半紙!$B$11:$B$310)-COUNTA(条幅!$B$11:$B$310)),""))))</f>
        <v/>
      </c>
      <c r="C71" s="38" t="str">
        <f>IF(IF(66&lt;=COUNTA(半紙!$B$11:$B$310),INDEX(半紙!$C$11:$C$310,66),IF(66&lt;=COUNTA(半紙!$B$11:$B$310)+COUNTA(条幅!$B$11:$B$310),INDEX(条幅!$C$11:$C$310,66-COUNTA(半紙!$B$11:$B$310)),IF(66&lt;=COUNTA(半紙!$B$11:$B$310)+COUNTA(条幅!$B$11:$B$310)+COUNTA(条幅4分の1!$B$11:$B$310),INDEX(条幅4分の1!$C$11:$C$310,66-COUNTA(半紙!$B$11:$B$310)-COUNTA(条幅!$B$11:$B$310)),"")))=0,"",IF(66&lt;=COUNTA(半紙!$B$11:$B$310),INDEX(半紙!$C$11:$C$310,66),IF(66&lt;=COUNTA(半紙!$B$11:$B$310)+COUNTA(条幅!$B$11:$B$310),INDEX(条幅!$C$11:$C$310,66-COUNTA(半紙!$B$11:$B$310)),IF(66&lt;=COUNTA(半紙!$B$11:$B$310)+COUNTA(条幅!$B$11:$B$310)+COUNTA(条幅4分の1!$B$11:$B$310),INDEX(条幅4分の1!$C$11:$C$310,66-COUNTA(半紙!$B$11:$B$310)-COUNTA(条幅!$B$11:$B$310)),""))))</f>
        <v/>
      </c>
      <c r="D71" s="38" t="str">
        <f>IF(IF(66&lt;=COUNTA(半紙!$B$11:$B$310),INDEX(半紙!$D$11:$D$310,66),IF(66&lt;=COUNTA(半紙!$B$11:$B$310)+COUNTA(条幅!$B$11:$B$310),INDEX(条幅!$D$11:$D$310,66-COUNTA(半紙!$B$11:$B$310)),IF(66&lt;=COUNTA(半紙!$B$11:$B$310)+COUNTA(条幅!$B$11:$B$310)+COUNTA(条幅4分の1!$B$11:$B$310),INDEX(条幅4分の1!$D$11:$D$310,66-COUNTA(半紙!$B$11:$B$310)-COUNTA(条幅!$B$11:$B$310)),"")))=0,"",IF(66&lt;=COUNTA(半紙!$B$11:$B$310),INDEX(半紙!$D$11:$D$310,66),IF(66&lt;=COUNTA(半紙!$B$11:$B$310)+COUNTA(条幅!$B$11:$B$310),INDEX(条幅!$D$11:$D$310,66-COUNTA(半紙!$B$11:$B$310)),IF(66&lt;=COUNTA(半紙!$B$11:$B$310)+COUNTA(条幅!$B$11:$B$310)+COUNTA(条幅4分の1!$B$11:$B$310),INDEX(条幅4分の1!$D$11:$D$310,66-COUNTA(半紙!$B$11:$B$310)-COUNTA(条幅!$B$11:$B$310)),""))))</f>
        <v/>
      </c>
      <c r="E71" s="38" t="str">
        <f>IF(IF(66&lt;=COUNTA(半紙!$B$11:$B$310),INDEX(半紙!$E$11:$E$310,66),IF(66&lt;=COUNTA(半紙!$B$11:$B$310)+COUNTA(条幅!$B$11:$B$310),INDEX(条幅!$E$11:$E$310,66-COUNTA(半紙!$B$11:$B$310)),IF(66&lt;=COUNTA(半紙!$B$11:$B$310)+COUNTA(条幅!$B$11:$B$310)+COUNTA(条幅4分の1!$B$11:$B$310),INDEX(条幅4分の1!$E$11:$E$310,66-COUNTA(半紙!$B$11:$B$310)-COUNTA(条幅!$B$11:$B$310)),"")))=0,"",IF(66&lt;=COUNTA(半紙!$B$11:$B$310),INDEX(半紙!$E$11:$E$310,66),IF(66&lt;=COUNTA(半紙!$B$11:$B$310)+COUNTA(条幅!$B$11:$B$310),INDEX(条幅!$E$11:$E$310,66-COUNTA(半紙!$B$11:$B$310)),IF(66&lt;=COUNTA(半紙!$B$11:$B$310)+COUNTA(条幅!$B$11:$B$310)+COUNTA(条幅4分の1!$B$11:$B$310),INDEX(条幅4分の1!$E$11:$E$310,66-COUNTA(半紙!$B$11:$B$310)-COUNTA(条幅!$B$11:$B$310)),""))))</f>
        <v/>
      </c>
      <c r="F71" s="38" t="str">
        <f>IF(IF(66&lt;=COUNTA(半紙!$B$11:$B$310),INDEX(半紙!$F$11:$F$310,66),IF(66&lt;=COUNTA(半紙!$B$11:$B$310)+COUNTA(条幅!$B$11:$B$310),INDEX(条幅!$F$11:$F$310,66-COUNTA(半紙!$B$11:$B$310)),IF(66&lt;=COUNTA(半紙!$B$11:$B$310)+COUNTA(条幅!$B$11:$B$310)+COUNTA(条幅4分の1!$B$11:$B$310),INDEX(条幅4分の1!$F$11:$F$310,66-COUNTA(半紙!$B$11:$B$310)-COUNTA(条幅!$B$11:$B$310)),"")))=0,"",IF(66&lt;=COUNTA(半紙!$B$11:$B$310),INDEX(半紙!$F$11:$F$310,66),IF(66&lt;=COUNTA(半紙!$B$11:$B$310)+COUNTA(条幅!$B$11:$B$310),INDEX(条幅!$F$11:$F$310,66-COUNTA(半紙!$B$11:$B$310)),IF(66&lt;=COUNTA(半紙!$B$11:$B$310)+COUNTA(条幅!$B$11:$B$310)+COUNTA(条幅4分の1!$B$11:$B$310),INDEX(条幅4分の1!$F$11:$F$310,66-COUNTA(半紙!$B$11:$B$310)-COUNTA(条幅!$B$11:$B$310)),""))))</f>
        <v/>
      </c>
      <c r="G71" s="38" t="str">
        <f>IF(IF(66&lt;=COUNTA(半紙!$B$11:$B$310),INDEX(半紙!$G$11:$G$310,66),IF(66&lt;=COUNTA(半紙!$B$11:$B$310)+COUNTA(条幅!$B$11:$B$310),INDEX(条幅!$G$11:$G$310,66-COUNTA(半紙!$B$11:$B$310)),IF(66&lt;=COUNTA(半紙!$B$11:$B$310)+COUNTA(条幅!$B$11:$B$310)+COUNTA(条幅4分の1!$B$11:$B$310),INDEX(条幅4分の1!$G$11:$G$310,66-COUNTA(半紙!$B$11:$B$310)-COUNTA(条幅!$B$11:$B$310)),"")))=0,"",IF(66&lt;=COUNTA(半紙!$B$11:$B$310),INDEX(半紙!$G$11:$G$310,66),IF(66&lt;=COUNTA(半紙!$B$11:$B$310)+COUNTA(条幅!$B$11:$B$310),INDEX(条幅!$G$11:$G$310,66-COUNTA(半紙!$B$11:$B$310)),IF(66&lt;=COUNTA(半紙!$B$11:$B$310)+COUNTA(条幅!$B$11:$B$310)+COUNTA(条幅4分の1!$B$11:$B$310),INDEX(条幅4分の1!$G$11:$G$310,66-COUNTA(半紙!$B$11:$B$310)-COUNTA(条幅!$B$11:$B$310)),""))))</f>
        <v/>
      </c>
      <c r="H71" s="38" t="str">
        <f>IF(IF(66&lt;=COUNTA(半紙!$B$11:$B$310),INDEX(半紙!$H$11:$H$310,66),IF(66&lt;=COUNTA(半紙!$B$11:$B$310)+COUNTA(条幅!$B$11:$B$310),INDEX(条幅!$H$11:$H$310,66-COUNTA(半紙!$B$11:$B$310)),IF(66&lt;=COUNTA(半紙!$B$11:$B$310)+COUNTA(条幅!$B$11:$B$310)+COUNTA(条幅4分の1!$B$11:$B$310),INDEX(条幅4分の1!$H$11:$H$310,66-COUNTA(半紙!$B$11:$B$310)-COUNTA(条幅!$B$11:$B$310)),"")))=0,"",IF(66&lt;=COUNTA(半紙!$B$11:$B$310),INDEX(半紙!$H$11:$H$310,66),IF(66&lt;=COUNTA(半紙!$B$11:$B$310)+COUNTA(条幅!$B$11:$B$310),INDEX(条幅!$H$11:$H$310,66-COUNTA(半紙!$B$11:$B$310)),IF(66&lt;=COUNTA(半紙!$B$11:$B$310)+COUNTA(条幅!$B$11:$B$310)+COUNTA(条幅4分の1!$B$11:$B$310),INDEX(条幅4分の1!$H$11:$H$310,66-COUNTA(半紙!$B$11:$B$310)-COUNTA(条幅!$B$11:$B$310)),""))))</f>
        <v/>
      </c>
      <c r="I71" s="38" t="str">
        <f>IF(IF(66&lt;=COUNTA(半紙!$B$11:$B$310),INDEX(半紙!$I$11:$I$310,66),IF(66&lt;=COUNTA(半紙!$B$11:$B$310)+COUNTA(条幅!$B$11:$B$310),INDEX(条幅!$I$11:$I$310,66-COUNTA(半紙!$B$11:$B$310)),IF(66&lt;=COUNTA(半紙!$B$11:$B$310)+COUNTA(条幅!$B$11:$B$310)+COUNTA(条幅4分の1!$B$11:$B$310),INDEX(条幅4分の1!$I$11:$I$310,66-COUNTA(半紙!$B$11:$B$310)-COUNTA(条幅!$B$11:$B$310)),"")))=0,"",IF(66&lt;=COUNTA(半紙!$B$11:$B$310),INDEX(半紙!$I$11:$I$310,66),IF(66&lt;=COUNTA(半紙!$B$11:$B$310)+COUNTA(条幅!$B$11:$B$310),INDEX(条幅!$I$11:$I$310,66-COUNTA(半紙!$B$11:$B$310)),IF(66&lt;=COUNTA(半紙!$B$11:$B$310)+COUNTA(条幅!$B$11:$B$310)+COUNTA(条幅4分の1!$B$11:$B$310),INDEX(条幅4分の1!$I$11:$I$310,66-COUNTA(半紙!$B$11:$B$310)-COUNTA(条幅!$B$11:$B$310)),""))))</f>
        <v/>
      </c>
      <c r="J71" s="38" t="str">
        <f>IF(IF(66&lt;=COUNTA(半紙!$B$11:$B$310),INDEX(半紙!$J$11:$J$310,66),IF(66&lt;=COUNTA(半紙!$B$11:$B$310)+COUNTA(条幅!$B$11:$B$310),INDEX(条幅!$J$11:$J$310,66-COUNTA(半紙!$B$11:$B$310)),IF(66&lt;=COUNTA(半紙!$B$11:$B$310)+COUNTA(条幅!$B$11:$B$310)+COUNTA(条幅4分の1!$B$11:$B$310),INDEX(条幅4分の1!$J$11:$J$310,66-COUNTA(半紙!$B$11:$B$310)-COUNTA(条幅!$B$11:$B$310)),"")))=0,"",IF(66&lt;=COUNTA(半紙!$B$11:$B$310),INDEX(半紙!$J$11:$J$310,66),IF(66&lt;=COUNTA(半紙!$B$11:$B$310)+COUNTA(条幅!$B$11:$B$310),INDEX(条幅!$J$11:$J$310,66-COUNTA(半紙!$B$11:$B$310)),IF(66&lt;=COUNTA(半紙!$B$11:$B$310)+COUNTA(条幅!$B$11:$B$310)+COUNTA(条幅4分の1!$B$11:$B$310),INDEX(条幅4分の1!$J$11:$J$310,66-COUNTA(半紙!$B$11:$B$310)-COUNTA(条幅!$B$11:$B$310)),""))))</f>
        <v/>
      </c>
      <c r="K71" s="38" t="str">
        <f>IF(IF(66&lt;=COUNTA(半紙!$B$11:$B$310),INDEX(半紙!$K$11:$K$310,66),IF(66&lt;=COUNTA(半紙!$B$11:$B$310)+COUNTA(条幅!$B$11:$B$310),INDEX(条幅!$K$11:$K$310,66-COUNTA(半紙!$B$11:$B$310)),IF(66&lt;=COUNTA(半紙!$B$11:$B$310)+COUNTA(条幅!$B$11:$B$310)+COUNTA(条幅4分の1!$B$11:$B$310),INDEX(条幅4分の1!$K$11:$K$310,66-COUNTA(半紙!$B$11:$B$310)-COUNTA(条幅!$B$11:$B$310)),"")))=0,"",IF(66&lt;=COUNTA(半紙!$B$11:$B$310),INDEX(半紙!$K$11:$K$310,66),IF(66&lt;=COUNTA(半紙!$B$11:$B$310)+COUNTA(条幅!$B$11:$B$310),INDEX(条幅!$K$11:$K$310,66-COUNTA(半紙!$B$11:$B$310)),IF(66&lt;=COUNTA(半紙!$B$11:$B$310)+COUNTA(条幅!$B$11:$B$310)+COUNTA(条幅4分の1!$B$11:$B$310),INDEX(条幅4分の1!$K$11:$K$310,66-COUNTA(半紙!$B$11:$B$310)-COUNTA(条幅!$B$11:$B$310)),""))))</f>
        <v/>
      </c>
      <c r="L71" s="48" t="str">
        <f>IF($B71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66))</f>
        <v/>
      </c>
    </row>
    <row r="72" spans="1:12" ht="15" customHeight="1">
      <c r="A72" s="37" t="str">
        <f>IF(67&lt;=COUNTA(半紙!$B$11:$B$310),"半紙",IF(67&lt;=COUNTA(半紙!$B$11:$B$310)+COUNTA(条幅!$B$11:$B$310),"条幅(半切)",IF(67&lt;=COUNTA(半紙!$B$11:$B$310)+COUNTA(条幅!$B$11:$B$310)+COUNTA(条幅4分の1!$B$11:$B$310),"条幅(1/4)","")))</f>
        <v/>
      </c>
      <c r="B72" s="38" t="str">
        <f>IF(IF(67&lt;=COUNTA(半紙!$B$11:$B$310),INDEX(半紙!$B$11:$B$310,67),IF(67&lt;=COUNTA(半紙!$B$11:$B$310)+COUNTA(条幅!$B$11:$B$310),INDEX(条幅!$B$11:$B$310,67-COUNTA(半紙!$B$11:$B$310)),IF(67&lt;=COUNTA(半紙!$B$11:$B$310)+COUNTA(条幅!$B$11:$B$310)+COUNTA(条幅4分の1!$B$11:$B$310),INDEX(条幅4分の1!$B$11:$B$310,67-COUNTA(半紙!$B$11:$B$310)-COUNTA(条幅!$B$11:$B$310)),"")))=0,"",IF(67&lt;=COUNTA(半紙!$B$11:$B$310),INDEX(半紙!$B$11:$B$310,67),IF(67&lt;=COUNTA(半紙!$B$11:$B$310)+COUNTA(条幅!$B$11:$B$310),INDEX(条幅!$B$11:$B$310,67-COUNTA(半紙!$B$11:$B$310)),IF(67&lt;=COUNTA(半紙!$B$11:$B$310)+COUNTA(条幅!$B$11:$B$310)+COUNTA(条幅4分の1!$B$11:$B$310),INDEX(条幅4分の1!$B$11:$B$310,67-COUNTA(半紙!$B$11:$B$310)-COUNTA(条幅!$B$11:$B$310)),""))))</f>
        <v/>
      </c>
      <c r="C72" s="38" t="str">
        <f>IF(IF(67&lt;=COUNTA(半紙!$B$11:$B$310),INDEX(半紙!$C$11:$C$310,67),IF(67&lt;=COUNTA(半紙!$B$11:$B$310)+COUNTA(条幅!$B$11:$B$310),INDEX(条幅!$C$11:$C$310,67-COUNTA(半紙!$B$11:$B$310)),IF(67&lt;=COUNTA(半紙!$B$11:$B$310)+COUNTA(条幅!$B$11:$B$310)+COUNTA(条幅4分の1!$B$11:$B$310),INDEX(条幅4分の1!$C$11:$C$310,67-COUNTA(半紙!$B$11:$B$310)-COUNTA(条幅!$B$11:$B$310)),"")))=0,"",IF(67&lt;=COUNTA(半紙!$B$11:$B$310),INDEX(半紙!$C$11:$C$310,67),IF(67&lt;=COUNTA(半紙!$B$11:$B$310)+COUNTA(条幅!$B$11:$B$310),INDEX(条幅!$C$11:$C$310,67-COUNTA(半紙!$B$11:$B$310)),IF(67&lt;=COUNTA(半紙!$B$11:$B$310)+COUNTA(条幅!$B$11:$B$310)+COUNTA(条幅4分の1!$B$11:$B$310),INDEX(条幅4分の1!$C$11:$C$310,67-COUNTA(半紙!$B$11:$B$310)-COUNTA(条幅!$B$11:$B$310)),""))))</f>
        <v/>
      </c>
      <c r="D72" s="38" t="str">
        <f>IF(IF(67&lt;=COUNTA(半紙!$B$11:$B$310),INDEX(半紙!$D$11:$D$310,67),IF(67&lt;=COUNTA(半紙!$B$11:$B$310)+COUNTA(条幅!$B$11:$B$310),INDEX(条幅!$D$11:$D$310,67-COUNTA(半紙!$B$11:$B$310)),IF(67&lt;=COUNTA(半紙!$B$11:$B$310)+COUNTA(条幅!$B$11:$B$310)+COUNTA(条幅4分の1!$B$11:$B$310),INDEX(条幅4分の1!$D$11:$D$310,67-COUNTA(半紙!$B$11:$B$310)-COUNTA(条幅!$B$11:$B$310)),"")))=0,"",IF(67&lt;=COUNTA(半紙!$B$11:$B$310),INDEX(半紙!$D$11:$D$310,67),IF(67&lt;=COUNTA(半紙!$B$11:$B$310)+COUNTA(条幅!$B$11:$B$310),INDEX(条幅!$D$11:$D$310,67-COUNTA(半紙!$B$11:$B$310)),IF(67&lt;=COUNTA(半紙!$B$11:$B$310)+COUNTA(条幅!$B$11:$B$310)+COUNTA(条幅4分の1!$B$11:$B$310),INDEX(条幅4分の1!$D$11:$D$310,67-COUNTA(半紙!$B$11:$B$310)-COUNTA(条幅!$B$11:$B$310)),""))))</f>
        <v/>
      </c>
      <c r="E72" s="38" t="str">
        <f>IF(IF(67&lt;=COUNTA(半紙!$B$11:$B$310),INDEX(半紙!$E$11:$E$310,67),IF(67&lt;=COUNTA(半紙!$B$11:$B$310)+COUNTA(条幅!$B$11:$B$310),INDEX(条幅!$E$11:$E$310,67-COUNTA(半紙!$B$11:$B$310)),IF(67&lt;=COUNTA(半紙!$B$11:$B$310)+COUNTA(条幅!$B$11:$B$310)+COUNTA(条幅4分の1!$B$11:$B$310),INDEX(条幅4分の1!$E$11:$E$310,67-COUNTA(半紙!$B$11:$B$310)-COUNTA(条幅!$B$11:$B$310)),"")))=0,"",IF(67&lt;=COUNTA(半紙!$B$11:$B$310),INDEX(半紙!$E$11:$E$310,67),IF(67&lt;=COUNTA(半紙!$B$11:$B$310)+COUNTA(条幅!$B$11:$B$310),INDEX(条幅!$E$11:$E$310,67-COUNTA(半紙!$B$11:$B$310)),IF(67&lt;=COUNTA(半紙!$B$11:$B$310)+COUNTA(条幅!$B$11:$B$310)+COUNTA(条幅4分の1!$B$11:$B$310),INDEX(条幅4分の1!$E$11:$E$310,67-COUNTA(半紙!$B$11:$B$310)-COUNTA(条幅!$B$11:$B$310)),""))))</f>
        <v/>
      </c>
      <c r="F72" s="38" t="str">
        <f>IF(IF(67&lt;=COUNTA(半紙!$B$11:$B$310),INDEX(半紙!$F$11:$F$310,67),IF(67&lt;=COUNTA(半紙!$B$11:$B$310)+COUNTA(条幅!$B$11:$B$310),INDEX(条幅!$F$11:$F$310,67-COUNTA(半紙!$B$11:$B$310)),IF(67&lt;=COUNTA(半紙!$B$11:$B$310)+COUNTA(条幅!$B$11:$B$310)+COUNTA(条幅4分の1!$B$11:$B$310),INDEX(条幅4分の1!$F$11:$F$310,67-COUNTA(半紙!$B$11:$B$310)-COUNTA(条幅!$B$11:$B$310)),"")))=0,"",IF(67&lt;=COUNTA(半紙!$B$11:$B$310),INDEX(半紙!$F$11:$F$310,67),IF(67&lt;=COUNTA(半紙!$B$11:$B$310)+COUNTA(条幅!$B$11:$B$310),INDEX(条幅!$F$11:$F$310,67-COUNTA(半紙!$B$11:$B$310)),IF(67&lt;=COUNTA(半紙!$B$11:$B$310)+COUNTA(条幅!$B$11:$B$310)+COUNTA(条幅4分の1!$B$11:$B$310),INDEX(条幅4分の1!$F$11:$F$310,67-COUNTA(半紙!$B$11:$B$310)-COUNTA(条幅!$B$11:$B$310)),""))))</f>
        <v/>
      </c>
      <c r="G72" s="38" t="str">
        <f>IF(IF(67&lt;=COUNTA(半紙!$B$11:$B$310),INDEX(半紙!$G$11:$G$310,67),IF(67&lt;=COUNTA(半紙!$B$11:$B$310)+COUNTA(条幅!$B$11:$B$310),INDEX(条幅!$G$11:$G$310,67-COUNTA(半紙!$B$11:$B$310)),IF(67&lt;=COUNTA(半紙!$B$11:$B$310)+COUNTA(条幅!$B$11:$B$310)+COUNTA(条幅4分の1!$B$11:$B$310),INDEX(条幅4分の1!$G$11:$G$310,67-COUNTA(半紙!$B$11:$B$310)-COUNTA(条幅!$B$11:$B$310)),"")))=0,"",IF(67&lt;=COUNTA(半紙!$B$11:$B$310),INDEX(半紙!$G$11:$G$310,67),IF(67&lt;=COUNTA(半紙!$B$11:$B$310)+COUNTA(条幅!$B$11:$B$310),INDEX(条幅!$G$11:$G$310,67-COUNTA(半紙!$B$11:$B$310)),IF(67&lt;=COUNTA(半紙!$B$11:$B$310)+COUNTA(条幅!$B$11:$B$310)+COUNTA(条幅4分の1!$B$11:$B$310),INDEX(条幅4分の1!$G$11:$G$310,67-COUNTA(半紙!$B$11:$B$310)-COUNTA(条幅!$B$11:$B$310)),""))))</f>
        <v/>
      </c>
      <c r="H72" s="38" t="str">
        <f>IF(IF(67&lt;=COUNTA(半紙!$B$11:$B$310),INDEX(半紙!$H$11:$H$310,67),IF(67&lt;=COUNTA(半紙!$B$11:$B$310)+COUNTA(条幅!$B$11:$B$310),INDEX(条幅!$H$11:$H$310,67-COUNTA(半紙!$B$11:$B$310)),IF(67&lt;=COUNTA(半紙!$B$11:$B$310)+COUNTA(条幅!$B$11:$B$310)+COUNTA(条幅4分の1!$B$11:$B$310),INDEX(条幅4分の1!$H$11:$H$310,67-COUNTA(半紙!$B$11:$B$310)-COUNTA(条幅!$B$11:$B$310)),"")))=0,"",IF(67&lt;=COUNTA(半紙!$B$11:$B$310),INDEX(半紙!$H$11:$H$310,67),IF(67&lt;=COUNTA(半紙!$B$11:$B$310)+COUNTA(条幅!$B$11:$B$310),INDEX(条幅!$H$11:$H$310,67-COUNTA(半紙!$B$11:$B$310)),IF(67&lt;=COUNTA(半紙!$B$11:$B$310)+COUNTA(条幅!$B$11:$B$310)+COUNTA(条幅4分の1!$B$11:$B$310),INDEX(条幅4分の1!$H$11:$H$310,67-COUNTA(半紙!$B$11:$B$310)-COUNTA(条幅!$B$11:$B$310)),""))))</f>
        <v/>
      </c>
      <c r="I72" s="38" t="str">
        <f>IF(IF(67&lt;=COUNTA(半紙!$B$11:$B$310),INDEX(半紙!$I$11:$I$310,67),IF(67&lt;=COUNTA(半紙!$B$11:$B$310)+COUNTA(条幅!$B$11:$B$310),INDEX(条幅!$I$11:$I$310,67-COUNTA(半紙!$B$11:$B$310)),IF(67&lt;=COUNTA(半紙!$B$11:$B$310)+COUNTA(条幅!$B$11:$B$310)+COUNTA(条幅4分の1!$B$11:$B$310),INDEX(条幅4分の1!$I$11:$I$310,67-COUNTA(半紙!$B$11:$B$310)-COUNTA(条幅!$B$11:$B$310)),"")))=0,"",IF(67&lt;=COUNTA(半紙!$B$11:$B$310),INDEX(半紙!$I$11:$I$310,67),IF(67&lt;=COUNTA(半紙!$B$11:$B$310)+COUNTA(条幅!$B$11:$B$310),INDEX(条幅!$I$11:$I$310,67-COUNTA(半紙!$B$11:$B$310)),IF(67&lt;=COUNTA(半紙!$B$11:$B$310)+COUNTA(条幅!$B$11:$B$310)+COUNTA(条幅4分の1!$B$11:$B$310),INDEX(条幅4分の1!$I$11:$I$310,67-COUNTA(半紙!$B$11:$B$310)-COUNTA(条幅!$B$11:$B$310)),""))))</f>
        <v/>
      </c>
      <c r="J72" s="38" t="str">
        <f>IF(IF(67&lt;=COUNTA(半紙!$B$11:$B$310),INDEX(半紙!$J$11:$J$310,67),IF(67&lt;=COUNTA(半紙!$B$11:$B$310)+COUNTA(条幅!$B$11:$B$310),INDEX(条幅!$J$11:$J$310,67-COUNTA(半紙!$B$11:$B$310)),IF(67&lt;=COUNTA(半紙!$B$11:$B$310)+COUNTA(条幅!$B$11:$B$310)+COUNTA(条幅4分の1!$B$11:$B$310),INDEX(条幅4分の1!$J$11:$J$310,67-COUNTA(半紙!$B$11:$B$310)-COUNTA(条幅!$B$11:$B$310)),"")))=0,"",IF(67&lt;=COUNTA(半紙!$B$11:$B$310),INDEX(半紙!$J$11:$J$310,67),IF(67&lt;=COUNTA(半紙!$B$11:$B$310)+COUNTA(条幅!$B$11:$B$310),INDEX(条幅!$J$11:$J$310,67-COUNTA(半紙!$B$11:$B$310)),IF(67&lt;=COUNTA(半紙!$B$11:$B$310)+COUNTA(条幅!$B$11:$B$310)+COUNTA(条幅4分の1!$B$11:$B$310),INDEX(条幅4分の1!$J$11:$J$310,67-COUNTA(半紙!$B$11:$B$310)-COUNTA(条幅!$B$11:$B$310)),""))))</f>
        <v/>
      </c>
      <c r="K72" s="38" t="str">
        <f>IF(IF(67&lt;=COUNTA(半紙!$B$11:$B$310),INDEX(半紙!$K$11:$K$310,67),IF(67&lt;=COUNTA(半紙!$B$11:$B$310)+COUNTA(条幅!$B$11:$B$310),INDEX(条幅!$K$11:$K$310,67-COUNTA(半紙!$B$11:$B$310)),IF(67&lt;=COUNTA(半紙!$B$11:$B$310)+COUNTA(条幅!$B$11:$B$310)+COUNTA(条幅4分の1!$B$11:$B$310),INDEX(条幅4分の1!$K$11:$K$310,67-COUNTA(半紙!$B$11:$B$310)-COUNTA(条幅!$B$11:$B$310)),"")))=0,"",IF(67&lt;=COUNTA(半紙!$B$11:$B$310),INDEX(半紙!$K$11:$K$310,67),IF(67&lt;=COUNTA(半紙!$B$11:$B$310)+COUNTA(条幅!$B$11:$B$310),INDEX(条幅!$K$11:$K$310,67-COUNTA(半紙!$B$11:$B$310)),IF(67&lt;=COUNTA(半紙!$B$11:$B$310)+COUNTA(条幅!$B$11:$B$310)+COUNTA(条幅4分の1!$B$11:$B$310),INDEX(条幅4分の1!$K$11:$K$310,67-COUNTA(半紙!$B$11:$B$310)-COUNTA(条幅!$B$11:$B$310)),""))))</f>
        <v/>
      </c>
      <c r="L72" s="48" t="str">
        <f>IF($B72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67))</f>
        <v/>
      </c>
    </row>
    <row r="73" spans="1:12" ht="15" customHeight="1">
      <c r="A73" s="37" t="str">
        <f>IF(68&lt;=COUNTA(半紙!$B$11:$B$310),"半紙",IF(68&lt;=COUNTA(半紙!$B$11:$B$310)+COUNTA(条幅!$B$11:$B$310),"条幅(半切)",IF(68&lt;=COUNTA(半紙!$B$11:$B$310)+COUNTA(条幅!$B$11:$B$310)+COUNTA(条幅4分の1!$B$11:$B$310),"条幅(1/4)","")))</f>
        <v/>
      </c>
      <c r="B73" s="38" t="str">
        <f>IF(IF(68&lt;=COUNTA(半紙!$B$11:$B$310),INDEX(半紙!$B$11:$B$310,68),IF(68&lt;=COUNTA(半紙!$B$11:$B$310)+COUNTA(条幅!$B$11:$B$310),INDEX(条幅!$B$11:$B$310,68-COUNTA(半紙!$B$11:$B$310)),IF(68&lt;=COUNTA(半紙!$B$11:$B$310)+COUNTA(条幅!$B$11:$B$310)+COUNTA(条幅4分の1!$B$11:$B$310),INDEX(条幅4分の1!$B$11:$B$310,68-COUNTA(半紙!$B$11:$B$310)-COUNTA(条幅!$B$11:$B$310)),"")))=0,"",IF(68&lt;=COUNTA(半紙!$B$11:$B$310),INDEX(半紙!$B$11:$B$310,68),IF(68&lt;=COUNTA(半紙!$B$11:$B$310)+COUNTA(条幅!$B$11:$B$310),INDEX(条幅!$B$11:$B$310,68-COUNTA(半紙!$B$11:$B$310)),IF(68&lt;=COUNTA(半紙!$B$11:$B$310)+COUNTA(条幅!$B$11:$B$310)+COUNTA(条幅4分の1!$B$11:$B$310),INDEX(条幅4分の1!$B$11:$B$310,68-COUNTA(半紙!$B$11:$B$310)-COUNTA(条幅!$B$11:$B$310)),""))))</f>
        <v/>
      </c>
      <c r="C73" s="38" t="str">
        <f>IF(IF(68&lt;=COUNTA(半紙!$B$11:$B$310),INDEX(半紙!$C$11:$C$310,68),IF(68&lt;=COUNTA(半紙!$B$11:$B$310)+COUNTA(条幅!$B$11:$B$310),INDEX(条幅!$C$11:$C$310,68-COUNTA(半紙!$B$11:$B$310)),IF(68&lt;=COUNTA(半紙!$B$11:$B$310)+COUNTA(条幅!$B$11:$B$310)+COUNTA(条幅4分の1!$B$11:$B$310),INDEX(条幅4分の1!$C$11:$C$310,68-COUNTA(半紙!$B$11:$B$310)-COUNTA(条幅!$B$11:$B$310)),"")))=0,"",IF(68&lt;=COUNTA(半紙!$B$11:$B$310),INDEX(半紙!$C$11:$C$310,68),IF(68&lt;=COUNTA(半紙!$B$11:$B$310)+COUNTA(条幅!$B$11:$B$310),INDEX(条幅!$C$11:$C$310,68-COUNTA(半紙!$B$11:$B$310)),IF(68&lt;=COUNTA(半紙!$B$11:$B$310)+COUNTA(条幅!$B$11:$B$310)+COUNTA(条幅4分の1!$B$11:$B$310),INDEX(条幅4分の1!$C$11:$C$310,68-COUNTA(半紙!$B$11:$B$310)-COUNTA(条幅!$B$11:$B$310)),""))))</f>
        <v/>
      </c>
      <c r="D73" s="38" t="str">
        <f>IF(IF(68&lt;=COUNTA(半紙!$B$11:$B$310),INDEX(半紙!$D$11:$D$310,68),IF(68&lt;=COUNTA(半紙!$B$11:$B$310)+COUNTA(条幅!$B$11:$B$310),INDEX(条幅!$D$11:$D$310,68-COUNTA(半紙!$B$11:$B$310)),IF(68&lt;=COUNTA(半紙!$B$11:$B$310)+COUNTA(条幅!$B$11:$B$310)+COUNTA(条幅4分の1!$B$11:$B$310),INDEX(条幅4分の1!$D$11:$D$310,68-COUNTA(半紙!$B$11:$B$310)-COUNTA(条幅!$B$11:$B$310)),"")))=0,"",IF(68&lt;=COUNTA(半紙!$B$11:$B$310),INDEX(半紙!$D$11:$D$310,68),IF(68&lt;=COUNTA(半紙!$B$11:$B$310)+COUNTA(条幅!$B$11:$B$310),INDEX(条幅!$D$11:$D$310,68-COUNTA(半紙!$B$11:$B$310)),IF(68&lt;=COUNTA(半紙!$B$11:$B$310)+COUNTA(条幅!$B$11:$B$310)+COUNTA(条幅4分の1!$B$11:$B$310),INDEX(条幅4分の1!$D$11:$D$310,68-COUNTA(半紙!$B$11:$B$310)-COUNTA(条幅!$B$11:$B$310)),""))))</f>
        <v/>
      </c>
      <c r="E73" s="38" t="str">
        <f>IF(IF(68&lt;=COUNTA(半紙!$B$11:$B$310),INDEX(半紙!$E$11:$E$310,68),IF(68&lt;=COUNTA(半紙!$B$11:$B$310)+COUNTA(条幅!$B$11:$B$310),INDEX(条幅!$E$11:$E$310,68-COUNTA(半紙!$B$11:$B$310)),IF(68&lt;=COUNTA(半紙!$B$11:$B$310)+COUNTA(条幅!$B$11:$B$310)+COUNTA(条幅4分の1!$B$11:$B$310),INDEX(条幅4分の1!$E$11:$E$310,68-COUNTA(半紙!$B$11:$B$310)-COUNTA(条幅!$B$11:$B$310)),"")))=0,"",IF(68&lt;=COUNTA(半紙!$B$11:$B$310),INDEX(半紙!$E$11:$E$310,68),IF(68&lt;=COUNTA(半紙!$B$11:$B$310)+COUNTA(条幅!$B$11:$B$310),INDEX(条幅!$E$11:$E$310,68-COUNTA(半紙!$B$11:$B$310)),IF(68&lt;=COUNTA(半紙!$B$11:$B$310)+COUNTA(条幅!$B$11:$B$310)+COUNTA(条幅4分の1!$B$11:$B$310),INDEX(条幅4分の1!$E$11:$E$310,68-COUNTA(半紙!$B$11:$B$310)-COUNTA(条幅!$B$11:$B$310)),""))))</f>
        <v/>
      </c>
      <c r="F73" s="38" t="str">
        <f>IF(IF(68&lt;=COUNTA(半紙!$B$11:$B$310),INDEX(半紙!$F$11:$F$310,68),IF(68&lt;=COUNTA(半紙!$B$11:$B$310)+COUNTA(条幅!$B$11:$B$310),INDEX(条幅!$F$11:$F$310,68-COUNTA(半紙!$B$11:$B$310)),IF(68&lt;=COUNTA(半紙!$B$11:$B$310)+COUNTA(条幅!$B$11:$B$310)+COUNTA(条幅4分の1!$B$11:$B$310),INDEX(条幅4分の1!$F$11:$F$310,68-COUNTA(半紙!$B$11:$B$310)-COUNTA(条幅!$B$11:$B$310)),"")))=0,"",IF(68&lt;=COUNTA(半紙!$B$11:$B$310),INDEX(半紙!$F$11:$F$310,68),IF(68&lt;=COUNTA(半紙!$B$11:$B$310)+COUNTA(条幅!$B$11:$B$310),INDEX(条幅!$F$11:$F$310,68-COUNTA(半紙!$B$11:$B$310)),IF(68&lt;=COUNTA(半紙!$B$11:$B$310)+COUNTA(条幅!$B$11:$B$310)+COUNTA(条幅4分の1!$B$11:$B$310),INDEX(条幅4分の1!$F$11:$F$310,68-COUNTA(半紙!$B$11:$B$310)-COUNTA(条幅!$B$11:$B$310)),""))))</f>
        <v/>
      </c>
      <c r="G73" s="38" t="str">
        <f>IF(IF(68&lt;=COUNTA(半紙!$B$11:$B$310),INDEX(半紙!$G$11:$G$310,68),IF(68&lt;=COUNTA(半紙!$B$11:$B$310)+COUNTA(条幅!$B$11:$B$310),INDEX(条幅!$G$11:$G$310,68-COUNTA(半紙!$B$11:$B$310)),IF(68&lt;=COUNTA(半紙!$B$11:$B$310)+COUNTA(条幅!$B$11:$B$310)+COUNTA(条幅4分の1!$B$11:$B$310),INDEX(条幅4分の1!$G$11:$G$310,68-COUNTA(半紙!$B$11:$B$310)-COUNTA(条幅!$B$11:$B$310)),"")))=0,"",IF(68&lt;=COUNTA(半紙!$B$11:$B$310),INDEX(半紙!$G$11:$G$310,68),IF(68&lt;=COUNTA(半紙!$B$11:$B$310)+COUNTA(条幅!$B$11:$B$310),INDEX(条幅!$G$11:$G$310,68-COUNTA(半紙!$B$11:$B$310)),IF(68&lt;=COUNTA(半紙!$B$11:$B$310)+COUNTA(条幅!$B$11:$B$310)+COUNTA(条幅4分の1!$B$11:$B$310),INDEX(条幅4分の1!$G$11:$G$310,68-COUNTA(半紙!$B$11:$B$310)-COUNTA(条幅!$B$11:$B$310)),""))))</f>
        <v/>
      </c>
      <c r="H73" s="38" t="str">
        <f>IF(IF(68&lt;=COUNTA(半紙!$B$11:$B$310),INDEX(半紙!$H$11:$H$310,68),IF(68&lt;=COUNTA(半紙!$B$11:$B$310)+COUNTA(条幅!$B$11:$B$310),INDEX(条幅!$H$11:$H$310,68-COUNTA(半紙!$B$11:$B$310)),IF(68&lt;=COUNTA(半紙!$B$11:$B$310)+COUNTA(条幅!$B$11:$B$310)+COUNTA(条幅4分の1!$B$11:$B$310),INDEX(条幅4分の1!$H$11:$H$310,68-COUNTA(半紙!$B$11:$B$310)-COUNTA(条幅!$B$11:$B$310)),"")))=0,"",IF(68&lt;=COUNTA(半紙!$B$11:$B$310),INDEX(半紙!$H$11:$H$310,68),IF(68&lt;=COUNTA(半紙!$B$11:$B$310)+COUNTA(条幅!$B$11:$B$310),INDEX(条幅!$H$11:$H$310,68-COUNTA(半紙!$B$11:$B$310)),IF(68&lt;=COUNTA(半紙!$B$11:$B$310)+COUNTA(条幅!$B$11:$B$310)+COUNTA(条幅4分の1!$B$11:$B$310),INDEX(条幅4分の1!$H$11:$H$310,68-COUNTA(半紙!$B$11:$B$310)-COUNTA(条幅!$B$11:$B$310)),""))))</f>
        <v/>
      </c>
      <c r="I73" s="38" t="str">
        <f>IF(IF(68&lt;=COUNTA(半紙!$B$11:$B$310),INDEX(半紙!$I$11:$I$310,68),IF(68&lt;=COUNTA(半紙!$B$11:$B$310)+COUNTA(条幅!$B$11:$B$310),INDEX(条幅!$I$11:$I$310,68-COUNTA(半紙!$B$11:$B$310)),IF(68&lt;=COUNTA(半紙!$B$11:$B$310)+COUNTA(条幅!$B$11:$B$310)+COUNTA(条幅4分の1!$B$11:$B$310),INDEX(条幅4分の1!$I$11:$I$310,68-COUNTA(半紙!$B$11:$B$310)-COUNTA(条幅!$B$11:$B$310)),"")))=0,"",IF(68&lt;=COUNTA(半紙!$B$11:$B$310),INDEX(半紙!$I$11:$I$310,68),IF(68&lt;=COUNTA(半紙!$B$11:$B$310)+COUNTA(条幅!$B$11:$B$310),INDEX(条幅!$I$11:$I$310,68-COUNTA(半紙!$B$11:$B$310)),IF(68&lt;=COUNTA(半紙!$B$11:$B$310)+COUNTA(条幅!$B$11:$B$310)+COUNTA(条幅4分の1!$B$11:$B$310),INDEX(条幅4分の1!$I$11:$I$310,68-COUNTA(半紙!$B$11:$B$310)-COUNTA(条幅!$B$11:$B$310)),""))))</f>
        <v/>
      </c>
      <c r="J73" s="38" t="str">
        <f>IF(IF(68&lt;=COUNTA(半紙!$B$11:$B$310),INDEX(半紙!$J$11:$J$310,68),IF(68&lt;=COUNTA(半紙!$B$11:$B$310)+COUNTA(条幅!$B$11:$B$310),INDEX(条幅!$J$11:$J$310,68-COUNTA(半紙!$B$11:$B$310)),IF(68&lt;=COUNTA(半紙!$B$11:$B$310)+COUNTA(条幅!$B$11:$B$310)+COUNTA(条幅4分の1!$B$11:$B$310),INDEX(条幅4分の1!$J$11:$J$310,68-COUNTA(半紙!$B$11:$B$310)-COUNTA(条幅!$B$11:$B$310)),"")))=0,"",IF(68&lt;=COUNTA(半紙!$B$11:$B$310),INDEX(半紙!$J$11:$J$310,68),IF(68&lt;=COUNTA(半紙!$B$11:$B$310)+COUNTA(条幅!$B$11:$B$310),INDEX(条幅!$J$11:$J$310,68-COUNTA(半紙!$B$11:$B$310)),IF(68&lt;=COUNTA(半紙!$B$11:$B$310)+COUNTA(条幅!$B$11:$B$310)+COUNTA(条幅4分の1!$B$11:$B$310),INDEX(条幅4分の1!$J$11:$J$310,68-COUNTA(半紙!$B$11:$B$310)-COUNTA(条幅!$B$11:$B$310)),""))))</f>
        <v/>
      </c>
      <c r="K73" s="38" t="str">
        <f>IF(IF(68&lt;=COUNTA(半紙!$B$11:$B$310),INDEX(半紙!$K$11:$K$310,68),IF(68&lt;=COUNTA(半紙!$B$11:$B$310)+COUNTA(条幅!$B$11:$B$310),INDEX(条幅!$K$11:$K$310,68-COUNTA(半紙!$B$11:$B$310)),IF(68&lt;=COUNTA(半紙!$B$11:$B$310)+COUNTA(条幅!$B$11:$B$310)+COUNTA(条幅4分の1!$B$11:$B$310),INDEX(条幅4分の1!$K$11:$K$310,68-COUNTA(半紙!$B$11:$B$310)-COUNTA(条幅!$B$11:$B$310)),"")))=0,"",IF(68&lt;=COUNTA(半紙!$B$11:$B$310),INDEX(半紙!$K$11:$K$310,68),IF(68&lt;=COUNTA(半紙!$B$11:$B$310)+COUNTA(条幅!$B$11:$B$310),INDEX(条幅!$K$11:$K$310,68-COUNTA(半紙!$B$11:$B$310)),IF(68&lt;=COUNTA(半紙!$B$11:$B$310)+COUNTA(条幅!$B$11:$B$310)+COUNTA(条幅4分の1!$B$11:$B$310),INDEX(条幅4分の1!$K$11:$K$310,68-COUNTA(半紙!$B$11:$B$310)-COUNTA(条幅!$B$11:$B$310)),""))))</f>
        <v/>
      </c>
      <c r="L73" s="48" t="str">
        <f>IF($B73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68))</f>
        <v/>
      </c>
    </row>
    <row r="74" spans="1:12" ht="15" customHeight="1">
      <c r="A74" s="37" t="str">
        <f>IF(69&lt;=COUNTA(半紙!$B$11:$B$310),"半紙",IF(69&lt;=COUNTA(半紙!$B$11:$B$310)+COUNTA(条幅!$B$11:$B$310),"条幅(半切)",IF(69&lt;=COUNTA(半紙!$B$11:$B$310)+COUNTA(条幅!$B$11:$B$310)+COUNTA(条幅4分の1!$B$11:$B$310),"条幅(1/4)","")))</f>
        <v/>
      </c>
      <c r="B74" s="38" t="str">
        <f>IF(IF(69&lt;=COUNTA(半紙!$B$11:$B$310),INDEX(半紙!$B$11:$B$310,69),IF(69&lt;=COUNTA(半紙!$B$11:$B$310)+COUNTA(条幅!$B$11:$B$310),INDEX(条幅!$B$11:$B$310,69-COUNTA(半紙!$B$11:$B$310)),IF(69&lt;=COUNTA(半紙!$B$11:$B$310)+COUNTA(条幅!$B$11:$B$310)+COUNTA(条幅4分の1!$B$11:$B$310),INDEX(条幅4分の1!$B$11:$B$310,69-COUNTA(半紙!$B$11:$B$310)-COUNTA(条幅!$B$11:$B$310)),"")))=0,"",IF(69&lt;=COUNTA(半紙!$B$11:$B$310),INDEX(半紙!$B$11:$B$310,69),IF(69&lt;=COUNTA(半紙!$B$11:$B$310)+COUNTA(条幅!$B$11:$B$310),INDEX(条幅!$B$11:$B$310,69-COUNTA(半紙!$B$11:$B$310)),IF(69&lt;=COUNTA(半紙!$B$11:$B$310)+COUNTA(条幅!$B$11:$B$310)+COUNTA(条幅4分の1!$B$11:$B$310),INDEX(条幅4分の1!$B$11:$B$310,69-COUNTA(半紙!$B$11:$B$310)-COUNTA(条幅!$B$11:$B$310)),""))))</f>
        <v/>
      </c>
      <c r="C74" s="38" t="str">
        <f>IF(IF(69&lt;=COUNTA(半紙!$B$11:$B$310),INDEX(半紙!$C$11:$C$310,69),IF(69&lt;=COUNTA(半紙!$B$11:$B$310)+COUNTA(条幅!$B$11:$B$310),INDEX(条幅!$C$11:$C$310,69-COUNTA(半紙!$B$11:$B$310)),IF(69&lt;=COUNTA(半紙!$B$11:$B$310)+COUNTA(条幅!$B$11:$B$310)+COUNTA(条幅4分の1!$B$11:$B$310),INDEX(条幅4分の1!$C$11:$C$310,69-COUNTA(半紙!$B$11:$B$310)-COUNTA(条幅!$B$11:$B$310)),"")))=0,"",IF(69&lt;=COUNTA(半紙!$B$11:$B$310),INDEX(半紙!$C$11:$C$310,69),IF(69&lt;=COUNTA(半紙!$B$11:$B$310)+COUNTA(条幅!$B$11:$B$310),INDEX(条幅!$C$11:$C$310,69-COUNTA(半紙!$B$11:$B$310)),IF(69&lt;=COUNTA(半紙!$B$11:$B$310)+COUNTA(条幅!$B$11:$B$310)+COUNTA(条幅4分の1!$B$11:$B$310),INDEX(条幅4分の1!$C$11:$C$310,69-COUNTA(半紙!$B$11:$B$310)-COUNTA(条幅!$B$11:$B$310)),""))))</f>
        <v/>
      </c>
      <c r="D74" s="38" t="str">
        <f>IF(IF(69&lt;=COUNTA(半紙!$B$11:$B$310),INDEX(半紙!$D$11:$D$310,69),IF(69&lt;=COUNTA(半紙!$B$11:$B$310)+COUNTA(条幅!$B$11:$B$310),INDEX(条幅!$D$11:$D$310,69-COUNTA(半紙!$B$11:$B$310)),IF(69&lt;=COUNTA(半紙!$B$11:$B$310)+COUNTA(条幅!$B$11:$B$310)+COUNTA(条幅4分の1!$B$11:$B$310),INDEX(条幅4分の1!$D$11:$D$310,69-COUNTA(半紙!$B$11:$B$310)-COUNTA(条幅!$B$11:$B$310)),"")))=0,"",IF(69&lt;=COUNTA(半紙!$B$11:$B$310),INDEX(半紙!$D$11:$D$310,69),IF(69&lt;=COUNTA(半紙!$B$11:$B$310)+COUNTA(条幅!$B$11:$B$310),INDEX(条幅!$D$11:$D$310,69-COUNTA(半紙!$B$11:$B$310)),IF(69&lt;=COUNTA(半紙!$B$11:$B$310)+COUNTA(条幅!$B$11:$B$310)+COUNTA(条幅4分の1!$B$11:$B$310),INDEX(条幅4分の1!$D$11:$D$310,69-COUNTA(半紙!$B$11:$B$310)-COUNTA(条幅!$B$11:$B$310)),""))))</f>
        <v/>
      </c>
      <c r="E74" s="38" t="str">
        <f>IF(IF(69&lt;=COUNTA(半紙!$B$11:$B$310),INDEX(半紙!$E$11:$E$310,69),IF(69&lt;=COUNTA(半紙!$B$11:$B$310)+COUNTA(条幅!$B$11:$B$310),INDEX(条幅!$E$11:$E$310,69-COUNTA(半紙!$B$11:$B$310)),IF(69&lt;=COUNTA(半紙!$B$11:$B$310)+COUNTA(条幅!$B$11:$B$310)+COUNTA(条幅4分の1!$B$11:$B$310),INDEX(条幅4分の1!$E$11:$E$310,69-COUNTA(半紙!$B$11:$B$310)-COUNTA(条幅!$B$11:$B$310)),"")))=0,"",IF(69&lt;=COUNTA(半紙!$B$11:$B$310),INDEX(半紙!$E$11:$E$310,69),IF(69&lt;=COUNTA(半紙!$B$11:$B$310)+COUNTA(条幅!$B$11:$B$310),INDEX(条幅!$E$11:$E$310,69-COUNTA(半紙!$B$11:$B$310)),IF(69&lt;=COUNTA(半紙!$B$11:$B$310)+COUNTA(条幅!$B$11:$B$310)+COUNTA(条幅4分の1!$B$11:$B$310),INDEX(条幅4分の1!$E$11:$E$310,69-COUNTA(半紙!$B$11:$B$310)-COUNTA(条幅!$B$11:$B$310)),""))))</f>
        <v/>
      </c>
      <c r="F74" s="38" t="str">
        <f>IF(IF(69&lt;=COUNTA(半紙!$B$11:$B$310),INDEX(半紙!$F$11:$F$310,69),IF(69&lt;=COUNTA(半紙!$B$11:$B$310)+COUNTA(条幅!$B$11:$B$310),INDEX(条幅!$F$11:$F$310,69-COUNTA(半紙!$B$11:$B$310)),IF(69&lt;=COUNTA(半紙!$B$11:$B$310)+COUNTA(条幅!$B$11:$B$310)+COUNTA(条幅4分の1!$B$11:$B$310),INDEX(条幅4分の1!$F$11:$F$310,69-COUNTA(半紙!$B$11:$B$310)-COUNTA(条幅!$B$11:$B$310)),"")))=0,"",IF(69&lt;=COUNTA(半紙!$B$11:$B$310),INDEX(半紙!$F$11:$F$310,69),IF(69&lt;=COUNTA(半紙!$B$11:$B$310)+COUNTA(条幅!$B$11:$B$310),INDEX(条幅!$F$11:$F$310,69-COUNTA(半紙!$B$11:$B$310)),IF(69&lt;=COUNTA(半紙!$B$11:$B$310)+COUNTA(条幅!$B$11:$B$310)+COUNTA(条幅4分の1!$B$11:$B$310),INDEX(条幅4分の1!$F$11:$F$310,69-COUNTA(半紙!$B$11:$B$310)-COUNTA(条幅!$B$11:$B$310)),""))))</f>
        <v/>
      </c>
      <c r="G74" s="38" t="str">
        <f>IF(IF(69&lt;=COUNTA(半紙!$B$11:$B$310),INDEX(半紙!$G$11:$G$310,69),IF(69&lt;=COUNTA(半紙!$B$11:$B$310)+COUNTA(条幅!$B$11:$B$310),INDEX(条幅!$G$11:$G$310,69-COUNTA(半紙!$B$11:$B$310)),IF(69&lt;=COUNTA(半紙!$B$11:$B$310)+COUNTA(条幅!$B$11:$B$310)+COUNTA(条幅4分の1!$B$11:$B$310),INDEX(条幅4分の1!$G$11:$G$310,69-COUNTA(半紙!$B$11:$B$310)-COUNTA(条幅!$B$11:$B$310)),"")))=0,"",IF(69&lt;=COUNTA(半紙!$B$11:$B$310),INDEX(半紙!$G$11:$G$310,69),IF(69&lt;=COUNTA(半紙!$B$11:$B$310)+COUNTA(条幅!$B$11:$B$310),INDEX(条幅!$G$11:$G$310,69-COUNTA(半紙!$B$11:$B$310)),IF(69&lt;=COUNTA(半紙!$B$11:$B$310)+COUNTA(条幅!$B$11:$B$310)+COUNTA(条幅4分の1!$B$11:$B$310),INDEX(条幅4分の1!$G$11:$G$310,69-COUNTA(半紙!$B$11:$B$310)-COUNTA(条幅!$B$11:$B$310)),""))))</f>
        <v/>
      </c>
      <c r="H74" s="38" t="str">
        <f>IF(IF(69&lt;=COUNTA(半紙!$B$11:$B$310),INDEX(半紙!$H$11:$H$310,69),IF(69&lt;=COUNTA(半紙!$B$11:$B$310)+COUNTA(条幅!$B$11:$B$310),INDEX(条幅!$H$11:$H$310,69-COUNTA(半紙!$B$11:$B$310)),IF(69&lt;=COUNTA(半紙!$B$11:$B$310)+COUNTA(条幅!$B$11:$B$310)+COUNTA(条幅4分の1!$B$11:$B$310),INDEX(条幅4分の1!$H$11:$H$310,69-COUNTA(半紙!$B$11:$B$310)-COUNTA(条幅!$B$11:$B$310)),"")))=0,"",IF(69&lt;=COUNTA(半紙!$B$11:$B$310),INDEX(半紙!$H$11:$H$310,69),IF(69&lt;=COUNTA(半紙!$B$11:$B$310)+COUNTA(条幅!$B$11:$B$310),INDEX(条幅!$H$11:$H$310,69-COUNTA(半紙!$B$11:$B$310)),IF(69&lt;=COUNTA(半紙!$B$11:$B$310)+COUNTA(条幅!$B$11:$B$310)+COUNTA(条幅4分の1!$B$11:$B$310),INDEX(条幅4分の1!$H$11:$H$310,69-COUNTA(半紙!$B$11:$B$310)-COUNTA(条幅!$B$11:$B$310)),""))))</f>
        <v/>
      </c>
      <c r="I74" s="38" t="str">
        <f>IF(IF(69&lt;=COUNTA(半紙!$B$11:$B$310),INDEX(半紙!$I$11:$I$310,69),IF(69&lt;=COUNTA(半紙!$B$11:$B$310)+COUNTA(条幅!$B$11:$B$310),INDEX(条幅!$I$11:$I$310,69-COUNTA(半紙!$B$11:$B$310)),IF(69&lt;=COUNTA(半紙!$B$11:$B$310)+COUNTA(条幅!$B$11:$B$310)+COUNTA(条幅4分の1!$B$11:$B$310),INDEX(条幅4分の1!$I$11:$I$310,69-COUNTA(半紙!$B$11:$B$310)-COUNTA(条幅!$B$11:$B$310)),"")))=0,"",IF(69&lt;=COUNTA(半紙!$B$11:$B$310),INDEX(半紙!$I$11:$I$310,69),IF(69&lt;=COUNTA(半紙!$B$11:$B$310)+COUNTA(条幅!$B$11:$B$310),INDEX(条幅!$I$11:$I$310,69-COUNTA(半紙!$B$11:$B$310)),IF(69&lt;=COUNTA(半紙!$B$11:$B$310)+COUNTA(条幅!$B$11:$B$310)+COUNTA(条幅4分の1!$B$11:$B$310),INDEX(条幅4分の1!$I$11:$I$310,69-COUNTA(半紙!$B$11:$B$310)-COUNTA(条幅!$B$11:$B$310)),""))))</f>
        <v/>
      </c>
      <c r="J74" s="38" t="str">
        <f>IF(IF(69&lt;=COUNTA(半紙!$B$11:$B$310),INDEX(半紙!$J$11:$J$310,69),IF(69&lt;=COUNTA(半紙!$B$11:$B$310)+COUNTA(条幅!$B$11:$B$310),INDEX(条幅!$J$11:$J$310,69-COUNTA(半紙!$B$11:$B$310)),IF(69&lt;=COUNTA(半紙!$B$11:$B$310)+COUNTA(条幅!$B$11:$B$310)+COUNTA(条幅4分の1!$B$11:$B$310),INDEX(条幅4分の1!$J$11:$J$310,69-COUNTA(半紙!$B$11:$B$310)-COUNTA(条幅!$B$11:$B$310)),"")))=0,"",IF(69&lt;=COUNTA(半紙!$B$11:$B$310),INDEX(半紙!$J$11:$J$310,69),IF(69&lt;=COUNTA(半紙!$B$11:$B$310)+COUNTA(条幅!$B$11:$B$310),INDEX(条幅!$J$11:$J$310,69-COUNTA(半紙!$B$11:$B$310)),IF(69&lt;=COUNTA(半紙!$B$11:$B$310)+COUNTA(条幅!$B$11:$B$310)+COUNTA(条幅4分の1!$B$11:$B$310),INDEX(条幅4分の1!$J$11:$J$310,69-COUNTA(半紙!$B$11:$B$310)-COUNTA(条幅!$B$11:$B$310)),""))))</f>
        <v/>
      </c>
      <c r="K74" s="38" t="str">
        <f>IF(IF(69&lt;=COUNTA(半紙!$B$11:$B$310),INDEX(半紙!$K$11:$K$310,69),IF(69&lt;=COUNTA(半紙!$B$11:$B$310)+COUNTA(条幅!$B$11:$B$310),INDEX(条幅!$K$11:$K$310,69-COUNTA(半紙!$B$11:$B$310)),IF(69&lt;=COUNTA(半紙!$B$11:$B$310)+COUNTA(条幅!$B$11:$B$310)+COUNTA(条幅4分の1!$B$11:$B$310),INDEX(条幅4分の1!$K$11:$K$310,69-COUNTA(半紙!$B$11:$B$310)-COUNTA(条幅!$B$11:$B$310)),"")))=0,"",IF(69&lt;=COUNTA(半紙!$B$11:$B$310),INDEX(半紙!$K$11:$K$310,69),IF(69&lt;=COUNTA(半紙!$B$11:$B$310)+COUNTA(条幅!$B$11:$B$310),INDEX(条幅!$K$11:$K$310,69-COUNTA(半紙!$B$11:$B$310)),IF(69&lt;=COUNTA(半紙!$B$11:$B$310)+COUNTA(条幅!$B$11:$B$310)+COUNTA(条幅4分の1!$B$11:$B$310),INDEX(条幅4分の1!$K$11:$K$310,69-COUNTA(半紙!$B$11:$B$310)-COUNTA(条幅!$B$11:$B$310)),""))))</f>
        <v/>
      </c>
      <c r="L74" s="48" t="str">
        <f>IF($B74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69))</f>
        <v/>
      </c>
    </row>
    <row r="75" spans="1:12" ht="15" customHeight="1">
      <c r="A75" s="37" t="str">
        <f>IF(70&lt;=COUNTA(半紙!$B$11:$B$310),"半紙",IF(70&lt;=COUNTA(半紙!$B$11:$B$310)+COUNTA(条幅!$B$11:$B$310),"条幅(半切)",IF(70&lt;=COUNTA(半紙!$B$11:$B$310)+COUNTA(条幅!$B$11:$B$310)+COUNTA(条幅4分の1!$B$11:$B$310),"条幅(1/4)","")))</f>
        <v/>
      </c>
      <c r="B75" s="38" t="str">
        <f>IF(IF(70&lt;=COUNTA(半紙!$B$11:$B$310),INDEX(半紙!$B$11:$B$310,70),IF(70&lt;=COUNTA(半紙!$B$11:$B$310)+COUNTA(条幅!$B$11:$B$310),INDEX(条幅!$B$11:$B$310,70-COUNTA(半紙!$B$11:$B$310)),IF(70&lt;=COUNTA(半紙!$B$11:$B$310)+COUNTA(条幅!$B$11:$B$310)+COUNTA(条幅4分の1!$B$11:$B$310),INDEX(条幅4分の1!$B$11:$B$310,70-COUNTA(半紙!$B$11:$B$310)-COUNTA(条幅!$B$11:$B$310)),"")))=0,"",IF(70&lt;=COUNTA(半紙!$B$11:$B$310),INDEX(半紙!$B$11:$B$310,70),IF(70&lt;=COUNTA(半紙!$B$11:$B$310)+COUNTA(条幅!$B$11:$B$310),INDEX(条幅!$B$11:$B$310,70-COUNTA(半紙!$B$11:$B$310)),IF(70&lt;=COUNTA(半紙!$B$11:$B$310)+COUNTA(条幅!$B$11:$B$310)+COUNTA(条幅4分の1!$B$11:$B$310),INDEX(条幅4分の1!$B$11:$B$310,70-COUNTA(半紙!$B$11:$B$310)-COUNTA(条幅!$B$11:$B$310)),""))))</f>
        <v/>
      </c>
      <c r="C75" s="38" t="str">
        <f>IF(IF(70&lt;=COUNTA(半紙!$B$11:$B$310),INDEX(半紙!$C$11:$C$310,70),IF(70&lt;=COUNTA(半紙!$B$11:$B$310)+COUNTA(条幅!$B$11:$B$310),INDEX(条幅!$C$11:$C$310,70-COUNTA(半紙!$B$11:$B$310)),IF(70&lt;=COUNTA(半紙!$B$11:$B$310)+COUNTA(条幅!$B$11:$B$310)+COUNTA(条幅4分の1!$B$11:$B$310),INDEX(条幅4分の1!$C$11:$C$310,70-COUNTA(半紙!$B$11:$B$310)-COUNTA(条幅!$B$11:$B$310)),"")))=0,"",IF(70&lt;=COUNTA(半紙!$B$11:$B$310),INDEX(半紙!$C$11:$C$310,70),IF(70&lt;=COUNTA(半紙!$B$11:$B$310)+COUNTA(条幅!$B$11:$B$310),INDEX(条幅!$C$11:$C$310,70-COUNTA(半紙!$B$11:$B$310)),IF(70&lt;=COUNTA(半紙!$B$11:$B$310)+COUNTA(条幅!$B$11:$B$310)+COUNTA(条幅4分の1!$B$11:$B$310),INDEX(条幅4分の1!$C$11:$C$310,70-COUNTA(半紙!$B$11:$B$310)-COUNTA(条幅!$B$11:$B$310)),""))))</f>
        <v/>
      </c>
      <c r="D75" s="38" t="str">
        <f>IF(IF(70&lt;=COUNTA(半紙!$B$11:$B$310),INDEX(半紙!$D$11:$D$310,70),IF(70&lt;=COUNTA(半紙!$B$11:$B$310)+COUNTA(条幅!$B$11:$B$310),INDEX(条幅!$D$11:$D$310,70-COUNTA(半紙!$B$11:$B$310)),IF(70&lt;=COUNTA(半紙!$B$11:$B$310)+COUNTA(条幅!$B$11:$B$310)+COUNTA(条幅4分の1!$B$11:$B$310),INDEX(条幅4分の1!$D$11:$D$310,70-COUNTA(半紙!$B$11:$B$310)-COUNTA(条幅!$B$11:$B$310)),"")))=0,"",IF(70&lt;=COUNTA(半紙!$B$11:$B$310),INDEX(半紙!$D$11:$D$310,70),IF(70&lt;=COUNTA(半紙!$B$11:$B$310)+COUNTA(条幅!$B$11:$B$310),INDEX(条幅!$D$11:$D$310,70-COUNTA(半紙!$B$11:$B$310)),IF(70&lt;=COUNTA(半紙!$B$11:$B$310)+COUNTA(条幅!$B$11:$B$310)+COUNTA(条幅4分の1!$B$11:$B$310),INDEX(条幅4分の1!$D$11:$D$310,70-COUNTA(半紙!$B$11:$B$310)-COUNTA(条幅!$B$11:$B$310)),""))))</f>
        <v/>
      </c>
      <c r="E75" s="38" t="str">
        <f>IF(IF(70&lt;=COUNTA(半紙!$B$11:$B$310),INDEX(半紙!$E$11:$E$310,70),IF(70&lt;=COUNTA(半紙!$B$11:$B$310)+COUNTA(条幅!$B$11:$B$310),INDEX(条幅!$E$11:$E$310,70-COUNTA(半紙!$B$11:$B$310)),IF(70&lt;=COUNTA(半紙!$B$11:$B$310)+COUNTA(条幅!$B$11:$B$310)+COUNTA(条幅4分の1!$B$11:$B$310),INDEX(条幅4分の1!$E$11:$E$310,70-COUNTA(半紙!$B$11:$B$310)-COUNTA(条幅!$B$11:$B$310)),"")))=0,"",IF(70&lt;=COUNTA(半紙!$B$11:$B$310),INDEX(半紙!$E$11:$E$310,70),IF(70&lt;=COUNTA(半紙!$B$11:$B$310)+COUNTA(条幅!$B$11:$B$310),INDEX(条幅!$E$11:$E$310,70-COUNTA(半紙!$B$11:$B$310)),IF(70&lt;=COUNTA(半紙!$B$11:$B$310)+COUNTA(条幅!$B$11:$B$310)+COUNTA(条幅4分の1!$B$11:$B$310),INDEX(条幅4分の1!$E$11:$E$310,70-COUNTA(半紙!$B$11:$B$310)-COUNTA(条幅!$B$11:$B$310)),""))))</f>
        <v/>
      </c>
      <c r="F75" s="38" t="str">
        <f>IF(IF(70&lt;=COUNTA(半紙!$B$11:$B$310),INDEX(半紙!$F$11:$F$310,70),IF(70&lt;=COUNTA(半紙!$B$11:$B$310)+COUNTA(条幅!$B$11:$B$310),INDEX(条幅!$F$11:$F$310,70-COUNTA(半紙!$B$11:$B$310)),IF(70&lt;=COUNTA(半紙!$B$11:$B$310)+COUNTA(条幅!$B$11:$B$310)+COUNTA(条幅4分の1!$B$11:$B$310),INDEX(条幅4分の1!$F$11:$F$310,70-COUNTA(半紙!$B$11:$B$310)-COUNTA(条幅!$B$11:$B$310)),"")))=0,"",IF(70&lt;=COUNTA(半紙!$B$11:$B$310),INDEX(半紙!$F$11:$F$310,70),IF(70&lt;=COUNTA(半紙!$B$11:$B$310)+COUNTA(条幅!$B$11:$B$310),INDEX(条幅!$F$11:$F$310,70-COUNTA(半紙!$B$11:$B$310)),IF(70&lt;=COUNTA(半紙!$B$11:$B$310)+COUNTA(条幅!$B$11:$B$310)+COUNTA(条幅4分の1!$B$11:$B$310),INDEX(条幅4分の1!$F$11:$F$310,70-COUNTA(半紙!$B$11:$B$310)-COUNTA(条幅!$B$11:$B$310)),""))))</f>
        <v/>
      </c>
      <c r="G75" s="38" t="str">
        <f>IF(IF(70&lt;=COUNTA(半紙!$B$11:$B$310),INDEX(半紙!$G$11:$G$310,70),IF(70&lt;=COUNTA(半紙!$B$11:$B$310)+COUNTA(条幅!$B$11:$B$310),INDEX(条幅!$G$11:$G$310,70-COUNTA(半紙!$B$11:$B$310)),IF(70&lt;=COUNTA(半紙!$B$11:$B$310)+COUNTA(条幅!$B$11:$B$310)+COUNTA(条幅4分の1!$B$11:$B$310),INDEX(条幅4分の1!$G$11:$G$310,70-COUNTA(半紙!$B$11:$B$310)-COUNTA(条幅!$B$11:$B$310)),"")))=0,"",IF(70&lt;=COUNTA(半紙!$B$11:$B$310),INDEX(半紙!$G$11:$G$310,70),IF(70&lt;=COUNTA(半紙!$B$11:$B$310)+COUNTA(条幅!$B$11:$B$310),INDEX(条幅!$G$11:$G$310,70-COUNTA(半紙!$B$11:$B$310)),IF(70&lt;=COUNTA(半紙!$B$11:$B$310)+COUNTA(条幅!$B$11:$B$310)+COUNTA(条幅4分の1!$B$11:$B$310),INDEX(条幅4分の1!$G$11:$G$310,70-COUNTA(半紙!$B$11:$B$310)-COUNTA(条幅!$B$11:$B$310)),""))))</f>
        <v/>
      </c>
      <c r="H75" s="38" t="str">
        <f>IF(IF(70&lt;=COUNTA(半紙!$B$11:$B$310),INDEX(半紙!$H$11:$H$310,70),IF(70&lt;=COUNTA(半紙!$B$11:$B$310)+COUNTA(条幅!$B$11:$B$310),INDEX(条幅!$H$11:$H$310,70-COUNTA(半紙!$B$11:$B$310)),IF(70&lt;=COUNTA(半紙!$B$11:$B$310)+COUNTA(条幅!$B$11:$B$310)+COUNTA(条幅4分の1!$B$11:$B$310),INDEX(条幅4分の1!$H$11:$H$310,70-COUNTA(半紙!$B$11:$B$310)-COUNTA(条幅!$B$11:$B$310)),"")))=0,"",IF(70&lt;=COUNTA(半紙!$B$11:$B$310),INDEX(半紙!$H$11:$H$310,70),IF(70&lt;=COUNTA(半紙!$B$11:$B$310)+COUNTA(条幅!$B$11:$B$310),INDEX(条幅!$H$11:$H$310,70-COUNTA(半紙!$B$11:$B$310)),IF(70&lt;=COUNTA(半紙!$B$11:$B$310)+COUNTA(条幅!$B$11:$B$310)+COUNTA(条幅4分の1!$B$11:$B$310),INDEX(条幅4分の1!$H$11:$H$310,70-COUNTA(半紙!$B$11:$B$310)-COUNTA(条幅!$B$11:$B$310)),""))))</f>
        <v/>
      </c>
      <c r="I75" s="38" t="str">
        <f>IF(IF(70&lt;=COUNTA(半紙!$B$11:$B$310),INDEX(半紙!$I$11:$I$310,70),IF(70&lt;=COUNTA(半紙!$B$11:$B$310)+COUNTA(条幅!$B$11:$B$310),INDEX(条幅!$I$11:$I$310,70-COUNTA(半紙!$B$11:$B$310)),IF(70&lt;=COUNTA(半紙!$B$11:$B$310)+COUNTA(条幅!$B$11:$B$310)+COUNTA(条幅4分の1!$B$11:$B$310),INDEX(条幅4分の1!$I$11:$I$310,70-COUNTA(半紙!$B$11:$B$310)-COUNTA(条幅!$B$11:$B$310)),"")))=0,"",IF(70&lt;=COUNTA(半紙!$B$11:$B$310),INDEX(半紙!$I$11:$I$310,70),IF(70&lt;=COUNTA(半紙!$B$11:$B$310)+COUNTA(条幅!$B$11:$B$310),INDEX(条幅!$I$11:$I$310,70-COUNTA(半紙!$B$11:$B$310)),IF(70&lt;=COUNTA(半紙!$B$11:$B$310)+COUNTA(条幅!$B$11:$B$310)+COUNTA(条幅4分の1!$B$11:$B$310),INDEX(条幅4分の1!$I$11:$I$310,70-COUNTA(半紙!$B$11:$B$310)-COUNTA(条幅!$B$11:$B$310)),""))))</f>
        <v/>
      </c>
      <c r="J75" s="38" t="str">
        <f>IF(IF(70&lt;=COUNTA(半紙!$B$11:$B$310),INDEX(半紙!$J$11:$J$310,70),IF(70&lt;=COUNTA(半紙!$B$11:$B$310)+COUNTA(条幅!$B$11:$B$310),INDEX(条幅!$J$11:$J$310,70-COUNTA(半紙!$B$11:$B$310)),IF(70&lt;=COUNTA(半紙!$B$11:$B$310)+COUNTA(条幅!$B$11:$B$310)+COUNTA(条幅4分の1!$B$11:$B$310),INDEX(条幅4分の1!$J$11:$J$310,70-COUNTA(半紙!$B$11:$B$310)-COUNTA(条幅!$B$11:$B$310)),"")))=0,"",IF(70&lt;=COUNTA(半紙!$B$11:$B$310),INDEX(半紙!$J$11:$J$310,70),IF(70&lt;=COUNTA(半紙!$B$11:$B$310)+COUNTA(条幅!$B$11:$B$310),INDEX(条幅!$J$11:$J$310,70-COUNTA(半紙!$B$11:$B$310)),IF(70&lt;=COUNTA(半紙!$B$11:$B$310)+COUNTA(条幅!$B$11:$B$310)+COUNTA(条幅4分の1!$B$11:$B$310),INDEX(条幅4分の1!$J$11:$J$310,70-COUNTA(半紙!$B$11:$B$310)-COUNTA(条幅!$B$11:$B$310)),""))))</f>
        <v/>
      </c>
      <c r="K75" s="38" t="str">
        <f>IF(IF(70&lt;=COUNTA(半紙!$B$11:$B$310),INDEX(半紙!$K$11:$K$310,70),IF(70&lt;=COUNTA(半紙!$B$11:$B$310)+COUNTA(条幅!$B$11:$B$310),INDEX(条幅!$K$11:$K$310,70-COUNTA(半紙!$B$11:$B$310)),IF(70&lt;=COUNTA(半紙!$B$11:$B$310)+COUNTA(条幅!$B$11:$B$310)+COUNTA(条幅4分の1!$B$11:$B$310),INDEX(条幅4分の1!$K$11:$K$310,70-COUNTA(半紙!$B$11:$B$310)-COUNTA(条幅!$B$11:$B$310)),"")))=0,"",IF(70&lt;=COUNTA(半紙!$B$11:$B$310),INDEX(半紙!$K$11:$K$310,70),IF(70&lt;=COUNTA(半紙!$B$11:$B$310)+COUNTA(条幅!$B$11:$B$310),INDEX(条幅!$K$11:$K$310,70-COUNTA(半紙!$B$11:$B$310)),IF(70&lt;=COUNTA(半紙!$B$11:$B$310)+COUNTA(条幅!$B$11:$B$310)+COUNTA(条幅4分の1!$B$11:$B$310),INDEX(条幅4分の1!$K$11:$K$310,70-COUNTA(半紙!$B$11:$B$310)-COUNTA(条幅!$B$11:$B$310)),""))))</f>
        <v/>
      </c>
      <c r="L75" s="48" t="str">
        <f>IF($B75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70))</f>
        <v/>
      </c>
    </row>
    <row r="76" spans="1:12" ht="15" customHeight="1">
      <c r="A76" s="37" t="str">
        <f>IF(71&lt;=COUNTA(半紙!$B$11:$B$310),"半紙",IF(71&lt;=COUNTA(半紙!$B$11:$B$310)+COUNTA(条幅!$B$11:$B$310),"条幅(半切)",IF(71&lt;=COUNTA(半紙!$B$11:$B$310)+COUNTA(条幅!$B$11:$B$310)+COUNTA(条幅4分の1!$B$11:$B$310),"条幅(1/4)","")))</f>
        <v/>
      </c>
      <c r="B76" s="38" t="str">
        <f>IF(IF(71&lt;=COUNTA(半紙!$B$11:$B$310),INDEX(半紙!$B$11:$B$310,71),IF(71&lt;=COUNTA(半紙!$B$11:$B$310)+COUNTA(条幅!$B$11:$B$310),INDEX(条幅!$B$11:$B$310,71-COUNTA(半紙!$B$11:$B$310)),IF(71&lt;=COUNTA(半紙!$B$11:$B$310)+COUNTA(条幅!$B$11:$B$310)+COUNTA(条幅4分の1!$B$11:$B$310),INDEX(条幅4分の1!$B$11:$B$310,71-COUNTA(半紙!$B$11:$B$310)-COUNTA(条幅!$B$11:$B$310)),"")))=0,"",IF(71&lt;=COUNTA(半紙!$B$11:$B$310),INDEX(半紙!$B$11:$B$310,71),IF(71&lt;=COUNTA(半紙!$B$11:$B$310)+COUNTA(条幅!$B$11:$B$310),INDEX(条幅!$B$11:$B$310,71-COUNTA(半紙!$B$11:$B$310)),IF(71&lt;=COUNTA(半紙!$B$11:$B$310)+COUNTA(条幅!$B$11:$B$310)+COUNTA(条幅4分の1!$B$11:$B$310),INDEX(条幅4分の1!$B$11:$B$310,71-COUNTA(半紙!$B$11:$B$310)-COUNTA(条幅!$B$11:$B$310)),""))))</f>
        <v/>
      </c>
      <c r="C76" s="38" t="str">
        <f>IF(IF(71&lt;=COUNTA(半紙!$B$11:$B$310),INDEX(半紙!$C$11:$C$310,71),IF(71&lt;=COUNTA(半紙!$B$11:$B$310)+COUNTA(条幅!$B$11:$B$310),INDEX(条幅!$C$11:$C$310,71-COUNTA(半紙!$B$11:$B$310)),IF(71&lt;=COUNTA(半紙!$B$11:$B$310)+COUNTA(条幅!$B$11:$B$310)+COUNTA(条幅4分の1!$B$11:$B$310),INDEX(条幅4分の1!$C$11:$C$310,71-COUNTA(半紙!$B$11:$B$310)-COUNTA(条幅!$B$11:$B$310)),"")))=0,"",IF(71&lt;=COUNTA(半紙!$B$11:$B$310),INDEX(半紙!$C$11:$C$310,71),IF(71&lt;=COUNTA(半紙!$B$11:$B$310)+COUNTA(条幅!$B$11:$B$310),INDEX(条幅!$C$11:$C$310,71-COUNTA(半紙!$B$11:$B$310)),IF(71&lt;=COUNTA(半紙!$B$11:$B$310)+COUNTA(条幅!$B$11:$B$310)+COUNTA(条幅4分の1!$B$11:$B$310),INDEX(条幅4分の1!$C$11:$C$310,71-COUNTA(半紙!$B$11:$B$310)-COUNTA(条幅!$B$11:$B$310)),""))))</f>
        <v/>
      </c>
      <c r="D76" s="38" t="str">
        <f>IF(IF(71&lt;=COUNTA(半紙!$B$11:$B$310),INDEX(半紙!$D$11:$D$310,71),IF(71&lt;=COUNTA(半紙!$B$11:$B$310)+COUNTA(条幅!$B$11:$B$310),INDEX(条幅!$D$11:$D$310,71-COUNTA(半紙!$B$11:$B$310)),IF(71&lt;=COUNTA(半紙!$B$11:$B$310)+COUNTA(条幅!$B$11:$B$310)+COUNTA(条幅4分の1!$B$11:$B$310),INDEX(条幅4分の1!$D$11:$D$310,71-COUNTA(半紙!$B$11:$B$310)-COUNTA(条幅!$B$11:$B$310)),"")))=0,"",IF(71&lt;=COUNTA(半紙!$B$11:$B$310),INDEX(半紙!$D$11:$D$310,71),IF(71&lt;=COUNTA(半紙!$B$11:$B$310)+COUNTA(条幅!$B$11:$B$310),INDEX(条幅!$D$11:$D$310,71-COUNTA(半紙!$B$11:$B$310)),IF(71&lt;=COUNTA(半紙!$B$11:$B$310)+COUNTA(条幅!$B$11:$B$310)+COUNTA(条幅4分の1!$B$11:$B$310),INDEX(条幅4分の1!$D$11:$D$310,71-COUNTA(半紙!$B$11:$B$310)-COUNTA(条幅!$B$11:$B$310)),""))))</f>
        <v/>
      </c>
      <c r="E76" s="38" t="str">
        <f>IF(IF(71&lt;=COUNTA(半紙!$B$11:$B$310),INDEX(半紙!$E$11:$E$310,71),IF(71&lt;=COUNTA(半紙!$B$11:$B$310)+COUNTA(条幅!$B$11:$B$310),INDEX(条幅!$E$11:$E$310,71-COUNTA(半紙!$B$11:$B$310)),IF(71&lt;=COUNTA(半紙!$B$11:$B$310)+COUNTA(条幅!$B$11:$B$310)+COUNTA(条幅4分の1!$B$11:$B$310),INDEX(条幅4分の1!$E$11:$E$310,71-COUNTA(半紙!$B$11:$B$310)-COUNTA(条幅!$B$11:$B$310)),"")))=0,"",IF(71&lt;=COUNTA(半紙!$B$11:$B$310),INDEX(半紙!$E$11:$E$310,71),IF(71&lt;=COUNTA(半紙!$B$11:$B$310)+COUNTA(条幅!$B$11:$B$310),INDEX(条幅!$E$11:$E$310,71-COUNTA(半紙!$B$11:$B$310)),IF(71&lt;=COUNTA(半紙!$B$11:$B$310)+COUNTA(条幅!$B$11:$B$310)+COUNTA(条幅4分の1!$B$11:$B$310),INDEX(条幅4分の1!$E$11:$E$310,71-COUNTA(半紙!$B$11:$B$310)-COUNTA(条幅!$B$11:$B$310)),""))))</f>
        <v/>
      </c>
      <c r="F76" s="38" t="str">
        <f>IF(IF(71&lt;=COUNTA(半紙!$B$11:$B$310),INDEX(半紙!$F$11:$F$310,71),IF(71&lt;=COUNTA(半紙!$B$11:$B$310)+COUNTA(条幅!$B$11:$B$310),INDEX(条幅!$F$11:$F$310,71-COUNTA(半紙!$B$11:$B$310)),IF(71&lt;=COUNTA(半紙!$B$11:$B$310)+COUNTA(条幅!$B$11:$B$310)+COUNTA(条幅4分の1!$B$11:$B$310),INDEX(条幅4分の1!$F$11:$F$310,71-COUNTA(半紙!$B$11:$B$310)-COUNTA(条幅!$B$11:$B$310)),"")))=0,"",IF(71&lt;=COUNTA(半紙!$B$11:$B$310),INDEX(半紙!$F$11:$F$310,71),IF(71&lt;=COUNTA(半紙!$B$11:$B$310)+COUNTA(条幅!$B$11:$B$310),INDEX(条幅!$F$11:$F$310,71-COUNTA(半紙!$B$11:$B$310)),IF(71&lt;=COUNTA(半紙!$B$11:$B$310)+COUNTA(条幅!$B$11:$B$310)+COUNTA(条幅4分の1!$B$11:$B$310),INDEX(条幅4分の1!$F$11:$F$310,71-COUNTA(半紙!$B$11:$B$310)-COUNTA(条幅!$B$11:$B$310)),""))))</f>
        <v/>
      </c>
      <c r="G76" s="38" t="str">
        <f>IF(IF(71&lt;=COUNTA(半紙!$B$11:$B$310),INDEX(半紙!$G$11:$G$310,71),IF(71&lt;=COUNTA(半紙!$B$11:$B$310)+COUNTA(条幅!$B$11:$B$310),INDEX(条幅!$G$11:$G$310,71-COUNTA(半紙!$B$11:$B$310)),IF(71&lt;=COUNTA(半紙!$B$11:$B$310)+COUNTA(条幅!$B$11:$B$310)+COUNTA(条幅4分の1!$B$11:$B$310),INDEX(条幅4分の1!$G$11:$G$310,71-COUNTA(半紙!$B$11:$B$310)-COUNTA(条幅!$B$11:$B$310)),"")))=0,"",IF(71&lt;=COUNTA(半紙!$B$11:$B$310),INDEX(半紙!$G$11:$G$310,71),IF(71&lt;=COUNTA(半紙!$B$11:$B$310)+COUNTA(条幅!$B$11:$B$310),INDEX(条幅!$G$11:$G$310,71-COUNTA(半紙!$B$11:$B$310)),IF(71&lt;=COUNTA(半紙!$B$11:$B$310)+COUNTA(条幅!$B$11:$B$310)+COUNTA(条幅4分の1!$B$11:$B$310),INDEX(条幅4分の1!$G$11:$G$310,71-COUNTA(半紙!$B$11:$B$310)-COUNTA(条幅!$B$11:$B$310)),""))))</f>
        <v/>
      </c>
      <c r="H76" s="38" t="str">
        <f>IF(IF(71&lt;=COUNTA(半紙!$B$11:$B$310),INDEX(半紙!$H$11:$H$310,71),IF(71&lt;=COUNTA(半紙!$B$11:$B$310)+COUNTA(条幅!$B$11:$B$310),INDEX(条幅!$H$11:$H$310,71-COUNTA(半紙!$B$11:$B$310)),IF(71&lt;=COUNTA(半紙!$B$11:$B$310)+COUNTA(条幅!$B$11:$B$310)+COUNTA(条幅4分の1!$B$11:$B$310),INDEX(条幅4分の1!$H$11:$H$310,71-COUNTA(半紙!$B$11:$B$310)-COUNTA(条幅!$B$11:$B$310)),"")))=0,"",IF(71&lt;=COUNTA(半紙!$B$11:$B$310),INDEX(半紙!$H$11:$H$310,71),IF(71&lt;=COUNTA(半紙!$B$11:$B$310)+COUNTA(条幅!$B$11:$B$310),INDEX(条幅!$H$11:$H$310,71-COUNTA(半紙!$B$11:$B$310)),IF(71&lt;=COUNTA(半紙!$B$11:$B$310)+COUNTA(条幅!$B$11:$B$310)+COUNTA(条幅4分の1!$B$11:$B$310),INDEX(条幅4分の1!$H$11:$H$310,71-COUNTA(半紙!$B$11:$B$310)-COUNTA(条幅!$B$11:$B$310)),""))))</f>
        <v/>
      </c>
      <c r="I76" s="38" t="str">
        <f>IF(IF(71&lt;=COUNTA(半紙!$B$11:$B$310),INDEX(半紙!$I$11:$I$310,71),IF(71&lt;=COUNTA(半紙!$B$11:$B$310)+COUNTA(条幅!$B$11:$B$310),INDEX(条幅!$I$11:$I$310,71-COUNTA(半紙!$B$11:$B$310)),IF(71&lt;=COUNTA(半紙!$B$11:$B$310)+COUNTA(条幅!$B$11:$B$310)+COUNTA(条幅4分の1!$B$11:$B$310),INDEX(条幅4分の1!$I$11:$I$310,71-COUNTA(半紙!$B$11:$B$310)-COUNTA(条幅!$B$11:$B$310)),"")))=0,"",IF(71&lt;=COUNTA(半紙!$B$11:$B$310),INDEX(半紙!$I$11:$I$310,71),IF(71&lt;=COUNTA(半紙!$B$11:$B$310)+COUNTA(条幅!$B$11:$B$310),INDEX(条幅!$I$11:$I$310,71-COUNTA(半紙!$B$11:$B$310)),IF(71&lt;=COUNTA(半紙!$B$11:$B$310)+COUNTA(条幅!$B$11:$B$310)+COUNTA(条幅4分の1!$B$11:$B$310),INDEX(条幅4分の1!$I$11:$I$310,71-COUNTA(半紙!$B$11:$B$310)-COUNTA(条幅!$B$11:$B$310)),""))))</f>
        <v/>
      </c>
      <c r="J76" s="38" t="str">
        <f>IF(IF(71&lt;=COUNTA(半紙!$B$11:$B$310),INDEX(半紙!$J$11:$J$310,71),IF(71&lt;=COUNTA(半紙!$B$11:$B$310)+COUNTA(条幅!$B$11:$B$310),INDEX(条幅!$J$11:$J$310,71-COUNTA(半紙!$B$11:$B$310)),IF(71&lt;=COUNTA(半紙!$B$11:$B$310)+COUNTA(条幅!$B$11:$B$310)+COUNTA(条幅4分の1!$B$11:$B$310),INDEX(条幅4分の1!$J$11:$J$310,71-COUNTA(半紙!$B$11:$B$310)-COUNTA(条幅!$B$11:$B$310)),"")))=0,"",IF(71&lt;=COUNTA(半紙!$B$11:$B$310),INDEX(半紙!$J$11:$J$310,71),IF(71&lt;=COUNTA(半紙!$B$11:$B$310)+COUNTA(条幅!$B$11:$B$310),INDEX(条幅!$J$11:$J$310,71-COUNTA(半紙!$B$11:$B$310)),IF(71&lt;=COUNTA(半紙!$B$11:$B$310)+COUNTA(条幅!$B$11:$B$310)+COUNTA(条幅4分の1!$B$11:$B$310),INDEX(条幅4分の1!$J$11:$J$310,71-COUNTA(半紙!$B$11:$B$310)-COUNTA(条幅!$B$11:$B$310)),""))))</f>
        <v/>
      </c>
      <c r="K76" s="38" t="str">
        <f>IF(IF(71&lt;=COUNTA(半紙!$B$11:$B$310),INDEX(半紙!$K$11:$K$310,71),IF(71&lt;=COUNTA(半紙!$B$11:$B$310)+COUNTA(条幅!$B$11:$B$310),INDEX(条幅!$K$11:$K$310,71-COUNTA(半紙!$B$11:$B$310)),IF(71&lt;=COUNTA(半紙!$B$11:$B$310)+COUNTA(条幅!$B$11:$B$310)+COUNTA(条幅4分の1!$B$11:$B$310),INDEX(条幅4分の1!$K$11:$K$310,71-COUNTA(半紙!$B$11:$B$310)-COUNTA(条幅!$B$11:$B$310)),"")))=0,"",IF(71&lt;=COUNTA(半紙!$B$11:$B$310),INDEX(半紙!$K$11:$K$310,71),IF(71&lt;=COUNTA(半紙!$B$11:$B$310)+COUNTA(条幅!$B$11:$B$310),INDEX(条幅!$K$11:$K$310,71-COUNTA(半紙!$B$11:$B$310)),IF(71&lt;=COUNTA(半紙!$B$11:$B$310)+COUNTA(条幅!$B$11:$B$310)+COUNTA(条幅4分の1!$B$11:$B$310),INDEX(条幅4分の1!$K$11:$K$310,71-COUNTA(半紙!$B$11:$B$310)-COUNTA(条幅!$B$11:$B$310)),""))))</f>
        <v/>
      </c>
      <c r="L76" s="48" t="str">
        <f>IF($B76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71))</f>
        <v/>
      </c>
    </row>
    <row r="77" spans="1:12" ht="15" customHeight="1">
      <c r="A77" s="37" t="str">
        <f>IF(72&lt;=COUNTA(半紙!$B$11:$B$310),"半紙",IF(72&lt;=COUNTA(半紙!$B$11:$B$310)+COUNTA(条幅!$B$11:$B$310),"条幅(半切)",IF(72&lt;=COUNTA(半紙!$B$11:$B$310)+COUNTA(条幅!$B$11:$B$310)+COUNTA(条幅4分の1!$B$11:$B$310),"条幅(1/4)","")))</f>
        <v/>
      </c>
      <c r="B77" s="38" t="str">
        <f>IF(IF(72&lt;=COUNTA(半紙!$B$11:$B$310),INDEX(半紙!$B$11:$B$310,72),IF(72&lt;=COUNTA(半紙!$B$11:$B$310)+COUNTA(条幅!$B$11:$B$310),INDEX(条幅!$B$11:$B$310,72-COUNTA(半紙!$B$11:$B$310)),IF(72&lt;=COUNTA(半紙!$B$11:$B$310)+COUNTA(条幅!$B$11:$B$310)+COUNTA(条幅4分の1!$B$11:$B$310),INDEX(条幅4分の1!$B$11:$B$310,72-COUNTA(半紙!$B$11:$B$310)-COUNTA(条幅!$B$11:$B$310)),"")))=0,"",IF(72&lt;=COUNTA(半紙!$B$11:$B$310),INDEX(半紙!$B$11:$B$310,72),IF(72&lt;=COUNTA(半紙!$B$11:$B$310)+COUNTA(条幅!$B$11:$B$310),INDEX(条幅!$B$11:$B$310,72-COUNTA(半紙!$B$11:$B$310)),IF(72&lt;=COUNTA(半紙!$B$11:$B$310)+COUNTA(条幅!$B$11:$B$310)+COUNTA(条幅4分の1!$B$11:$B$310),INDEX(条幅4分の1!$B$11:$B$310,72-COUNTA(半紙!$B$11:$B$310)-COUNTA(条幅!$B$11:$B$310)),""))))</f>
        <v/>
      </c>
      <c r="C77" s="38" t="str">
        <f>IF(IF(72&lt;=COUNTA(半紙!$B$11:$B$310),INDEX(半紙!$C$11:$C$310,72),IF(72&lt;=COUNTA(半紙!$B$11:$B$310)+COUNTA(条幅!$B$11:$B$310),INDEX(条幅!$C$11:$C$310,72-COUNTA(半紙!$B$11:$B$310)),IF(72&lt;=COUNTA(半紙!$B$11:$B$310)+COUNTA(条幅!$B$11:$B$310)+COUNTA(条幅4分の1!$B$11:$B$310),INDEX(条幅4分の1!$C$11:$C$310,72-COUNTA(半紙!$B$11:$B$310)-COUNTA(条幅!$B$11:$B$310)),"")))=0,"",IF(72&lt;=COUNTA(半紙!$B$11:$B$310),INDEX(半紙!$C$11:$C$310,72),IF(72&lt;=COUNTA(半紙!$B$11:$B$310)+COUNTA(条幅!$B$11:$B$310),INDEX(条幅!$C$11:$C$310,72-COUNTA(半紙!$B$11:$B$310)),IF(72&lt;=COUNTA(半紙!$B$11:$B$310)+COUNTA(条幅!$B$11:$B$310)+COUNTA(条幅4分の1!$B$11:$B$310),INDEX(条幅4分の1!$C$11:$C$310,72-COUNTA(半紙!$B$11:$B$310)-COUNTA(条幅!$B$11:$B$310)),""))))</f>
        <v/>
      </c>
      <c r="D77" s="38" t="str">
        <f>IF(IF(72&lt;=COUNTA(半紙!$B$11:$B$310),INDEX(半紙!$D$11:$D$310,72),IF(72&lt;=COUNTA(半紙!$B$11:$B$310)+COUNTA(条幅!$B$11:$B$310),INDEX(条幅!$D$11:$D$310,72-COUNTA(半紙!$B$11:$B$310)),IF(72&lt;=COUNTA(半紙!$B$11:$B$310)+COUNTA(条幅!$B$11:$B$310)+COUNTA(条幅4分の1!$B$11:$B$310),INDEX(条幅4分の1!$D$11:$D$310,72-COUNTA(半紙!$B$11:$B$310)-COUNTA(条幅!$B$11:$B$310)),"")))=0,"",IF(72&lt;=COUNTA(半紙!$B$11:$B$310),INDEX(半紙!$D$11:$D$310,72),IF(72&lt;=COUNTA(半紙!$B$11:$B$310)+COUNTA(条幅!$B$11:$B$310),INDEX(条幅!$D$11:$D$310,72-COUNTA(半紙!$B$11:$B$310)),IF(72&lt;=COUNTA(半紙!$B$11:$B$310)+COUNTA(条幅!$B$11:$B$310)+COUNTA(条幅4分の1!$B$11:$B$310),INDEX(条幅4分の1!$D$11:$D$310,72-COUNTA(半紙!$B$11:$B$310)-COUNTA(条幅!$B$11:$B$310)),""))))</f>
        <v/>
      </c>
      <c r="E77" s="38" t="str">
        <f>IF(IF(72&lt;=COUNTA(半紙!$B$11:$B$310),INDEX(半紙!$E$11:$E$310,72),IF(72&lt;=COUNTA(半紙!$B$11:$B$310)+COUNTA(条幅!$B$11:$B$310),INDEX(条幅!$E$11:$E$310,72-COUNTA(半紙!$B$11:$B$310)),IF(72&lt;=COUNTA(半紙!$B$11:$B$310)+COUNTA(条幅!$B$11:$B$310)+COUNTA(条幅4分の1!$B$11:$B$310),INDEX(条幅4分の1!$E$11:$E$310,72-COUNTA(半紙!$B$11:$B$310)-COUNTA(条幅!$B$11:$B$310)),"")))=0,"",IF(72&lt;=COUNTA(半紙!$B$11:$B$310),INDEX(半紙!$E$11:$E$310,72),IF(72&lt;=COUNTA(半紙!$B$11:$B$310)+COUNTA(条幅!$B$11:$B$310),INDEX(条幅!$E$11:$E$310,72-COUNTA(半紙!$B$11:$B$310)),IF(72&lt;=COUNTA(半紙!$B$11:$B$310)+COUNTA(条幅!$B$11:$B$310)+COUNTA(条幅4分の1!$B$11:$B$310),INDEX(条幅4分の1!$E$11:$E$310,72-COUNTA(半紙!$B$11:$B$310)-COUNTA(条幅!$B$11:$B$310)),""))))</f>
        <v/>
      </c>
      <c r="F77" s="38" t="str">
        <f>IF(IF(72&lt;=COUNTA(半紙!$B$11:$B$310),INDEX(半紙!$F$11:$F$310,72),IF(72&lt;=COUNTA(半紙!$B$11:$B$310)+COUNTA(条幅!$B$11:$B$310),INDEX(条幅!$F$11:$F$310,72-COUNTA(半紙!$B$11:$B$310)),IF(72&lt;=COUNTA(半紙!$B$11:$B$310)+COUNTA(条幅!$B$11:$B$310)+COUNTA(条幅4分の1!$B$11:$B$310),INDEX(条幅4分の1!$F$11:$F$310,72-COUNTA(半紙!$B$11:$B$310)-COUNTA(条幅!$B$11:$B$310)),"")))=0,"",IF(72&lt;=COUNTA(半紙!$B$11:$B$310),INDEX(半紙!$F$11:$F$310,72),IF(72&lt;=COUNTA(半紙!$B$11:$B$310)+COUNTA(条幅!$B$11:$B$310),INDEX(条幅!$F$11:$F$310,72-COUNTA(半紙!$B$11:$B$310)),IF(72&lt;=COUNTA(半紙!$B$11:$B$310)+COUNTA(条幅!$B$11:$B$310)+COUNTA(条幅4分の1!$B$11:$B$310),INDEX(条幅4分の1!$F$11:$F$310,72-COUNTA(半紙!$B$11:$B$310)-COUNTA(条幅!$B$11:$B$310)),""))))</f>
        <v/>
      </c>
      <c r="G77" s="38" t="str">
        <f>IF(IF(72&lt;=COUNTA(半紙!$B$11:$B$310),INDEX(半紙!$G$11:$G$310,72),IF(72&lt;=COUNTA(半紙!$B$11:$B$310)+COUNTA(条幅!$B$11:$B$310),INDEX(条幅!$G$11:$G$310,72-COUNTA(半紙!$B$11:$B$310)),IF(72&lt;=COUNTA(半紙!$B$11:$B$310)+COUNTA(条幅!$B$11:$B$310)+COUNTA(条幅4分の1!$B$11:$B$310),INDEX(条幅4分の1!$G$11:$G$310,72-COUNTA(半紙!$B$11:$B$310)-COUNTA(条幅!$B$11:$B$310)),"")))=0,"",IF(72&lt;=COUNTA(半紙!$B$11:$B$310),INDEX(半紙!$G$11:$G$310,72),IF(72&lt;=COUNTA(半紙!$B$11:$B$310)+COUNTA(条幅!$B$11:$B$310),INDEX(条幅!$G$11:$G$310,72-COUNTA(半紙!$B$11:$B$310)),IF(72&lt;=COUNTA(半紙!$B$11:$B$310)+COUNTA(条幅!$B$11:$B$310)+COUNTA(条幅4分の1!$B$11:$B$310),INDEX(条幅4分の1!$G$11:$G$310,72-COUNTA(半紙!$B$11:$B$310)-COUNTA(条幅!$B$11:$B$310)),""))))</f>
        <v/>
      </c>
      <c r="H77" s="38" t="str">
        <f>IF(IF(72&lt;=COUNTA(半紙!$B$11:$B$310),INDEX(半紙!$H$11:$H$310,72),IF(72&lt;=COUNTA(半紙!$B$11:$B$310)+COUNTA(条幅!$B$11:$B$310),INDEX(条幅!$H$11:$H$310,72-COUNTA(半紙!$B$11:$B$310)),IF(72&lt;=COUNTA(半紙!$B$11:$B$310)+COUNTA(条幅!$B$11:$B$310)+COUNTA(条幅4分の1!$B$11:$B$310),INDEX(条幅4分の1!$H$11:$H$310,72-COUNTA(半紙!$B$11:$B$310)-COUNTA(条幅!$B$11:$B$310)),"")))=0,"",IF(72&lt;=COUNTA(半紙!$B$11:$B$310),INDEX(半紙!$H$11:$H$310,72),IF(72&lt;=COUNTA(半紙!$B$11:$B$310)+COUNTA(条幅!$B$11:$B$310),INDEX(条幅!$H$11:$H$310,72-COUNTA(半紙!$B$11:$B$310)),IF(72&lt;=COUNTA(半紙!$B$11:$B$310)+COUNTA(条幅!$B$11:$B$310)+COUNTA(条幅4分の1!$B$11:$B$310),INDEX(条幅4分の1!$H$11:$H$310,72-COUNTA(半紙!$B$11:$B$310)-COUNTA(条幅!$B$11:$B$310)),""))))</f>
        <v/>
      </c>
      <c r="I77" s="38" t="str">
        <f>IF(IF(72&lt;=COUNTA(半紙!$B$11:$B$310),INDEX(半紙!$I$11:$I$310,72),IF(72&lt;=COUNTA(半紙!$B$11:$B$310)+COUNTA(条幅!$B$11:$B$310),INDEX(条幅!$I$11:$I$310,72-COUNTA(半紙!$B$11:$B$310)),IF(72&lt;=COUNTA(半紙!$B$11:$B$310)+COUNTA(条幅!$B$11:$B$310)+COUNTA(条幅4分の1!$B$11:$B$310),INDEX(条幅4分の1!$I$11:$I$310,72-COUNTA(半紙!$B$11:$B$310)-COUNTA(条幅!$B$11:$B$310)),"")))=0,"",IF(72&lt;=COUNTA(半紙!$B$11:$B$310),INDEX(半紙!$I$11:$I$310,72),IF(72&lt;=COUNTA(半紙!$B$11:$B$310)+COUNTA(条幅!$B$11:$B$310),INDEX(条幅!$I$11:$I$310,72-COUNTA(半紙!$B$11:$B$310)),IF(72&lt;=COUNTA(半紙!$B$11:$B$310)+COUNTA(条幅!$B$11:$B$310)+COUNTA(条幅4分の1!$B$11:$B$310),INDEX(条幅4分の1!$I$11:$I$310,72-COUNTA(半紙!$B$11:$B$310)-COUNTA(条幅!$B$11:$B$310)),""))))</f>
        <v/>
      </c>
      <c r="J77" s="38" t="str">
        <f>IF(IF(72&lt;=COUNTA(半紙!$B$11:$B$310),INDEX(半紙!$J$11:$J$310,72),IF(72&lt;=COUNTA(半紙!$B$11:$B$310)+COUNTA(条幅!$B$11:$B$310),INDEX(条幅!$J$11:$J$310,72-COUNTA(半紙!$B$11:$B$310)),IF(72&lt;=COUNTA(半紙!$B$11:$B$310)+COUNTA(条幅!$B$11:$B$310)+COUNTA(条幅4分の1!$B$11:$B$310),INDEX(条幅4分の1!$J$11:$J$310,72-COUNTA(半紙!$B$11:$B$310)-COUNTA(条幅!$B$11:$B$310)),"")))=0,"",IF(72&lt;=COUNTA(半紙!$B$11:$B$310),INDEX(半紙!$J$11:$J$310,72),IF(72&lt;=COUNTA(半紙!$B$11:$B$310)+COUNTA(条幅!$B$11:$B$310),INDEX(条幅!$J$11:$J$310,72-COUNTA(半紙!$B$11:$B$310)),IF(72&lt;=COUNTA(半紙!$B$11:$B$310)+COUNTA(条幅!$B$11:$B$310)+COUNTA(条幅4分の1!$B$11:$B$310),INDEX(条幅4分の1!$J$11:$J$310,72-COUNTA(半紙!$B$11:$B$310)-COUNTA(条幅!$B$11:$B$310)),""))))</f>
        <v/>
      </c>
      <c r="K77" s="38" t="str">
        <f>IF(IF(72&lt;=COUNTA(半紙!$B$11:$B$310),INDEX(半紙!$K$11:$K$310,72),IF(72&lt;=COUNTA(半紙!$B$11:$B$310)+COUNTA(条幅!$B$11:$B$310),INDEX(条幅!$K$11:$K$310,72-COUNTA(半紙!$B$11:$B$310)),IF(72&lt;=COUNTA(半紙!$B$11:$B$310)+COUNTA(条幅!$B$11:$B$310)+COUNTA(条幅4分の1!$B$11:$B$310),INDEX(条幅4分の1!$K$11:$K$310,72-COUNTA(半紙!$B$11:$B$310)-COUNTA(条幅!$B$11:$B$310)),"")))=0,"",IF(72&lt;=COUNTA(半紙!$B$11:$B$310),INDEX(半紙!$K$11:$K$310,72),IF(72&lt;=COUNTA(半紙!$B$11:$B$310)+COUNTA(条幅!$B$11:$B$310),INDEX(条幅!$K$11:$K$310,72-COUNTA(半紙!$B$11:$B$310)),IF(72&lt;=COUNTA(半紙!$B$11:$B$310)+COUNTA(条幅!$B$11:$B$310)+COUNTA(条幅4分の1!$B$11:$B$310),INDEX(条幅4分の1!$K$11:$K$310,72-COUNTA(半紙!$B$11:$B$310)-COUNTA(条幅!$B$11:$B$310)),""))))</f>
        <v/>
      </c>
      <c r="L77" s="48" t="str">
        <f>IF($B77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72))</f>
        <v/>
      </c>
    </row>
    <row r="78" spans="1:12" ht="15" customHeight="1">
      <c r="A78" s="37" t="str">
        <f>IF(73&lt;=COUNTA(半紙!$B$11:$B$310),"半紙",IF(73&lt;=COUNTA(半紙!$B$11:$B$310)+COUNTA(条幅!$B$11:$B$310),"条幅(半切)",IF(73&lt;=COUNTA(半紙!$B$11:$B$310)+COUNTA(条幅!$B$11:$B$310)+COUNTA(条幅4分の1!$B$11:$B$310),"条幅(1/4)","")))</f>
        <v/>
      </c>
      <c r="B78" s="38" t="str">
        <f>IF(IF(73&lt;=COUNTA(半紙!$B$11:$B$310),INDEX(半紙!$B$11:$B$310,73),IF(73&lt;=COUNTA(半紙!$B$11:$B$310)+COUNTA(条幅!$B$11:$B$310),INDEX(条幅!$B$11:$B$310,73-COUNTA(半紙!$B$11:$B$310)),IF(73&lt;=COUNTA(半紙!$B$11:$B$310)+COUNTA(条幅!$B$11:$B$310)+COUNTA(条幅4分の1!$B$11:$B$310),INDEX(条幅4分の1!$B$11:$B$310,73-COUNTA(半紙!$B$11:$B$310)-COUNTA(条幅!$B$11:$B$310)),"")))=0,"",IF(73&lt;=COUNTA(半紙!$B$11:$B$310),INDEX(半紙!$B$11:$B$310,73),IF(73&lt;=COUNTA(半紙!$B$11:$B$310)+COUNTA(条幅!$B$11:$B$310),INDEX(条幅!$B$11:$B$310,73-COUNTA(半紙!$B$11:$B$310)),IF(73&lt;=COUNTA(半紙!$B$11:$B$310)+COUNTA(条幅!$B$11:$B$310)+COUNTA(条幅4分の1!$B$11:$B$310),INDEX(条幅4分の1!$B$11:$B$310,73-COUNTA(半紙!$B$11:$B$310)-COUNTA(条幅!$B$11:$B$310)),""))))</f>
        <v/>
      </c>
      <c r="C78" s="38" t="str">
        <f>IF(IF(73&lt;=COUNTA(半紙!$B$11:$B$310),INDEX(半紙!$C$11:$C$310,73),IF(73&lt;=COUNTA(半紙!$B$11:$B$310)+COUNTA(条幅!$B$11:$B$310),INDEX(条幅!$C$11:$C$310,73-COUNTA(半紙!$B$11:$B$310)),IF(73&lt;=COUNTA(半紙!$B$11:$B$310)+COUNTA(条幅!$B$11:$B$310)+COUNTA(条幅4分の1!$B$11:$B$310),INDEX(条幅4分の1!$C$11:$C$310,73-COUNTA(半紙!$B$11:$B$310)-COUNTA(条幅!$B$11:$B$310)),"")))=0,"",IF(73&lt;=COUNTA(半紙!$B$11:$B$310),INDEX(半紙!$C$11:$C$310,73),IF(73&lt;=COUNTA(半紙!$B$11:$B$310)+COUNTA(条幅!$B$11:$B$310),INDEX(条幅!$C$11:$C$310,73-COUNTA(半紙!$B$11:$B$310)),IF(73&lt;=COUNTA(半紙!$B$11:$B$310)+COUNTA(条幅!$B$11:$B$310)+COUNTA(条幅4分の1!$B$11:$B$310),INDEX(条幅4分の1!$C$11:$C$310,73-COUNTA(半紙!$B$11:$B$310)-COUNTA(条幅!$B$11:$B$310)),""))))</f>
        <v/>
      </c>
      <c r="D78" s="38" t="str">
        <f>IF(IF(73&lt;=COUNTA(半紙!$B$11:$B$310),INDEX(半紙!$D$11:$D$310,73),IF(73&lt;=COUNTA(半紙!$B$11:$B$310)+COUNTA(条幅!$B$11:$B$310),INDEX(条幅!$D$11:$D$310,73-COUNTA(半紙!$B$11:$B$310)),IF(73&lt;=COUNTA(半紙!$B$11:$B$310)+COUNTA(条幅!$B$11:$B$310)+COUNTA(条幅4分の1!$B$11:$B$310),INDEX(条幅4分の1!$D$11:$D$310,73-COUNTA(半紙!$B$11:$B$310)-COUNTA(条幅!$B$11:$B$310)),"")))=0,"",IF(73&lt;=COUNTA(半紙!$B$11:$B$310),INDEX(半紙!$D$11:$D$310,73),IF(73&lt;=COUNTA(半紙!$B$11:$B$310)+COUNTA(条幅!$B$11:$B$310),INDEX(条幅!$D$11:$D$310,73-COUNTA(半紙!$B$11:$B$310)),IF(73&lt;=COUNTA(半紙!$B$11:$B$310)+COUNTA(条幅!$B$11:$B$310)+COUNTA(条幅4分の1!$B$11:$B$310),INDEX(条幅4分の1!$D$11:$D$310,73-COUNTA(半紙!$B$11:$B$310)-COUNTA(条幅!$B$11:$B$310)),""))))</f>
        <v/>
      </c>
      <c r="E78" s="38" t="str">
        <f>IF(IF(73&lt;=COUNTA(半紙!$B$11:$B$310),INDEX(半紙!$E$11:$E$310,73),IF(73&lt;=COUNTA(半紙!$B$11:$B$310)+COUNTA(条幅!$B$11:$B$310),INDEX(条幅!$E$11:$E$310,73-COUNTA(半紙!$B$11:$B$310)),IF(73&lt;=COUNTA(半紙!$B$11:$B$310)+COUNTA(条幅!$B$11:$B$310)+COUNTA(条幅4分の1!$B$11:$B$310),INDEX(条幅4分の1!$E$11:$E$310,73-COUNTA(半紙!$B$11:$B$310)-COUNTA(条幅!$B$11:$B$310)),"")))=0,"",IF(73&lt;=COUNTA(半紙!$B$11:$B$310),INDEX(半紙!$E$11:$E$310,73),IF(73&lt;=COUNTA(半紙!$B$11:$B$310)+COUNTA(条幅!$B$11:$B$310),INDEX(条幅!$E$11:$E$310,73-COUNTA(半紙!$B$11:$B$310)),IF(73&lt;=COUNTA(半紙!$B$11:$B$310)+COUNTA(条幅!$B$11:$B$310)+COUNTA(条幅4分の1!$B$11:$B$310),INDEX(条幅4分の1!$E$11:$E$310,73-COUNTA(半紙!$B$11:$B$310)-COUNTA(条幅!$B$11:$B$310)),""))))</f>
        <v/>
      </c>
      <c r="F78" s="38" t="str">
        <f>IF(IF(73&lt;=COUNTA(半紙!$B$11:$B$310),INDEX(半紙!$F$11:$F$310,73),IF(73&lt;=COUNTA(半紙!$B$11:$B$310)+COUNTA(条幅!$B$11:$B$310),INDEX(条幅!$F$11:$F$310,73-COUNTA(半紙!$B$11:$B$310)),IF(73&lt;=COUNTA(半紙!$B$11:$B$310)+COUNTA(条幅!$B$11:$B$310)+COUNTA(条幅4分の1!$B$11:$B$310),INDEX(条幅4分の1!$F$11:$F$310,73-COUNTA(半紙!$B$11:$B$310)-COUNTA(条幅!$B$11:$B$310)),"")))=0,"",IF(73&lt;=COUNTA(半紙!$B$11:$B$310),INDEX(半紙!$F$11:$F$310,73),IF(73&lt;=COUNTA(半紙!$B$11:$B$310)+COUNTA(条幅!$B$11:$B$310),INDEX(条幅!$F$11:$F$310,73-COUNTA(半紙!$B$11:$B$310)),IF(73&lt;=COUNTA(半紙!$B$11:$B$310)+COUNTA(条幅!$B$11:$B$310)+COUNTA(条幅4分の1!$B$11:$B$310),INDEX(条幅4分の1!$F$11:$F$310,73-COUNTA(半紙!$B$11:$B$310)-COUNTA(条幅!$B$11:$B$310)),""))))</f>
        <v/>
      </c>
      <c r="G78" s="38" t="str">
        <f>IF(IF(73&lt;=COUNTA(半紙!$B$11:$B$310),INDEX(半紙!$G$11:$G$310,73),IF(73&lt;=COUNTA(半紙!$B$11:$B$310)+COUNTA(条幅!$B$11:$B$310),INDEX(条幅!$G$11:$G$310,73-COUNTA(半紙!$B$11:$B$310)),IF(73&lt;=COUNTA(半紙!$B$11:$B$310)+COUNTA(条幅!$B$11:$B$310)+COUNTA(条幅4分の1!$B$11:$B$310),INDEX(条幅4分の1!$G$11:$G$310,73-COUNTA(半紙!$B$11:$B$310)-COUNTA(条幅!$B$11:$B$310)),"")))=0,"",IF(73&lt;=COUNTA(半紙!$B$11:$B$310),INDEX(半紙!$G$11:$G$310,73),IF(73&lt;=COUNTA(半紙!$B$11:$B$310)+COUNTA(条幅!$B$11:$B$310),INDEX(条幅!$G$11:$G$310,73-COUNTA(半紙!$B$11:$B$310)),IF(73&lt;=COUNTA(半紙!$B$11:$B$310)+COUNTA(条幅!$B$11:$B$310)+COUNTA(条幅4分の1!$B$11:$B$310),INDEX(条幅4分の1!$G$11:$G$310,73-COUNTA(半紙!$B$11:$B$310)-COUNTA(条幅!$B$11:$B$310)),""))))</f>
        <v/>
      </c>
      <c r="H78" s="38" t="str">
        <f>IF(IF(73&lt;=COUNTA(半紙!$B$11:$B$310),INDEX(半紙!$H$11:$H$310,73),IF(73&lt;=COUNTA(半紙!$B$11:$B$310)+COUNTA(条幅!$B$11:$B$310),INDEX(条幅!$H$11:$H$310,73-COUNTA(半紙!$B$11:$B$310)),IF(73&lt;=COUNTA(半紙!$B$11:$B$310)+COUNTA(条幅!$B$11:$B$310)+COUNTA(条幅4分の1!$B$11:$B$310),INDEX(条幅4分の1!$H$11:$H$310,73-COUNTA(半紙!$B$11:$B$310)-COUNTA(条幅!$B$11:$B$310)),"")))=0,"",IF(73&lt;=COUNTA(半紙!$B$11:$B$310),INDEX(半紙!$H$11:$H$310,73),IF(73&lt;=COUNTA(半紙!$B$11:$B$310)+COUNTA(条幅!$B$11:$B$310),INDEX(条幅!$H$11:$H$310,73-COUNTA(半紙!$B$11:$B$310)),IF(73&lt;=COUNTA(半紙!$B$11:$B$310)+COUNTA(条幅!$B$11:$B$310)+COUNTA(条幅4分の1!$B$11:$B$310),INDEX(条幅4分の1!$H$11:$H$310,73-COUNTA(半紙!$B$11:$B$310)-COUNTA(条幅!$B$11:$B$310)),""))))</f>
        <v/>
      </c>
      <c r="I78" s="38" t="str">
        <f>IF(IF(73&lt;=COUNTA(半紙!$B$11:$B$310),INDEX(半紙!$I$11:$I$310,73),IF(73&lt;=COUNTA(半紙!$B$11:$B$310)+COUNTA(条幅!$B$11:$B$310),INDEX(条幅!$I$11:$I$310,73-COUNTA(半紙!$B$11:$B$310)),IF(73&lt;=COUNTA(半紙!$B$11:$B$310)+COUNTA(条幅!$B$11:$B$310)+COUNTA(条幅4分の1!$B$11:$B$310),INDEX(条幅4分の1!$I$11:$I$310,73-COUNTA(半紙!$B$11:$B$310)-COUNTA(条幅!$B$11:$B$310)),"")))=0,"",IF(73&lt;=COUNTA(半紙!$B$11:$B$310),INDEX(半紙!$I$11:$I$310,73),IF(73&lt;=COUNTA(半紙!$B$11:$B$310)+COUNTA(条幅!$B$11:$B$310),INDEX(条幅!$I$11:$I$310,73-COUNTA(半紙!$B$11:$B$310)),IF(73&lt;=COUNTA(半紙!$B$11:$B$310)+COUNTA(条幅!$B$11:$B$310)+COUNTA(条幅4分の1!$B$11:$B$310),INDEX(条幅4分の1!$I$11:$I$310,73-COUNTA(半紙!$B$11:$B$310)-COUNTA(条幅!$B$11:$B$310)),""))))</f>
        <v/>
      </c>
      <c r="J78" s="38" t="str">
        <f>IF(IF(73&lt;=COUNTA(半紙!$B$11:$B$310),INDEX(半紙!$J$11:$J$310,73),IF(73&lt;=COUNTA(半紙!$B$11:$B$310)+COUNTA(条幅!$B$11:$B$310),INDEX(条幅!$J$11:$J$310,73-COUNTA(半紙!$B$11:$B$310)),IF(73&lt;=COUNTA(半紙!$B$11:$B$310)+COUNTA(条幅!$B$11:$B$310)+COUNTA(条幅4分の1!$B$11:$B$310),INDEX(条幅4分の1!$J$11:$J$310,73-COUNTA(半紙!$B$11:$B$310)-COUNTA(条幅!$B$11:$B$310)),"")))=0,"",IF(73&lt;=COUNTA(半紙!$B$11:$B$310),INDEX(半紙!$J$11:$J$310,73),IF(73&lt;=COUNTA(半紙!$B$11:$B$310)+COUNTA(条幅!$B$11:$B$310),INDEX(条幅!$J$11:$J$310,73-COUNTA(半紙!$B$11:$B$310)),IF(73&lt;=COUNTA(半紙!$B$11:$B$310)+COUNTA(条幅!$B$11:$B$310)+COUNTA(条幅4分の1!$B$11:$B$310),INDEX(条幅4分の1!$J$11:$J$310,73-COUNTA(半紙!$B$11:$B$310)-COUNTA(条幅!$B$11:$B$310)),""))))</f>
        <v/>
      </c>
      <c r="K78" s="38" t="str">
        <f>IF(IF(73&lt;=COUNTA(半紙!$B$11:$B$310),INDEX(半紙!$K$11:$K$310,73),IF(73&lt;=COUNTA(半紙!$B$11:$B$310)+COUNTA(条幅!$B$11:$B$310),INDEX(条幅!$K$11:$K$310,73-COUNTA(半紙!$B$11:$B$310)),IF(73&lt;=COUNTA(半紙!$B$11:$B$310)+COUNTA(条幅!$B$11:$B$310)+COUNTA(条幅4分の1!$B$11:$B$310),INDEX(条幅4分の1!$K$11:$K$310,73-COUNTA(半紙!$B$11:$B$310)-COUNTA(条幅!$B$11:$B$310)),"")))=0,"",IF(73&lt;=COUNTA(半紙!$B$11:$B$310),INDEX(半紙!$K$11:$K$310,73),IF(73&lt;=COUNTA(半紙!$B$11:$B$310)+COUNTA(条幅!$B$11:$B$310),INDEX(条幅!$K$11:$K$310,73-COUNTA(半紙!$B$11:$B$310)),IF(73&lt;=COUNTA(半紙!$B$11:$B$310)+COUNTA(条幅!$B$11:$B$310)+COUNTA(条幅4分の1!$B$11:$B$310),INDEX(条幅4分の1!$K$11:$K$310,73-COUNTA(半紙!$B$11:$B$310)-COUNTA(条幅!$B$11:$B$310)),""))))</f>
        <v/>
      </c>
      <c r="L78" s="48" t="str">
        <f>IF($B78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73))</f>
        <v/>
      </c>
    </row>
    <row r="79" spans="1:12" ht="15" customHeight="1">
      <c r="A79" s="37" t="str">
        <f>IF(74&lt;=COUNTA(半紙!$B$11:$B$310),"半紙",IF(74&lt;=COUNTA(半紙!$B$11:$B$310)+COUNTA(条幅!$B$11:$B$310),"条幅(半切)",IF(74&lt;=COUNTA(半紙!$B$11:$B$310)+COUNTA(条幅!$B$11:$B$310)+COUNTA(条幅4分の1!$B$11:$B$310),"条幅(1/4)","")))</f>
        <v/>
      </c>
      <c r="B79" s="38" t="str">
        <f>IF(IF(74&lt;=COUNTA(半紙!$B$11:$B$310),INDEX(半紙!$B$11:$B$310,74),IF(74&lt;=COUNTA(半紙!$B$11:$B$310)+COUNTA(条幅!$B$11:$B$310),INDEX(条幅!$B$11:$B$310,74-COUNTA(半紙!$B$11:$B$310)),IF(74&lt;=COUNTA(半紙!$B$11:$B$310)+COUNTA(条幅!$B$11:$B$310)+COUNTA(条幅4分の1!$B$11:$B$310),INDEX(条幅4分の1!$B$11:$B$310,74-COUNTA(半紙!$B$11:$B$310)-COUNTA(条幅!$B$11:$B$310)),"")))=0,"",IF(74&lt;=COUNTA(半紙!$B$11:$B$310),INDEX(半紙!$B$11:$B$310,74),IF(74&lt;=COUNTA(半紙!$B$11:$B$310)+COUNTA(条幅!$B$11:$B$310),INDEX(条幅!$B$11:$B$310,74-COUNTA(半紙!$B$11:$B$310)),IF(74&lt;=COUNTA(半紙!$B$11:$B$310)+COUNTA(条幅!$B$11:$B$310)+COUNTA(条幅4分の1!$B$11:$B$310),INDEX(条幅4分の1!$B$11:$B$310,74-COUNTA(半紙!$B$11:$B$310)-COUNTA(条幅!$B$11:$B$310)),""))))</f>
        <v/>
      </c>
      <c r="C79" s="38" t="str">
        <f>IF(IF(74&lt;=COUNTA(半紙!$B$11:$B$310),INDEX(半紙!$C$11:$C$310,74),IF(74&lt;=COUNTA(半紙!$B$11:$B$310)+COUNTA(条幅!$B$11:$B$310),INDEX(条幅!$C$11:$C$310,74-COUNTA(半紙!$B$11:$B$310)),IF(74&lt;=COUNTA(半紙!$B$11:$B$310)+COUNTA(条幅!$B$11:$B$310)+COUNTA(条幅4分の1!$B$11:$B$310),INDEX(条幅4分の1!$C$11:$C$310,74-COUNTA(半紙!$B$11:$B$310)-COUNTA(条幅!$B$11:$B$310)),"")))=0,"",IF(74&lt;=COUNTA(半紙!$B$11:$B$310),INDEX(半紙!$C$11:$C$310,74),IF(74&lt;=COUNTA(半紙!$B$11:$B$310)+COUNTA(条幅!$B$11:$B$310),INDEX(条幅!$C$11:$C$310,74-COUNTA(半紙!$B$11:$B$310)),IF(74&lt;=COUNTA(半紙!$B$11:$B$310)+COUNTA(条幅!$B$11:$B$310)+COUNTA(条幅4分の1!$B$11:$B$310),INDEX(条幅4分の1!$C$11:$C$310,74-COUNTA(半紙!$B$11:$B$310)-COUNTA(条幅!$B$11:$B$310)),""))))</f>
        <v/>
      </c>
      <c r="D79" s="38" t="str">
        <f>IF(IF(74&lt;=COUNTA(半紙!$B$11:$B$310),INDEX(半紙!$D$11:$D$310,74),IF(74&lt;=COUNTA(半紙!$B$11:$B$310)+COUNTA(条幅!$B$11:$B$310),INDEX(条幅!$D$11:$D$310,74-COUNTA(半紙!$B$11:$B$310)),IF(74&lt;=COUNTA(半紙!$B$11:$B$310)+COUNTA(条幅!$B$11:$B$310)+COUNTA(条幅4分の1!$B$11:$B$310),INDEX(条幅4分の1!$D$11:$D$310,74-COUNTA(半紙!$B$11:$B$310)-COUNTA(条幅!$B$11:$B$310)),"")))=0,"",IF(74&lt;=COUNTA(半紙!$B$11:$B$310),INDEX(半紙!$D$11:$D$310,74),IF(74&lt;=COUNTA(半紙!$B$11:$B$310)+COUNTA(条幅!$B$11:$B$310),INDEX(条幅!$D$11:$D$310,74-COUNTA(半紙!$B$11:$B$310)),IF(74&lt;=COUNTA(半紙!$B$11:$B$310)+COUNTA(条幅!$B$11:$B$310)+COUNTA(条幅4分の1!$B$11:$B$310),INDEX(条幅4分の1!$D$11:$D$310,74-COUNTA(半紙!$B$11:$B$310)-COUNTA(条幅!$B$11:$B$310)),""))))</f>
        <v/>
      </c>
      <c r="E79" s="38" t="str">
        <f>IF(IF(74&lt;=COUNTA(半紙!$B$11:$B$310),INDEX(半紙!$E$11:$E$310,74),IF(74&lt;=COUNTA(半紙!$B$11:$B$310)+COUNTA(条幅!$B$11:$B$310),INDEX(条幅!$E$11:$E$310,74-COUNTA(半紙!$B$11:$B$310)),IF(74&lt;=COUNTA(半紙!$B$11:$B$310)+COUNTA(条幅!$B$11:$B$310)+COUNTA(条幅4分の1!$B$11:$B$310),INDEX(条幅4分の1!$E$11:$E$310,74-COUNTA(半紙!$B$11:$B$310)-COUNTA(条幅!$B$11:$B$310)),"")))=0,"",IF(74&lt;=COUNTA(半紙!$B$11:$B$310),INDEX(半紙!$E$11:$E$310,74),IF(74&lt;=COUNTA(半紙!$B$11:$B$310)+COUNTA(条幅!$B$11:$B$310),INDEX(条幅!$E$11:$E$310,74-COUNTA(半紙!$B$11:$B$310)),IF(74&lt;=COUNTA(半紙!$B$11:$B$310)+COUNTA(条幅!$B$11:$B$310)+COUNTA(条幅4分の1!$B$11:$B$310),INDEX(条幅4分の1!$E$11:$E$310,74-COUNTA(半紙!$B$11:$B$310)-COUNTA(条幅!$B$11:$B$310)),""))))</f>
        <v/>
      </c>
      <c r="F79" s="38" t="str">
        <f>IF(IF(74&lt;=COUNTA(半紙!$B$11:$B$310),INDEX(半紙!$F$11:$F$310,74),IF(74&lt;=COUNTA(半紙!$B$11:$B$310)+COUNTA(条幅!$B$11:$B$310),INDEX(条幅!$F$11:$F$310,74-COUNTA(半紙!$B$11:$B$310)),IF(74&lt;=COUNTA(半紙!$B$11:$B$310)+COUNTA(条幅!$B$11:$B$310)+COUNTA(条幅4分の1!$B$11:$B$310),INDEX(条幅4分の1!$F$11:$F$310,74-COUNTA(半紙!$B$11:$B$310)-COUNTA(条幅!$B$11:$B$310)),"")))=0,"",IF(74&lt;=COUNTA(半紙!$B$11:$B$310),INDEX(半紙!$F$11:$F$310,74),IF(74&lt;=COUNTA(半紙!$B$11:$B$310)+COUNTA(条幅!$B$11:$B$310),INDEX(条幅!$F$11:$F$310,74-COUNTA(半紙!$B$11:$B$310)),IF(74&lt;=COUNTA(半紙!$B$11:$B$310)+COUNTA(条幅!$B$11:$B$310)+COUNTA(条幅4分の1!$B$11:$B$310),INDEX(条幅4分の1!$F$11:$F$310,74-COUNTA(半紙!$B$11:$B$310)-COUNTA(条幅!$B$11:$B$310)),""))))</f>
        <v/>
      </c>
      <c r="G79" s="38" t="str">
        <f>IF(IF(74&lt;=COUNTA(半紙!$B$11:$B$310),INDEX(半紙!$G$11:$G$310,74),IF(74&lt;=COUNTA(半紙!$B$11:$B$310)+COUNTA(条幅!$B$11:$B$310),INDEX(条幅!$G$11:$G$310,74-COUNTA(半紙!$B$11:$B$310)),IF(74&lt;=COUNTA(半紙!$B$11:$B$310)+COUNTA(条幅!$B$11:$B$310)+COUNTA(条幅4分の1!$B$11:$B$310),INDEX(条幅4分の1!$G$11:$G$310,74-COUNTA(半紙!$B$11:$B$310)-COUNTA(条幅!$B$11:$B$310)),"")))=0,"",IF(74&lt;=COUNTA(半紙!$B$11:$B$310),INDEX(半紙!$G$11:$G$310,74),IF(74&lt;=COUNTA(半紙!$B$11:$B$310)+COUNTA(条幅!$B$11:$B$310),INDEX(条幅!$G$11:$G$310,74-COUNTA(半紙!$B$11:$B$310)),IF(74&lt;=COUNTA(半紙!$B$11:$B$310)+COUNTA(条幅!$B$11:$B$310)+COUNTA(条幅4分の1!$B$11:$B$310),INDEX(条幅4分の1!$G$11:$G$310,74-COUNTA(半紙!$B$11:$B$310)-COUNTA(条幅!$B$11:$B$310)),""))))</f>
        <v/>
      </c>
      <c r="H79" s="38" t="str">
        <f>IF(IF(74&lt;=COUNTA(半紙!$B$11:$B$310),INDEX(半紙!$H$11:$H$310,74),IF(74&lt;=COUNTA(半紙!$B$11:$B$310)+COUNTA(条幅!$B$11:$B$310),INDEX(条幅!$H$11:$H$310,74-COUNTA(半紙!$B$11:$B$310)),IF(74&lt;=COUNTA(半紙!$B$11:$B$310)+COUNTA(条幅!$B$11:$B$310)+COUNTA(条幅4分の1!$B$11:$B$310),INDEX(条幅4分の1!$H$11:$H$310,74-COUNTA(半紙!$B$11:$B$310)-COUNTA(条幅!$B$11:$B$310)),"")))=0,"",IF(74&lt;=COUNTA(半紙!$B$11:$B$310),INDEX(半紙!$H$11:$H$310,74),IF(74&lt;=COUNTA(半紙!$B$11:$B$310)+COUNTA(条幅!$B$11:$B$310),INDEX(条幅!$H$11:$H$310,74-COUNTA(半紙!$B$11:$B$310)),IF(74&lt;=COUNTA(半紙!$B$11:$B$310)+COUNTA(条幅!$B$11:$B$310)+COUNTA(条幅4分の1!$B$11:$B$310),INDEX(条幅4分の1!$H$11:$H$310,74-COUNTA(半紙!$B$11:$B$310)-COUNTA(条幅!$B$11:$B$310)),""))))</f>
        <v/>
      </c>
      <c r="I79" s="38" t="str">
        <f>IF(IF(74&lt;=COUNTA(半紙!$B$11:$B$310),INDEX(半紙!$I$11:$I$310,74),IF(74&lt;=COUNTA(半紙!$B$11:$B$310)+COUNTA(条幅!$B$11:$B$310),INDEX(条幅!$I$11:$I$310,74-COUNTA(半紙!$B$11:$B$310)),IF(74&lt;=COUNTA(半紙!$B$11:$B$310)+COUNTA(条幅!$B$11:$B$310)+COUNTA(条幅4分の1!$B$11:$B$310),INDEX(条幅4分の1!$I$11:$I$310,74-COUNTA(半紙!$B$11:$B$310)-COUNTA(条幅!$B$11:$B$310)),"")))=0,"",IF(74&lt;=COUNTA(半紙!$B$11:$B$310),INDEX(半紙!$I$11:$I$310,74),IF(74&lt;=COUNTA(半紙!$B$11:$B$310)+COUNTA(条幅!$B$11:$B$310),INDEX(条幅!$I$11:$I$310,74-COUNTA(半紙!$B$11:$B$310)),IF(74&lt;=COUNTA(半紙!$B$11:$B$310)+COUNTA(条幅!$B$11:$B$310)+COUNTA(条幅4分の1!$B$11:$B$310),INDEX(条幅4分の1!$I$11:$I$310,74-COUNTA(半紙!$B$11:$B$310)-COUNTA(条幅!$B$11:$B$310)),""))))</f>
        <v/>
      </c>
      <c r="J79" s="38" t="str">
        <f>IF(IF(74&lt;=COUNTA(半紙!$B$11:$B$310),INDEX(半紙!$J$11:$J$310,74),IF(74&lt;=COUNTA(半紙!$B$11:$B$310)+COUNTA(条幅!$B$11:$B$310),INDEX(条幅!$J$11:$J$310,74-COUNTA(半紙!$B$11:$B$310)),IF(74&lt;=COUNTA(半紙!$B$11:$B$310)+COUNTA(条幅!$B$11:$B$310)+COUNTA(条幅4分の1!$B$11:$B$310),INDEX(条幅4分の1!$J$11:$J$310,74-COUNTA(半紙!$B$11:$B$310)-COUNTA(条幅!$B$11:$B$310)),"")))=0,"",IF(74&lt;=COUNTA(半紙!$B$11:$B$310),INDEX(半紙!$J$11:$J$310,74),IF(74&lt;=COUNTA(半紙!$B$11:$B$310)+COUNTA(条幅!$B$11:$B$310),INDEX(条幅!$J$11:$J$310,74-COUNTA(半紙!$B$11:$B$310)),IF(74&lt;=COUNTA(半紙!$B$11:$B$310)+COUNTA(条幅!$B$11:$B$310)+COUNTA(条幅4分の1!$B$11:$B$310),INDEX(条幅4分の1!$J$11:$J$310,74-COUNTA(半紙!$B$11:$B$310)-COUNTA(条幅!$B$11:$B$310)),""))))</f>
        <v/>
      </c>
      <c r="K79" s="38" t="str">
        <f>IF(IF(74&lt;=COUNTA(半紙!$B$11:$B$310),INDEX(半紙!$K$11:$K$310,74),IF(74&lt;=COUNTA(半紙!$B$11:$B$310)+COUNTA(条幅!$B$11:$B$310),INDEX(条幅!$K$11:$K$310,74-COUNTA(半紙!$B$11:$B$310)),IF(74&lt;=COUNTA(半紙!$B$11:$B$310)+COUNTA(条幅!$B$11:$B$310)+COUNTA(条幅4分の1!$B$11:$B$310),INDEX(条幅4分の1!$K$11:$K$310,74-COUNTA(半紙!$B$11:$B$310)-COUNTA(条幅!$B$11:$B$310)),"")))=0,"",IF(74&lt;=COUNTA(半紙!$B$11:$B$310),INDEX(半紙!$K$11:$K$310,74),IF(74&lt;=COUNTA(半紙!$B$11:$B$310)+COUNTA(条幅!$B$11:$B$310),INDEX(条幅!$K$11:$K$310,74-COUNTA(半紙!$B$11:$B$310)),IF(74&lt;=COUNTA(半紙!$B$11:$B$310)+COUNTA(条幅!$B$11:$B$310)+COUNTA(条幅4分の1!$B$11:$B$310),INDEX(条幅4分の1!$K$11:$K$310,74-COUNTA(半紙!$B$11:$B$310)-COUNTA(条幅!$B$11:$B$310)),""))))</f>
        <v/>
      </c>
      <c r="L79" s="48" t="str">
        <f>IF($B79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74))</f>
        <v/>
      </c>
    </row>
    <row r="80" spans="1:12" ht="15" customHeight="1">
      <c r="A80" s="37" t="str">
        <f>IF(75&lt;=COUNTA(半紙!$B$11:$B$310),"半紙",IF(75&lt;=COUNTA(半紙!$B$11:$B$310)+COUNTA(条幅!$B$11:$B$310),"条幅(半切)",IF(75&lt;=COUNTA(半紙!$B$11:$B$310)+COUNTA(条幅!$B$11:$B$310)+COUNTA(条幅4分の1!$B$11:$B$310),"条幅(1/4)","")))</f>
        <v/>
      </c>
      <c r="B80" s="38" t="str">
        <f>IF(IF(75&lt;=COUNTA(半紙!$B$11:$B$310),INDEX(半紙!$B$11:$B$310,75),IF(75&lt;=COUNTA(半紙!$B$11:$B$310)+COUNTA(条幅!$B$11:$B$310),INDEX(条幅!$B$11:$B$310,75-COUNTA(半紙!$B$11:$B$310)),IF(75&lt;=COUNTA(半紙!$B$11:$B$310)+COUNTA(条幅!$B$11:$B$310)+COUNTA(条幅4分の1!$B$11:$B$310),INDEX(条幅4分の1!$B$11:$B$310,75-COUNTA(半紙!$B$11:$B$310)-COUNTA(条幅!$B$11:$B$310)),"")))=0,"",IF(75&lt;=COUNTA(半紙!$B$11:$B$310),INDEX(半紙!$B$11:$B$310,75),IF(75&lt;=COUNTA(半紙!$B$11:$B$310)+COUNTA(条幅!$B$11:$B$310),INDEX(条幅!$B$11:$B$310,75-COUNTA(半紙!$B$11:$B$310)),IF(75&lt;=COUNTA(半紙!$B$11:$B$310)+COUNTA(条幅!$B$11:$B$310)+COUNTA(条幅4分の1!$B$11:$B$310),INDEX(条幅4分の1!$B$11:$B$310,75-COUNTA(半紙!$B$11:$B$310)-COUNTA(条幅!$B$11:$B$310)),""))))</f>
        <v/>
      </c>
      <c r="C80" s="38" t="str">
        <f>IF(IF(75&lt;=COUNTA(半紙!$B$11:$B$310),INDEX(半紙!$C$11:$C$310,75),IF(75&lt;=COUNTA(半紙!$B$11:$B$310)+COUNTA(条幅!$B$11:$B$310),INDEX(条幅!$C$11:$C$310,75-COUNTA(半紙!$B$11:$B$310)),IF(75&lt;=COUNTA(半紙!$B$11:$B$310)+COUNTA(条幅!$B$11:$B$310)+COUNTA(条幅4分の1!$B$11:$B$310),INDEX(条幅4分の1!$C$11:$C$310,75-COUNTA(半紙!$B$11:$B$310)-COUNTA(条幅!$B$11:$B$310)),"")))=0,"",IF(75&lt;=COUNTA(半紙!$B$11:$B$310),INDEX(半紙!$C$11:$C$310,75),IF(75&lt;=COUNTA(半紙!$B$11:$B$310)+COUNTA(条幅!$B$11:$B$310),INDEX(条幅!$C$11:$C$310,75-COUNTA(半紙!$B$11:$B$310)),IF(75&lt;=COUNTA(半紙!$B$11:$B$310)+COUNTA(条幅!$B$11:$B$310)+COUNTA(条幅4分の1!$B$11:$B$310),INDEX(条幅4分の1!$C$11:$C$310,75-COUNTA(半紙!$B$11:$B$310)-COUNTA(条幅!$B$11:$B$310)),""))))</f>
        <v/>
      </c>
      <c r="D80" s="38" t="str">
        <f>IF(IF(75&lt;=COUNTA(半紙!$B$11:$B$310),INDEX(半紙!$D$11:$D$310,75),IF(75&lt;=COUNTA(半紙!$B$11:$B$310)+COUNTA(条幅!$B$11:$B$310),INDEX(条幅!$D$11:$D$310,75-COUNTA(半紙!$B$11:$B$310)),IF(75&lt;=COUNTA(半紙!$B$11:$B$310)+COUNTA(条幅!$B$11:$B$310)+COUNTA(条幅4分の1!$B$11:$B$310),INDEX(条幅4分の1!$D$11:$D$310,75-COUNTA(半紙!$B$11:$B$310)-COUNTA(条幅!$B$11:$B$310)),"")))=0,"",IF(75&lt;=COUNTA(半紙!$B$11:$B$310),INDEX(半紙!$D$11:$D$310,75),IF(75&lt;=COUNTA(半紙!$B$11:$B$310)+COUNTA(条幅!$B$11:$B$310),INDEX(条幅!$D$11:$D$310,75-COUNTA(半紙!$B$11:$B$310)),IF(75&lt;=COUNTA(半紙!$B$11:$B$310)+COUNTA(条幅!$B$11:$B$310)+COUNTA(条幅4分の1!$B$11:$B$310),INDEX(条幅4分の1!$D$11:$D$310,75-COUNTA(半紙!$B$11:$B$310)-COUNTA(条幅!$B$11:$B$310)),""))))</f>
        <v/>
      </c>
      <c r="E80" s="38" t="str">
        <f>IF(IF(75&lt;=COUNTA(半紙!$B$11:$B$310),INDEX(半紙!$E$11:$E$310,75),IF(75&lt;=COUNTA(半紙!$B$11:$B$310)+COUNTA(条幅!$B$11:$B$310),INDEX(条幅!$E$11:$E$310,75-COUNTA(半紙!$B$11:$B$310)),IF(75&lt;=COUNTA(半紙!$B$11:$B$310)+COUNTA(条幅!$B$11:$B$310)+COUNTA(条幅4分の1!$B$11:$B$310),INDEX(条幅4分の1!$E$11:$E$310,75-COUNTA(半紙!$B$11:$B$310)-COUNTA(条幅!$B$11:$B$310)),"")))=0,"",IF(75&lt;=COUNTA(半紙!$B$11:$B$310),INDEX(半紙!$E$11:$E$310,75),IF(75&lt;=COUNTA(半紙!$B$11:$B$310)+COUNTA(条幅!$B$11:$B$310),INDEX(条幅!$E$11:$E$310,75-COUNTA(半紙!$B$11:$B$310)),IF(75&lt;=COUNTA(半紙!$B$11:$B$310)+COUNTA(条幅!$B$11:$B$310)+COUNTA(条幅4分の1!$B$11:$B$310),INDEX(条幅4分の1!$E$11:$E$310,75-COUNTA(半紙!$B$11:$B$310)-COUNTA(条幅!$B$11:$B$310)),""))))</f>
        <v/>
      </c>
      <c r="F80" s="38" t="str">
        <f>IF(IF(75&lt;=COUNTA(半紙!$B$11:$B$310),INDEX(半紙!$F$11:$F$310,75),IF(75&lt;=COUNTA(半紙!$B$11:$B$310)+COUNTA(条幅!$B$11:$B$310),INDEX(条幅!$F$11:$F$310,75-COUNTA(半紙!$B$11:$B$310)),IF(75&lt;=COUNTA(半紙!$B$11:$B$310)+COUNTA(条幅!$B$11:$B$310)+COUNTA(条幅4分の1!$B$11:$B$310),INDEX(条幅4分の1!$F$11:$F$310,75-COUNTA(半紙!$B$11:$B$310)-COUNTA(条幅!$B$11:$B$310)),"")))=0,"",IF(75&lt;=COUNTA(半紙!$B$11:$B$310),INDEX(半紙!$F$11:$F$310,75),IF(75&lt;=COUNTA(半紙!$B$11:$B$310)+COUNTA(条幅!$B$11:$B$310),INDEX(条幅!$F$11:$F$310,75-COUNTA(半紙!$B$11:$B$310)),IF(75&lt;=COUNTA(半紙!$B$11:$B$310)+COUNTA(条幅!$B$11:$B$310)+COUNTA(条幅4分の1!$B$11:$B$310),INDEX(条幅4分の1!$F$11:$F$310,75-COUNTA(半紙!$B$11:$B$310)-COUNTA(条幅!$B$11:$B$310)),""))))</f>
        <v/>
      </c>
      <c r="G80" s="38" t="str">
        <f>IF(IF(75&lt;=COUNTA(半紙!$B$11:$B$310),INDEX(半紙!$G$11:$G$310,75),IF(75&lt;=COUNTA(半紙!$B$11:$B$310)+COUNTA(条幅!$B$11:$B$310),INDEX(条幅!$G$11:$G$310,75-COUNTA(半紙!$B$11:$B$310)),IF(75&lt;=COUNTA(半紙!$B$11:$B$310)+COUNTA(条幅!$B$11:$B$310)+COUNTA(条幅4分の1!$B$11:$B$310),INDEX(条幅4分の1!$G$11:$G$310,75-COUNTA(半紙!$B$11:$B$310)-COUNTA(条幅!$B$11:$B$310)),"")))=0,"",IF(75&lt;=COUNTA(半紙!$B$11:$B$310),INDEX(半紙!$G$11:$G$310,75),IF(75&lt;=COUNTA(半紙!$B$11:$B$310)+COUNTA(条幅!$B$11:$B$310),INDEX(条幅!$G$11:$G$310,75-COUNTA(半紙!$B$11:$B$310)),IF(75&lt;=COUNTA(半紙!$B$11:$B$310)+COUNTA(条幅!$B$11:$B$310)+COUNTA(条幅4分の1!$B$11:$B$310),INDEX(条幅4分の1!$G$11:$G$310,75-COUNTA(半紙!$B$11:$B$310)-COUNTA(条幅!$B$11:$B$310)),""))))</f>
        <v/>
      </c>
      <c r="H80" s="38" t="str">
        <f>IF(IF(75&lt;=COUNTA(半紙!$B$11:$B$310),INDEX(半紙!$H$11:$H$310,75),IF(75&lt;=COUNTA(半紙!$B$11:$B$310)+COUNTA(条幅!$B$11:$B$310),INDEX(条幅!$H$11:$H$310,75-COUNTA(半紙!$B$11:$B$310)),IF(75&lt;=COUNTA(半紙!$B$11:$B$310)+COUNTA(条幅!$B$11:$B$310)+COUNTA(条幅4分の1!$B$11:$B$310),INDEX(条幅4分の1!$H$11:$H$310,75-COUNTA(半紙!$B$11:$B$310)-COUNTA(条幅!$B$11:$B$310)),"")))=0,"",IF(75&lt;=COUNTA(半紙!$B$11:$B$310),INDEX(半紙!$H$11:$H$310,75),IF(75&lt;=COUNTA(半紙!$B$11:$B$310)+COUNTA(条幅!$B$11:$B$310),INDEX(条幅!$H$11:$H$310,75-COUNTA(半紙!$B$11:$B$310)),IF(75&lt;=COUNTA(半紙!$B$11:$B$310)+COUNTA(条幅!$B$11:$B$310)+COUNTA(条幅4分の1!$B$11:$B$310),INDEX(条幅4分の1!$H$11:$H$310,75-COUNTA(半紙!$B$11:$B$310)-COUNTA(条幅!$B$11:$B$310)),""))))</f>
        <v/>
      </c>
      <c r="I80" s="38" t="str">
        <f>IF(IF(75&lt;=COUNTA(半紙!$B$11:$B$310),INDEX(半紙!$I$11:$I$310,75),IF(75&lt;=COUNTA(半紙!$B$11:$B$310)+COUNTA(条幅!$B$11:$B$310),INDEX(条幅!$I$11:$I$310,75-COUNTA(半紙!$B$11:$B$310)),IF(75&lt;=COUNTA(半紙!$B$11:$B$310)+COUNTA(条幅!$B$11:$B$310)+COUNTA(条幅4分の1!$B$11:$B$310),INDEX(条幅4分の1!$I$11:$I$310,75-COUNTA(半紙!$B$11:$B$310)-COUNTA(条幅!$B$11:$B$310)),"")))=0,"",IF(75&lt;=COUNTA(半紙!$B$11:$B$310),INDEX(半紙!$I$11:$I$310,75),IF(75&lt;=COUNTA(半紙!$B$11:$B$310)+COUNTA(条幅!$B$11:$B$310),INDEX(条幅!$I$11:$I$310,75-COUNTA(半紙!$B$11:$B$310)),IF(75&lt;=COUNTA(半紙!$B$11:$B$310)+COUNTA(条幅!$B$11:$B$310)+COUNTA(条幅4分の1!$B$11:$B$310),INDEX(条幅4分の1!$I$11:$I$310,75-COUNTA(半紙!$B$11:$B$310)-COUNTA(条幅!$B$11:$B$310)),""))))</f>
        <v/>
      </c>
      <c r="J80" s="38" t="str">
        <f>IF(IF(75&lt;=COUNTA(半紙!$B$11:$B$310),INDEX(半紙!$J$11:$J$310,75),IF(75&lt;=COUNTA(半紙!$B$11:$B$310)+COUNTA(条幅!$B$11:$B$310),INDEX(条幅!$J$11:$J$310,75-COUNTA(半紙!$B$11:$B$310)),IF(75&lt;=COUNTA(半紙!$B$11:$B$310)+COUNTA(条幅!$B$11:$B$310)+COUNTA(条幅4分の1!$B$11:$B$310),INDEX(条幅4分の1!$J$11:$J$310,75-COUNTA(半紙!$B$11:$B$310)-COUNTA(条幅!$B$11:$B$310)),"")))=0,"",IF(75&lt;=COUNTA(半紙!$B$11:$B$310),INDEX(半紙!$J$11:$J$310,75),IF(75&lt;=COUNTA(半紙!$B$11:$B$310)+COUNTA(条幅!$B$11:$B$310),INDEX(条幅!$J$11:$J$310,75-COUNTA(半紙!$B$11:$B$310)),IF(75&lt;=COUNTA(半紙!$B$11:$B$310)+COUNTA(条幅!$B$11:$B$310)+COUNTA(条幅4分の1!$B$11:$B$310),INDEX(条幅4分の1!$J$11:$J$310,75-COUNTA(半紙!$B$11:$B$310)-COUNTA(条幅!$B$11:$B$310)),""))))</f>
        <v/>
      </c>
      <c r="K80" s="38" t="str">
        <f>IF(IF(75&lt;=COUNTA(半紙!$B$11:$B$310),INDEX(半紙!$K$11:$K$310,75),IF(75&lt;=COUNTA(半紙!$B$11:$B$310)+COUNTA(条幅!$B$11:$B$310),INDEX(条幅!$K$11:$K$310,75-COUNTA(半紙!$B$11:$B$310)),IF(75&lt;=COUNTA(半紙!$B$11:$B$310)+COUNTA(条幅!$B$11:$B$310)+COUNTA(条幅4分の1!$B$11:$B$310),INDEX(条幅4分の1!$K$11:$K$310,75-COUNTA(半紙!$B$11:$B$310)-COUNTA(条幅!$B$11:$B$310)),"")))=0,"",IF(75&lt;=COUNTA(半紙!$B$11:$B$310),INDEX(半紙!$K$11:$K$310,75),IF(75&lt;=COUNTA(半紙!$B$11:$B$310)+COUNTA(条幅!$B$11:$B$310),INDEX(条幅!$K$11:$K$310,75-COUNTA(半紙!$B$11:$B$310)),IF(75&lt;=COUNTA(半紙!$B$11:$B$310)+COUNTA(条幅!$B$11:$B$310)+COUNTA(条幅4分の1!$B$11:$B$310),INDEX(条幅4分の1!$K$11:$K$310,75-COUNTA(半紙!$B$11:$B$310)-COUNTA(条幅!$B$11:$B$310)),""))))</f>
        <v/>
      </c>
      <c r="L80" s="48" t="str">
        <f>IF($B80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75))</f>
        <v/>
      </c>
    </row>
    <row r="81" spans="1:12" ht="15" customHeight="1">
      <c r="A81" s="37" t="str">
        <f>IF(76&lt;=COUNTA(半紙!$B$11:$B$310),"半紙",IF(76&lt;=COUNTA(半紙!$B$11:$B$310)+COUNTA(条幅!$B$11:$B$310),"条幅(半切)",IF(76&lt;=COUNTA(半紙!$B$11:$B$310)+COUNTA(条幅!$B$11:$B$310)+COUNTA(条幅4分の1!$B$11:$B$310),"条幅(1/4)","")))</f>
        <v/>
      </c>
      <c r="B81" s="38" t="str">
        <f>IF(IF(76&lt;=COUNTA(半紙!$B$11:$B$310),INDEX(半紙!$B$11:$B$310,76),IF(76&lt;=COUNTA(半紙!$B$11:$B$310)+COUNTA(条幅!$B$11:$B$310),INDEX(条幅!$B$11:$B$310,76-COUNTA(半紙!$B$11:$B$310)),IF(76&lt;=COUNTA(半紙!$B$11:$B$310)+COUNTA(条幅!$B$11:$B$310)+COUNTA(条幅4分の1!$B$11:$B$310),INDEX(条幅4分の1!$B$11:$B$310,76-COUNTA(半紙!$B$11:$B$310)-COUNTA(条幅!$B$11:$B$310)),"")))=0,"",IF(76&lt;=COUNTA(半紙!$B$11:$B$310),INDEX(半紙!$B$11:$B$310,76),IF(76&lt;=COUNTA(半紙!$B$11:$B$310)+COUNTA(条幅!$B$11:$B$310),INDEX(条幅!$B$11:$B$310,76-COUNTA(半紙!$B$11:$B$310)),IF(76&lt;=COUNTA(半紙!$B$11:$B$310)+COUNTA(条幅!$B$11:$B$310)+COUNTA(条幅4分の1!$B$11:$B$310),INDEX(条幅4分の1!$B$11:$B$310,76-COUNTA(半紙!$B$11:$B$310)-COUNTA(条幅!$B$11:$B$310)),""))))</f>
        <v/>
      </c>
      <c r="C81" s="38" t="str">
        <f>IF(IF(76&lt;=COUNTA(半紙!$B$11:$B$310),INDEX(半紙!$C$11:$C$310,76),IF(76&lt;=COUNTA(半紙!$B$11:$B$310)+COUNTA(条幅!$B$11:$B$310),INDEX(条幅!$C$11:$C$310,76-COUNTA(半紙!$B$11:$B$310)),IF(76&lt;=COUNTA(半紙!$B$11:$B$310)+COUNTA(条幅!$B$11:$B$310)+COUNTA(条幅4分の1!$B$11:$B$310),INDEX(条幅4分の1!$C$11:$C$310,76-COUNTA(半紙!$B$11:$B$310)-COUNTA(条幅!$B$11:$B$310)),"")))=0,"",IF(76&lt;=COUNTA(半紙!$B$11:$B$310),INDEX(半紙!$C$11:$C$310,76),IF(76&lt;=COUNTA(半紙!$B$11:$B$310)+COUNTA(条幅!$B$11:$B$310),INDEX(条幅!$C$11:$C$310,76-COUNTA(半紙!$B$11:$B$310)),IF(76&lt;=COUNTA(半紙!$B$11:$B$310)+COUNTA(条幅!$B$11:$B$310)+COUNTA(条幅4分の1!$B$11:$B$310),INDEX(条幅4分の1!$C$11:$C$310,76-COUNTA(半紙!$B$11:$B$310)-COUNTA(条幅!$B$11:$B$310)),""))))</f>
        <v/>
      </c>
      <c r="D81" s="38" t="str">
        <f>IF(IF(76&lt;=COUNTA(半紙!$B$11:$B$310),INDEX(半紙!$D$11:$D$310,76),IF(76&lt;=COUNTA(半紙!$B$11:$B$310)+COUNTA(条幅!$B$11:$B$310),INDEX(条幅!$D$11:$D$310,76-COUNTA(半紙!$B$11:$B$310)),IF(76&lt;=COUNTA(半紙!$B$11:$B$310)+COUNTA(条幅!$B$11:$B$310)+COUNTA(条幅4分の1!$B$11:$B$310),INDEX(条幅4分の1!$D$11:$D$310,76-COUNTA(半紙!$B$11:$B$310)-COUNTA(条幅!$B$11:$B$310)),"")))=0,"",IF(76&lt;=COUNTA(半紙!$B$11:$B$310),INDEX(半紙!$D$11:$D$310,76),IF(76&lt;=COUNTA(半紙!$B$11:$B$310)+COUNTA(条幅!$B$11:$B$310),INDEX(条幅!$D$11:$D$310,76-COUNTA(半紙!$B$11:$B$310)),IF(76&lt;=COUNTA(半紙!$B$11:$B$310)+COUNTA(条幅!$B$11:$B$310)+COUNTA(条幅4分の1!$B$11:$B$310),INDEX(条幅4分の1!$D$11:$D$310,76-COUNTA(半紙!$B$11:$B$310)-COUNTA(条幅!$B$11:$B$310)),""))))</f>
        <v/>
      </c>
      <c r="E81" s="38" t="str">
        <f>IF(IF(76&lt;=COUNTA(半紙!$B$11:$B$310),INDEX(半紙!$E$11:$E$310,76),IF(76&lt;=COUNTA(半紙!$B$11:$B$310)+COUNTA(条幅!$B$11:$B$310),INDEX(条幅!$E$11:$E$310,76-COUNTA(半紙!$B$11:$B$310)),IF(76&lt;=COUNTA(半紙!$B$11:$B$310)+COUNTA(条幅!$B$11:$B$310)+COUNTA(条幅4分の1!$B$11:$B$310),INDEX(条幅4分の1!$E$11:$E$310,76-COUNTA(半紙!$B$11:$B$310)-COUNTA(条幅!$B$11:$B$310)),"")))=0,"",IF(76&lt;=COUNTA(半紙!$B$11:$B$310),INDEX(半紙!$E$11:$E$310,76),IF(76&lt;=COUNTA(半紙!$B$11:$B$310)+COUNTA(条幅!$B$11:$B$310),INDEX(条幅!$E$11:$E$310,76-COUNTA(半紙!$B$11:$B$310)),IF(76&lt;=COUNTA(半紙!$B$11:$B$310)+COUNTA(条幅!$B$11:$B$310)+COUNTA(条幅4分の1!$B$11:$B$310),INDEX(条幅4分の1!$E$11:$E$310,76-COUNTA(半紙!$B$11:$B$310)-COUNTA(条幅!$B$11:$B$310)),""))))</f>
        <v/>
      </c>
      <c r="F81" s="38" t="str">
        <f>IF(IF(76&lt;=COUNTA(半紙!$B$11:$B$310),INDEX(半紙!$F$11:$F$310,76),IF(76&lt;=COUNTA(半紙!$B$11:$B$310)+COUNTA(条幅!$B$11:$B$310),INDEX(条幅!$F$11:$F$310,76-COUNTA(半紙!$B$11:$B$310)),IF(76&lt;=COUNTA(半紙!$B$11:$B$310)+COUNTA(条幅!$B$11:$B$310)+COUNTA(条幅4分の1!$B$11:$B$310),INDEX(条幅4分の1!$F$11:$F$310,76-COUNTA(半紙!$B$11:$B$310)-COUNTA(条幅!$B$11:$B$310)),"")))=0,"",IF(76&lt;=COUNTA(半紙!$B$11:$B$310),INDEX(半紙!$F$11:$F$310,76),IF(76&lt;=COUNTA(半紙!$B$11:$B$310)+COUNTA(条幅!$B$11:$B$310),INDEX(条幅!$F$11:$F$310,76-COUNTA(半紙!$B$11:$B$310)),IF(76&lt;=COUNTA(半紙!$B$11:$B$310)+COUNTA(条幅!$B$11:$B$310)+COUNTA(条幅4分の1!$B$11:$B$310),INDEX(条幅4分の1!$F$11:$F$310,76-COUNTA(半紙!$B$11:$B$310)-COUNTA(条幅!$B$11:$B$310)),""))))</f>
        <v/>
      </c>
      <c r="G81" s="38" t="str">
        <f>IF(IF(76&lt;=COUNTA(半紙!$B$11:$B$310),INDEX(半紙!$G$11:$G$310,76),IF(76&lt;=COUNTA(半紙!$B$11:$B$310)+COUNTA(条幅!$B$11:$B$310),INDEX(条幅!$G$11:$G$310,76-COUNTA(半紙!$B$11:$B$310)),IF(76&lt;=COUNTA(半紙!$B$11:$B$310)+COUNTA(条幅!$B$11:$B$310)+COUNTA(条幅4分の1!$B$11:$B$310),INDEX(条幅4分の1!$G$11:$G$310,76-COUNTA(半紙!$B$11:$B$310)-COUNTA(条幅!$B$11:$B$310)),"")))=0,"",IF(76&lt;=COUNTA(半紙!$B$11:$B$310),INDEX(半紙!$G$11:$G$310,76),IF(76&lt;=COUNTA(半紙!$B$11:$B$310)+COUNTA(条幅!$B$11:$B$310),INDEX(条幅!$G$11:$G$310,76-COUNTA(半紙!$B$11:$B$310)),IF(76&lt;=COUNTA(半紙!$B$11:$B$310)+COUNTA(条幅!$B$11:$B$310)+COUNTA(条幅4分の1!$B$11:$B$310),INDEX(条幅4分の1!$G$11:$G$310,76-COUNTA(半紙!$B$11:$B$310)-COUNTA(条幅!$B$11:$B$310)),""))))</f>
        <v/>
      </c>
      <c r="H81" s="38" t="str">
        <f>IF(IF(76&lt;=COUNTA(半紙!$B$11:$B$310),INDEX(半紙!$H$11:$H$310,76),IF(76&lt;=COUNTA(半紙!$B$11:$B$310)+COUNTA(条幅!$B$11:$B$310),INDEX(条幅!$H$11:$H$310,76-COUNTA(半紙!$B$11:$B$310)),IF(76&lt;=COUNTA(半紙!$B$11:$B$310)+COUNTA(条幅!$B$11:$B$310)+COUNTA(条幅4分の1!$B$11:$B$310),INDEX(条幅4分の1!$H$11:$H$310,76-COUNTA(半紙!$B$11:$B$310)-COUNTA(条幅!$B$11:$B$310)),"")))=0,"",IF(76&lt;=COUNTA(半紙!$B$11:$B$310),INDEX(半紙!$H$11:$H$310,76),IF(76&lt;=COUNTA(半紙!$B$11:$B$310)+COUNTA(条幅!$B$11:$B$310),INDEX(条幅!$H$11:$H$310,76-COUNTA(半紙!$B$11:$B$310)),IF(76&lt;=COUNTA(半紙!$B$11:$B$310)+COUNTA(条幅!$B$11:$B$310)+COUNTA(条幅4分の1!$B$11:$B$310),INDEX(条幅4分の1!$H$11:$H$310,76-COUNTA(半紙!$B$11:$B$310)-COUNTA(条幅!$B$11:$B$310)),""))))</f>
        <v/>
      </c>
      <c r="I81" s="38" t="str">
        <f>IF(IF(76&lt;=COUNTA(半紙!$B$11:$B$310),INDEX(半紙!$I$11:$I$310,76),IF(76&lt;=COUNTA(半紙!$B$11:$B$310)+COUNTA(条幅!$B$11:$B$310),INDEX(条幅!$I$11:$I$310,76-COUNTA(半紙!$B$11:$B$310)),IF(76&lt;=COUNTA(半紙!$B$11:$B$310)+COUNTA(条幅!$B$11:$B$310)+COUNTA(条幅4分の1!$B$11:$B$310),INDEX(条幅4分の1!$I$11:$I$310,76-COUNTA(半紙!$B$11:$B$310)-COUNTA(条幅!$B$11:$B$310)),"")))=0,"",IF(76&lt;=COUNTA(半紙!$B$11:$B$310),INDEX(半紙!$I$11:$I$310,76),IF(76&lt;=COUNTA(半紙!$B$11:$B$310)+COUNTA(条幅!$B$11:$B$310),INDEX(条幅!$I$11:$I$310,76-COUNTA(半紙!$B$11:$B$310)),IF(76&lt;=COUNTA(半紙!$B$11:$B$310)+COUNTA(条幅!$B$11:$B$310)+COUNTA(条幅4分の1!$B$11:$B$310),INDEX(条幅4分の1!$I$11:$I$310,76-COUNTA(半紙!$B$11:$B$310)-COUNTA(条幅!$B$11:$B$310)),""))))</f>
        <v/>
      </c>
      <c r="J81" s="38" t="str">
        <f>IF(IF(76&lt;=COUNTA(半紙!$B$11:$B$310),INDEX(半紙!$J$11:$J$310,76),IF(76&lt;=COUNTA(半紙!$B$11:$B$310)+COUNTA(条幅!$B$11:$B$310),INDEX(条幅!$J$11:$J$310,76-COUNTA(半紙!$B$11:$B$310)),IF(76&lt;=COUNTA(半紙!$B$11:$B$310)+COUNTA(条幅!$B$11:$B$310)+COUNTA(条幅4分の1!$B$11:$B$310),INDEX(条幅4分の1!$J$11:$J$310,76-COUNTA(半紙!$B$11:$B$310)-COUNTA(条幅!$B$11:$B$310)),"")))=0,"",IF(76&lt;=COUNTA(半紙!$B$11:$B$310),INDEX(半紙!$J$11:$J$310,76),IF(76&lt;=COUNTA(半紙!$B$11:$B$310)+COUNTA(条幅!$B$11:$B$310),INDEX(条幅!$J$11:$J$310,76-COUNTA(半紙!$B$11:$B$310)),IF(76&lt;=COUNTA(半紙!$B$11:$B$310)+COUNTA(条幅!$B$11:$B$310)+COUNTA(条幅4分の1!$B$11:$B$310),INDEX(条幅4分の1!$J$11:$J$310,76-COUNTA(半紙!$B$11:$B$310)-COUNTA(条幅!$B$11:$B$310)),""))))</f>
        <v/>
      </c>
      <c r="K81" s="38" t="str">
        <f>IF(IF(76&lt;=COUNTA(半紙!$B$11:$B$310),INDEX(半紙!$K$11:$K$310,76),IF(76&lt;=COUNTA(半紙!$B$11:$B$310)+COUNTA(条幅!$B$11:$B$310),INDEX(条幅!$K$11:$K$310,76-COUNTA(半紙!$B$11:$B$310)),IF(76&lt;=COUNTA(半紙!$B$11:$B$310)+COUNTA(条幅!$B$11:$B$310)+COUNTA(条幅4分の1!$B$11:$B$310),INDEX(条幅4分の1!$K$11:$K$310,76-COUNTA(半紙!$B$11:$B$310)-COUNTA(条幅!$B$11:$B$310)),"")))=0,"",IF(76&lt;=COUNTA(半紙!$B$11:$B$310),INDEX(半紙!$K$11:$K$310,76),IF(76&lt;=COUNTA(半紙!$B$11:$B$310)+COUNTA(条幅!$B$11:$B$310),INDEX(条幅!$K$11:$K$310,76-COUNTA(半紙!$B$11:$B$310)),IF(76&lt;=COUNTA(半紙!$B$11:$B$310)+COUNTA(条幅!$B$11:$B$310)+COUNTA(条幅4分の1!$B$11:$B$310),INDEX(条幅4分の1!$K$11:$K$310,76-COUNTA(半紙!$B$11:$B$310)-COUNTA(条幅!$B$11:$B$310)),""))))</f>
        <v/>
      </c>
      <c r="L81" s="48" t="str">
        <f>IF($B81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76))</f>
        <v/>
      </c>
    </row>
    <row r="82" spans="1:12" ht="15" customHeight="1">
      <c r="A82" s="37" t="str">
        <f>IF(77&lt;=COUNTA(半紙!$B$11:$B$310),"半紙",IF(77&lt;=COUNTA(半紙!$B$11:$B$310)+COUNTA(条幅!$B$11:$B$310),"条幅(半切)",IF(77&lt;=COUNTA(半紙!$B$11:$B$310)+COUNTA(条幅!$B$11:$B$310)+COUNTA(条幅4分の1!$B$11:$B$310),"条幅(1/4)","")))</f>
        <v/>
      </c>
      <c r="B82" s="38" t="str">
        <f>IF(IF(77&lt;=COUNTA(半紙!$B$11:$B$310),INDEX(半紙!$B$11:$B$310,77),IF(77&lt;=COUNTA(半紙!$B$11:$B$310)+COUNTA(条幅!$B$11:$B$310),INDEX(条幅!$B$11:$B$310,77-COUNTA(半紙!$B$11:$B$310)),IF(77&lt;=COUNTA(半紙!$B$11:$B$310)+COUNTA(条幅!$B$11:$B$310)+COUNTA(条幅4分の1!$B$11:$B$310),INDEX(条幅4分の1!$B$11:$B$310,77-COUNTA(半紙!$B$11:$B$310)-COUNTA(条幅!$B$11:$B$310)),"")))=0,"",IF(77&lt;=COUNTA(半紙!$B$11:$B$310),INDEX(半紙!$B$11:$B$310,77),IF(77&lt;=COUNTA(半紙!$B$11:$B$310)+COUNTA(条幅!$B$11:$B$310),INDEX(条幅!$B$11:$B$310,77-COUNTA(半紙!$B$11:$B$310)),IF(77&lt;=COUNTA(半紙!$B$11:$B$310)+COUNTA(条幅!$B$11:$B$310)+COUNTA(条幅4分の1!$B$11:$B$310),INDEX(条幅4分の1!$B$11:$B$310,77-COUNTA(半紙!$B$11:$B$310)-COUNTA(条幅!$B$11:$B$310)),""))))</f>
        <v/>
      </c>
      <c r="C82" s="38" t="str">
        <f>IF(IF(77&lt;=COUNTA(半紙!$B$11:$B$310),INDEX(半紙!$C$11:$C$310,77),IF(77&lt;=COUNTA(半紙!$B$11:$B$310)+COUNTA(条幅!$B$11:$B$310),INDEX(条幅!$C$11:$C$310,77-COUNTA(半紙!$B$11:$B$310)),IF(77&lt;=COUNTA(半紙!$B$11:$B$310)+COUNTA(条幅!$B$11:$B$310)+COUNTA(条幅4分の1!$B$11:$B$310),INDEX(条幅4分の1!$C$11:$C$310,77-COUNTA(半紙!$B$11:$B$310)-COUNTA(条幅!$B$11:$B$310)),"")))=0,"",IF(77&lt;=COUNTA(半紙!$B$11:$B$310),INDEX(半紙!$C$11:$C$310,77),IF(77&lt;=COUNTA(半紙!$B$11:$B$310)+COUNTA(条幅!$B$11:$B$310),INDEX(条幅!$C$11:$C$310,77-COUNTA(半紙!$B$11:$B$310)),IF(77&lt;=COUNTA(半紙!$B$11:$B$310)+COUNTA(条幅!$B$11:$B$310)+COUNTA(条幅4分の1!$B$11:$B$310),INDEX(条幅4分の1!$C$11:$C$310,77-COUNTA(半紙!$B$11:$B$310)-COUNTA(条幅!$B$11:$B$310)),""))))</f>
        <v/>
      </c>
      <c r="D82" s="38" t="str">
        <f>IF(IF(77&lt;=COUNTA(半紙!$B$11:$B$310),INDEX(半紙!$D$11:$D$310,77),IF(77&lt;=COUNTA(半紙!$B$11:$B$310)+COUNTA(条幅!$B$11:$B$310),INDEX(条幅!$D$11:$D$310,77-COUNTA(半紙!$B$11:$B$310)),IF(77&lt;=COUNTA(半紙!$B$11:$B$310)+COUNTA(条幅!$B$11:$B$310)+COUNTA(条幅4分の1!$B$11:$B$310),INDEX(条幅4分の1!$D$11:$D$310,77-COUNTA(半紙!$B$11:$B$310)-COUNTA(条幅!$B$11:$B$310)),"")))=0,"",IF(77&lt;=COUNTA(半紙!$B$11:$B$310),INDEX(半紙!$D$11:$D$310,77),IF(77&lt;=COUNTA(半紙!$B$11:$B$310)+COUNTA(条幅!$B$11:$B$310),INDEX(条幅!$D$11:$D$310,77-COUNTA(半紙!$B$11:$B$310)),IF(77&lt;=COUNTA(半紙!$B$11:$B$310)+COUNTA(条幅!$B$11:$B$310)+COUNTA(条幅4分の1!$B$11:$B$310),INDEX(条幅4分の1!$D$11:$D$310,77-COUNTA(半紙!$B$11:$B$310)-COUNTA(条幅!$B$11:$B$310)),""))))</f>
        <v/>
      </c>
      <c r="E82" s="38" t="str">
        <f>IF(IF(77&lt;=COUNTA(半紙!$B$11:$B$310),INDEX(半紙!$E$11:$E$310,77),IF(77&lt;=COUNTA(半紙!$B$11:$B$310)+COUNTA(条幅!$B$11:$B$310),INDEX(条幅!$E$11:$E$310,77-COUNTA(半紙!$B$11:$B$310)),IF(77&lt;=COUNTA(半紙!$B$11:$B$310)+COUNTA(条幅!$B$11:$B$310)+COUNTA(条幅4分の1!$B$11:$B$310),INDEX(条幅4分の1!$E$11:$E$310,77-COUNTA(半紙!$B$11:$B$310)-COUNTA(条幅!$B$11:$B$310)),"")))=0,"",IF(77&lt;=COUNTA(半紙!$B$11:$B$310),INDEX(半紙!$E$11:$E$310,77),IF(77&lt;=COUNTA(半紙!$B$11:$B$310)+COUNTA(条幅!$B$11:$B$310),INDEX(条幅!$E$11:$E$310,77-COUNTA(半紙!$B$11:$B$310)),IF(77&lt;=COUNTA(半紙!$B$11:$B$310)+COUNTA(条幅!$B$11:$B$310)+COUNTA(条幅4分の1!$B$11:$B$310),INDEX(条幅4分の1!$E$11:$E$310,77-COUNTA(半紙!$B$11:$B$310)-COUNTA(条幅!$B$11:$B$310)),""))))</f>
        <v/>
      </c>
      <c r="F82" s="38" t="str">
        <f>IF(IF(77&lt;=COUNTA(半紙!$B$11:$B$310),INDEX(半紙!$F$11:$F$310,77),IF(77&lt;=COUNTA(半紙!$B$11:$B$310)+COUNTA(条幅!$B$11:$B$310),INDEX(条幅!$F$11:$F$310,77-COUNTA(半紙!$B$11:$B$310)),IF(77&lt;=COUNTA(半紙!$B$11:$B$310)+COUNTA(条幅!$B$11:$B$310)+COUNTA(条幅4分の1!$B$11:$B$310),INDEX(条幅4分の1!$F$11:$F$310,77-COUNTA(半紙!$B$11:$B$310)-COUNTA(条幅!$B$11:$B$310)),"")))=0,"",IF(77&lt;=COUNTA(半紙!$B$11:$B$310),INDEX(半紙!$F$11:$F$310,77),IF(77&lt;=COUNTA(半紙!$B$11:$B$310)+COUNTA(条幅!$B$11:$B$310),INDEX(条幅!$F$11:$F$310,77-COUNTA(半紙!$B$11:$B$310)),IF(77&lt;=COUNTA(半紙!$B$11:$B$310)+COUNTA(条幅!$B$11:$B$310)+COUNTA(条幅4分の1!$B$11:$B$310),INDEX(条幅4分の1!$F$11:$F$310,77-COUNTA(半紙!$B$11:$B$310)-COUNTA(条幅!$B$11:$B$310)),""))))</f>
        <v/>
      </c>
      <c r="G82" s="38" t="str">
        <f>IF(IF(77&lt;=COUNTA(半紙!$B$11:$B$310),INDEX(半紙!$G$11:$G$310,77),IF(77&lt;=COUNTA(半紙!$B$11:$B$310)+COUNTA(条幅!$B$11:$B$310),INDEX(条幅!$G$11:$G$310,77-COUNTA(半紙!$B$11:$B$310)),IF(77&lt;=COUNTA(半紙!$B$11:$B$310)+COUNTA(条幅!$B$11:$B$310)+COUNTA(条幅4分の1!$B$11:$B$310),INDEX(条幅4分の1!$G$11:$G$310,77-COUNTA(半紙!$B$11:$B$310)-COUNTA(条幅!$B$11:$B$310)),"")))=0,"",IF(77&lt;=COUNTA(半紙!$B$11:$B$310),INDEX(半紙!$G$11:$G$310,77),IF(77&lt;=COUNTA(半紙!$B$11:$B$310)+COUNTA(条幅!$B$11:$B$310),INDEX(条幅!$G$11:$G$310,77-COUNTA(半紙!$B$11:$B$310)),IF(77&lt;=COUNTA(半紙!$B$11:$B$310)+COUNTA(条幅!$B$11:$B$310)+COUNTA(条幅4分の1!$B$11:$B$310),INDEX(条幅4分の1!$G$11:$G$310,77-COUNTA(半紙!$B$11:$B$310)-COUNTA(条幅!$B$11:$B$310)),""))))</f>
        <v/>
      </c>
      <c r="H82" s="38" t="str">
        <f>IF(IF(77&lt;=COUNTA(半紙!$B$11:$B$310),INDEX(半紙!$H$11:$H$310,77),IF(77&lt;=COUNTA(半紙!$B$11:$B$310)+COUNTA(条幅!$B$11:$B$310),INDEX(条幅!$H$11:$H$310,77-COUNTA(半紙!$B$11:$B$310)),IF(77&lt;=COUNTA(半紙!$B$11:$B$310)+COUNTA(条幅!$B$11:$B$310)+COUNTA(条幅4分の1!$B$11:$B$310),INDEX(条幅4分の1!$H$11:$H$310,77-COUNTA(半紙!$B$11:$B$310)-COUNTA(条幅!$B$11:$B$310)),"")))=0,"",IF(77&lt;=COUNTA(半紙!$B$11:$B$310),INDEX(半紙!$H$11:$H$310,77),IF(77&lt;=COUNTA(半紙!$B$11:$B$310)+COUNTA(条幅!$B$11:$B$310),INDEX(条幅!$H$11:$H$310,77-COUNTA(半紙!$B$11:$B$310)),IF(77&lt;=COUNTA(半紙!$B$11:$B$310)+COUNTA(条幅!$B$11:$B$310)+COUNTA(条幅4分の1!$B$11:$B$310),INDEX(条幅4分の1!$H$11:$H$310,77-COUNTA(半紙!$B$11:$B$310)-COUNTA(条幅!$B$11:$B$310)),""))))</f>
        <v/>
      </c>
      <c r="I82" s="38" t="str">
        <f>IF(IF(77&lt;=COUNTA(半紙!$B$11:$B$310),INDEX(半紙!$I$11:$I$310,77),IF(77&lt;=COUNTA(半紙!$B$11:$B$310)+COUNTA(条幅!$B$11:$B$310),INDEX(条幅!$I$11:$I$310,77-COUNTA(半紙!$B$11:$B$310)),IF(77&lt;=COUNTA(半紙!$B$11:$B$310)+COUNTA(条幅!$B$11:$B$310)+COUNTA(条幅4分の1!$B$11:$B$310),INDEX(条幅4分の1!$I$11:$I$310,77-COUNTA(半紙!$B$11:$B$310)-COUNTA(条幅!$B$11:$B$310)),"")))=0,"",IF(77&lt;=COUNTA(半紙!$B$11:$B$310),INDEX(半紙!$I$11:$I$310,77),IF(77&lt;=COUNTA(半紙!$B$11:$B$310)+COUNTA(条幅!$B$11:$B$310),INDEX(条幅!$I$11:$I$310,77-COUNTA(半紙!$B$11:$B$310)),IF(77&lt;=COUNTA(半紙!$B$11:$B$310)+COUNTA(条幅!$B$11:$B$310)+COUNTA(条幅4分の1!$B$11:$B$310),INDEX(条幅4分の1!$I$11:$I$310,77-COUNTA(半紙!$B$11:$B$310)-COUNTA(条幅!$B$11:$B$310)),""))))</f>
        <v/>
      </c>
      <c r="J82" s="38" t="str">
        <f>IF(IF(77&lt;=COUNTA(半紙!$B$11:$B$310),INDEX(半紙!$J$11:$J$310,77),IF(77&lt;=COUNTA(半紙!$B$11:$B$310)+COUNTA(条幅!$B$11:$B$310),INDEX(条幅!$J$11:$J$310,77-COUNTA(半紙!$B$11:$B$310)),IF(77&lt;=COUNTA(半紙!$B$11:$B$310)+COUNTA(条幅!$B$11:$B$310)+COUNTA(条幅4分の1!$B$11:$B$310),INDEX(条幅4分の1!$J$11:$J$310,77-COUNTA(半紙!$B$11:$B$310)-COUNTA(条幅!$B$11:$B$310)),"")))=0,"",IF(77&lt;=COUNTA(半紙!$B$11:$B$310),INDEX(半紙!$J$11:$J$310,77),IF(77&lt;=COUNTA(半紙!$B$11:$B$310)+COUNTA(条幅!$B$11:$B$310),INDEX(条幅!$J$11:$J$310,77-COUNTA(半紙!$B$11:$B$310)),IF(77&lt;=COUNTA(半紙!$B$11:$B$310)+COUNTA(条幅!$B$11:$B$310)+COUNTA(条幅4分の1!$B$11:$B$310),INDEX(条幅4分の1!$J$11:$J$310,77-COUNTA(半紙!$B$11:$B$310)-COUNTA(条幅!$B$11:$B$310)),""))))</f>
        <v/>
      </c>
      <c r="K82" s="38" t="str">
        <f>IF(IF(77&lt;=COUNTA(半紙!$B$11:$B$310),INDEX(半紙!$K$11:$K$310,77),IF(77&lt;=COUNTA(半紙!$B$11:$B$310)+COUNTA(条幅!$B$11:$B$310),INDEX(条幅!$K$11:$K$310,77-COUNTA(半紙!$B$11:$B$310)),IF(77&lt;=COUNTA(半紙!$B$11:$B$310)+COUNTA(条幅!$B$11:$B$310)+COUNTA(条幅4分の1!$B$11:$B$310),INDEX(条幅4分の1!$K$11:$K$310,77-COUNTA(半紙!$B$11:$B$310)-COUNTA(条幅!$B$11:$B$310)),"")))=0,"",IF(77&lt;=COUNTA(半紙!$B$11:$B$310),INDEX(半紙!$K$11:$K$310,77),IF(77&lt;=COUNTA(半紙!$B$11:$B$310)+COUNTA(条幅!$B$11:$B$310),INDEX(条幅!$K$11:$K$310,77-COUNTA(半紙!$B$11:$B$310)),IF(77&lt;=COUNTA(半紙!$B$11:$B$310)+COUNTA(条幅!$B$11:$B$310)+COUNTA(条幅4分の1!$B$11:$B$310),INDEX(条幅4分の1!$K$11:$K$310,77-COUNTA(半紙!$B$11:$B$310)-COUNTA(条幅!$B$11:$B$310)),""))))</f>
        <v/>
      </c>
      <c r="L82" s="48" t="str">
        <f>IF($B82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77))</f>
        <v/>
      </c>
    </row>
    <row r="83" spans="1:12" ht="15" customHeight="1">
      <c r="A83" s="37" t="str">
        <f>IF(78&lt;=COUNTA(半紙!$B$11:$B$310),"半紙",IF(78&lt;=COUNTA(半紙!$B$11:$B$310)+COUNTA(条幅!$B$11:$B$310),"条幅(半切)",IF(78&lt;=COUNTA(半紙!$B$11:$B$310)+COUNTA(条幅!$B$11:$B$310)+COUNTA(条幅4分の1!$B$11:$B$310),"条幅(1/4)","")))</f>
        <v/>
      </c>
      <c r="B83" s="38" t="str">
        <f>IF(IF(78&lt;=COUNTA(半紙!$B$11:$B$310),INDEX(半紙!$B$11:$B$310,78),IF(78&lt;=COUNTA(半紙!$B$11:$B$310)+COUNTA(条幅!$B$11:$B$310),INDEX(条幅!$B$11:$B$310,78-COUNTA(半紙!$B$11:$B$310)),IF(78&lt;=COUNTA(半紙!$B$11:$B$310)+COUNTA(条幅!$B$11:$B$310)+COUNTA(条幅4分の1!$B$11:$B$310),INDEX(条幅4分の1!$B$11:$B$310,78-COUNTA(半紙!$B$11:$B$310)-COUNTA(条幅!$B$11:$B$310)),"")))=0,"",IF(78&lt;=COUNTA(半紙!$B$11:$B$310),INDEX(半紙!$B$11:$B$310,78),IF(78&lt;=COUNTA(半紙!$B$11:$B$310)+COUNTA(条幅!$B$11:$B$310),INDEX(条幅!$B$11:$B$310,78-COUNTA(半紙!$B$11:$B$310)),IF(78&lt;=COUNTA(半紙!$B$11:$B$310)+COUNTA(条幅!$B$11:$B$310)+COUNTA(条幅4分の1!$B$11:$B$310),INDEX(条幅4分の1!$B$11:$B$310,78-COUNTA(半紙!$B$11:$B$310)-COUNTA(条幅!$B$11:$B$310)),""))))</f>
        <v/>
      </c>
      <c r="C83" s="38" t="str">
        <f>IF(IF(78&lt;=COUNTA(半紙!$B$11:$B$310),INDEX(半紙!$C$11:$C$310,78),IF(78&lt;=COUNTA(半紙!$B$11:$B$310)+COUNTA(条幅!$B$11:$B$310),INDEX(条幅!$C$11:$C$310,78-COUNTA(半紙!$B$11:$B$310)),IF(78&lt;=COUNTA(半紙!$B$11:$B$310)+COUNTA(条幅!$B$11:$B$310)+COUNTA(条幅4分の1!$B$11:$B$310),INDEX(条幅4分の1!$C$11:$C$310,78-COUNTA(半紙!$B$11:$B$310)-COUNTA(条幅!$B$11:$B$310)),"")))=0,"",IF(78&lt;=COUNTA(半紙!$B$11:$B$310),INDEX(半紙!$C$11:$C$310,78),IF(78&lt;=COUNTA(半紙!$B$11:$B$310)+COUNTA(条幅!$B$11:$B$310),INDEX(条幅!$C$11:$C$310,78-COUNTA(半紙!$B$11:$B$310)),IF(78&lt;=COUNTA(半紙!$B$11:$B$310)+COUNTA(条幅!$B$11:$B$310)+COUNTA(条幅4分の1!$B$11:$B$310),INDEX(条幅4分の1!$C$11:$C$310,78-COUNTA(半紙!$B$11:$B$310)-COUNTA(条幅!$B$11:$B$310)),""))))</f>
        <v/>
      </c>
      <c r="D83" s="38" t="str">
        <f>IF(IF(78&lt;=COUNTA(半紙!$B$11:$B$310),INDEX(半紙!$D$11:$D$310,78),IF(78&lt;=COUNTA(半紙!$B$11:$B$310)+COUNTA(条幅!$B$11:$B$310),INDEX(条幅!$D$11:$D$310,78-COUNTA(半紙!$B$11:$B$310)),IF(78&lt;=COUNTA(半紙!$B$11:$B$310)+COUNTA(条幅!$B$11:$B$310)+COUNTA(条幅4分の1!$B$11:$B$310),INDEX(条幅4分の1!$D$11:$D$310,78-COUNTA(半紙!$B$11:$B$310)-COUNTA(条幅!$B$11:$B$310)),"")))=0,"",IF(78&lt;=COUNTA(半紙!$B$11:$B$310),INDEX(半紙!$D$11:$D$310,78),IF(78&lt;=COUNTA(半紙!$B$11:$B$310)+COUNTA(条幅!$B$11:$B$310),INDEX(条幅!$D$11:$D$310,78-COUNTA(半紙!$B$11:$B$310)),IF(78&lt;=COUNTA(半紙!$B$11:$B$310)+COUNTA(条幅!$B$11:$B$310)+COUNTA(条幅4分の1!$B$11:$B$310),INDEX(条幅4分の1!$D$11:$D$310,78-COUNTA(半紙!$B$11:$B$310)-COUNTA(条幅!$B$11:$B$310)),""))))</f>
        <v/>
      </c>
      <c r="E83" s="38" t="str">
        <f>IF(IF(78&lt;=COUNTA(半紙!$B$11:$B$310),INDEX(半紙!$E$11:$E$310,78),IF(78&lt;=COUNTA(半紙!$B$11:$B$310)+COUNTA(条幅!$B$11:$B$310),INDEX(条幅!$E$11:$E$310,78-COUNTA(半紙!$B$11:$B$310)),IF(78&lt;=COUNTA(半紙!$B$11:$B$310)+COUNTA(条幅!$B$11:$B$310)+COUNTA(条幅4分の1!$B$11:$B$310),INDEX(条幅4分の1!$E$11:$E$310,78-COUNTA(半紙!$B$11:$B$310)-COUNTA(条幅!$B$11:$B$310)),"")))=0,"",IF(78&lt;=COUNTA(半紙!$B$11:$B$310),INDEX(半紙!$E$11:$E$310,78),IF(78&lt;=COUNTA(半紙!$B$11:$B$310)+COUNTA(条幅!$B$11:$B$310),INDEX(条幅!$E$11:$E$310,78-COUNTA(半紙!$B$11:$B$310)),IF(78&lt;=COUNTA(半紙!$B$11:$B$310)+COUNTA(条幅!$B$11:$B$310)+COUNTA(条幅4分の1!$B$11:$B$310),INDEX(条幅4分の1!$E$11:$E$310,78-COUNTA(半紙!$B$11:$B$310)-COUNTA(条幅!$B$11:$B$310)),""))))</f>
        <v/>
      </c>
      <c r="F83" s="38" t="str">
        <f>IF(IF(78&lt;=COUNTA(半紙!$B$11:$B$310),INDEX(半紙!$F$11:$F$310,78),IF(78&lt;=COUNTA(半紙!$B$11:$B$310)+COUNTA(条幅!$B$11:$B$310),INDEX(条幅!$F$11:$F$310,78-COUNTA(半紙!$B$11:$B$310)),IF(78&lt;=COUNTA(半紙!$B$11:$B$310)+COUNTA(条幅!$B$11:$B$310)+COUNTA(条幅4分の1!$B$11:$B$310),INDEX(条幅4分の1!$F$11:$F$310,78-COUNTA(半紙!$B$11:$B$310)-COUNTA(条幅!$B$11:$B$310)),"")))=0,"",IF(78&lt;=COUNTA(半紙!$B$11:$B$310),INDEX(半紙!$F$11:$F$310,78),IF(78&lt;=COUNTA(半紙!$B$11:$B$310)+COUNTA(条幅!$B$11:$B$310),INDEX(条幅!$F$11:$F$310,78-COUNTA(半紙!$B$11:$B$310)),IF(78&lt;=COUNTA(半紙!$B$11:$B$310)+COUNTA(条幅!$B$11:$B$310)+COUNTA(条幅4分の1!$B$11:$B$310),INDEX(条幅4分の1!$F$11:$F$310,78-COUNTA(半紙!$B$11:$B$310)-COUNTA(条幅!$B$11:$B$310)),""))))</f>
        <v/>
      </c>
      <c r="G83" s="38" t="str">
        <f>IF(IF(78&lt;=COUNTA(半紙!$B$11:$B$310),INDEX(半紙!$G$11:$G$310,78),IF(78&lt;=COUNTA(半紙!$B$11:$B$310)+COUNTA(条幅!$B$11:$B$310),INDEX(条幅!$G$11:$G$310,78-COUNTA(半紙!$B$11:$B$310)),IF(78&lt;=COUNTA(半紙!$B$11:$B$310)+COUNTA(条幅!$B$11:$B$310)+COUNTA(条幅4分の1!$B$11:$B$310),INDEX(条幅4分の1!$G$11:$G$310,78-COUNTA(半紙!$B$11:$B$310)-COUNTA(条幅!$B$11:$B$310)),"")))=0,"",IF(78&lt;=COUNTA(半紙!$B$11:$B$310),INDEX(半紙!$G$11:$G$310,78),IF(78&lt;=COUNTA(半紙!$B$11:$B$310)+COUNTA(条幅!$B$11:$B$310),INDEX(条幅!$G$11:$G$310,78-COUNTA(半紙!$B$11:$B$310)),IF(78&lt;=COUNTA(半紙!$B$11:$B$310)+COUNTA(条幅!$B$11:$B$310)+COUNTA(条幅4分の1!$B$11:$B$310),INDEX(条幅4分の1!$G$11:$G$310,78-COUNTA(半紙!$B$11:$B$310)-COUNTA(条幅!$B$11:$B$310)),""))))</f>
        <v/>
      </c>
      <c r="H83" s="38" t="str">
        <f>IF(IF(78&lt;=COUNTA(半紙!$B$11:$B$310),INDEX(半紙!$H$11:$H$310,78),IF(78&lt;=COUNTA(半紙!$B$11:$B$310)+COUNTA(条幅!$B$11:$B$310),INDEX(条幅!$H$11:$H$310,78-COUNTA(半紙!$B$11:$B$310)),IF(78&lt;=COUNTA(半紙!$B$11:$B$310)+COUNTA(条幅!$B$11:$B$310)+COUNTA(条幅4分の1!$B$11:$B$310),INDEX(条幅4分の1!$H$11:$H$310,78-COUNTA(半紙!$B$11:$B$310)-COUNTA(条幅!$B$11:$B$310)),"")))=0,"",IF(78&lt;=COUNTA(半紙!$B$11:$B$310),INDEX(半紙!$H$11:$H$310,78),IF(78&lt;=COUNTA(半紙!$B$11:$B$310)+COUNTA(条幅!$B$11:$B$310),INDEX(条幅!$H$11:$H$310,78-COUNTA(半紙!$B$11:$B$310)),IF(78&lt;=COUNTA(半紙!$B$11:$B$310)+COUNTA(条幅!$B$11:$B$310)+COUNTA(条幅4分の1!$B$11:$B$310),INDEX(条幅4分の1!$H$11:$H$310,78-COUNTA(半紙!$B$11:$B$310)-COUNTA(条幅!$B$11:$B$310)),""))))</f>
        <v/>
      </c>
      <c r="I83" s="38" t="str">
        <f>IF(IF(78&lt;=COUNTA(半紙!$B$11:$B$310),INDEX(半紙!$I$11:$I$310,78),IF(78&lt;=COUNTA(半紙!$B$11:$B$310)+COUNTA(条幅!$B$11:$B$310),INDEX(条幅!$I$11:$I$310,78-COUNTA(半紙!$B$11:$B$310)),IF(78&lt;=COUNTA(半紙!$B$11:$B$310)+COUNTA(条幅!$B$11:$B$310)+COUNTA(条幅4分の1!$B$11:$B$310),INDEX(条幅4分の1!$I$11:$I$310,78-COUNTA(半紙!$B$11:$B$310)-COUNTA(条幅!$B$11:$B$310)),"")))=0,"",IF(78&lt;=COUNTA(半紙!$B$11:$B$310),INDEX(半紙!$I$11:$I$310,78),IF(78&lt;=COUNTA(半紙!$B$11:$B$310)+COUNTA(条幅!$B$11:$B$310),INDEX(条幅!$I$11:$I$310,78-COUNTA(半紙!$B$11:$B$310)),IF(78&lt;=COUNTA(半紙!$B$11:$B$310)+COUNTA(条幅!$B$11:$B$310)+COUNTA(条幅4分の1!$B$11:$B$310),INDEX(条幅4分の1!$I$11:$I$310,78-COUNTA(半紙!$B$11:$B$310)-COUNTA(条幅!$B$11:$B$310)),""))))</f>
        <v/>
      </c>
      <c r="J83" s="38" t="str">
        <f>IF(IF(78&lt;=COUNTA(半紙!$B$11:$B$310),INDEX(半紙!$J$11:$J$310,78),IF(78&lt;=COUNTA(半紙!$B$11:$B$310)+COUNTA(条幅!$B$11:$B$310),INDEX(条幅!$J$11:$J$310,78-COUNTA(半紙!$B$11:$B$310)),IF(78&lt;=COUNTA(半紙!$B$11:$B$310)+COUNTA(条幅!$B$11:$B$310)+COUNTA(条幅4分の1!$B$11:$B$310),INDEX(条幅4分の1!$J$11:$J$310,78-COUNTA(半紙!$B$11:$B$310)-COUNTA(条幅!$B$11:$B$310)),"")))=0,"",IF(78&lt;=COUNTA(半紙!$B$11:$B$310),INDEX(半紙!$J$11:$J$310,78),IF(78&lt;=COUNTA(半紙!$B$11:$B$310)+COUNTA(条幅!$B$11:$B$310),INDEX(条幅!$J$11:$J$310,78-COUNTA(半紙!$B$11:$B$310)),IF(78&lt;=COUNTA(半紙!$B$11:$B$310)+COUNTA(条幅!$B$11:$B$310)+COUNTA(条幅4分の1!$B$11:$B$310),INDEX(条幅4分の1!$J$11:$J$310,78-COUNTA(半紙!$B$11:$B$310)-COUNTA(条幅!$B$11:$B$310)),""))))</f>
        <v/>
      </c>
      <c r="K83" s="38" t="str">
        <f>IF(IF(78&lt;=COUNTA(半紙!$B$11:$B$310),INDEX(半紙!$K$11:$K$310,78),IF(78&lt;=COUNTA(半紙!$B$11:$B$310)+COUNTA(条幅!$B$11:$B$310),INDEX(条幅!$K$11:$K$310,78-COUNTA(半紙!$B$11:$B$310)),IF(78&lt;=COUNTA(半紙!$B$11:$B$310)+COUNTA(条幅!$B$11:$B$310)+COUNTA(条幅4分の1!$B$11:$B$310),INDEX(条幅4分の1!$K$11:$K$310,78-COUNTA(半紙!$B$11:$B$310)-COUNTA(条幅!$B$11:$B$310)),"")))=0,"",IF(78&lt;=COUNTA(半紙!$B$11:$B$310),INDEX(半紙!$K$11:$K$310,78),IF(78&lt;=COUNTA(半紙!$B$11:$B$310)+COUNTA(条幅!$B$11:$B$310),INDEX(条幅!$K$11:$K$310,78-COUNTA(半紙!$B$11:$B$310)),IF(78&lt;=COUNTA(半紙!$B$11:$B$310)+COUNTA(条幅!$B$11:$B$310)+COUNTA(条幅4分の1!$B$11:$B$310),INDEX(条幅4分の1!$K$11:$K$310,78-COUNTA(半紙!$B$11:$B$310)-COUNTA(条幅!$B$11:$B$310)),""))))</f>
        <v/>
      </c>
      <c r="L83" s="48" t="str">
        <f>IF($B83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78))</f>
        <v/>
      </c>
    </row>
    <row r="84" spans="1:12" ht="15" customHeight="1">
      <c r="A84" s="37" t="str">
        <f>IF(79&lt;=COUNTA(半紙!$B$11:$B$310),"半紙",IF(79&lt;=COUNTA(半紙!$B$11:$B$310)+COUNTA(条幅!$B$11:$B$310),"条幅(半切)",IF(79&lt;=COUNTA(半紙!$B$11:$B$310)+COUNTA(条幅!$B$11:$B$310)+COUNTA(条幅4分の1!$B$11:$B$310),"条幅(1/4)","")))</f>
        <v/>
      </c>
      <c r="B84" s="38" t="str">
        <f>IF(IF(79&lt;=COUNTA(半紙!$B$11:$B$310),INDEX(半紙!$B$11:$B$310,79),IF(79&lt;=COUNTA(半紙!$B$11:$B$310)+COUNTA(条幅!$B$11:$B$310),INDEX(条幅!$B$11:$B$310,79-COUNTA(半紙!$B$11:$B$310)),IF(79&lt;=COUNTA(半紙!$B$11:$B$310)+COUNTA(条幅!$B$11:$B$310)+COUNTA(条幅4分の1!$B$11:$B$310),INDEX(条幅4分の1!$B$11:$B$310,79-COUNTA(半紙!$B$11:$B$310)-COUNTA(条幅!$B$11:$B$310)),"")))=0,"",IF(79&lt;=COUNTA(半紙!$B$11:$B$310),INDEX(半紙!$B$11:$B$310,79),IF(79&lt;=COUNTA(半紙!$B$11:$B$310)+COUNTA(条幅!$B$11:$B$310),INDEX(条幅!$B$11:$B$310,79-COUNTA(半紙!$B$11:$B$310)),IF(79&lt;=COUNTA(半紙!$B$11:$B$310)+COUNTA(条幅!$B$11:$B$310)+COUNTA(条幅4分の1!$B$11:$B$310),INDEX(条幅4分の1!$B$11:$B$310,79-COUNTA(半紙!$B$11:$B$310)-COUNTA(条幅!$B$11:$B$310)),""))))</f>
        <v/>
      </c>
      <c r="C84" s="38" t="str">
        <f>IF(IF(79&lt;=COUNTA(半紙!$B$11:$B$310),INDEX(半紙!$C$11:$C$310,79),IF(79&lt;=COUNTA(半紙!$B$11:$B$310)+COUNTA(条幅!$B$11:$B$310),INDEX(条幅!$C$11:$C$310,79-COUNTA(半紙!$B$11:$B$310)),IF(79&lt;=COUNTA(半紙!$B$11:$B$310)+COUNTA(条幅!$B$11:$B$310)+COUNTA(条幅4分の1!$B$11:$B$310),INDEX(条幅4分の1!$C$11:$C$310,79-COUNTA(半紙!$B$11:$B$310)-COUNTA(条幅!$B$11:$B$310)),"")))=0,"",IF(79&lt;=COUNTA(半紙!$B$11:$B$310),INDEX(半紙!$C$11:$C$310,79),IF(79&lt;=COUNTA(半紙!$B$11:$B$310)+COUNTA(条幅!$B$11:$B$310),INDEX(条幅!$C$11:$C$310,79-COUNTA(半紙!$B$11:$B$310)),IF(79&lt;=COUNTA(半紙!$B$11:$B$310)+COUNTA(条幅!$B$11:$B$310)+COUNTA(条幅4分の1!$B$11:$B$310),INDEX(条幅4分の1!$C$11:$C$310,79-COUNTA(半紙!$B$11:$B$310)-COUNTA(条幅!$B$11:$B$310)),""))))</f>
        <v/>
      </c>
      <c r="D84" s="38" t="str">
        <f>IF(IF(79&lt;=COUNTA(半紙!$B$11:$B$310),INDEX(半紙!$D$11:$D$310,79),IF(79&lt;=COUNTA(半紙!$B$11:$B$310)+COUNTA(条幅!$B$11:$B$310),INDEX(条幅!$D$11:$D$310,79-COUNTA(半紙!$B$11:$B$310)),IF(79&lt;=COUNTA(半紙!$B$11:$B$310)+COUNTA(条幅!$B$11:$B$310)+COUNTA(条幅4分の1!$B$11:$B$310),INDEX(条幅4分の1!$D$11:$D$310,79-COUNTA(半紙!$B$11:$B$310)-COUNTA(条幅!$B$11:$B$310)),"")))=0,"",IF(79&lt;=COUNTA(半紙!$B$11:$B$310),INDEX(半紙!$D$11:$D$310,79),IF(79&lt;=COUNTA(半紙!$B$11:$B$310)+COUNTA(条幅!$B$11:$B$310),INDEX(条幅!$D$11:$D$310,79-COUNTA(半紙!$B$11:$B$310)),IF(79&lt;=COUNTA(半紙!$B$11:$B$310)+COUNTA(条幅!$B$11:$B$310)+COUNTA(条幅4分の1!$B$11:$B$310),INDEX(条幅4分の1!$D$11:$D$310,79-COUNTA(半紙!$B$11:$B$310)-COUNTA(条幅!$B$11:$B$310)),""))))</f>
        <v/>
      </c>
      <c r="E84" s="38" t="str">
        <f>IF(IF(79&lt;=COUNTA(半紙!$B$11:$B$310),INDEX(半紙!$E$11:$E$310,79),IF(79&lt;=COUNTA(半紙!$B$11:$B$310)+COUNTA(条幅!$B$11:$B$310),INDEX(条幅!$E$11:$E$310,79-COUNTA(半紙!$B$11:$B$310)),IF(79&lt;=COUNTA(半紙!$B$11:$B$310)+COUNTA(条幅!$B$11:$B$310)+COUNTA(条幅4分の1!$B$11:$B$310),INDEX(条幅4分の1!$E$11:$E$310,79-COUNTA(半紙!$B$11:$B$310)-COUNTA(条幅!$B$11:$B$310)),"")))=0,"",IF(79&lt;=COUNTA(半紙!$B$11:$B$310),INDEX(半紙!$E$11:$E$310,79),IF(79&lt;=COUNTA(半紙!$B$11:$B$310)+COUNTA(条幅!$B$11:$B$310),INDEX(条幅!$E$11:$E$310,79-COUNTA(半紙!$B$11:$B$310)),IF(79&lt;=COUNTA(半紙!$B$11:$B$310)+COUNTA(条幅!$B$11:$B$310)+COUNTA(条幅4分の1!$B$11:$B$310),INDEX(条幅4分の1!$E$11:$E$310,79-COUNTA(半紙!$B$11:$B$310)-COUNTA(条幅!$B$11:$B$310)),""))))</f>
        <v/>
      </c>
      <c r="F84" s="38" t="str">
        <f>IF(IF(79&lt;=COUNTA(半紙!$B$11:$B$310),INDEX(半紙!$F$11:$F$310,79),IF(79&lt;=COUNTA(半紙!$B$11:$B$310)+COUNTA(条幅!$B$11:$B$310),INDEX(条幅!$F$11:$F$310,79-COUNTA(半紙!$B$11:$B$310)),IF(79&lt;=COUNTA(半紙!$B$11:$B$310)+COUNTA(条幅!$B$11:$B$310)+COUNTA(条幅4分の1!$B$11:$B$310),INDEX(条幅4分の1!$F$11:$F$310,79-COUNTA(半紙!$B$11:$B$310)-COUNTA(条幅!$B$11:$B$310)),"")))=0,"",IF(79&lt;=COUNTA(半紙!$B$11:$B$310),INDEX(半紙!$F$11:$F$310,79),IF(79&lt;=COUNTA(半紙!$B$11:$B$310)+COUNTA(条幅!$B$11:$B$310),INDEX(条幅!$F$11:$F$310,79-COUNTA(半紙!$B$11:$B$310)),IF(79&lt;=COUNTA(半紙!$B$11:$B$310)+COUNTA(条幅!$B$11:$B$310)+COUNTA(条幅4分の1!$B$11:$B$310),INDEX(条幅4分の1!$F$11:$F$310,79-COUNTA(半紙!$B$11:$B$310)-COUNTA(条幅!$B$11:$B$310)),""))))</f>
        <v/>
      </c>
      <c r="G84" s="38" t="str">
        <f>IF(IF(79&lt;=COUNTA(半紙!$B$11:$B$310),INDEX(半紙!$G$11:$G$310,79),IF(79&lt;=COUNTA(半紙!$B$11:$B$310)+COUNTA(条幅!$B$11:$B$310),INDEX(条幅!$G$11:$G$310,79-COUNTA(半紙!$B$11:$B$310)),IF(79&lt;=COUNTA(半紙!$B$11:$B$310)+COUNTA(条幅!$B$11:$B$310)+COUNTA(条幅4分の1!$B$11:$B$310),INDEX(条幅4分の1!$G$11:$G$310,79-COUNTA(半紙!$B$11:$B$310)-COUNTA(条幅!$B$11:$B$310)),"")))=0,"",IF(79&lt;=COUNTA(半紙!$B$11:$B$310),INDEX(半紙!$G$11:$G$310,79),IF(79&lt;=COUNTA(半紙!$B$11:$B$310)+COUNTA(条幅!$B$11:$B$310),INDEX(条幅!$G$11:$G$310,79-COUNTA(半紙!$B$11:$B$310)),IF(79&lt;=COUNTA(半紙!$B$11:$B$310)+COUNTA(条幅!$B$11:$B$310)+COUNTA(条幅4分の1!$B$11:$B$310),INDEX(条幅4分の1!$G$11:$G$310,79-COUNTA(半紙!$B$11:$B$310)-COUNTA(条幅!$B$11:$B$310)),""))))</f>
        <v/>
      </c>
      <c r="H84" s="38" t="str">
        <f>IF(IF(79&lt;=COUNTA(半紙!$B$11:$B$310),INDEX(半紙!$H$11:$H$310,79),IF(79&lt;=COUNTA(半紙!$B$11:$B$310)+COUNTA(条幅!$B$11:$B$310),INDEX(条幅!$H$11:$H$310,79-COUNTA(半紙!$B$11:$B$310)),IF(79&lt;=COUNTA(半紙!$B$11:$B$310)+COUNTA(条幅!$B$11:$B$310)+COUNTA(条幅4分の1!$B$11:$B$310),INDEX(条幅4分の1!$H$11:$H$310,79-COUNTA(半紙!$B$11:$B$310)-COUNTA(条幅!$B$11:$B$310)),"")))=0,"",IF(79&lt;=COUNTA(半紙!$B$11:$B$310),INDEX(半紙!$H$11:$H$310,79),IF(79&lt;=COUNTA(半紙!$B$11:$B$310)+COUNTA(条幅!$B$11:$B$310),INDEX(条幅!$H$11:$H$310,79-COUNTA(半紙!$B$11:$B$310)),IF(79&lt;=COUNTA(半紙!$B$11:$B$310)+COUNTA(条幅!$B$11:$B$310)+COUNTA(条幅4分の1!$B$11:$B$310),INDEX(条幅4分の1!$H$11:$H$310,79-COUNTA(半紙!$B$11:$B$310)-COUNTA(条幅!$B$11:$B$310)),""))))</f>
        <v/>
      </c>
      <c r="I84" s="38" t="str">
        <f>IF(IF(79&lt;=COUNTA(半紙!$B$11:$B$310),INDEX(半紙!$I$11:$I$310,79),IF(79&lt;=COUNTA(半紙!$B$11:$B$310)+COUNTA(条幅!$B$11:$B$310),INDEX(条幅!$I$11:$I$310,79-COUNTA(半紙!$B$11:$B$310)),IF(79&lt;=COUNTA(半紙!$B$11:$B$310)+COUNTA(条幅!$B$11:$B$310)+COUNTA(条幅4分の1!$B$11:$B$310),INDEX(条幅4分の1!$I$11:$I$310,79-COUNTA(半紙!$B$11:$B$310)-COUNTA(条幅!$B$11:$B$310)),"")))=0,"",IF(79&lt;=COUNTA(半紙!$B$11:$B$310),INDEX(半紙!$I$11:$I$310,79),IF(79&lt;=COUNTA(半紙!$B$11:$B$310)+COUNTA(条幅!$B$11:$B$310),INDEX(条幅!$I$11:$I$310,79-COUNTA(半紙!$B$11:$B$310)),IF(79&lt;=COUNTA(半紙!$B$11:$B$310)+COUNTA(条幅!$B$11:$B$310)+COUNTA(条幅4分の1!$B$11:$B$310),INDEX(条幅4分の1!$I$11:$I$310,79-COUNTA(半紙!$B$11:$B$310)-COUNTA(条幅!$B$11:$B$310)),""))))</f>
        <v/>
      </c>
      <c r="J84" s="38" t="str">
        <f>IF(IF(79&lt;=COUNTA(半紙!$B$11:$B$310),INDEX(半紙!$J$11:$J$310,79),IF(79&lt;=COUNTA(半紙!$B$11:$B$310)+COUNTA(条幅!$B$11:$B$310),INDEX(条幅!$J$11:$J$310,79-COUNTA(半紙!$B$11:$B$310)),IF(79&lt;=COUNTA(半紙!$B$11:$B$310)+COUNTA(条幅!$B$11:$B$310)+COUNTA(条幅4分の1!$B$11:$B$310),INDEX(条幅4分の1!$J$11:$J$310,79-COUNTA(半紙!$B$11:$B$310)-COUNTA(条幅!$B$11:$B$310)),"")))=0,"",IF(79&lt;=COUNTA(半紙!$B$11:$B$310),INDEX(半紙!$J$11:$J$310,79),IF(79&lt;=COUNTA(半紙!$B$11:$B$310)+COUNTA(条幅!$B$11:$B$310),INDEX(条幅!$J$11:$J$310,79-COUNTA(半紙!$B$11:$B$310)),IF(79&lt;=COUNTA(半紙!$B$11:$B$310)+COUNTA(条幅!$B$11:$B$310)+COUNTA(条幅4分の1!$B$11:$B$310),INDEX(条幅4分の1!$J$11:$J$310,79-COUNTA(半紙!$B$11:$B$310)-COUNTA(条幅!$B$11:$B$310)),""))))</f>
        <v/>
      </c>
      <c r="K84" s="38" t="str">
        <f>IF(IF(79&lt;=COUNTA(半紙!$B$11:$B$310),INDEX(半紙!$K$11:$K$310,79),IF(79&lt;=COUNTA(半紙!$B$11:$B$310)+COUNTA(条幅!$B$11:$B$310),INDEX(条幅!$K$11:$K$310,79-COUNTA(半紙!$B$11:$B$310)),IF(79&lt;=COUNTA(半紙!$B$11:$B$310)+COUNTA(条幅!$B$11:$B$310)+COUNTA(条幅4分の1!$B$11:$B$310),INDEX(条幅4分の1!$K$11:$K$310,79-COUNTA(半紙!$B$11:$B$310)-COUNTA(条幅!$B$11:$B$310)),"")))=0,"",IF(79&lt;=COUNTA(半紙!$B$11:$B$310),INDEX(半紙!$K$11:$K$310,79),IF(79&lt;=COUNTA(半紙!$B$11:$B$310)+COUNTA(条幅!$B$11:$B$310),INDEX(条幅!$K$11:$K$310,79-COUNTA(半紙!$B$11:$B$310)),IF(79&lt;=COUNTA(半紙!$B$11:$B$310)+COUNTA(条幅!$B$11:$B$310)+COUNTA(条幅4分の1!$B$11:$B$310),INDEX(条幅4分の1!$K$11:$K$310,79-COUNTA(半紙!$B$11:$B$310)-COUNTA(条幅!$B$11:$B$310)),""))))</f>
        <v/>
      </c>
      <c r="L84" s="48" t="str">
        <f>IF($B84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79))</f>
        <v/>
      </c>
    </row>
    <row r="85" spans="1:12" ht="15" customHeight="1">
      <c r="A85" s="37" t="str">
        <f>IF(80&lt;=COUNTA(半紙!$B$11:$B$310),"半紙",IF(80&lt;=COUNTA(半紙!$B$11:$B$310)+COUNTA(条幅!$B$11:$B$310),"条幅(半切)",IF(80&lt;=COUNTA(半紙!$B$11:$B$310)+COUNTA(条幅!$B$11:$B$310)+COUNTA(条幅4分の1!$B$11:$B$310),"条幅(1/4)","")))</f>
        <v/>
      </c>
      <c r="B85" s="38" t="str">
        <f>IF(IF(80&lt;=COUNTA(半紙!$B$11:$B$310),INDEX(半紙!$B$11:$B$310,80),IF(80&lt;=COUNTA(半紙!$B$11:$B$310)+COUNTA(条幅!$B$11:$B$310),INDEX(条幅!$B$11:$B$310,80-COUNTA(半紙!$B$11:$B$310)),IF(80&lt;=COUNTA(半紙!$B$11:$B$310)+COUNTA(条幅!$B$11:$B$310)+COUNTA(条幅4分の1!$B$11:$B$310),INDEX(条幅4分の1!$B$11:$B$310,80-COUNTA(半紙!$B$11:$B$310)-COUNTA(条幅!$B$11:$B$310)),"")))=0,"",IF(80&lt;=COUNTA(半紙!$B$11:$B$310),INDEX(半紙!$B$11:$B$310,80),IF(80&lt;=COUNTA(半紙!$B$11:$B$310)+COUNTA(条幅!$B$11:$B$310),INDEX(条幅!$B$11:$B$310,80-COUNTA(半紙!$B$11:$B$310)),IF(80&lt;=COUNTA(半紙!$B$11:$B$310)+COUNTA(条幅!$B$11:$B$310)+COUNTA(条幅4分の1!$B$11:$B$310),INDEX(条幅4分の1!$B$11:$B$310,80-COUNTA(半紙!$B$11:$B$310)-COUNTA(条幅!$B$11:$B$310)),""))))</f>
        <v/>
      </c>
      <c r="C85" s="38" t="str">
        <f>IF(IF(80&lt;=COUNTA(半紙!$B$11:$B$310),INDEX(半紙!$C$11:$C$310,80),IF(80&lt;=COUNTA(半紙!$B$11:$B$310)+COUNTA(条幅!$B$11:$B$310),INDEX(条幅!$C$11:$C$310,80-COUNTA(半紙!$B$11:$B$310)),IF(80&lt;=COUNTA(半紙!$B$11:$B$310)+COUNTA(条幅!$B$11:$B$310)+COUNTA(条幅4分の1!$B$11:$B$310),INDEX(条幅4分の1!$C$11:$C$310,80-COUNTA(半紙!$B$11:$B$310)-COUNTA(条幅!$B$11:$B$310)),"")))=0,"",IF(80&lt;=COUNTA(半紙!$B$11:$B$310),INDEX(半紙!$C$11:$C$310,80),IF(80&lt;=COUNTA(半紙!$B$11:$B$310)+COUNTA(条幅!$B$11:$B$310),INDEX(条幅!$C$11:$C$310,80-COUNTA(半紙!$B$11:$B$310)),IF(80&lt;=COUNTA(半紙!$B$11:$B$310)+COUNTA(条幅!$B$11:$B$310)+COUNTA(条幅4分の1!$B$11:$B$310),INDEX(条幅4分の1!$C$11:$C$310,80-COUNTA(半紙!$B$11:$B$310)-COUNTA(条幅!$B$11:$B$310)),""))))</f>
        <v/>
      </c>
      <c r="D85" s="38" t="str">
        <f>IF(IF(80&lt;=COUNTA(半紙!$B$11:$B$310),INDEX(半紙!$D$11:$D$310,80),IF(80&lt;=COUNTA(半紙!$B$11:$B$310)+COUNTA(条幅!$B$11:$B$310),INDEX(条幅!$D$11:$D$310,80-COUNTA(半紙!$B$11:$B$310)),IF(80&lt;=COUNTA(半紙!$B$11:$B$310)+COUNTA(条幅!$B$11:$B$310)+COUNTA(条幅4分の1!$B$11:$B$310),INDEX(条幅4分の1!$D$11:$D$310,80-COUNTA(半紙!$B$11:$B$310)-COUNTA(条幅!$B$11:$B$310)),"")))=0,"",IF(80&lt;=COUNTA(半紙!$B$11:$B$310),INDEX(半紙!$D$11:$D$310,80),IF(80&lt;=COUNTA(半紙!$B$11:$B$310)+COUNTA(条幅!$B$11:$B$310),INDEX(条幅!$D$11:$D$310,80-COUNTA(半紙!$B$11:$B$310)),IF(80&lt;=COUNTA(半紙!$B$11:$B$310)+COUNTA(条幅!$B$11:$B$310)+COUNTA(条幅4分の1!$B$11:$B$310),INDEX(条幅4分の1!$D$11:$D$310,80-COUNTA(半紙!$B$11:$B$310)-COUNTA(条幅!$B$11:$B$310)),""))))</f>
        <v/>
      </c>
      <c r="E85" s="38" t="str">
        <f>IF(IF(80&lt;=COUNTA(半紙!$B$11:$B$310),INDEX(半紙!$E$11:$E$310,80),IF(80&lt;=COUNTA(半紙!$B$11:$B$310)+COUNTA(条幅!$B$11:$B$310),INDEX(条幅!$E$11:$E$310,80-COUNTA(半紙!$B$11:$B$310)),IF(80&lt;=COUNTA(半紙!$B$11:$B$310)+COUNTA(条幅!$B$11:$B$310)+COUNTA(条幅4分の1!$B$11:$B$310),INDEX(条幅4分の1!$E$11:$E$310,80-COUNTA(半紙!$B$11:$B$310)-COUNTA(条幅!$B$11:$B$310)),"")))=0,"",IF(80&lt;=COUNTA(半紙!$B$11:$B$310),INDEX(半紙!$E$11:$E$310,80),IF(80&lt;=COUNTA(半紙!$B$11:$B$310)+COUNTA(条幅!$B$11:$B$310),INDEX(条幅!$E$11:$E$310,80-COUNTA(半紙!$B$11:$B$310)),IF(80&lt;=COUNTA(半紙!$B$11:$B$310)+COUNTA(条幅!$B$11:$B$310)+COUNTA(条幅4分の1!$B$11:$B$310),INDEX(条幅4分の1!$E$11:$E$310,80-COUNTA(半紙!$B$11:$B$310)-COUNTA(条幅!$B$11:$B$310)),""))))</f>
        <v/>
      </c>
      <c r="F85" s="38" t="str">
        <f>IF(IF(80&lt;=COUNTA(半紙!$B$11:$B$310),INDEX(半紙!$F$11:$F$310,80),IF(80&lt;=COUNTA(半紙!$B$11:$B$310)+COUNTA(条幅!$B$11:$B$310),INDEX(条幅!$F$11:$F$310,80-COUNTA(半紙!$B$11:$B$310)),IF(80&lt;=COUNTA(半紙!$B$11:$B$310)+COUNTA(条幅!$B$11:$B$310)+COUNTA(条幅4分の1!$B$11:$B$310),INDEX(条幅4分の1!$F$11:$F$310,80-COUNTA(半紙!$B$11:$B$310)-COUNTA(条幅!$B$11:$B$310)),"")))=0,"",IF(80&lt;=COUNTA(半紙!$B$11:$B$310),INDEX(半紙!$F$11:$F$310,80),IF(80&lt;=COUNTA(半紙!$B$11:$B$310)+COUNTA(条幅!$B$11:$B$310),INDEX(条幅!$F$11:$F$310,80-COUNTA(半紙!$B$11:$B$310)),IF(80&lt;=COUNTA(半紙!$B$11:$B$310)+COUNTA(条幅!$B$11:$B$310)+COUNTA(条幅4分の1!$B$11:$B$310),INDEX(条幅4分の1!$F$11:$F$310,80-COUNTA(半紙!$B$11:$B$310)-COUNTA(条幅!$B$11:$B$310)),""))))</f>
        <v/>
      </c>
      <c r="G85" s="38" t="str">
        <f>IF(IF(80&lt;=COUNTA(半紙!$B$11:$B$310),INDEX(半紙!$G$11:$G$310,80),IF(80&lt;=COUNTA(半紙!$B$11:$B$310)+COUNTA(条幅!$B$11:$B$310),INDEX(条幅!$G$11:$G$310,80-COUNTA(半紙!$B$11:$B$310)),IF(80&lt;=COUNTA(半紙!$B$11:$B$310)+COUNTA(条幅!$B$11:$B$310)+COUNTA(条幅4分の1!$B$11:$B$310),INDEX(条幅4分の1!$G$11:$G$310,80-COUNTA(半紙!$B$11:$B$310)-COUNTA(条幅!$B$11:$B$310)),"")))=0,"",IF(80&lt;=COUNTA(半紙!$B$11:$B$310),INDEX(半紙!$G$11:$G$310,80),IF(80&lt;=COUNTA(半紙!$B$11:$B$310)+COUNTA(条幅!$B$11:$B$310),INDEX(条幅!$G$11:$G$310,80-COUNTA(半紙!$B$11:$B$310)),IF(80&lt;=COUNTA(半紙!$B$11:$B$310)+COUNTA(条幅!$B$11:$B$310)+COUNTA(条幅4分の1!$B$11:$B$310),INDEX(条幅4分の1!$G$11:$G$310,80-COUNTA(半紙!$B$11:$B$310)-COUNTA(条幅!$B$11:$B$310)),""))))</f>
        <v/>
      </c>
      <c r="H85" s="38" t="str">
        <f>IF(IF(80&lt;=COUNTA(半紙!$B$11:$B$310),INDEX(半紙!$H$11:$H$310,80),IF(80&lt;=COUNTA(半紙!$B$11:$B$310)+COUNTA(条幅!$B$11:$B$310),INDEX(条幅!$H$11:$H$310,80-COUNTA(半紙!$B$11:$B$310)),IF(80&lt;=COUNTA(半紙!$B$11:$B$310)+COUNTA(条幅!$B$11:$B$310)+COUNTA(条幅4分の1!$B$11:$B$310),INDEX(条幅4分の1!$H$11:$H$310,80-COUNTA(半紙!$B$11:$B$310)-COUNTA(条幅!$B$11:$B$310)),"")))=0,"",IF(80&lt;=COUNTA(半紙!$B$11:$B$310),INDEX(半紙!$H$11:$H$310,80),IF(80&lt;=COUNTA(半紙!$B$11:$B$310)+COUNTA(条幅!$B$11:$B$310),INDEX(条幅!$H$11:$H$310,80-COUNTA(半紙!$B$11:$B$310)),IF(80&lt;=COUNTA(半紙!$B$11:$B$310)+COUNTA(条幅!$B$11:$B$310)+COUNTA(条幅4分の1!$B$11:$B$310),INDEX(条幅4分の1!$H$11:$H$310,80-COUNTA(半紙!$B$11:$B$310)-COUNTA(条幅!$B$11:$B$310)),""))))</f>
        <v/>
      </c>
      <c r="I85" s="38" t="str">
        <f>IF(IF(80&lt;=COUNTA(半紙!$B$11:$B$310),INDEX(半紙!$I$11:$I$310,80),IF(80&lt;=COUNTA(半紙!$B$11:$B$310)+COUNTA(条幅!$B$11:$B$310),INDEX(条幅!$I$11:$I$310,80-COUNTA(半紙!$B$11:$B$310)),IF(80&lt;=COUNTA(半紙!$B$11:$B$310)+COUNTA(条幅!$B$11:$B$310)+COUNTA(条幅4分の1!$B$11:$B$310),INDEX(条幅4分の1!$I$11:$I$310,80-COUNTA(半紙!$B$11:$B$310)-COUNTA(条幅!$B$11:$B$310)),"")))=0,"",IF(80&lt;=COUNTA(半紙!$B$11:$B$310),INDEX(半紙!$I$11:$I$310,80),IF(80&lt;=COUNTA(半紙!$B$11:$B$310)+COUNTA(条幅!$B$11:$B$310),INDEX(条幅!$I$11:$I$310,80-COUNTA(半紙!$B$11:$B$310)),IF(80&lt;=COUNTA(半紙!$B$11:$B$310)+COUNTA(条幅!$B$11:$B$310)+COUNTA(条幅4分の1!$B$11:$B$310),INDEX(条幅4分の1!$I$11:$I$310,80-COUNTA(半紙!$B$11:$B$310)-COUNTA(条幅!$B$11:$B$310)),""))))</f>
        <v/>
      </c>
      <c r="J85" s="38" t="str">
        <f>IF(IF(80&lt;=COUNTA(半紙!$B$11:$B$310),INDEX(半紙!$J$11:$J$310,80),IF(80&lt;=COUNTA(半紙!$B$11:$B$310)+COUNTA(条幅!$B$11:$B$310),INDEX(条幅!$J$11:$J$310,80-COUNTA(半紙!$B$11:$B$310)),IF(80&lt;=COUNTA(半紙!$B$11:$B$310)+COUNTA(条幅!$B$11:$B$310)+COUNTA(条幅4分の1!$B$11:$B$310),INDEX(条幅4分の1!$J$11:$J$310,80-COUNTA(半紙!$B$11:$B$310)-COUNTA(条幅!$B$11:$B$310)),"")))=0,"",IF(80&lt;=COUNTA(半紙!$B$11:$B$310),INDEX(半紙!$J$11:$J$310,80),IF(80&lt;=COUNTA(半紙!$B$11:$B$310)+COUNTA(条幅!$B$11:$B$310),INDEX(条幅!$J$11:$J$310,80-COUNTA(半紙!$B$11:$B$310)),IF(80&lt;=COUNTA(半紙!$B$11:$B$310)+COUNTA(条幅!$B$11:$B$310)+COUNTA(条幅4分の1!$B$11:$B$310),INDEX(条幅4分の1!$J$11:$J$310,80-COUNTA(半紙!$B$11:$B$310)-COUNTA(条幅!$B$11:$B$310)),""))))</f>
        <v/>
      </c>
      <c r="K85" s="38" t="str">
        <f>IF(IF(80&lt;=COUNTA(半紙!$B$11:$B$310),INDEX(半紙!$K$11:$K$310,80),IF(80&lt;=COUNTA(半紙!$B$11:$B$310)+COUNTA(条幅!$B$11:$B$310),INDEX(条幅!$K$11:$K$310,80-COUNTA(半紙!$B$11:$B$310)),IF(80&lt;=COUNTA(半紙!$B$11:$B$310)+COUNTA(条幅!$B$11:$B$310)+COUNTA(条幅4分の1!$B$11:$B$310),INDEX(条幅4分の1!$K$11:$K$310,80-COUNTA(半紙!$B$11:$B$310)-COUNTA(条幅!$B$11:$B$310)),"")))=0,"",IF(80&lt;=COUNTA(半紙!$B$11:$B$310),INDEX(半紙!$K$11:$K$310,80),IF(80&lt;=COUNTA(半紙!$B$11:$B$310)+COUNTA(条幅!$B$11:$B$310),INDEX(条幅!$K$11:$K$310,80-COUNTA(半紙!$B$11:$B$310)),IF(80&lt;=COUNTA(半紙!$B$11:$B$310)+COUNTA(条幅!$B$11:$B$310)+COUNTA(条幅4分の1!$B$11:$B$310),INDEX(条幅4分の1!$K$11:$K$310,80-COUNTA(半紙!$B$11:$B$310)-COUNTA(条幅!$B$11:$B$310)),""))))</f>
        <v/>
      </c>
      <c r="L85" s="48" t="str">
        <f>IF($B85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80))</f>
        <v/>
      </c>
    </row>
    <row r="86" spans="1:12" ht="15" customHeight="1">
      <c r="A86" s="37" t="str">
        <f>IF(81&lt;=COUNTA(半紙!$B$11:$B$310),"半紙",IF(81&lt;=COUNTA(半紙!$B$11:$B$310)+COUNTA(条幅!$B$11:$B$310),"条幅(半切)",IF(81&lt;=COUNTA(半紙!$B$11:$B$310)+COUNTA(条幅!$B$11:$B$310)+COUNTA(条幅4分の1!$B$11:$B$310),"条幅(1/4)","")))</f>
        <v/>
      </c>
      <c r="B86" s="38" t="str">
        <f>IF(IF(81&lt;=COUNTA(半紙!$B$11:$B$310),INDEX(半紙!$B$11:$B$310,81),IF(81&lt;=COUNTA(半紙!$B$11:$B$310)+COUNTA(条幅!$B$11:$B$310),INDEX(条幅!$B$11:$B$310,81-COUNTA(半紙!$B$11:$B$310)),IF(81&lt;=COUNTA(半紙!$B$11:$B$310)+COUNTA(条幅!$B$11:$B$310)+COUNTA(条幅4分の1!$B$11:$B$310),INDEX(条幅4分の1!$B$11:$B$310,81-COUNTA(半紙!$B$11:$B$310)-COUNTA(条幅!$B$11:$B$310)),"")))=0,"",IF(81&lt;=COUNTA(半紙!$B$11:$B$310),INDEX(半紙!$B$11:$B$310,81),IF(81&lt;=COUNTA(半紙!$B$11:$B$310)+COUNTA(条幅!$B$11:$B$310),INDEX(条幅!$B$11:$B$310,81-COUNTA(半紙!$B$11:$B$310)),IF(81&lt;=COUNTA(半紙!$B$11:$B$310)+COUNTA(条幅!$B$11:$B$310)+COUNTA(条幅4分の1!$B$11:$B$310),INDEX(条幅4分の1!$B$11:$B$310,81-COUNTA(半紙!$B$11:$B$310)-COUNTA(条幅!$B$11:$B$310)),""))))</f>
        <v/>
      </c>
      <c r="C86" s="38" t="str">
        <f>IF(IF(81&lt;=COUNTA(半紙!$B$11:$B$310),INDEX(半紙!$C$11:$C$310,81),IF(81&lt;=COUNTA(半紙!$B$11:$B$310)+COUNTA(条幅!$B$11:$B$310),INDEX(条幅!$C$11:$C$310,81-COUNTA(半紙!$B$11:$B$310)),IF(81&lt;=COUNTA(半紙!$B$11:$B$310)+COUNTA(条幅!$B$11:$B$310)+COUNTA(条幅4分の1!$B$11:$B$310),INDEX(条幅4分の1!$C$11:$C$310,81-COUNTA(半紙!$B$11:$B$310)-COUNTA(条幅!$B$11:$B$310)),"")))=0,"",IF(81&lt;=COUNTA(半紙!$B$11:$B$310),INDEX(半紙!$C$11:$C$310,81),IF(81&lt;=COUNTA(半紙!$B$11:$B$310)+COUNTA(条幅!$B$11:$B$310),INDEX(条幅!$C$11:$C$310,81-COUNTA(半紙!$B$11:$B$310)),IF(81&lt;=COUNTA(半紙!$B$11:$B$310)+COUNTA(条幅!$B$11:$B$310)+COUNTA(条幅4分の1!$B$11:$B$310),INDEX(条幅4分の1!$C$11:$C$310,81-COUNTA(半紙!$B$11:$B$310)-COUNTA(条幅!$B$11:$B$310)),""))))</f>
        <v/>
      </c>
      <c r="D86" s="38" t="str">
        <f>IF(IF(81&lt;=COUNTA(半紙!$B$11:$B$310),INDEX(半紙!$D$11:$D$310,81),IF(81&lt;=COUNTA(半紙!$B$11:$B$310)+COUNTA(条幅!$B$11:$B$310),INDEX(条幅!$D$11:$D$310,81-COUNTA(半紙!$B$11:$B$310)),IF(81&lt;=COUNTA(半紙!$B$11:$B$310)+COUNTA(条幅!$B$11:$B$310)+COUNTA(条幅4分の1!$B$11:$B$310),INDEX(条幅4分の1!$D$11:$D$310,81-COUNTA(半紙!$B$11:$B$310)-COUNTA(条幅!$B$11:$B$310)),"")))=0,"",IF(81&lt;=COUNTA(半紙!$B$11:$B$310),INDEX(半紙!$D$11:$D$310,81),IF(81&lt;=COUNTA(半紙!$B$11:$B$310)+COUNTA(条幅!$B$11:$B$310),INDEX(条幅!$D$11:$D$310,81-COUNTA(半紙!$B$11:$B$310)),IF(81&lt;=COUNTA(半紙!$B$11:$B$310)+COUNTA(条幅!$B$11:$B$310)+COUNTA(条幅4分の1!$B$11:$B$310),INDEX(条幅4分の1!$D$11:$D$310,81-COUNTA(半紙!$B$11:$B$310)-COUNTA(条幅!$B$11:$B$310)),""))))</f>
        <v/>
      </c>
      <c r="E86" s="38" t="str">
        <f>IF(IF(81&lt;=COUNTA(半紙!$B$11:$B$310),INDEX(半紙!$E$11:$E$310,81),IF(81&lt;=COUNTA(半紙!$B$11:$B$310)+COUNTA(条幅!$B$11:$B$310),INDEX(条幅!$E$11:$E$310,81-COUNTA(半紙!$B$11:$B$310)),IF(81&lt;=COUNTA(半紙!$B$11:$B$310)+COUNTA(条幅!$B$11:$B$310)+COUNTA(条幅4分の1!$B$11:$B$310),INDEX(条幅4分の1!$E$11:$E$310,81-COUNTA(半紙!$B$11:$B$310)-COUNTA(条幅!$B$11:$B$310)),"")))=0,"",IF(81&lt;=COUNTA(半紙!$B$11:$B$310),INDEX(半紙!$E$11:$E$310,81),IF(81&lt;=COUNTA(半紙!$B$11:$B$310)+COUNTA(条幅!$B$11:$B$310),INDEX(条幅!$E$11:$E$310,81-COUNTA(半紙!$B$11:$B$310)),IF(81&lt;=COUNTA(半紙!$B$11:$B$310)+COUNTA(条幅!$B$11:$B$310)+COUNTA(条幅4分の1!$B$11:$B$310),INDEX(条幅4分の1!$E$11:$E$310,81-COUNTA(半紙!$B$11:$B$310)-COUNTA(条幅!$B$11:$B$310)),""))))</f>
        <v/>
      </c>
      <c r="F86" s="38" t="str">
        <f>IF(IF(81&lt;=COUNTA(半紙!$B$11:$B$310),INDEX(半紙!$F$11:$F$310,81),IF(81&lt;=COUNTA(半紙!$B$11:$B$310)+COUNTA(条幅!$B$11:$B$310),INDEX(条幅!$F$11:$F$310,81-COUNTA(半紙!$B$11:$B$310)),IF(81&lt;=COUNTA(半紙!$B$11:$B$310)+COUNTA(条幅!$B$11:$B$310)+COUNTA(条幅4分の1!$B$11:$B$310),INDEX(条幅4分の1!$F$11:$F$310,81-COUNTA(半紙!$B$11:$B$310)-COUNTA(条幅!$B$11:$B$310)),"")))=0,"",IF(81&lt;=COUNTA(半紙!$B$11:$B$310),INDEX(半紙!$F$11:$F$310,81),IF(81&lt;=COUNTA(半紙!$B$11:$B$310)+COUNTA(条幅!$B$11:$B$310),INDEX(条幅!$F$11:$F$310,81-COUNTA(半紙!$B$11:$B$310)),IF(81&lt;=COUNTA(半紙!$B$11:$B$310)+COUNTA(条幅!$B$11:$B$310)+COUNTA(条幅4分の1!$B$11:$B$310),INDEX(条幅4分の1!$F$11:$F$310,81-COUNTA(半紙!$B$11:$B$310)-COUNTA(条幅!$B$11:$B$310)),""))))</f>
        <v/>
      </c>
      <c r="G86" s="38" t="str">
        <f>IF(IF(81&lt;=COUNTA(半紙!$B$11:$B$310),INDEX(半紙!$G$11:$G$310,81),IF(81&lt;=COUNTA(半紙!$B$11:$B$310)+COUNTA(条幅!$B$11:$B$310),INDEX(条幅!$G$11:$G$310,81-COUNTA(半紙!$B$11:$B$310)),IF(81&lt;=COUNTA(半紙!$B$11:$B$310)+COUNTA(条幅!$B$11:$B$310)+COUNTA(条幅4分の1!$B$11:$B$310),INDEX(条幅4分の1!$G$11:$G$310,81-COUNTA(半紙!$B$11:$B$310)-COUNTA(条幅!$B$11:$B$310)),"")))=0,"",IF(81&lt;=COUNTA(半紙!$B$11:$B$310),INDEX(半紙!$G$11:$G$310,81),IF(81&lt;=COUNTA(半紙!$B$11:$B$310)+COUNTA(条幅!$B$11:$B$310),INDEX(条幅!$G$11:$G$310,81-COUNTA(半紙!$B$11:$B$310)),IF(81&lt;=COUNTA(半紙!$B$11:$B$310)+COUNTA(条幅!$B$11:$B$310)+COUNTA(条幅4分の1!$B$11:$B$310),INDEX(条幅4分の1!$G$11:$G$310,81-COUNTA(半紙!$B$11:$B$310)-COUNTA(条幅!$B$11:$B$310)),""))))</f>
        <v/>
      </c>
      <c r="H86" s="38" t="str">
        <f>IF(IF(81&lt;=COUNTA(半紙!$B$11:$B$310),INDEX(半紙!$H$11:$H$310,81),IF(81&lt;=COUNTA(半紙!$B$11:$B$310)+COUNTA(条幅!$B$11:$B$310),INDEX(条幅!$H$11:$H$310,81-COUNTA(半紙!$B$11:$B$310)),IF(81&lt;=COUNTA(半紙!$B$11:$B$310)+COUNTA(条幅!$B$11:$B$310)+COUNTA(条幅4分の1!$B$11:$B$310),INDEX(条幅4分の1!$H$11:$H$310,81-COUNTA(半紙!$B$11:$B$310)-COUNTA(条幅!$B$11:$B$310)),"")))=0,"",IF(81&lt;=COUNTA(半紙!$B$11:$B$310),INDEX(半紙!$H$11:$H$310,81),IF(81&lt;=COUNTA(半紙!$B$11:$B$310)+COUNTA(条幅!$B$11:$B$310),INDEX(条幅!$H$11:$H$310,81-COUNTA(半紙!$B$11:$B$310)),IF(81&lt;=COUNTA(半紙!$B$11:$B$310)+COUNTA(条幅!$B$11:$B$310)+COUNTA(条幅4分の1!$B$11:$B$310),INDEX(条幅4分の1!$H$11:$H$310,81-COUNTA(半紙!$B$11:$B$310)-COUNTA(条幅!$B$11:$B$310)),""))))</f>
        <v/>
      </c>
      <c r="I86" s="38" t="str">
        <f>IF(IF(81&lt;=COUNTA(半紙!$B$11:$B$310),INDEX(半紙!$I$11:$I$310,81),IF(81&lt;=COUNTA(半紙!$B$11:$B$310)+COUNTA(条幅!$B$11:$B$310),INDEX(条幅!$I$11:$I$310,81-COUNTA(半紙!$B$11:$B$310)),IF(81&lt;=COUNTA(半紙!$B$11:$B$310)+COUNTA(条幅!$B$11:$B$310)+COUNTA(条幅4分の1!$B$11:$B$310),INDEX(条幅4分の1!$I$11:$I$310,81-COUNTA(半紙!$B$11:$B$310)-COUNTA(条幅!$B$11:$B$310)),"")))=0,"",IF(81&lt;=COUNTA(半紙!$B$11:$B$310),INDEX(半紙!$I$11:$I$310,81),IF(81&lt;=COUNTA(半紙!$B$11:$B$310)+COUNTA(条幅!$B$11:$B$310),INDEX(条幅!$I$11:$I$310,81-COUNTA(半紙!$B$11:$B$310)),IF(81&lt;=COUNTA(半紙!$B$11:$B$310)+COUNTA(条幅!$B$11:$B$310)+COUNTA(条幅4分の1!$B$11:$B$310),INDEX(条幅4分の1!$I$11:$I$310,81-COUNTA(半紙!$B$11:$B$310)-COUNTA(条幅!$B$11:$B$310)),""))))</f>
        <v/>
      </c>
      <c r="J86" s="38" t="str">
        <f>IF(IF(81&lt;=COUNTA(半紙!$B$11:$B$310),INDEX(半紙!$J$11:$J$310,81),IF(81&lt;=COUNTA(半紙!$B$11:$B$310)+COUNTA(条幅!$B$11:$B$310),INDEX(条幅!$J$11:$J$310,81-COUNTA(半紙!$B$11:$B$310)),IF(81&lt;=COUNTA(半紙!$B$11:$B$310)+COUNTA(条幅!$B$11:$B$310)+COUNTA(条幅4分の1!$B$11:$B$310),INDEX(条幅4分の1!$J$11:$J$310,81-COUNTA(半紙!$B$11:$B$310)-COUNTA(条幅!$B$11:$B$310)),"")))=0,"",IF(81&lt;=COUNTA(半紙!$B$11:$B$310),INDEX(半紙!$J$11:$J$310,81),IF(81&lt;=COUNTA(半紙!$B$11:$B$310)+COUNTA(条幅!$B$11:$B$310),INDEX(条幅!$J$11:$J$310,81-COUNTA(半紙!$B$11:$B$310)),IF(81&lt;=COUNTA(半紙!$B$11:$B$310)+COUNTA(条幅!$B$11:$B$310)+COUNTA(条幅4分の1!$B$11:$B$310),INDEX(条幅4分の1!$J$11:$J$310,81-COUNTA(半紙!$B$11:$B$310)-COUNTA(条幅!$B$11:$B$310)),""))))</f>
        <v/>
      </c>
      <c r="K86" s="38" t="str">
        <f>IF(IF(81&lt;=COUNTA(半紙!$B$11:$B$310),INDEX(半紙!$K$11:$K$310,81),IF(81&lt;=COUNTA(半紙!$B$11:$B$310)+COUNTA(条幅!$B$11:$B$310),INDEX(条幅!$K$11:$K$310,81-COUNTA(半紙!$B$11:$B$310)),IF(81&lt;=COUNTA(半紙!$B$11:$B$310)+COUNTA(条幅!$B$11:$B$310)+COUNTA(条幅4分の1!$B$11:$B$310),INDEX(条幅4分の1!$K$11:$K$310,81-COUNTA(半紙!$B$11:$B$310)-COUNTA(条幅!$B$11:$B$310)),"")))=0,"",IF(81&lt;=COUNTA(半紙!$B$11:$B$310),INDEX(半紙!$K$11:$K$310,81),IF(81&lt;=COUNTA(半紙!$B$11:$B$310)+COUNTA(条幅!$B$11:$B$310),INDEX(条幅!$K$11:$K$310,81-COUNTA(半紙!$B$11:$B$310)),IF(81&lt;=COUNTA(半紙!$B$11:$B$310)+COUNTA(条幅!$B$11:$B$310)+COUNTA(条幅4分の1!$B$11:$B$310),INDEX(条幅4分の1!$K$11:$K$310,81-COUNTA(半紙!$B$11:$B$310)-COUNTA(条幅!$B$11:$B$310)),""))))</f>
        <v/>
      </c>
      <c r="L86" s="48" t="str">
        <f>IF($B86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81))</f>
        <v/>
      </c>
    </row>
    <row r="87" spans="1:12" ht="15" customHeight="1">
      <c r="A87" s="37" t="str">
        <f>IF(82&lt;=COUNTA(半紙!$B$11:$B$310),"半紙",IF(82&lt;=COUNTA(半紙!$B$11:$B$310)+COUNTA(条幅!$B$11:$B$310),"条幅(半切)",IF(82&lt;=COUNTA(半紙!$B$11:$B$310)+COUNTA(条幅!$B$11:$B$310)+COUNTA(条幅4分の1!$B$11:$B$310),"条幅(1/4)","")))</f>
        <v/>
      </c>
      <c r="B87" s="38" t="str">
        <f>IF(IF(82&lt;=COUNTA(半紙!$B$11:$B$310),INDEX(半紙!$B$11:$B$310,82),IF(82&lt;=COUNTA(半紙!$B$11:$B$310)+COUNTA(条幅!$B$11:$B$310),INDEX(条幅!$B$11:$B$310,82-COUNTA(半紙!$B$11:$B$310)),IF(82&lt;=COUNTA(半紙!$B$11:$B$310)+COUNTA(条幅!$B$11:$B$310)+COUNTA(条幅4分の1!$B$11:$B$310),INDEX(条幅4分の1!$B$11:$B$310,82-COUNTA(半紙!$B$11:$B$310)-COUNTA(条幅!$B$11:$B$310)),"")))=0,"",IF(82&lt;=COUNTA(半紙!$B$11:$B$310),INDEX(半紙!$B$11:$B$310,82),IF(82&lt;=COUNTA(半紙!$B$11:$B$310)+COUNTA(条幅!$B$11:$B$310),INDEX(条幅!$B$11:$B$310,82-COUNTA(半紙!$B$11:$B$310)),IF(82&lt;=COUNTA(半紙!$B$11:$B$310)+COUNTA(条幅!$B$11:$B$310)+COUNTA(条幅4分の1!$B$11:$B$310),INDEX(条幅4分の1!$B$11:$B$310,82-COUNTA(半紙!$B$11:$B$310)-COUNTA(条幅!$B$11:$B$310)),""))))</f>
        <v/>
      </c>
      <c r="C87" s="38" t="str">
        <f>IF(IF(82&lt;=COUNTA(半紙!$B$11:$B$310),INDEX(半紙!$C$11:$C$310,82),IF(82&lt;=COUNTA(半紙!$B$11:$B$310)+COUNTA(条幅!$B$11:$B$310),INDEX(条幅!$C$11:$C$310,82-COUNTA(半紙!$B$11:$B$310)),IF(82&lt;=COUNTA(半紙!$B$11:$B$310)+COUNTA(条幅!$B$11:$B$310)+COUNTA(条幅4分の1!$B$11:$B$310),INDEX(条幅4分の1!$C$11:$C$310,82-COUNTA(半紙!$B$11:$B$310)-COUNTA(条幅!$B$11:$B$310)),"")))=0,"",IF(82&lt;=COUNTA(半紙!$B$11:$B$310),INDEX(半紙!$C$11:$C$310,82),IF(82&lt;=COUNTA(半紙!$B$11:$B$310)+COUNTA(条幅!$B$11:$B$310),INDEX(条幅!$C$11:$C$310,82-COUNTA(半紙!$B$11:$B$310)),IF(82&lt;=COUNTA(半紙!$B$11:$B$310)+COUNTA(条幅!$B$11:$B$310)+COUNTA(条幅4分の1!$B$11:$B$310),INDEX(条幅4分の1!$C$11:$C$310,82-COUNTA(半紙!$B$11:$B$310)-COUNTA(条幅!$B$11:$B$310)),""))))</f>
        <v/>
      </c>
      <c r="D87" s="38" t="str">
        <f>IF(IF(82&lt;=COUNTA(半紙!$B$11:$B$310),INDEX(半紙!$D$11:$D$310,82),IF(82&lt;=COUNTA(半紙!$B$11:$B$310)+COUNTA(条幅!$B$11:$B$310),INDEX(条幅!$D$11:$D$310,82-COUNTA(半紙!$B$11:$B$310)),IF(82&lt;=COUNTA(半紙!$B$11:$B$310)+COUNTA(条幅!$B$11:$B$310)+COUNTA(条幅4分の1!$B$11:$B$310),INDEX(条幅4分の1!$D$11:$D$310,82-COUNTA(半紙!$B$11:$B$310)-COUNTA(条幅!$B$11:$B$310)),"")))=0,"",IF(82&lt;=COUNTA(半紙!$B$11:$B$310),INDEX(半紙!$D$11:$D$310,82),IF(82&lt;=COUNTA(半紙!$B$11:$B$310)+COUNTA(条幅!$B$11:$B$310),INDEX(条幅!$D$11:$D$310,82-COUNTA(半紙!$B$11:$B$310)),IF(82&lt;=COUNTA(半紙!$B$11:$B$310)+COUNTA(条幅!$B$11:$B$310)+COUNTA(条幅4分の1!$B$11:$B$310),INDEX(条幅4分の1!$D$11:$D$310,82-COUNTA(半紙!$B$11:$B$310)-COUNTA(条幅!$B$11:$B$310)),""))))</f>
        <v/>
      </c>
      <c r="E87" s="38" t="str">
        <f>IF(IF(82&lt;=COUNTA(半紙!$B$11:$B$310),INDEX(半紙!$E$11:$E$310,82),IF(82&lt;=COUNTA(半紙!$B$11:$B$310)+COUNTA(条幅!$B$11:$B$310),INDEX(条幅!$E$11:$E$310,82-COUNTA(半紙!$B$11:$B$310)),IF(82&lt;=COUNTA(半紙!$B$11:$B$310)+COUNTA(条幅!$B$11:$B$310)+COUNTA(条幅4分の1!$B$11:$B$310),INDEX(条幅4分の1!$E$11:$E$310,82-COUNTA(半紙!$B$11:$B$310)-COUNTA(条幅!$B$11:$B$310)),"")))=0,"",IF(82&lt;=COUNTA(半紙!$B$11:$B$310),INDEX(半紙!$E$11:$E$310,82),IF(82&lt;=COUNTA(半紙!$B$11:$B$310)+COUNTA(条幅!$B$11:$B$310),INDEX(条幅!$E$11:$E$310,82-COUNTA(半紙!$B$11:$B$310)),IF(82&lt;=COUNTA(半紙!$B$11:$B$310)+COUNTA(条幅!$B$11:$B$310)+COUNTA(条幅4分の1!$B$11:$B$310),INDEX(条幅4分の1!$E$11:$E$310,82-COUNTA(半紙!$B$11:$B$310)-COUNTA(条幅!$B$11:$B$310)),""))))</f>
        <v/>
      </c>
      <c r="F87" s="38" t="str">
        <f>IF(IF(82&lt;=COUNTA(半紙!$B$11:$B$310),INDEX(半紙!$F$11:$F$310,82),IF(82&lt;=COUNTA(半紙!$B$11:$B$310)+COUNTA(条幅!$B$11:$B$310),INDEX(条幅!$F$11:$F$310,82-COUNTA(半紙!$B$11:$B$310)),IF(82&lt;=COUNTA(半紙!$B$11:$B$310)+COUNTA(条幅!$B$11:$B$310)+COUNTA(条幅4分の1!$B$11:$B$310),INDEX(条幅4分の1!$F$11:$F$310,82-COUNTA(半紙!$B$11:$B$310)-COUNTA(条幅!$B$11:$B$310)),"")))=0,"",IF(82&lt;=COUNTA(半紙!$B$11:$B$310),INDEX(半紙!$F$11:$F$310,82),IF(82&lt;=COUNTA(半紙!$B$11:$B$310)+COUNTA(条幅!$B$11:$B$310),INDEX(条幅!$F$11:$F$310,82-COUNTA(半紙!$B$11:$B$310)),IF(82&lt;=COUNTA(半紙!$B$11:$B$310)+COUNTA(条幅!$B$11:$B$310)+COUNTA(条幅4分の1!$B$11:$B$310),INDEX(条幅4分の1!$F$11:$F$310,82-COUNTA(半紙!$B$11:$B$310)-COUNTA(条幅!$B$11:$B$310)),""))))</f>
        <v/>
      </c>
      <c r="G87" s="38" t="str">
        <f>IF(IF(82&lt;=COUNTA(半紙!$B$11:$B$310),INDEX(半紙!$G$11:$G$310,82),IF(82&lt;=COUNTA(半紙!$B$11:$B$310)+COUNTA(条幅!$B$11:$B$310),INDEX(条幅!$G$11:$G$310,82-COUNTA(半紙!$B$11:$B$310)),IF(82&lt;=COUNTA(半紙!$B$11:$B$310)+COUNTA(条幅!$B$11:$B$310)+COUNTA(条幅4分の1!$B$11:$B$310),INDEX(条幅4分の1!$G$11:$G$310,82-COUNTA(半紙!$B$11:$B$310)-COUNTA(条幅!$B$11:$B$310)),"")))=0,"",IF(82&lt;=COUNTA(半紙!$B$11:$B$310),INDEX(半紙!$G$11:$G$310,82),IF(82&lt;=COUNTA(半紙!$B$11:$B$310)+COUNTA(条幅!$B$11:$B$310),INDEX(条幅!$G$11:$G$310,82-COUNTA(半紙!$B$11:$B$310)),IF(82&lt;=COUNTA(半紙!$B$11:$B$310)+COUNTA(条幅!$B$11:$B$310)+COUNTA(条幅4分の1!$B$11:$B$310),INDEX(条幅4分の1!$G$11:$G$310,82-COUNTA(半紙!$B$11:$B$310)-COUNTA(条幅!$B$11:$B$310)),""))))</f>
        <v/>
      </c>
      <c r="H87" s="38" t="str">
        <f>IF(IF(82&lt;=COUNTA(半紙!$B$11:$B$310),INDEX(半紙!$H$11:$H$310,82),IF(82&lt;=COUNTA(半紙!$B$11:$B$310)+COUNTA(条幅!$B$11:$B$310),INDEX(条幅!$H$11:$H$310,82-COUNTA(半紙!$B$11:$B$310)),IF(82&lt;=COUNTA(半紙!$B$11:$B$310)+COUNTA(条幅!$B$11:$B$310)+COUNTA(条幅4分の1!$B$11:$B$310),INDEX(条幅4分の1!$H$11:$H$310,82-COUNTA(半紙!$B$11:$B$310)-COUNTA(条幅!$B$11:$B$310)),"")))=0,"",IF(82&lt;=COUNTA(半紙!$B$11:$B$310),INDEX(半紙!$H$11:$H$310,82),IF(82&lt;=COUNTA(半紙!$B$11:$B$310)+COUNTA(条幅!$B$11:$B$310),INDEX(条幅!$H$11:$H$310,82-COUNTA(半紙!$B$11:$B$310)),IF(82&lt;=COUNTA(半紙!$B$11:$B$310)+COUNTA(条幅!$B$11:$B$310)+COUNTA(条幅4分の1!$B$11:$B$310),INDEX(条幅4分の1!$H$11:$H$310,82-COUNTA(半紙!$B$11:$B$310)-COUNTA(条幅!$B$11:$B$310)),""))))</f>
        <v/>
      </c>
      <c r="I87" s="38" t="str">
        <f>IF(IF(82&lt;=COUNTA(半紙!$B$11:$B$310),INDEX(半紙!$I$11:$I$310,82),IF(82&lt;=COUNTA(半紙!$B$11:$B$310)+COUNTA(条幅!$B$11:$B$310),INDEX(条幅!$I$11:$I$310,82-COUNTA(半紙!$B$11:$B$310)),IF(82&lt;=COUNTA(半紙!$B$11:$B$310)+COUNTA(条幅!$B$11:$B$310)+COUNTA(条幅4分の1!$B$11:$B$310),INDEX(条幅4分の1!$I$11:$I$310,82-COUNTA(半紙!$B$11:$B$310)-COUNTA(条幅!$B$11:$B$310)),"")))=0,"",IF(82&lt;=COUNTA(半紙!$B$11:$B$310),INDEX(半紙!$I$11:$I$310,82),IF(82&lt;=COUNTA(半紙!$B$11:$B$310)+COUNTA(条幅!$B$11:$B$310),INDEX(条幅!$I$11:$I$310,82-COUNTA(半紙!$B$11:$B$310)),IF(82&lt;=COUNTA(半紙!$B$11:$B$310)+COUNTA(条幅!$B$11:$B$310)+COUNTA(条幅4分の1!$B$11:$B$310),INDEX(条幅4分の1!$I$11:$I$310,82-COUNTA(半紙!$B$11:$B$310)-COUNTA(条幅!$B$11:$B$310)),""))))</f>
        <v/>
      </c>
      <c r="J87" s="38" t="str">
        <f>IF(IF(82&lt;=COUNTA(半紙!$B$11:$B$310),INDEX(半紙!$J$11:$J$310,82),IF(82&lt;=COUNTA(半紙!$B$11:$B$310)+COUNTA(条幅!$B$11:$B$310),INDEX(条幅!$J$11:$J$310,82-COUNTA(半紙!$B$11:$B$310)),IF(82&lt;=COUNTA(半紙!$B$11:$B$310)+COUNTA(条幅!$B$11:$B$310)+COUNTA(条幅4分の1!$B$11:$B$310),INDEX(条幅4分の1!$J$11:$J$310,82-COUNTA(半紙!$B$11:$B$310)-COUNTA(条幅!$B$11:$B$310)),"")))=0,"",IF(82&lt;=COUNTA(半紙!$B$11:$B$310),INDEX(半紙!$J$11:$J$310,82),IF(82&lt;=COUNTA(半紙!$B$11:$B$310)+COUNTA(条幅!$B$11:$B$310),INDEX(条幅!$J$11:$J$310,82-COUNTA(半紙!$B$11:$B$310)),IF(82&lt;=COUNTA(半紙!$B$11:$B$310)+COUNTA(条幅!$B$11:$B$310)+COUNTA(条幅4分の1!$B$11:$B$310),INDEX(条幅4分の1!$J$11:$J$310,82-COUNTA(半紙!$B$11:$B$310)-COUNTA(条幅!$B$11:$B$310)),""))))</f>
        <v/>
      </c>
      <c r="K87" s="38" t="str">
        <f>IF(IF(82&lt;=COUNTA(半紙!$B$11:$B$310),INDEX(半紙!$K$11:$K$310,82),IF(82&lt;=COUNTA(半紙!$B$11:$B$310)+COUNTA(条幅!$B$11:$B$310),INDEX(条幅!$K$11:$K$310,82-COUNTA(半紙!$B$11:$B$310)),IF(82&lt;=COUNTA(半紙!$B$11:$B$310)+COUNTA(条幅!$B$11:$B$310)+COUNTA(条幅4分の1!$B$11:$B$310),INDEX(条幅4分の1!$K$11:$K$310,82-COUNTA(半紙!$B$11:$B$310)-COUNTA(条幅!$B$11:$B$310)),"")))=0,"",IF(82&lt;=COUNTA(半紙!$B$11:$B$310),INDEX(半紙!$K$11:$K$310,82),IF(82&lt;=COUNTA(半紙!$B$11:$B$310)+COUNTA(条幅!$B$11:$B$310),INDEX(条幅!$K$11:$K$310,82-COUNTA(半紙!$B$11:$B$310)),IF(82&lt;=COUNTA(半紙!$B$11:$B$310)+COUNTA(条幅!$B$11:$B$310)+COUNTA(条幅4分の1!$B$11:$B$310),INDEX(条幅4分の1!$K$11:$K$310,82-COUNTA(半紙!$B$11:$B$310)-COUNTA(条幅!$B$11:$B$310)),""))))</f>
        <v/>
      </c>
      <c r="L87" s="48" t="str">
        <f>IF($B87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82))</f>
        <v/>
      </c>
    </row>
    <row r="88" spans="1:12" ht="15" customHeight="1">
      <c r="A88" s="37" t="str">
        <f>IF(83&lt;=COUNTA(半紙!$B$11:$B$310),"半紙",IF(83&lt;=COUNTA(半紙!$B$11:$B$310)+COUNTA(条幅!$B$11:$B$310),"条幅(半切)",IF(83&lt;=COUNTA(半紙!$B$11:$B$310)+COUNTA(条幅!$B$11:$B$310)+COUNTA(条幅4分の1!$B$11:$B$310),"条幅(1/4)","")))</f>
        <v/>
      </c>
      <c r="B88" s="38" t="str">
        <f>IF(IF(83&lt;=COUNTA(半紙!$B$11:$B$310),INDEX(半紙!$B$11:$B$310,83),IF(83&lt;=COUNTA(半紙!$B$11:$B$310)+COUNTA(条幅!$B$11:$B$310),INDEX(条幅!$B$11:$B$310,83-COUNTA(半紙!$B$11:$B$310)),IF(83&lt;=COUNTA(半紙!$B$11:$B$310)+COUNTA(条幅!$B$11:$B$310)+COUNTA(条幅4分の1!$B$11:$B$310),INDEX(条幅4分の1!$B$11:$B$310,83-COUNTA(半紙!$B$11:$B$310)-COUNTA(条幅!$B$11:$B$310)),"")))=0,"",IF(83&lt;=COUNTA(半紙!$B$11:$B$310),INDEX(半紙!$B$11:$B$310,83),IF(83&lt;=COUNTA(半紙!$B$11:$B$310)+COUNTA(条幅!$B$11:$B$310),INDEX(条幅!$B$11:$B$310,83-COUNTA(半紙!$B$11:$B$310)),IF(83&lt;=COUNTA(半紙!$B$11:$B$310)+COUNTA(条幅!$B$11:$B$310)+COUNTA(条幅4分の1!$B$11:$B$310),INDEX(条幅4分の1!$B$11:$B$310,83-COUNTA(半紙!$B$11:$B$310)-COUNTA(条幅!$B$11:$B$310)),""))))</f>
        <v/>
      </c>
      <c r="C88" s="38" t="str">
        <f>IF(IF(83&lt;=COUNTA(半紙!$B$11:$B$310),INDEX(半紙!$C$11:$C$310,83),IF(83&lt;=COUNTA(半紙!$B$11:$B$310)+COUNTA(条幅!$B$11:$B$310),INDEX(条幅!$C$11:$C$310,83-COUNTA(半紙!$B$11:$B$310)),IF(83&lt;=COUNTA(半紙!$B$11:$B$310)+COUNTA(条幅!$B$11:$B$310)+COUNTA(条幅4分の1!$B$11:$B$310),INDEX(条幅4分の1!$C$11:$C$310,83-COUNTA(半紙!$B$11:$B$310)-COUNTA(条幅!$B$11:$B$310)),"")))=0,"",IF(83&lt;=COUNTA(半紙!$B$11:$B$310),INDEX(半紙!$C$11:$C$310,83),IF(83&lt;=COUNTA(半紙!$B$11:$B$310)+COUNTA(条幅!$B$11:$B$310),INDEX(条幅!$C$11:$C$310,83-COUNTA(半紙!$B$11:$B$310)),IF(83&lt;=COUNTA(半紙!$B$11:$B$310)+COUNTA(条幅!$B$11:$B$310)+COUNTA(条幅4分の1!$B$11:$B$310),INDEX(条幅4分の1!$C$11:$C$310,83-COUNTA(半紙!$B$11:$B$310)-COUNTA(条幅!$B$11:$B$310)),""))))</f>
        <v/>
      </c>
      <c r="D88" s="38" t="str">
        <f>IF(IF(83&lt;=COUNTA(半紙!$B$11:$B$310),INDEX(半紙!$D$11:$D$310,83),IF(83&lt;=COUNTA(半紙!$B$11:$B$310)+COUNTA(条幅!$B$11:$B$310),INDEX(条幅!$D$11:$D$310,83-COUNTA(半紙!$B$11:$B$310)),IF(83&lt;=COUNTA(半紙!$B$11:$B$310)+COUNTA(条幅!$B$11:$B$310)+COUNTA(条幅4分の1!$B$11:$B$310),INDEX(条幅4分の1!$D$11:$D$310,83-COUNTA(半紙!$B$11:$B$310)-COUNTA(条幅!$B$11:$B$310)),"")))=0,"",IF(83&lt;=COUNTA(半紙!$B$11:$B$310),INDEX(半紙!$D$11:$D$310,83),IF(83&lt;=COUNTA(半紙!$B$11:$B$310)+COUNTA(条幅!$B$11:$B$310),INDEX(条幅!$D$11:$D$310,83-COUNTA(半紙!$B$11:$B$310)),IF(83&lt;=COUNTA(半紙!$B$11:$B$310)+COUNTA(条幅!$B$11:$B$310)+COUNTA(条幅4分の1!$B$11:$B$310),INDEX(条幅4分の1!$D$11:$D$310,83-COUNTA(半紙!$B$11:$B$310)-COUNTA(条幅!$B$11:$B$310)),""))))</f>
        <v/>
      </c>
      <c r="E88" s="38" t="str">
        <f>IF(IF(83&lt;=COUNTA(半紙!$B$11:$B$310),INDEX(半紙!$E$11:$E$310,83),IF(83&lt;=COUNTA(半紙!$B$11:$B$310)+COUNTA(条幅!$B$11:$B$310),INDEX(条幅!$E$11:$E$310,83-COUNTA(半紙!$B$11:$B$310)),IF(83&lt;=COUNTA(半紙!$B$11:$B$310)+COUNTA(条幅!$B$11:$B$310)+COUNTA(条幅4分の1!$B$11:$B$310),INDEX(条幅4分の1!$E$11:$E$310,83-COUNTA(半紙!$B$11:$B$310)-COUNTA(条幅!$B$11:$B$310)),"")))=0,"",IF(83&lt;=COUNTA(半紙!$B$11:$B$310),INDEX(半紙!$E$11:$E$310,83),IF(83&lt;=COUNTA(半紙!$B$11:$B$310)+COUNTA(条幅!$B$11:$B$310),INDEX(条幅!$E$11:$E$310,83-COUNTA(半紙!$B$11:$B$310)),IF(83&lt;=COUNTA(半紙!$B$11:$B$310)+COUNTA(条幅!$B$11:$B$310)+COUNTA(条幅4分の1!$B$11:$B$310),INDEX(条幅4分の1!$E$11:$E$310,83-COUNTA(半紙!$B$11:$B$310)-COUNTA(条幅!$B$11:$B$310)),""))))</f>
        <v/>
      </c>
      <c r="F88" s="38" t="str">
        <f>IF(IF(83&lt;=COUNTA(半紙!$B$11:$B$310),INDEX(半紙!$F$11:$F$310,83),IF(83&lt;=COUNTA(半紙!$B$11:$B$310)+COUNTA(条幅!$B$11:$B$310),INDEX(条幅!$F$11:$F$310,83-COUNTA(半紙!$B$11:$B$310)),IF(83&lt;=COUNTA(半紙!$B$11:$B$310)+COUNTA(条幅!$B$11:$B$310)+COUNTA(条幅4分の1!$B$11:$B$310),INDEX(条幅4分の1!$F$11:$F$310,83-COUNTA(半紙!$B$11:$B$310)-COUNTA(条幅!$B$11:$B$310)),"")))=0,"",IF(83&lt;=COUNTA(半紙!$B$11:$B$310),INDEX(半紙!$F$11:$F$310,83),IF(83&lt;=COUNTA(半紙!$B$11:$B$310)+COUNTA(条幅!$B$11:$B$310),INDEX(条幅!$F$11:$F$310,83-COUNTA(半紙!$B$11:$B$310)),IF(83&lt;=COUNTA(半紙!$B$11:$B$310)+COUNTA(条幅!$B$11:$B$310)+COUNTA(条幅4分の1!$B$11:$B$310),INDEX(条幅4分の1!$F$11:$F$310,83-COUNTA(半紙!$B$11:$B$310)-COUNTA(条幅!$B$11:$B$310)),""))))</f>
        <v/>
      </c>
      <c r="G88" s="38" t="str">
        <f>IF(IF(83&lt;=COUNTA(半紙!$B$11:$B$310),INDEX(半紙!$G$11:$G$310,83),IF(83&lt;=COUNTA(半紙!$B$11:$B$310)+COUNTA(条幅!$B$11:$B$310),INDEX(条幅!$G$11:$G$310,83-COUNTA(半紙!$B$11:$B$310)),IF(83&lt;=COUNTA(半紙!$B$11:$B$310)+COUNTA(条幅!$B$11:$B$310)+COUNTA(条幅4分の1!$B$11:$B$310),INDEX(条幅4分の1!$G$11:$G$310,83-COUNTA(半紙!$B$11:$B$310)-COUNTA(条幅!$B$11:$B$310)),"")))=0,"",IF(83&lt;=COUNTA(半紙!$B$11:$B$310),INDEX(半紙!$G$11:$G$310,83),IF(83&lt;=COUNTA(半紙!$B$11:$B$310)+COUNTA(条幅!$B$11:$B$310),INDEX(条幅!$G$11:$G$310,83-COUNTA(半紙!$B$11:$B$310)),IF(83&lt;=COUNTA(半紙!$B$11:$B$310)+COUNTA(条幅!$B$11:$B$310)+COUNTA(条幅4分の1!$B$11:$B$310),INDEX(条幅4分の1!$G$11:$G$310,83-COUNTA(半紙!$B$11:$B$310)-COUNTA(条幅!$B$11:$B$310)),""))))</f>
        <v/>
      </c>
      <c r="H88" s="38" t="str">
        <f>IF(IF(83&lt;=COUNTA(半紙!$B$11:$B$310),INDEX(半紙!$H$11:$H$310,83),IF(83&lt;=COUNTA(半紙!$B$11:$B$310)+COUNTA(条幅!$B$11:$B$310),INDEX(条幅!$H$11:$H$310,83-COUNTA(半紙!$B$11:$B$310)),IF(83&lt;=COUNTA(半紙!$B$11:$B$310)+COUNTA(条幅!$B$11:$B$310)+COUNTA(条幅4分の1!$B$11:$B$310),INDEX(条幅4分の1!$H$11:$H$310,83-COUNTA(半紙!$B$11:$B$310)-COUNTA(条幅!$B$11:$B$310)),"")))=0,"",IF(83&lt;=COUNTA(半紙!$B$11:$B$310),INDEX(半紙!$H$11:$H$310,83),IF(83&lt;=COUNTA(半紙!$B$11:$B$310)+COUNTA(条幅!$B$11:$B$310),INDEX(条幅!$H$11:$H$310,83-COUNTA(半紙!$B$11:$B$310)),IF(83&lt;=COUNTA(半紙!$B$11:$B$310)+COUNTA(条幅!$B$11:$B$310)+COUNTA(条幅4分の1!$B$11:$B$310),INDEX(条幅4分の1!$H$11:$H$310,83-COUNTA(半紙!$B$11:$B$310)-COUNTA(条幅!$B$11:$B$310)),""))))</f>
        <v/>
      </c>
      <c r="I88" s="38" t="str">
        <f>IF(IF(83&lt;=COUNTA(半紙!$B$11:$B$310),INDEX(半紙!$I$11:$I$310,83),IF(83&lt;=COUNTA(半紙!$B$11:$B$310)+COUNTA(条幅!$B$11:$B$310),INDEX(条幅!$I$11:$I$310,83-COUNTA(半紙!$B$11:$B$310)),IF(83&lt;=COUNTA(半紙!$B$11:$B$310)+COUNTA(条幅!$B$11:$B$310)+COUNTA(条幅4分の1!$B$11:$B$310),INDEX(条幅4分の1!$I$11:$I$310,83-COUNTA(半紙!$B$11:$B$310)-COUNTA(条幅!$B$11:$B$310)),"")))=0,"",IF(83&lt;=COUNTA(半紙!$B$11:$B$310),INDEX(半紙!$I$11:$I$310,83),IF(83&lt;=COUNTA(半紙!$B$11:$B$310)+COUNTA(条幅!$B$11:$B$310),INDEX(条幅!$I$11:$I$310,83-COUNTA(半紙!$B$11:$B$310)),IF(83&lt;=COUNTA(半紙!$B$11:$B$310)+COUNTA(条幅!$B$11:$B$310)+COUNTA(条幅4分の1!$B$11:$B$310),INDEX(条幅4分の1!$I$11:$I$310,83-COUNTA(半紙!$B$11:$B$310)-COUNTA(条幅!$B$11:$B$310)),""))))</f>
        <v/>
      </c>
      <c r="J88" s="38" t="str">
        <f>IF(IF(83&lt;=COUNTA(半紙!$B$11:$B$310),INDEX(半紙!$J$11:$J$310,83),IF(83&lt;=COUNTA(半紙!$B$11:$B$310)+COUNTA(条幅!$B$11:$B$310),INDEX(条幅!$J$11:$J$310,83-COUNTA(半紙!$B$11:$B$310)),IF(83&lt;=COUNTA(半紙!$B$11:$B$310)+COUNTA(条幅!$B$11:$B$310)+COUNTA(条幅4分の1!$B$11:$B$310),INDEX(条幅4分の1!$J$11:$J$310,83-COUNTA(半紙!$B$11:$B$310)-COUNTA(条幅!$B$11:$B$310)),"")))=0,"",IF(83&lt;=COUNTA(半紙!$B$11:$B$310),INDEX(半紙!$J$11:$J$310,83),IF(83&lt;=COUNTA(半紙!$B$11:$B$310)+COUNTA(条幅!$B$11:$B$310),INDEX(条幅!$J$11:$J$310,83-COUNTA(半紙!$B$11:$B$310)),IF(83&lt;=COUNTA(半紙!$B$11:$B$310)+COUNTA(条幅!$B$11:$B$310)+COUNTA(条幅4分の1!$B$11:$B$310),INDEX(条幅4分の1!$J$11:$J$310,83-COUNTA(半紙!$B$11:$B$310)-COUNTA(条幅!$B$11:$B$310)),""))))</f>
        <v/>
      </c>
      <c r="K88" s="38" t="str">
        <f>IF(IF(83&lt;=COUNTA(半紙!$B$11:$B$310),INDEX(半紙!$K$11:$K$310,83),IF(83&lt;=COUNTA(半紙!$B$11:$B$310)+COUNTA(条幅!$B$11:$B$310),INDEX(条幅!$K$11:$K$310,83-COUNTA(半紙!$B$11:$B$310)),IF(83&lt;=COUNTA(半紙!$B$11:$B$310)+COUNTA(条幅!$B$11:$B$310)+COUNTA(条幅4分の1!$B$11:$B$310),INDEX(条幅4分の1!$K$11:$K$310,83-COUNTA(半紙!$B$11:$B$310)-COUNTA(条幅!$B$11:$B$310)),"")))=0,"",IF(83&lt;=COUNTA(半紙!$B$11:$B$310),INDEX(半紙!$K$11:$K$310,83),IF(83&lt;=COUNTA(半紙!$B$11:$B$310)+COUNTA(条幅!$B$11:$B$310),INDEX(条幅!$K$11:$K$310,83-COUNTA(半紙!$B$11:$B$310)),IF(83&lt;=COUNTA(半紙!$B$11:$B$310)+COUNTA(条幅!$B$11:$B$310)+COUNTA(条幅4分の1!$B$11:$B$310),INDEX(条幅4分の1!$K$11:$K$310,83-COUNTA(半紙!$B$11:$B$310)-COUNTA(条幅!$B$11:$B$310)),""))))</f>
        <v/>
      </c>
      <c r="L88" s="48" t="str">
        <f>IF($B88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83))</f>
        <v/>
      </c>
    </row>
    <row r="89" spans="1:12" ht="15" customHeight="1">
      <c r="A89" s="37" t="str">
        <f>IF(84&lt;=COUNTA(半紙!$B$11:$B$310),"半紙",IF(84&lt;=COUNTA(半紙!$B$11:$B$310)+COUNTA(条幅!$B$11:$B$310),"条幅(半切)",IF(84&lt;=COUNTA(半紙!$B$11:$B$310)+COUNTA(条幅!$B$11:$B$310)+COUNTA(条幅4分の1!$B$11:$B$310),"条幅(1/4)","")))</f>
        <v/>
      </c>
      <c r="B89" s="38" t="str">
        <f>IF(IF(84&lt;=COUNTA(半紙!$B$11:$B$310),INDEX(半紙!$B$11:$B$310,84),IF(84&lt;=COUNTA(半紙!$B$11:$B$310)+COUNTA(条幅!$B$11:$B$310),INDEX(条幅!$B$11:$B$310,84-COUNTA(半紙!$B$11:$B$310)),IF(84&lt;=COUNTA(半紙!$B$11:$B$310)+COUNTA(条幅!$B$11:$B$310)+COUNTA(条幅4分の1!$B$11:$B$310),INDEX(条幅4分の1!$B$11:$B$310,84-COUNTA(半紙!$B$11:$B$310)-COUNTA(条幅!$B$11:$B$310)),"")))=0,"",IF(84&lt;=COUNTA(半紙!$B$11:$B$310),INDEX(半紙!$B$11:$B$310,84),IF(84&lt;=COUNTA(半紙!$B$11:$B$310)+COUNTA(条幅!$B$11:$B$310),INDEX(条幅!$B$11:$B$310,84-COUNTA(半紙!$B$11:$B$310)),IF(84&lt;=COUNTA(半紙!$B$11:$B$310)+COUNTA(条幅!$B$11:$B$310)+COUNTA(条幅4分の1!$B$11:$B$310),INDEX(条幅4分の1!$B$11:$B$310,84-COUNTA(半紙!$B$11:$B$310)-COUNTA(条幅!$B$11:$B$310)),""))))</f>
        <v/>
      </c>
      <c r="C89" s="38" t="str">
        <f>IF(IF(84&lt;=COUNTA(半紙!$B$11:$B$310),INDEX(半紙!$C$11:$C$310,84),IF(84&lt;=COUNTA(半紙!$B$11:$B$310)+COUNTA(条幅!$B$11:$B$310),INDEX(条幅!$C$11:$C$310,84-COUNTA(半紙!$B$11:$B$310)),IF(84&lt;=COUNTA(半紙!$B$11:$B$310)+COUNTA(条幅!$B$11:$B$310)+COUNTA(条幅4分の1!$B$11:$B$310),INDEX(条幅4分の1!$C$11:$C$310,84-COUNTA(半紙!$B$11:$B$310)-COUNTA(条幅!$B$11:$B$310)),"")))=0,"",IF(84&lt;=COUNTA(半紙!$B$11:$B$310),INDEX(半紙!$C$11:$C$310,84),IF(84&lt;=COUNTA(半紙!$B$11:$B$310)+COUNTA(条幅!$B$11:$B$310),INDEX(条幅!$C$11:$C$310,84-COUNTA(半紙!$B$11:$B$310)),IF(84&lt;=COUNTA(半紙!$B$11:$B$310)+COUNTA(条幅!$B$11:$B$310)+COUNTA(条幅4分の1!$B$11:$B$310),INDEX(条幅4分の1!$C$11:$C$310,84-COUNTA(半紙!$B$11:$B$310)-COUNTA(条幅!$B$11:$B$310)),""))))</f>
        <v/>
      </c>
      <c r="D89" s="38" t="str">
        <f>IF(IF(84&lt;=COUNTA(半紙!$B$11:$B$310),INDEX(半紙!$D$11:$D$310,84),IF(84&lt;=COUNTA(半紙!$B$11:$B$310)+COUNTA(条幅!$B$11:$B$310),INDEX(条幅!$D$11:$D$310,84-COUNTA(半紙!$B$11:$B$310)),IF(84&lt;=COUNTA(半紙!$B$11:$B$310)+COUNTA(条幅!$B$11:$B$310)+COUNTA(条幅4分の1!$B$11:$B$310),INDEX(条幅4分の1!$D$11:$D$310,84-COUNTA(半紙!$B$11:$B$310)-COUNTA(条幅!$B$11:$B$310)),"")))=0,"",IF(84&lt;=COUNTA(半紙!$B$11:$B$310),INDEX(半紙!$D$11:$D$310,84),IF(84&lt;=COUNTA(半紙!$B$11:$B$310)+COUNTA(条幅!$B$11:$B$310),INDEX(条幅!$D$11:$D$310,84-COUNTA(半紙!$B$11:$B$310)),IF(84&lt;=COUNTA(半紙!$B$11:$B$310)+COUNTA(条幅!$B$11:$B$310)+COUNTA(条幅4分の1!$B$11:$B$310),INDEX(条幅4分の1!$D$11:$D$310,84-COUNTA(半紙!$B$11:$B$310)-COUNTA(条幅!$B$11:$B$310)),""))))</f>
        <v/>
      </c>
      <c r="E89" s="38" t="str">
        <f>IF(IF(84&lt;=COUNTA(半紙!$B$11:$B$310),INDEX(半紙!$E$11:$E$310,84),IF(84&lt;=COUNTA(半紙!$B$11:$B$310)+COUNTA(条幅!$B$11:$B$310),INDEX(条幅!$E$11:$E$310,84-COUNTA(半紙!$B$11:$B$310)),IF(84&lt;=COUNTA(半紙!$B$11:$B$310)+COUNTA(条幅!$B$11:$B$310)+COUNTA(条幅4分の1!$B$11:$B$310),INDEX(条幅4分の1!$E$11:$E$310,84-COUNTA(半紙!$B$11:$B$310)-COUNTA(条幅!$B$11:$B$310)),"")))=0,"",IF(84&lt;=COUNTA(半紙!$B$11:$B$310),INDEX(半紙!$E$11:$E$310,84),IF(84&lt;=COUNTA(半紙!$B$11:$B$310)+COUNTA(条幅!$B$11:$B$310),INDEX(条幅!$E$11:$E$310,84-COUNTA(半紙!$B$11:$B$310)),IF(84&lt;=COUNTA(半紙!$B$11:$B$310)+COUNTA(条幅!$B$11:$B$310)+COUNTA(条幅4分の1!$B$11:$B$310),INDEX(条幅4分の1!$E$11:$E$310,84-COUNTA(半紙!$B$11:$B$310)-COUNTA(条幅!$B$11:$B$310)),""))))</f>
        <v/>
      </c>
      <c r="F89" s="38" t="str">
        <f>IF(IF(84&lt;=COUNTA(半紙!$B$11:$B$310),INDEX(半紙!$F$11:$F$310,84),IF(84&lt;=COUNTA(半紙!$B$11:$B$310)+COUNTA(条幅!$B$11:$B$310),INDEX(条幅!$F$11:$F$310,84-COUNTA(半紙!$B$11:$B$310)),IF(84&lt;=COUNTA(半紙!$B$11:$B$310)+COUNTA(条幅!$B$11:$B$310)+COUNTA(条幅4分の1!$B$11:$B$310),INDEX(条幅4分の1!$F$11:$F$310,84-COUNTA(半紙!$B$11:$B$310)-COUNTA(条幅!$B$11:$B$310)),"")))=0,"",IF(84&lt;=COUNTA(半紙!$B$11:$B$310),INDEX(半紙!$F$11:$F$310,84),IF(84&lt;=COUNTA(半紙!$B$11:$B$310)+COUNTA(条幅!$B$11:$B$310),INDEX(条幅!$F$11:$F$310,84-COUNTA(半紙!$B$11:$B$310)),IF(84&lt;=COUNTA(半紙!$B$11:$B$310)+COUNTA(条幅!$B$11:$B$310)+COUNTA(条幅4分の1!$B$11:$B$310),INDEX(条幅4分の1!$F$11:$F$310,84-COUNTA(半紙!$B$11:$B$310)-COUNTA(条幅!$B$11:$B$310)),""))))</f>
        <v/>
      </c>
      <c r="G89" s="38" t="str">
        <f>IF(IF(84&lt;=COUNTA(半紙!$B$11:$B$310),INDEX(半紙!$G$11:$G$310,84),IF(84&lt;=COUNTA(半紙!$B$11:$B$310)+COUNTA(条幅!$B$11:$B$310),INDEX(条幅!$G$11:$G$310,84-COUNTA(半紙!$B$11:$B$310)),IF(84&lt;=COUNTA(半紙!$B$11:$B$310)+COUNTA(条幅!$B$11:$B$310)+COUNTA(条幅4分の1!$B$11:$B$310),INDEX(条幅4分の1!$G$11:$G$310,84-COUNTA(半紙!$B$11:$B$310)-COUNTA(条幅!$B$11:$B$310)),"")))=0,"",IF(84&lt;=COUNTA(半紙!$B$11:$B$310),INDEX(半紙!$G$11:$G$310,84),IF(84&lt;=COUNTA(半紙!$B$11:$B$310)+COUNTA(条幅!$B$11:$B$310),INDEX(条幅!$G$11:$G$310,84-COUNTA(半紙!$B$11:$B$310)),IF(84&lt;=COUNTA(半紙!$B$11:$B$310)+COUNTA(条幅!$B$11:$B$310)+COUNTA(条幅4分の1!$B$11:$B$310),INDEX(条幅4分の1!$G$11:$G$310,84-COUNTA(半紙!$B$11:$B$310)-COUNTA(条幅!$B$11:$B$310)),""))))</f>
        <v/>
      </c>
      <c r="H89" s="38" t="str">
        <f>IF(IF(84&lt;=COUNTA(半紙!$B$11:$B$310),INDEX(半紙!$H$11:$H$310,84),IF(84&lt;=COUNTA(半紙!$B$11:$B$310)+COUNTA(条幅!$B$11:$B$310),INDEX(条幅!$H$11:$H$310,84-COUNTA(半紙!$B$11:$B$310)),IF(84&lt;=COUNTA(半紙!$B$11:$B$310)+COUNTA(条幅!$B$11:$B$310)+COUNTA(条幅4分の1!$B$11:$B$310),INDEX(条幅4分の1!$H$11:$H$310,84-COUNTA(半紙!$B$11:$B$310)-COUNTA(条幅!$B$11:$B$310)),"")))=0,"",IF(84&lt;=COUNTA(半紙!$B$11:$B$310),INDEX(半紙!$H$11:$H$310,84),IF(84&lt;=COUNTA(半紙!$B$11:$B$310)+COUNTA(条幅!$B$11:$B$310),INDEX(条幅!$H$11:$H$310,84-COUNTA(半紙!$B$11:$B$310)),IF(84&lt;=COUNTA(半紙!$B$11:$B$310)+COUNTA(条幅!$B$11:$B$310)+COUNTA(条幅4分の1!$B$11:$B$310),INDEX(条幅4分の1!$H$11:$H$310,84-COUNTA(半紙!$B$11:$B$310)-COUNTA(条幅!$B$11:$B$310)),""))))</f>
        <v/>
      </c>
      <c r="I89" s="38" t="str">
        <f>IF(IF(84&lt;=COUNTA(半紙!$B$11:$B$310),INDEX(半紙!$I$11:$I$310,84),IF(84&lt;=COUNTA(半紙!$B$11:$B$310)+COUNTA(条幅!$B$11:$B$310),INDEX(条幅!$I$11:$I$310,84-COUNTA(半紙!$B$11:$B$310)),IF(84&lt;=COUNTA(半紙!$B$11:$B$310)+COUNTA(条幅!$B$11:$B$310)+COUNTA(条幅4分の1!$B$11:$B$310),INDEX(条幅4分の1!$I$11:$I$310,84-COUNTA(半紙!$B$11:$B$310)-COUNTA(条幅!$B$11:$B$310)),"")))=0,"",IF(84&lt;=COUNTA(半紙!$B$11:$B$310),INDEX(半紙!$I$11:$I$310,84),IF(84&lt;=COUNTA(半紙!$B$11:$B$310)+COUNTA(条幅!$B$11:$B$310),INDEX(条幅!$I$11:$I$310,84-COUNTA(半紙!$B$11:$B$310)),IF(84&lt;=COUNTA(半紙!$B$11:$B$310)+COUNTA(条幅!$B$11:$B$310)+COUNTA(条幅4分の1!$B$11:$B$310),INDEX(条幅4分の1!$I$11:$I$310,84-COUNTA(半紙!$B$11:$B$310)-COUNTA(条幅!$B$11:$B$310)),""))))</f>
        <v/>
      </c>
      <c r="J89" s="38" t="str">
        <f>IF(IF(84&lt;=COUNTA(半紙!$B$11:$B$310),INDEX(半紙!$J$11:$J$310,84),IF(84&lt;=COUNTA(半紙!$B$11:$B$310)+COUNTA(条幅!$B$11:$B$310),INDEX(条幅!$J$11:$J$310,84-COUNTA(半紙!$B$11:$B$310)),IF(84&lt;=COUNTA(半紙!$B$11:$B$310)+COUNTA(条幅!$B$11:$B$310)+COUNTA(条幅4分の1!$B$11:$B$310),INDEX(条幅4分の1!$J$11:$J$310,84-COUNTA(半紙!$B$11:$B$310)-COUNTA(条幅!$B$11:$B$310)),"")))=0,"",IF(84&lt;=COUNTA(半紙!$B$11:$B$310),INDEX(半紙!$J$11:$J$310,84),IF(84&lt;=COUNTA(半紙!$B$11:$B$310)+COUNTA(条幅!$B$11:$B$310),INDEX(条幅!$J$11:$J$310,84-COUNTA(半紙!$B$11:$B$310)),IF(84&lt;=COUNTA(半紙!$B$11:$B$310)+COUNTA(条幅!$B$11:$B$310)+COUNTA(条幅4分の1!$B$11:$B$310),INDEX(条幅4分の1!$J$11:$J$310,84-COUNTA(半紙!$B$11:$B$310)-COUNTA(条幅!$B$11:$B$310)),""))))</f>
        <v/>
      </c>
      <c r="K89" s="38" t="str">
        <f>IF(IF(84&lt;=COUNTA(半紙!$B$11:$B$310),INDEX(半紙!$K$11:$K$310,84),IF(84&lt;=COUNTA(半紙!$B$11:$B$310)+COUNTA(条幅!$B$11:$B$310),INDEX(条幅!$K$11:$K$310,84-COUNTA(半紙!$B$11:$B$310)),IF(84&lt;=COUNTA(半紙!$B$11:$B$310)+COUNTA(条幅!$B$11:$B$310)+COUNTA(条幅4分の1!$B$11:$B$310),INDEX(条幅4分の1!$K$11:$K$310,84-COUNTA(半紙!$B$11:$B$310)-COUNTA(条幅!$B$11:$B$310)),"")))=0,"",IF(84&lt;=COUNTA(半紙!$B$11:$B$310),INDEX(半紙!$K$11:$K$310,84),IF(84&lt;=COUNTA(半紙!$B$11:$B$310)+COUNTA(条幅!$B$11:$B$310),INDEX(条幅!$K$11:$K$310,84-COUNTA(半紙!$B$11:$B$310)),IF(84&lt;=COUNTA(半紙!$B$11:$B$310)+COUNTA(条幅!$B$11:$B$310)+COUNTA(条幅4分の1!$B$11:$B$310),INDEX(条幅4分の1!$K$11:$K$310,84-COUNTA(半紙!$B$11:$B$310)-COUNTA(条幅!$B$11:$B$310)),""))))</f>
        <v/>
      </c>
      <c r="L89" s="48" t="str">
        <f>IF($B89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84))</f>
        <v/>
      </c>
    </row>
    <row r="90" spans="1:12" ht="15" customHeight="1">
      <c r="A90" s="37" t="str">
        <f>IF(85&lt;=COUNTA(半紙!$B$11:$B$310),"半紙",IF(85&lt;=COUNTA(半紙!$B$11:$B$310)+COUNTA(条幅!$B$11:$B$310),"条幅(半切)",IF(85&lt;=COUNTA(半紙!$B$11:$B$310)+COUNTA(条幅!$B$11:$B$310)+COUNTA(条幅4分の1!$B$11:$B$310),"条幅(1/4)","")))</f>
        <v/>
      </c>
      <c r="B90" s="38" t="str">
        <f>IF(IF(85&lt;=COUNTA(半紙!$B$11:$B$310),INDEX(半紙!$B$11:$B$310,85),IF(85&lt;=COUNTA(半紙!$B$11:$B$310)+COUNTA(条幅!$B$11:$B$310),INDEX(条幅!$B$11:$B$310,85-COUNTA(半紙!$B$11:$B$310)),IF(85&lt;=COUNTA(半紙!$B$11:$B$310)+COUNTA(条幅!$B$11:$B$310)+COUNTA(条幅4分の1!$B$11:$B$310),INDEX(条幅4分の1!$B$11:$B$310,85-COUNTA(半紙!$B$11:$B$310)-COUNTA(条幅!$B$11:$B$310)),"")))=0,"",IF(85&lt;=COUNTA(半紙!$B$11:$B$310),INDEX(半紙!$B$11:$B$310,85),IF(85&lt;=COUNTA(半紙!$B$11:$B$310)+COUNTA(条幅!$B$11:$B$310),INDEX(条幅!$B$11:$B$310,85-COUNTA(半紙!$B$11:$B$310)),IF(85&lt;=COUNTA(半紙!$B$11:$B$310)+COUNTA(条幅!$B$11:$B$310)+COUNTA(条幅4分の1!$B$11:$B$310),INDEX(条幅4分の1!$B$11:$B$310,85-COUNTA(半紙!$B$11:$B$310)-COUNTA(条幅!$B$11:$B$310)),""))))</f>
        <v/>
      </c>
      <c r="C90" s="38" t="str">
        <f>IF(IF(85&lt;=COUNTA(半紙!$B$11:$B$310),INDEX(半紙!$C$11:$C$310,85),IF(85&lt;=COUNTA(半紙!$B$11:$B$310)+COUNTA(条幅!$B$11:$B$310),INDEX(条幅!$C$11:$C$310,85-COUNTA(半紙!$B$11:$B$310)),IF(85&lt;=COUNTA(半紙!$B$11:$B$310)+COUNTA(条幅!$B$11:$B$310)+COUNTA(条幅4分の1!$B$11:$B$310),INDEX(条幅4分の1!$C$11:$C$310,85-COUNTA(半紙!$B$11:$B$310)-COUNTA(条幅!$B$11:$B$310)),"")))=0,"",IF(85&lt;=COUNTA(半紙!$B$11:$B$310),INDEX(半紙!$C$11:$C$310,85),IF(85&lt;=COUNTA(半紙!$B$11:$B$310)+COUNTA(条幅!$B$11:$B$310),INDEX(条幅!$C$11:$C$310,85-COUNTA(半紙!$B$11:$B$310)),IF(85&lt;=COUNTA(半紙!$B$11:$B$310)+COUNTA(条幅!$B$11:$B$310)+COUNTA(条幅4分の1!$B$11:$B$310),INDEX(条幅4分の1!$C$11:$C$310,85-COUNTA(半紙!$B$11:$B$310)-COUNTA(条幅!$B$11:$B$310)),""))))</f>
        <v/>
      </c>
      <c r="D90" s="38" t="str">
        <f>IF(IF(85&lt;=COUNTA(半紙!$B$11:$B$310),INDEX(半紙!$D$11:$D$310,85),IF(85&lt;=COUNTA(半紙!$B$11:$B$310)+COUNTA(条幅!$B$11:$B$310),INDEX(条幅!$D$11:$D$310,85-COUNTA(半紙!$B$11:$B$310)),IF(85&lt;=COUNTA(半紙!$B$11:$B$310)+COUNTA(条幅!$B$11:$B$310)+COUNTA(条幅4分の1!$B$11:$B$310),INDEX(条幅4分の1!$D$11:$D$310,85-COUNTA(半紙!$B$11:$B$310)-COUNTA(条幅!$B$11:$B$310)),"")))=0,"",IF(85&lt;=COUNTA(半紙!$B$11:$B$310),INDEX(半紙!$D$11:$D$310,85),IF(85&lt;=COUNTA(半紙!$B$11:$B$310)+COUNTA(条幅!$B$11:$B$310),INDEX(条幅!$D$11:$D$310,85-COUNTA(半紙!$B$11:$B$310)),IF(85&lt;=COUNTA(半紙!$B$11:$B$310)+COUNTA(条幅!$B$11:$B$310)+COUNTA(条幅4分の1!$B$11:$B$310),INDEX(条幅4分の1!$D$11:$D$310,85-COUNTA(半紙!$B$11:$B$310)-COUNTA(条幅!$B$11:$B$310)),""))))</f>
        <v/>
      </c>
      <c r="E90" s="38" t="str">
        <f>IF(IF(85&lt;=COUNTA(半紙!$B$11:$B$310),INDEX(半紙!$E$11:$E$310,85),IF(85&lt;=COUNTA(半紙!$B$11:$B$310)+COUNTA(条幅!$B$11:$B$310),INDEX(条幅!$E$11:$E$310,85-COUNTA(半紙!$B$11:$B$310)),IF(85&lt;=COUNTA(半紙!$B$11:$B$310)+COUNTA(条幅!$B$11:$B$310)+COUNTA(条幅4分の1!$B$11:$B$310),INDEX(条幅4分の1!$E$11:$E$310,85-COUNTA(半紙!$B$11:$B$310)-COUNTA(条幅!$B$11:$B$310)),"")))=0,"",IF(85&lt;=COUNTA(半紙!$B$11:$B$310),INDEX(半紙!$E$11:$E$310,85),IF(85&lt;=COUNTA(半紙!$B$11:$B$310)+COUNTA(条幅!$B$11:$B$310),INDEX(条幅!$E$11:$E$310,85-COUNTA(半紙!$B$11:$B$310)),IF(85&lt;=COUNTA(半紙!$B$11:$B$310)+COUNTA(条幅!$B$11:$B$310)+COUNTA(条幅4分の1!$B$11:$B$310),INDEX(条幅4分の1!$E$11:$E$310,85-COUNTA(半紙!$B$11:$B$310)-COUNTA(条幅!$B$11:$B$310)),""))))</f>
        <v/>
      </c>
      <c r="F90" s="38" t="str">
        <f>IF(IF(85&lt;=COUNTA(半紙!$B$11:$B$310),INDEX(半紙!$F$11:$F$310,85),IF(85&lt;=COUNTA(半紙!$B$11:$B$310)+COUNTA(条幅!$B$11:$B$310),INDEX(条幅!$F$11:$F$310,85-COUNTA(半紙!$B$11:$B$310)),IF(85&lt;=COUNTA(半紙!$B$11:$B$310)+COUNTA(条幅!$B$11:$B$310)+COUNTA(条幅4分の1!$B$11:$B$310),INDEX(条幅4分の1!$F$11:$F$310,85-COUNTA(半紙!$B$11:$B$310)-COUNTA(条幅!$B$11:$B$310)),"")))=0,"",IF(85&lt;=COUNTA(半紙!$B$11:$B$310),INDEX(半紙!$F$11:$F$310,85),IF(85&lt;=COUNTA(半紙!$B$11:$B$310)+COUNTA(条幅!$B$11:$B$310),INDEX(条幅!$F$11:$F$310,85-COUNTA(半紙!$B$11:$B$310)),IF(85&lt;=COUNTA(半紙!$B$11:$B$310)+COUNTA(条幅!$B$11:$B$310)+COUNTA(条幅4分の1!$B$11:$B$310),INDEX(条幅4分の1!$F$11:$F$310,85-COUNTA(半紙!$B$11:$B$310)-COUNTA(条幅!$B$11:$B$310)),""))))</f>
        <v/>
      </c>
      <c r="G90" s="38" t="str">
        <f>IF(IF(85&lt;=COUNTA(半紙!$B$11:$B$310),INDEX(半紙!$G$11:$G$310,85),IF(85&lt;=COUNTA(半紙!$B$11:$B$310)+COUNTA(条幅!$B$11:$B$310),INDEX(条幅!$G$11:$G$310,85-COUNTA(半紙!$B$11:$B$310)),IF(85&lt;=COUNTA(半紙!$B$11:$B$310)+COUNTA(条幅!$B$11:$B$310)+COUNTA(条幅4分の1!$B$11:$B$310),INDEX(条幅4分の1!$G$11:$G$310,85-COUNTA(半紙!$B$11:$B$310)-COUNTA(条幅!$B$11:$B$310)),"")))=0,"",IF(85&lt;=COUNTA(半紙!$B$11:$B$310),INDEX(半紙!$G$11:$G$310,85),IF(85&lt;=COUNTA(半紙!$B$11:$B$310)+COUNTA(条幅!$B$11:$B$310),INDEX(条幅!$G$11:$G$310,85-COUNTA(半紙!$B$11:$B$310)),IF(85&lt;=COUNTA(半紙!$B$11:$B$310)+COUNTA(条幅!$B$11:$B$310)+COUNTA(条幅4分の1!$B$11:$B$310),INDEX(条幅4分の1!$G$11:$G$310,85-COUNTA(半紙!$B$11:$B$310)-COUNTA(条幅!$B$11:$B$310)),""))))</f>
        <v/>
      </c>
      <c r="H90" s="38" t="str">
        <f>IF(IF(85&lt;=COUNTA(半紙!$B$11:$B$310),INDEX(半紙!$H$11:$H$310,85),IF(85&lt;=COUNTA(半紙!$B$11:$B$310)+COUNTA(条幅!$B$11:$B$310),INDEX(条幅!$H$11:$H$310,85-COUNTA(半紙!$B$11:$B$310)),IF(85&lt;=COUNTA(半紙!$B$11:$B$310)+COUNTA(条幅!$B$11:$B$310)+COUNTA(条幅4分の1!$B$11:$B$310),INDEX(条幅4分の1!$H$11:$H$310,85-COUNTA(半紙!$B$11:$B$310)-COUNTA(条幅!$B$11:$B$310)),"")))=0,"",IF(85&lt;=COUNTA(半紙!$B$11:$B$310),INDEX(半紙!$H$11:$H$310,85),IF(85&lt;=COUNTA(半紙!$B$11:$B$310)+COUNTA(条幅!$B$11:$B$310),INDEX(条幅!$H$11:$H$310,85-COUNTA(半紙!$B$11:$B$310)),IF(85&lt;=COUNTA(半紙!$B$11:$B$310)+COUNTA(条幅!$B$11:$B$310)+COUNTA(条幅4分の1!$B$11:$B$310),INDEX(条幅4分の1!$H$11:$H$310,85-COUNTA(半紙!$B$11:$B$310)-COUNTA(条幅!$B$11:$B$310)),""))))</f>
        <v/>
      </c>
      <c r="I90" s="38" t="str">
        <f>IF(IF(85&lt;=COUNTA(半紙!$B$11:$B$310),INDEX(半紙!$I$11:$I$310,85),IF(85&lt;=COUNTA(半紙!$B$11:$B$310)+COUNTA(条幅!$B$11:$B$310),INDEX(条幅!$I$11:$I$310,85-COUNTA(半紙!$B$11:$B$310)),IF(85&lt;=COUNTA(半紙!$B$11:$B$310)+COUNTA(条幅!$B$11:$B$310)+COUNTA(条幅4分の1!$B$11:$B$310),INDEX(条幅4分の1!$I$11:$I$310,85-COUNTA(半紙!$B$11:$B$310)-COUNTA(条幅!$B$11:$B$310)),"")))=0,"",IF(85&lt;=COUNTA(半紙!$B$11:$B$310),INDEX(半紙!$I$11:$I$310,85),IF(85&lt;=COUNTA(半紙!$B$11:$B$310)+COUNTA(条幅!$B$11:$B$310),INDEX(条幅!$I$11:$I$310,85-COUNTA(半紙!$B$11:$B$310)),IF(85&lt;=COUNTA(半紙!$B$11:$B$310)+COUNTA(条幅!$B$11:$B$310)+COUNTA(条幅4分の1!$B$11:$B$310),INDEX(条幅4分の1!$I$11:$I$310,85-COUNTA(半紙!$B$11:$B$310)-COUNTA(条幅!$B$11:$B$310)),""))))</f>
        <v/>
      </c>
      <c r="J90" s="38" t="str">
        <f>IF(IF(85&lt;=COUNTA(半紙!$B$11:$B$310),INDEX(半紙!$J$11:$J$310,85),IF(85&lt;=COUNTA(半紙!$B$11:$B$310)+COUNTA(条幅!$B$11:$B$310),INDEX(条幅!$J$11:$J$310,85-COUNTA(半紙!$B$11:$B$310)),IF(85&lt;=COUNTA(半紙!$B$11:$B$310)+COUNTA(条幅!$B$11:$B$310)+COUNTA(条幅4分の1!$B$11:$B$310),INDEX(条幅4分の1!$J$11:$J$310,85-COUNTA(半紙!$B$11:$B$310)-COUNTA(条幅!$B$11:$B$310)),"")))=0,"",IF(85&lt;=COUNTA(半紙!$B$11:$B$310),INDEX(半紙!$J$11:$J$310,85),IF(85&lt;=COUNTA(半紙!$B$11:$B$310)+COUNTA(条幅!$B$11:$B$310),INDEX(条幅!$J$11:$J$310,85-COUNTA(半紙!$B$11:$B$310)),IF(85&lt;=COUNTA(半紙!$B$11:$B$310)+COUNTA(条幅!$B$11:$B$310)+COUNTA(条幅4分の1!$B$11:$B$310),INDEX(条幅4分の1!$J$11:$J$310,85-COUNTA(半紙!$B$11:$B$310)-COUNTA(条幅!$B$11:$B$310)),""))))</f>
        <v/>
      </c>
      <c r="K90" s="38" t="str">
        <f>IF(IF(85&lt;=COUNTA(半紙!$B$11:$B$310),INDEX(半紙!$K$11:$K$310,85),IF(85&lt;=COUNTA(半紙!$B$11:$B$310)+COUNTA(条幅!$B$11:$B$310),INDEX(条幅!$K$11:$K$310,85-COUNTA(半紙!$B$11:$B$310)),IF(85&lt;=COUNTA(半紙!$B$11:$B$310)+COUNTA(条幅!$B$11:$B$310)+COUNTA(条幅4分の1!$B$11:$B$310),INDEX(条幅4分の1!$K$11:$K$310,85-COUNTA(半紙!$B$11:$B$310)-COUNTA(条幅!$B$11:$B$310)),"")))=0,"",IF(85&lt;=COUNTA(半紙!$B$11:$B$310),INDEX(半紙!$K$11:$K$310,85),IF(85&lt;=COUNTA(半紙!$B$11:$B$310)+COUNTA(条幅!$B$11:$B$310),INDEX(条幅!$K$11:$K$310,85-COUNTA(半紙!$B$11:$B$310)),IF(85&lt;=COUNTA(半紙!$B$11:$B$310)+COUNTA(条幅!$B$11:$B$310)+COUNTA(条幅4分の1!$B$11:$B$310),INDEX(条幅4分の1!$K$11:$K$310,85-COUNTA(半紙!$B$11:$B$310)-COUNTA(条幅!$B$11:$B$310)),""))))</f>
        <v/>
      </c>
      <c r="L90" s="48" t="str">
        <f>IF($B90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85))</f>
        <v/>
      </c>
    </row>
    <row r="91" spans="1:12" ht="15" customHeight="1">
      <c r="A91" s="37" t="str">
        <f>IF(86&lt;=COUNTA(半紙!$B$11:$B$310),"半紙",IF(86&lt;=COUNTA(半紙!$B$11:$B$310)+COUNTA(条幅!$B$11:$B$310),"条幅(半切)",IF(86&lt;=COUNTA(半紙!$B$11:$B$310)+COUNTA(条幅!$B$11:$B$310)+COUNTA(条幅4分の1!$B$11:$B$310),"条幅(1/4)","")))</f>
        <v/>
      </c>
      <c r="B91" s="38" t="str">
        <f>IF(IF(86&lt;=COUNTA(半紙!$B$11:$B$310),INDEX(半紙!$B$11:$B$310,86),IF(86&lt;=COUNTA(半紙!$B$11:$B$310)+COUNTA(条幅!$B$11:$B$310),INDEX(条幅!$B$11:$B$310,86-COUNTA(半紙!$B$11:$B$310)),IF(86&lt;=COUNTA(半紙!$B$11:$B$310)+COUNTA(条幅!$B$11:$B$310)+COUNTA(条幅4分の1!$B$11:$B$310),INDEX(条幅4分の1!$B$11:$B$310,86-COUNTA(半紙!$B$11:$B$310)-COUNTA(条幅!$B$11:$B$310)),"")))=0,"",IF(86&lt;=COUNTA(半紙!$B$11:$B$310),INDEX(半紙!$B$11:$B$310,86),IF(86&lt;=COUNTA(半紙!$B$11:$B$310)+COUNTA(条幅!$B$11:$B$310),INDEX(条幅!$B$11:$B$310,86-COUNTA(半紙!$B$11:$B$310)),IF(86&lt;=COUNTA(半紙!$B$11:$B$310)+COUNTA(条幅!$B$11:$B$310)+COUNTA(条幅4分の1!$B$11:$B$310),INDEX(条幅4分の1!$B$11:$B$310,86-COUNTA(半紙!$B$11:$B$310)-COUNTA(条幅!$B$11:$B$310)),""))))</f>
        <v/>
      </c>
      <c r="C91" s="38" t="str">
        <f>IF(IF(86&lt;=COUNTA(半紙!$B$11:$B$310),INDEX(半紙!$C$11:$C$310,86),IF(86&lt;=COUNTA(半紙!$B$11:$B$310)+COUNTA(条幅!$B$11:$B$310),INDEX(条幅!$C$11:$C$310,86-COUNTA(半紙!$B$11:$B$310)),IF(86&lt;=COUNTA(半紙!$B$11:$B$310)+COUNTA(条幅!$B$11:$B$310)+COUNTA(条幅4分の1!$B$11:$B$310),INDEX(条幅4分の1!$C$11:$C$310,86-COUNTA(半紙!$B$11:$B$310)-COUNTA(条幅!$B$11:$B$310)),"")))=0,"",IF(86&lt;=COUNTA(半紙!$B$11:$B$310),INDEX(半紙!$C$11:$C$310,86),IF(86&lt;=COUNTA(半紙!$B$11:$B$310)+COUNTA(条幅!$B$11:$B$310),INDEX(条幅!$C$11:$C$310,86-COUNTA(半紙!$B$11:$B$310)),IF(86&lt;=COUNTA(半紙!$B$11:$B$310)+COUNTA(条幅!$B$11:$B$310)+COUNTA(条幅4分の1!$B$11:$B$310),INDEX(条幅4分の1!$C$11:$C$310,86-COUNTA(半紙!$B$11:$B$310)-COUNTA(条幅!$B$11:$B$310)),""))))</f>
        <v/>
      </c>
      <c r="D91" s="38" t="str">
        <f>IF(IF(86&lt;=COUNTA(半紙!$B$11:$B$310),INDEX(半紙!$D$11:$D$310,86),IF(86&lt;=COUNTA(半紙!$B$11:$B$310)+COUNTA(条幅!$B$11:$B$310),INDEX(条幅!$D$11:$D$310,86-COUNTA(半紙!$B$11:$B$310)),IF(86&lt;=COUNTA(半紙!$B$11:$B$310)+COUNTA(条幅!$B$11:$B$310)+COUNTA(条幅4分の1!$B$11:$B$310),INDEX(条幅4分の1!$D$11:$D$310,86-COUNTA(半紙!$B$11:$B$310)-COUNTA(条幅!$B$11:$B$310)),"")))=0,"",IF(86&lt;=COUNTA(半紙!$B$11:$B$310),INDEX(半紙!$D$11:$D$310,86),IF(86&lt;=COUNTA(半紙!$B$11:$B$310)+COUNTA(条幅!$B$11:$B$310),INDEX(条幅!$D$11:$D$310,86-COUNTA(半紙!$B$11:$B$310)),IF(86&lt;=COUNTA(半紙!$B$11:$B$310)+COUNTA(条幅!$B$11:$B$310)+COUNTA(条幅4分の1!$B$11:$B$310),INDEX(条幅4分の1!$D$11:$D$310,86-COUNTA(半紙!$B$11:$B$310)-COUNTA(条幅!$B$11:$B$310)),""))))</f>
        <v/>
      </c>
      <c r="E91" s="38" t="str">
        <f>IF(IF(86&lt;=COUNTA(半紙!$B$11:$B$310),INDEX(半紙!$E$11:$E$310,86),IF(86&lt;=COUNTA(半紙!$B$11:$B$310)+COUNTA(条幅!$B$11:$B$310),INDEX(条幅!$E$11:$E$310,86-COUNTA(半紙!$B$11:$B$310)),IF(86&lt;=COUNTA(半紙!$B$11:$B$310)+COUNTA(条幅!$B$11:$B$310)+COUNTA(条幅4分の1!$B$11:$B$310),INDEX(条幅4分の1!$E$11:$E$310,86-COUNTA(半紙!$B$11:$B$310)-COUNTA(条幅!$B$11:$B$310)),"")))=0,"",IF(86&lt;=COUNTA(半紙!$B$11:$B$310),INDEX(半紙!$E$11:$E$310,86),IF(86&lt;=COUNTA(半紙!$B$11:$B$310)+COUNTA(条幅!$B$11:$B$310),INDEX(条幅!$E$11:$E$310,86-COUNTA(半紙!$B$11:$B$310)),IF(86&lt;=COUNTA(半紙!$B$11:$B$310)+COUNTA(条幅!$B$11:$B$310)+COUNTA(条幅4分の1!$B$11:$B$310),INDEX(条幅4分の1!$E$11:$E$310,86-COUNTA(半紙!$B$11:$B$310)-COUNTA(条幅!$B$11:$B$310)),""))))</f>
        <v/>
      </c>
      <c r="F91" s="38" t="str">
        <f>IF(IF(86&lt;=COUNTA(半紙!$B$11:$B$310),INDEX(半紙!$F$11:$F$310,86),IF(86&lt;=COUNTA(半紙!$B$11:$B$310)+COUNTA(条幅!$B$11:$B$310),INDEX(条幅!$F$11:$F$310,86-COUNTA(半紙!$B$11:$B$310)),IF(86&lt;=COUNTA(半紙!$B$11:$B$310)+COUNTA(条幅!$B$11:$B$310)+COUNTA(条幅4分の1!$B$11:$B$310),INDEX(条幅4分の1!$F$11:$F$310,86-COUNTA(半紙!$B$11:$B$310)-COUNTA(条幅!$B$11:$B$310)),"")))=0,"",IF(86&lt;=COUNTA(半紙!$B$11:$B$310),INDEX(半紙!$F$11:$F$310,86),IF(86&lt;=COUNTA(半紙!$B$11:$B$310)+COUNTA(条幅!$B$11:$B$310),INDEX(条幅!$F$11:$F$310,86-COUNTA(半紙!$B$11:$B$310)),IF(86&lt;=COUNTA(半紙!$B$11:$B$310)+COUNTA(条幅!$B$11:$B$310)+COUNTA(条幅4分の1!$B$11:$B$310),INDEX(条幅4分の1!$F$11:$F$310,86-COUNTA(半紙!$B$11:$B$310)-COUNTA(条幅!$B$11:$B$310)),""))))</f>
        <v/>
      </c>
      <c r="G91" s="38" t="str">
        <f>IF(IF(86&lt;=COUNTA(半紙!$B$11:$B$310),INDEX(半紙!$G$11:$G$310,86),IF(86&lt;=COUNTA(半紙!$B$11:$B$310)+COUNTA(条幅!$B$11:$B$310),INDEX(条幅!$G$11:$G$310,86-COUNTA(半紙!$B$11:$B$310)),IF(86&lt;=COUNTA(半紙!$B$11:$B$310)+COUNTA(条幅!$B$11:$B$310)+COUNTA(条幅4分の1!$B$11:$B$310),INDEX(条幅4分の1!$G$11:$G$310,86-COUNTA(半紙!$B$11:$B$310)-COUNTA(条幅!$B$11:$B$310)),"")))=0,"",IF(86&lt;=COUNTA(半紙!$B$11:$B$310),INDEX(半紙!$G$11:$G$310,86),IF(86&lt;=COUNTA(半紙!$B$11:$B$310)+COUNTA(条幅!$B$11:$B$310),INDEX(条幅!$G$11:$G$310,86-COUNTA(半紙!$B$11:$B$310)),IF(86&lt;=COUNTA(半紙!$B$11:$B$310)+COUNTA(条幅!$B$11:$B$310)+COUNTA(条幅4分の1!$B$11:$B$310),INDEX(条幅4分の1!$G$11:$G$310,86-COUNTA(半紙!$B$11:$B$310)-COUNTA(条幅!$B$11:$B$310)),""))))</f>
        <v/>
      </c>
      <c r="H91" s="38" t="str">
        <f>IF(IF(86&lt;=COUNTA(半紙!$B$11:$B$310),INDEX(半紙!$H$11:$H$310,86),IF(86&lt;=COUNTA(半紙!$B$11:$B$310)+COUNTA(条幅!$B$11:$B$310),INDEX(条幅!$H$11:$H$310,86-COUNTA(半紙!$B$11:$B$310)),IF(86&lt;=COUNTA(半紙!$B$11:$B$310)+COUNTA(条幅!$B$11:$B$310)+COUNTA(条幅4分の1!$B$11:$B$310),INDEX(条幅4分の1!$H$11:$H$310,86-COUNTA(半紙!$B$11:$B$310)-COUNTA(条幅!$B$11:$B$310)),"")))=0,"",IF(86&lt;=COUNTA(半紙!$B$11:$B$310),INDEX(半紙!$H$11:$H$310,86),IF(86&lt;=COUNTA(半紙!$B$11:$B$310)+COUNTA(条幅!$B$11:$B$310),INDEX(条幅!$H$11:$H$310,86-COUNTA(半紙!$B$11:$B$310)),IF(86&lt;=COUNTA(半紙!$B$11:$B$310)+COUNTA(条幅!$B$11:$B$310)+COUNTA(条幅4分の1!$B$11:$B$310),INDEX(条幅4分の1!$H$11:$H$310,86-COUNTA(半紙!$B$11:$B$310)-COUNTA(条幅!$B$11:$B$310)),""))))</f>
        <v/>
      </c>
      <c r="I91" s="38" t="str">
        <f>IF(IF(86&lt;=COUNTA(半紙!$B$11:$B$310),INDEX(半紙!$I$11:$I$310,86),IF(86&lt;=COUNTA(半紙!$B$11:$B$310)+COUNTA(条幅!$B$11:$B$310),INDEX(条幅!$I$11:$I$310,86-COUNTA(半紙!$B$11:$B$310)),IF(86&lt;=COUNTA(半紙!$B$11:$B$310)+COUNTA(条幅!$B$11:$B$310)+COUNTA(条幅4分の1!$B$11:$B$310),INDEX(条幅4分の1!$I$11:$I$310,86-COUNTA(半紙!$B$11:$B$310)-COUNTA(条幅!$B$11:$B$310)),"")))=0,"",IF(86&lt;=COUNTA(半紙!$B$11:$B$310),INDEX(半紙!$I$11:$I$310,86),IF(86&lt;=COUNTA(半紙!$B$11:$B$310)+COUNTA(条幅!$B$11:$B$310),INDEX(条幅!$I$11:$I$310,86-COUNTA(半紙!$B$11:$B$310)),IF(86&lt;=COUNTA(半紙!$B$11:$B$310)+COUNTA(条幅!$B$11:$B$310)+COUNTA(条幅4分の1!$B$11:$B$310),INDEX(条幅4分の1!$I$11:$I$310,86-COUNTA(半紙!$B$11:$B$310)-COUNTA(条幅!$B$11:$B$310)),""))))</f>
        <v/>
      </c>
      <c r="J91" s="38" t="str">
        <f>IF(IF(86&lt;=COUNTA(半紙!$B$11:$B$310),INDEX(半紙!$J$11:$J$310,86),IF(86&lt;=COUNTA(半紙!$B$11:$B$310)+COUNTA(条幅!$B$11:$B$310),INDEX(条幅!$J$11:$J$310,86-COUNTA(半紙!$B$11:$B$310)),IF(86&lt;=COUNTA(半紙!$B$11:$B$310)+COUNTA(条幅!$B$11:$B$310)+COUNTA(条幅4分の1!$B$11:$B$310),INDEX(条幅4分の1!$J$11:$J$310,86-COUNTA(半紙!$B$11:$B$310)-COUNTA(条幅!$B$11:$B$310)),"")))=0,"",IF(86&lt;=COUNTA(半紙!$B$11:$B$310),INDEX(半紙!$J$11:$J$310,86),IF(86&lt;=COUNTA(半紙!$B$11:$B$310)+COUNTA(条幅!$B$11:$B$310),INDEX(条幅!$J$11:$J$310,86-COUNTA(半紙!$B$11:$B$310)),IF(86&lt;=COUNTA(半紙!$B$11:$B$310)+COUNTA(条幅!$B$11:$B$310)+COUNTA(条幅4分の1!$B$11:$B$310),INDEX(条幅4分の1!$J$11:$J$310,86-COUNTA(半紙!$B$11:$B$310)-COUNTA(条幅!$B$11:$B$310)),""))))</f>
        <v/>
      </c>
      <c r="K91" s="38" t="str">
        <f>IF(IF(86&lt;=COUNTA(半紙!$B$11:$B$310),INDEX(半紙!$K$11:$K$310,86),IF(86&lt;=COUNTA(半紙!$B$11:$B$310)+COUNTA(条幅!$B$11:$B$310),INDEX(条幅!$K$11:$K$310,86-COUNTA(半紙!$B$11:$B$310)),IF(86&lt;=COUNTA(半紙!$B$11:$B$310)+COUNTA(条幅!$B$11:$B$310)+COUNTA(条幅4分の1!$B$11:$B$310),INDEX(条幅4分の1!$K$11:$K$310,86-COUNTA(半紙!$B$11:$B$310)-COUNTA(条幅!$B$11:$B$310)),"")))=0,"",IF(86&lt;=COUNTA(半紙!$B$11:$B$310),INDEX(半紙!$K$11:$K$310,86),IF(86&lt;=COUNTA(半紙!$B$11:$B$310)+COUNTA(条幅!$B$11:$B$310),INDEX(条幅!$K$11:$K$310,86-COUNTA(半紙!$B$11:$B$310)),IF(86&lt;=COUNTA(半紙!$B$11:$B$310)+COUNTA(条幅!$B$11:$B$310)+COUNTA(条幅4分の1!$B$11:$B$310),INDEX(条幅4分の1!$K$11:$K$310,86-COUNTA(半紙!$B$11:$B$310)-COUNTA(条幅!$B$11:$B$310)),""))))</f>
        <v/>
      </c>
      <c r="L91" s="48" t="str">
        <f>IF($B91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86))</f>
        <v/>
      </c>
    </row>
    <row r="92" spans="1:12" ht="15" customHeight="1">
      <c r="A92" s="37" t="str">
        <f>IF(87&lt;=COUNTA(半紙!$B$11:$B$310),"半紙",IF(87&lt;=COUNTA(半紙!$B$11:$B$310)+COUNTA(条幅!$B$11:$B$310),"条幅(半切)",IF(87&lt;=COUNTA(半紙!$B$11:$B$310)+COUNTA(条幅!$B$11:$B$310)+COUNTA(条幅4分の1!$B$11:$B$310),"条幅(1/4)","")))</f>
        <v/>
      </c>
      <c r="B92" s="38" t="str">
        <f>IF(IF(87&lt;=COUNTA(半紙!$B$11:$B$310),INDEX(半紙!$B$11:$B$310,87),IF(87&lt;=COUNTA(半紙!$B$11:$B$310)+COUNTA(条幅!$B$11:$B$310),INDEX(条幅!$B$11:$B$310,87-COUNTA(半紙!$B$11:$B$310)),IF(87&lt;=COUNTA(半紙!$B$11:$B$310)+COUNTA(条幅!$B$11:$B$310)+COUNTA(条幅4分の1!$B$11:$B$310),INDEX(条幅4分の1!$B$11:$B$310,87-COUNTA(半紙!$B$11:$B$310)-COUNTA(条幅!$B$11:$B$310)),"")))=0,"",IF(87&lt;=COUNTA(半紙!$B$11:$B$310),INDEX(半紙!$B$11:$B$310,87),IF(87&lt;=COUNTA(半紙!$B$11:$B$310)+COUNTA(条幅!$B$11:$B$310),INDEX(条幅!$B$11:$B$310,87-COUNTA(半紙!$B$11:$B$310)),IF(87&lt;=COUNTA(半紙!$B$11:$B$310)+COUNTA(条幅!$B$11:$B$310)+COUNTA(条幅4分の1!$B$11:$B$310),INDEX(条幅4分の1!$B$11:$B$310,87-COUNTA(半紙!$B$11:$B$310)-COUNTA(条幅!$B$11:$B$310)),""))))</f>
        <v/>
      </c>
      <c r="C92" s="38" t="str">
        <f>IF(IF(87&lt;=COUNTA(半紙!$B$11:$B$310),INDEX(半紙!$C$11:$C$310,87),IF(87&lt;=COUNTA(半紙!$B$11:$B$310)+COUNTA(条幅!$B$11:$B$310),INDEX(条幅!$C$11:$C$310,87-COUNTA(半紙!$B$11:$B$310)),IF(87&lt;=COUNTA(半紙!$B$11:$B$310)+COUNTA(条幅!$B$11:$B$310)+COUNTA(条幅4分の1!$B$11:$B$310),INDEX(条幅4分の1!$C$11:$C$310,87-COUNTA(半紙!$B$11:$B$310)-COUNTA(条幅!$B$11:$B$310)),"")))=0,"",IF(87&lt;=COUNTA(半紙!$B$11:$B$310),INDEX(半紙!$C$11:$C$310,87),IF(87&lt;=COUNTA(半紙!$B$11:$B$310)+COUNTA(条幅!$B$11:$B$310),INDEX(条幅!$C$11:$C$310,87-COUNTA(半紙!$B$11:$B$310)),IF(87&lt;=COUNTA(半紙!$B$11:$B$310)+COUNTA(条幅!$B$11:$B$310)+COUNTA(条幅4分の1!$B$11:$B$310),INDEX(条幅4分の1!$C$11:$C$310,87-COUNTA(半紙!$B$11:$B$310)-COUNTA(条幅!$B$11:$B$310)),""))))</f>
        <v/>
      </c>
      <c r="D92" s="38" t="str">
        <f>IF(IF(87&lt;=COUNTA(半紙!$B$11:$B$310),INDEX(半紙!$D$11:$D$310,87),IF(87&lt;=COUNTA(半紙!$B$11:$B$310)+COUNTA(条幅!$B$11:$B$310),INDEX(条幅!$D$11:$D$310,87-COUNTA(半紙!$B$11:$B$310)),IF(87&lt;=COUNTA(半紙!$B$11:$B$310)+COUNTA(条幅!$B$11:$B$310)+COUNTA(条幅4分の1!$B$11:$B$310),INDEX(条幅4分の1!$D$11:$D$310,87-COUNTA(半紙!$B$11:$B$310)-COUNTA(条幅!$B$11:$B$310)),"")))=0,"",IF(87&lt;=COUNTA(半紙!$B$11:$B$310),INDEX(半紙!$D$11:$D$310,87),IF(87&lt;=COUNTA(半紙!$B$11:$B$310)+COUNTA(条幅!$B$11:$B$310),INDEX(条幅!$D$11:$D$310,87-COUNTA(半紙!$B$11:$B$310)),IF(87&lt;=COUNTA(半紙!$B$11:$B$310)+COUNTA(条幅!$B$11:$B$310)+COUNTA(条幅4分の1!$B$11:$B$310),INDEX(条幅4分の1!$D$11:$D$310,87-COUNTA(半紙!$B$11:$B$310)-COUNTA(条幅!$B$11:$B$310)),""))))</f>
        <v/>
      </c>
      <c r="E92" s="38" t="str">
        <f>IF(IF(87&lt;=COUNTA(半紙!$B$11:$B$310),INDEX(半紙!$E$11:$E$310,87),IF(87&lt;=COUNTA(半紙!$B$11:$B$310)+COUNTA(条幅!$B$11:$B$310),INDEX(条幅!$E$11:$E$310,87-COUNTA(半紙!$B$11:$B$310)),IF(87&lt;=COUNTA(半紙!$B$11:$B$310)+COUNTA(条幅!$B$11:$B$310)+COUNTA(条幅4分の1!$B$11:$B$310),INDEX(条幅4分の1!$E$11:$E$310,87-COUNTA(半紙!$B$11:$B$310)-COUNTA(条幅!$B$11:$B$310)),"")))=0,"",IF(87&lt;=COUNTA(半紙!$B$11:$B$310),INDEX(半紙!$E$11:$E$310,87),IF(87&lt;=COUNTA(半紙!$B$11:$B$310)+COUNTA(条幅!$B$11:$B$310),INDEX(条幅!$E$11:$E$310,87-COUNTA(半紙!$B$11:$B$310)),IF(87&lt;=COUNTA(半紙!$B$11:$B$310)+COUNTA(条幅!$B$11:$B$310)+COUNTA(条幅4分の1!$B$11:$B$310),INDEX(条幅4分の1!$E$11:$E$310,87-COUNTA(半紙!$B$11:$B$310)-COUNTA(条幅!$B$11:$B$310)),""))))</f>
        <v/>
      </c>
      <c r="F92" s="38" t="str">
        <f>IF(IF(87&lt;=COUNTA(半紙!$B$11:$B$310),INDEX(半紙!$F$11:$F$310,87),IF(87&lt;=COUNTA(半紙!$B$11:$B$310)+COUNTA(条幅!$B$11:$B$310),INDEX(条幅!$F$11:$F$310,87-COUNTA(半紙!$B$11:$B$310)),IF(87&lt;=COUNTA(半紙!$B$11:$B$310)+COUNTA(条幅!$B$11:$B$310)+COUNTA(条幅4分の1!$B$11:$B$310),INDEX(条幅4分の1!$F$11:$F$310,87-COUNTA(半紙!$B$11:$B$310)-COUNTA(条幅!$B$11:$B$310)),"")))=0,"",IF(87&lt;=COUNTA(半紙!$B$11:$B$310),INDEX(半紙!$F$11:$F$310,87),IF(87&lt;=COUNTA(半紙!$B$11:$B$310)+COUNTA(条幅!$B$11:$B$310),INDEX(条幅!$F$11:$F$310,87-COUNTA(半紙!$B$11:$B$310)),IF(87&lt;=COUNTA(半紙!$B$11:$B$310)+COUNTA(条幅!$B$11:$B$310)+COUNTA(条幅4分の1!$B$11:$B$310),INDEX(条幅4分の1!$F$11:$F$310,87-COUNTA(半紙!$B$11:$B$310)-COUNTA(条幅!$B$11:$B$310)),""))))</f>
        <v/>
      </c>
      <c r="G92" s="38" t="str">
        <f>IF(IF(87&lt;=COUNTA(半紙!$B$11:$B$310),INDEX(半紙!$G$11:$G$310,87),IF(87&lt;=COUNTA(半紙!$B$11:$B$310)+COUNTA(条幅!$B$11:$B$310),INDEX(条幅!$G$11:$G$310,87-COUNTA(半紙!$B$11:$B$310)),IF(87&lt;=COUNTA(半紙!$B$11:$B$310)+COUNTA(条幅!$B$11:$B$310)+COUNTA(条幅4分の1!$B$11:$B$310),INDEX(条幅4分の1!$G$11:$G$310,87-COUNTA(半紙!$B$11:$B$310)-COUNTA(条幅!$B$11:$B$310)),"")))=0,"",IF(87&lt;=COUNTA(半紙!$B$11:$B$310),INDEX(半紙!$G$11:$G$310,87),IF(87&lt;=COUNTA(半紙!$B$11:$B$310)+COUNTA(条幅!$B$11:$B$310),INDEX(条幅!$G$11:$G$310,87-COUNTA(半紙!$B$11:$B$310)),IF(87&lt;=COUNTA(半紙!$B$11:$B$310)+COUNTA(条幅!$B$11:$B$310)+COUNTA(条幅4分の1!$B$11:$B$310),INDEX(条幅4分の1!$G$11:$G$310,87-COUNTA(半紙!$B$11:$B$310)-COUNTA(条幅!$B$11:$B$310)),""))))</f>
        <v/>
      </c>
      <c r="H92" s="38" t="str">
        <f>IF(IF(87&lt;=COUNTA(半紙!$B$11:$B$310),INDEX(半紙!$H$11:$H$310,87),IF(87&lt;=COUNTA(半紙!$B$11:$B$310)+COUNTA(条幅!$B$11:$B$310),INDEX(条幅!$H$11:$H$310,87-COUNTA(半紙!$B$11:$B$310)),IF(87&lt;=COUNTA(半紙!$B$11:$B$310)+COUNTA(条幅!$B$11:$B$310)+COUNTA(条幅4分の1!$B$11:$B$310),INDEX(条幅4分の1!$H$11:$H$310,87-COUNTA(半紙!$B$11:$B$310)-COUNTA(条幅!$B$11:$B$310)),"")))=0,"",IF(87&lt;=COUNTA(半紙!$B$11:$B$310),INDEX(半紙!$H$11:$H$310,87),IF(87&lt;=COUNTA(半紙!$B$11:$B$310)+COUNTA(条幅!$B$11:$B$310),INDEX(条幅!$H$11:$H$310,87-COUNTA(半紙!$B$11:$B$310)),IF(87&lt;=COUNTA(半紙!$B$11:$B$310)+COUNTA(条幅!$B$11:$B$310)+COUNTA(条幅4分の1!$B$11:$B$310),INDEX(条幅4分の1!$H$11:$H$310,87-COUNTA(半紙!$B$11:$B$310)-COUNTA(条幅!$B$11:$B$310)),""))))</f>
        <v/>
      </c>
      <c r="I92" s="38" t="str">
        <f>IF(IF(87&lt;=COUNTA(半紙!$B$11:$B$310),INDEX(半紙!$I$11:$I$310,87),IF(87&lt;=COUNTA(半紙!$B$11:$B$310)+COUNTA(条幅!$B$11:$B$310),INDEX(条幅!$I$11:$I$310,87-COUNTA(半紙!$B$11:$B$310)),IF(87&lt;=COUNTA(半紙!$B$11:$B$310)+COUNTA(条幅!$B$11:$B$310)+COUNTA(条幅4分の1!$B$11:$B$310),INDEX(条幅4分の1!$I$11:$I$310,87-COUNTA(半紙!$B$11:$B$310)-COUNTA(条幅!$B$11:$B$310)),"")))=0,"",IF(87&lt;=COUNTA(半紙!$B$11:$B$310),INDEX(半紙!$I$11:$I$310,87),IF(87&lt;=COUNTA(半紙!$B$11:$B$310)+COUNTA(条幅!$B$11:$B$310),INDEX(条幅!$I$11:$I$310,87-COUNTA(半紙!$B$11:$B$310)),IF(87&lt;=COUNTA(半紙!$B$11:$B$310)+COUNTA(条幅!$B$11:$B$310)+COUNTA(条幅4分の1!$B$11:$B$310),INDEX(条幅4分の1!$I$11:$I$310,87-COUNTA(半紙!$B$11:$B$310)-COUNTA(条幅!$B$11:$B$310)),""))))</f>
        <v/>
      </c>
      <c r="J92" s="38" t="str">
        <f>IF(IF(87&lt;=COUNTA(半紙!$B$11:$B$310),INDEX(半紙!$J$11:$J$310,87),IF(87&lt;=COUNTA(半紙!$B$11:$B$310)+COUNTA(条幅!$B$11:$B$310),INDEX(条幅!$J$11:$J$310,87-COUNTA(半紙!$B$11:$B$310)),IF(87&lt;=COUNTA(半紙!$B$11:$B$310)+COUNTA(条幅!$B$11:$B$310)+COUNTA(条幅4分の1!$B$11:$B$310),INDEX(条幅4分の1!$J$11:$J$310,87-COUNTA(半紙!$B$11:$B$310)-COUNTA(条幅!$B$11:$B$310)),"")))=0,"",IF(87&lt;=COUNTA(半紙!$B$11:$B$310),INDEX(半紙!$J$11:$J$310,87),IF(87&lt;=COUNTA(半紙!$B$11:$B$310)+COUNTA(条幅!$B$11:$B$310),INDEX(条幅!$J$11:$J$310,87-COUNTA(半紙!$B$11:$B$310)),IF(87&lt;=COUNTA(半紙!$B$11:$B$310)+COUNTA(条幅!$B$11:$B$310)+COUNTA(条幅4分の1!$B$11:$B$310),INDEX(条幅4分の1!$J$11:$J$310,87-COUNTA(半紙!$B$11:$B$310)-COUNTA(条幅!$B$11:$B$310)),""))))</f>
        <v/>
      </c>
      <c r="K92" s="38" t="str">
        <f>IF(IF(87&lt;=COUNTA(半紙!$B$11:$B$310),INDEX(半紙!$K$11:$K$310,87),IF(87&lt;=COUNTA(半紙!$B$11:$B$310)+COUNTA(条幅!$B$11:$B$310),INDEX(条幅!$K$11:$K$310,87-COUNTA(半紙!$B$11:$B$310)),IF(87&lt;=COUNTA(半紙!$B$11:$B$310)+COUNTA(条幅!$B$11:$B$310)+COUNTA(条幅4分の1!$B$11:$B$310),INDEX(条幅4分の1!$K$11:$K$310,87-COUNTA(半紙!$B$11:$B$310)-COUNTA(条幅!$B$11:$B$310)),"")))=0,"",IF(87&lt;=COUNTA(半紙!$B$11:$B$310),INDEX(半紙!$K$11:$K$310,87),IF(87&lt;=COUNTA(半紙!$B$11:$B$310)+COUNTA(条幅!$B$11:$B$310),INDEX(条幅!$K$11:$K$310,87-COUNTA(半紙!$B$11:$B$310)),IF(87&lt;=COUNTA(半紙!$B$11:$B$310)+COUNTA(条幅!$B$11:$B$310)+COUNTA(条幅4分の1!$B$11:$B$310),INDEX(条幅4分の1!$K$11:$K$310,87-COUNTA(半紙!$B$11:$B$310)-COUNTA(条幅!$B$11:$B$310)),""))))</f>
        <v/>
      </c>
      <c r="L92" s="48" t="str">
        <f>IF($B92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87))</f>
        <v/>
      </c>
    </row>
    <row r="93" spans="1:12" ht="15" customHeight="1">
      <c r="A93" s="37" t="str">
        <f>IF(88&lt;=COUNTA(半紙!$B$11:$B$310),"半紙",IF(88&lt;=COUNTA(半紙!$B$11:$B$310)+COUNTA(条幅!$B$11:$B$310),"条幅(半切)",IF(88&lt;=COUNTA(半紙!$B$11:$B$310)+COUNTA(条幅!$B$11:$B$310)+COUNTA(条幅4分の1!$B$11:$B$310),"条幅(1/4)","")))</f>
        <v/>
      </c>
      <c r="B93" s="38" t="str">
        <f>IF(IF(88&lt;=COUNTA(半紙!$B$11:$B$310),INDEX(半紙!$B$11:$B$310,88),IF(88&lt;=COUNTA(半紙!$B$11:$B$310)+COUNTA(条幅!$B$11:$B$310),INDEX(条幅!$B$11:$B$310,88-COUNTA(半紙!$B$11:$B$310)),IF(88&lt;=COUNTA(半紙!$B$11:$B$310)+COUNTA(条幅!$B$11:$B$310)+COUNTA(条幅4分の1!$B$11:$B$310),INDEX(条幅4分の1!$B$11:$B$310,88-COUNTA(半紙!$B$11:$B$310)-COUNTA(条幅!$B$11:$B$310)),"")))=0,"",IF(88&lt;=COUNTA(半紙!$B$11:$B$310),INDEX(半紙!$B$11:$B$310,88),IF(88&lt;=COUNTA(半紙!$B$11:$B$310)+COUNTA(条幅!$B$11:$B$310),INDEX(条幅!$B$11:$B$310,88-COUNTA(半紙!$B$11:$B$310)),IF(88&lt;=COUNTA(半紙!$B$11:$B$310)+COUNTA(条幅!$B$11:$B$310)+COUNTA(条幅4分の1!$B$11:$B$310),INDEX(条幅4分の1!$B$11:$B$310,88-COUNTA(半紙!$B$11:$B$310)-COUNTA(条幅!$B$11:$B$310)),""))))</f>
        <v/>
      </c>
      <c r="C93" s="38" t="str">
        <f>IF(IF(88&lt;=COUNTA(半紙!$B$11:$B$310),INDEX(半紙!$C$11:$C$310,88),IF(88&lt;=COUNTA(半紙!$B$11:$B$310)+COUNTA(条幅!$B$11:$B$310),INDEX(条幅!$C$11:$C$310,88-COUNTA(半紙!$B$11:$B$310)),IF(88&lt;=COUNTA(半紙!$B$11:$B$310)+COUNTA(条幅!$B$11:$B$310)+COUNTA(条幅4分の1!$B$11:$B$310),INDEX(条幅4分の1!$C$11:$C$310,88-COUNTA(半紙!$B$11:$B$310)-COUNTA(条幅!$B$11:$B$310)),"")))=0,"",IF(88&lt;=COUNTA(半紙!$B$11:$B$310),INDEX(半紙!$C$11:$C$310,88),IF(88&lt;=COUNTA(半紙!$B$11:$B$310)+COUNTA(条幅!$B$11:$B$310),INDEX(条幅!$C$11:$C$310,88-COUNTA(半紙!$B$11:$B$310)),IF(88&lt;=COUNTA(半紙!$B$11:$B$310)+COUNTA(条幅!$B$11:$B$310)+COUNTA(条幅4分の1!$B$11:$B$310),INDEX(条幅4分の1!$C$11:$C$310,88-COUNTA(半紙!$B$11:$B$310)-COUNTA(条幅!$B$11:$B$310)),""))))</f>
        <v/>
      </c>
      <c r="D93" s="38" t="str">
        <f>IF(IF(88&lt;=COUNTA(半紙!$B$11:$B$310),INDEX(半紙!$D$11:$D$310,88),IF(88&lt;=COUNTA(半紙!$B$11:$B$310)+COUNTA(条幅!$B$11:$B$310),INDEX(条幅!$D$11:$D$310,88-COUNTA(半紙!$B$11:$B$310)),IF(88&lt;=COUNTA(半紙!$B$11:$B$310)+COUNTA(条幅!$B$11:$B$310)+COUNTA(条幅4分の1!$B$11:$B$310),INDEX(条幅4分の1!$D$11:$D$310,88-COUNTA(半紙!$B$11:$B$310)-COUNTA(条幅!$B$11:$B$310)),"")))=0,"",IF(88&lt;=COUNTA(半紙!$B$11:$B$310),INDEX(半紙!$D$11:$D$310,88),IF(88&lt;=COUNTA(半紙!$B$11:$B$310)+COUNTA(条幅!$B$11:$B$310),INDEX(条幅!$D$11:$D$310,88-COUNTA(半紙!$B$11:$B$310)),IF(88&lt;=COUNTA(半紙!$B$11:$B$310)+COUNTA(条幅!$B$11:$B$310)+COUNTA(条幅4分の1!$B$11:$B$310),INDEX(条幅4分の1!$D$11:$D$310,88-COUNTA(半紙!$B$11:$B$310)-COUNTA(条幅!$B$11:$B$310)),""))))</f>
        <v/>
      </c>
      <c r="E93" s="38" t="str">
        <f>IF(IF(88&lt;=COUNTA(半紙!$B$11:$B$310),INDEX(半紙!$E$11:$E$310,88),IF(88&lt;=COUNTA(半紙!$B$11:$B$310)+COUNTA(条幅!$B$11:$B$310),INDEX(条幅!$E$11:$E$310,88-COUNTA(半紙!$B$11:$B$310)),IF(88&lt;=COUNTA(半紙!$B$11:$B$310)+COUNTA(条幅!$B$11:$B$310)+COUNTA(条幅4分の1!$B$11:$B$310),INDEX(条幅4分の1!$E$11:$E$310,88-COUNTA(半紙!$B$11:$B$310)-COUNTA(条幅!$B$11:$B$310)),"")))=0,"",IF(88&lt;=COUNTA(半紙!$B$11:$B$310),INDEX(半紙!$E$11:$E$310,88),IF(88&lt;=COUNTA(半紙!$B$11:$B$310)+COUNTA(条幅!$B$11:$B$310),INDEX(条幅!$E$11:$E$310,88-COUNTA(半紙!$B$11:$B$310)),IF(88&lt;=COUNTA(半紙!$B$11:$B$310)+COUNTA(条幅!$B$11:$B$310)+COUNTA(条幅4分の1!$B$11:$B$310),INDEX(条幅4分の1!$E$11:$E$310,88-COUNTA(半紙!$B$11:$B$310)-COUNTA(条幅!$B$11:$B$310)),""))))</f>
        <v/>
      </c>
      <c r="F93" s="38" t="str">
        <f>IF(IF(88&lt;=COUNTA(半紙!$B$11:$B$310),INDEX(半紙!$F$11:$F$310,88),IF(88&lt;=COUNTA(半紙!$B$11:$B$310)+COUNTA(条幅!$B$11:$B$310),INDEX(条幅!$F$11:$F$310,88-COUNTA(半紙!$B$11:$B$310)),IF(88&lt;=COUNTA(半紙!$B$11:$B$310)+COUNTA(条幅!$B$11:$B$310)+COUNTA(条幅4分の1!$B$11:$B$310),INDEX(条幅4分の1!$F$11:$F$310,88-COUNTA(半紙!$B$11:$B$310)-COUNTA(条幅!$B$11:$B$310)),"")))=0,"",IF(88&lt;=COUNTA(半紙!$B$11:$B$310),INDEX(半紙!$F$11:$F$310,88),IF(88&lt;=COUNTA(半紙!$B$11:$B$310)+COUNTA(条幅!$B$11:$B$310),INDEX(条幅!$F$11:$F$310,88-COUNTA(半紙!$B$11:$B$310)),IF(88&lt;=COUNTA(半紙!$B$11:$B$310)+COUNTA(条幅!$B$11:$B$310)+COUNTA(条幅4分の1!$B$11:$B$310),INDEX(条幅4分の1!$F$11:$F$310,88-COUNTA(半紙!$B$11:$B$310)-COUNTA(条幅!$B$11:$B$310)),""))))</f>
        <v/>
      </c>
      <c r="G93" s="38" t="str">
        <f>IF(IF(88&lt;=COUNTA(半紙!$B$11:$B$310),INDEX(半紙!$G$11:$G$310,88),IF(88&lt;=COUNTA(半紙!$B$11:$B$310)+COUNTA(条幅!$B$11:$B$310),INDEX(条幅!$G$11:$G$310,88-COUNTA(半紙!$B$11:$B$310)),IF(88&lt;=COUNTA(半紙!$B$11:$B$310)+COUNTA(条幅!$B$11:$B$310)+COUNTA(条幅4分の1!$B$11:$B$310),INDEX(条幅4分の1!$G$11:$G$310,88-COUNTA(半紙!$B$11:$B$310)-COUNTA(条幅!$B$11:$B$310)),"")))=0,"",IF(88&lt;=COUNTA(半紙!$B$11:$B$310),INDEX(半紙!$G$11:$G$310,88),IF(88&lt;=COUNTA(半紙!$B$11:$B$310)+COUNTA(条幅!$B$11:$B$310),INDEX(条幅!$G$11:$G$310,88-COUNTA(半紙!$B$11:$B$310)),IF(88&lt;=COUNTA(半紙!$B$11:$B$310)+COUNTA(条幅!$B$11:$B$310)+COUNTA(条幅4分の1!$B$11:$B$310),INDEX(条幅4分の1!$G$11:$G$310,88-COUNTA(半紙!$B$11:$B$310)-COUNTA(条幅!$B$11:$B$310)),""))))</f>
        <v/>
      </c>
      <c r="H93" s="38" t="str">
        <f>IF(IF(88&lt;=COUNTA(半紙!$B$11:$B$310),INDEX(半紙!$H$11:$H$310,88),IF(88&lt;=COUNTA(半紙!$B$11:$B$310)+COUNTA(条幅!$B$11:$B$310),INDEX(条幅!$H$11:$H$310,88-COUNTA(半紙!$B$11:$B$310)),IF(88&lt;=COUNTA(半紙!$B$11:$B$310)+COUNTA(条幅!$B$11:$B$310)+COUNTA(条幅4分の1!$B$11:$B$310),INDEX(条幅4分の1!$H$11:$H$310,88-COUNTA(半紙!$B$11:$B$310)-COUNTA(条幅!$B$11:$B$310)),"")))=0,"",IF(88&lt;=COUNTA(半紙!$B$11:$B$310),INDEX(半紙!$H$11:$H$310,88),IF(88&lt;=COUNTA(半紙!$B$11:$B$310)+COUNTA(条幅!$B$11:$B$310),INDEX(条幅!$H$11:$H$310,88-COUNTA(半紙!$B$11:$B$310)),IF(88&lt;=COUNTA(半紙!$B$11:$B$310)+COUNTA(条幅!$B$11:$B$310)+COUNTA(条幅4分の1!$B$11:$B$310),INDEX(条幅4分の1!$H$11:$H$310,88-COUNTA(半紙!$B$11:$B$310)-COUNTA(条幅!$B$11:$B$310)),""))))</f>
        <v/>
      </c>
      <c r="I93" s="38" t="str">
        <f>IF(IF(88&lt;=COUNTA(半紙!$B$11:$B$310),INDEX(半紙!$I$11:$I$310,88),IF(88&lt;=COUNTA(半紙!$B$11:$B$310)+COUNTA(条幅!$B$11:$B$310),INDEX(条幅!$I$11:$I$310,88-COUNTA(半紙!$B$11:$B$310)),IF(88&lt;=COUNTA(半紙!$B$11:$B$310)+COUNTA(条幅!$B$11:$B$310)+COUNTA(条幅4分の1!$B$11:$B$310),INDEX(条幅4分の1!$I$11:$I$310,88-COUNTA(半紙!$B$11:$B$310)-COUNTA(条幅!$B$11:$B$310)),"")))=0,"",IF(88&lt;=COUNTA(半紙!$B$11:$B$310),INDEX(半紙!$I$11:$I$310,88),IF(88&lt;=COUNTA(半紙!$B$11:$B$310)+COUNTA(条幅!$B$11:$B$310),INDEX(条幅!$I$11:$I$310,88-COUNTA(半紙!$B$11:$B$310)),IF(88&lt;=COUNTA(半紙!$B$11:$B$310)+COUNTA(条幅!$B$11:$B$310)+COUNTA(条幅4分の1!$B$11:$B$310),INDEX(条幅4分の1!$I$11:$I$310,88-COUNTA(半紙!$B$11:$B$310)-COUNTA(条幅!$B$11:$B$310)),""))))</f>
        <v/>
      </c>
      <c r="J93" s="38" t="str">
        <f>IF(IF(88&lt;=COUNTA(半紙!$B$11:$B$310),INDEX(半紙!$J$11:$J$310,88),IF(88&lt;=COUNTA(半紙!$B$11:$B$310)+COUNTA(条幅!$B$11:$B$310),INDEX(条幅!$J$11:$J$310,88-COUNTA(半紙!$B$11:$B$310)),IF(88&lt;=COUNTA(半紙!$B$11:$B$310)+COUNTA(条幅!$B$11:$B$310)+COUNTA(条幅4分の1!$B$11:$B$310),INDEX(条幅4分の1!$J$11:$J$310,88-COUNTA(半紙!$B$11:$B$310)-COUNTA(条幅!$B$11:$B$310)),"")))=0,"",IF(88&lt;=COUNTA(半紙!$B$11:$B$310),INDEX(半紙!$J$11:$J$310,88),IF(88&lt;=COUNTA(半紙!$B$11:$B$310)+COUNTA(条幅!$B$11:$B$310),INDEX(条幅!$J$11:$J$310,88-COUNTA(半紙!$B$11:$B$310)),IF(88&lt;=COUNTA(半紙!$B$11:$B$310)+COUNTA(条幅!$B$11:$B$310)+COUNTA(条幅4分の1!$B$11:$B$310),INDEX(条幅4分の1!$J$11:$J$310,88-COUNTA(半紙!$B$11:$B$310)-COUNTA(条幅!$B$11:$B$310)),""))))</f>
        <v/>
      </c>
      <c r="K93" s="38" t="str">
        <f>IF(IF(88&lt;=COUNTA(半紙!$B$11:$B$310),INDEX(半紙!$K$11:$K$310,88),IF(88&lt;=COUNTA(半紙!$B$11:$B$310)+COUNTA(条幅!$B$11:$B$310),INDEX(条幅!$K$11:$K$310,88-COUNTA(半紙!$B$11:$B$310)),IF(88&lt;=COUNTA(半紙!$B$11:$B$310)+COUNTA(条幅!$B$11:$B$310)+COUNTA(条幅4分の1!$B$11:$B$310),INDEX(条幅4分の1!$K$11:$K$310,88-COUNTA(半紙!$B$11:$B$310)-COUNTA(条幅!$B$11:$B$310)),"")))=0,"",IF(88&lt;=COUNTA(半紙!$B$11:$B$310),INDEX(半紙!$K$11:$K$310,88),IF(88&lt;=COUNTA(半紙!$B$11:$B$310)+COUNTA(条幅!$B$11:$B$310),INDEX(条幅!$K$11:$K$310,88-COUNTA(半紙!$B$11:$B$310)),IF(88&lt;=COUNTA(半紙!$B$11:$B$310)+COUNTA(条幅!$B$11:$B$310)+COUNTA(条幅4分の1!$B$11:$B$310),INDEX(条幅4分の1!$K$11:$K$310,88-COUNTA(半紙!$B$11:$B$310)-COUNTA(条幅!$B$11:$B$310)),""))))</f>
        <v/>
      </c>
      <c r="L93" s="48" t="str">
        <f>IF($B93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88))</f>
        <v/>
      </c>
    </row>
    <row r="94" spans="1:12" ht="15" customHeight="1">
      <c r="A94" s="37" t="str">
        <f>IF(89&lt;=COUNTA(半紙!$B$11:$B$310),"半紙",IF(89&lt;=COUNTA(半紙!$B$11:$B$310)+COUNTA(条幅!$B$11:$B$310),"条幅(半切)",IF(89&lt;=COUNTA(半紙!$B$11:$B$310)+COUNTA(条幅!$B$11:$B$310)+COUNTA(条幅4分の1!$B$11:$B$310),"条幅(1/4)","")))</f>
        <v/>
      </c>
      <c r="B94" s="38" t="str">
        <f>IF(IF(89&lt;=COUNTA(半紙!$B$11:$B$310),INDEX(半紙!$B$11:$B$310,89),IF(89&lt;=COUNTA(半紙!$B$11:$B$310)+COUNTA(条幅!$B$11:$B$310),INDEX(条幅!$B$11:$B$310,89-COUNTA(半紙!$B$11:$B$310)),IF(89&lt;=COUNTA(半紙!$B$11:$B$310)+COUNTA(条幅!$B$11:$B$310)+COUNTA(条幅4分の1!$B$11:$B$310),INDEX(条幅4分の1!$B$11:$B$310,89-COUNTA(半紙!$B$11:$B$310)-COUNTA(条幅!$B$11:$B$310)),"")))=0,"",IF(89&lt;=COUNTA(半紙!$B$11:$B$310),INDEX(半紙!$B$11:$B$310,89),IF(89&lt;=COUNTA(半紙!$B$11:$B$310)+COUNTA(条幅!$B$11:$B$310),INDEX(条幅!$B$11:$B$310,89-COUNTA(半紙!$B$11:$B$310)),IF(89&lt;=COUNTA(半紙!$B$11:$B$310)+COUNTA(条幅!$B$11:$B$310)+COUNTA(条幅4分の1!$B$11:$B$310),INDEX(条幅4分の1!$B$11:$B$310,89-COUNTA(半紙!$B$11:$B$310)-COUNTA(条幅!$B$11:$B$310)),""))))</f>
        <v/>
      </c>
      <c r="C94" s="38" t="str">
        <f>IF(IF(89&lt;=COUNTA(半紙!$B$11:$B$310),INDEX(半紙!$C$11:$C$310,89),IF(89&lt;=COUNTA(半紙!$B$11:$B$310)+COUNTA(条幅!$B$11:$B$310),INDEX(条幅!$C$11:$C$310,89-COUNTA(半紙!$B$11:$B$310)),IF(89&lt;=COUNTA(半紙!$B$11:$B$310)+COUNTA(条幅!$B$11:$B$310)+COUNTA(条幅4分の1!$B$11:$B$310),INDEX(条幅4分の1!$C$11:$C$310,89-COUNTA(半紙!$B$11:$B$310)-COUNTA(条幅!$B$11:$B$310)),"")))=0,"",IF(89&lt;=COUNTA(半紙!$B$11:$B$310),INDEX(半紙!$C$11:$C$310,89),IF(89&lt;=COUNTA(半紙!$B$11:$B$310)+COUNTA(条幅!$B$11:$B$310),INDEX(条幅!$C$11:$C$310,89-COUNTA(半紙!$B$11:$B$310)),IF(89&lt;=COUNTA(半紙!$B$11:$B$310)+COUNTA(条幅!$B$11:$B$310)+COUNTA(条幅4分の1!$B$11:$B$310),INDEX(条幅4分の1!$C$11:$C$310,89-COUNTA(半紙!$B$11:$B$310)-COUNTA(条幅!$B$11:$B$310)),""))))</f>
        <v/>
      </c>
      <c r="D94" s="38" t="str">
        <f>IF(IF(89&lt;=COUNTA(半紙!$B$11:$B$310),INDEX(半紙!$D$11:$D$310,89),IF(89&lt;=COUNTA(半紙!$B$11:$B$310)+COUNTA(条幅!$B$11:$B$310),INDEX(条幅!$D$11:$D$310,89-COUNTA(半紙!$B$11:$B$310)),IF(89&lt;=COUNTA(半紙!$B$11:$B$310)+COUNTA(条幅!$B$11:$B$310)+COUNTA(条幅4分の1!$B$11:$B$310),INDEX(条幅4分の1!$D$11:$D$310,89-COUNTA(半紙!$B$11:$B$310)-COUNTA(条幅!$B$11:$B$310)),"")))=0,"",IF(89&lt;=COUNTA(半紙!$B$11:$B$310),INDEX(半紙!$D$11:$D$310,89),IF(89&lt;=COUNTA(半紙!$B$11:$B$310)+COUNTA(条幅!$B$11:$B$310),INDEX(条幅!$D$11:$D$310,89-COUNTA(半紙!$B$11:$B$310)),IF(89&lt;=COUNTA(半紙!$B$11:$B$310)+COUNTA(条幅!$B$11:$B$310)+COUNTA(条幅4分の1!$B$11:$B$310),INDEX(条幅4分の1!$D$11:$D$310,89-COUNTA(半紙!$B$11:$B$310)-COUNTA(条幅!$B$11:$B$310)),""))))</f>
        <v/>
      </c>
      <c r="E94" s="38" t="str">
        <f>IF(IF(89&lt;=COUNTA(半紙!$B$11:$B$310),INDEX(半紙!$E$11:$E$310,89),IF(89&lt;=COUNTA(半紙!$B$11:$B$310)+COUNTA(条幅!$B$11:$B$310),INDEX(条幅!$E$11:$E$310,89-COUNTA(半紙!$B$11:$B$310)),IF(89&lt;=COUNTA(半紙!$B$11:$B$310)+COUNTA(条幅!$B$11:$B$310)+COUNTA(条幅4分の1!$B$11:$B$310),INDEX(条幅4分の1!$E$11:$E$310,89-COUNTA(半紙!$B$11:$B$310)-COUNTA(条幅!$B$11:$B$310)),"")))=0,"",IF(89&lt;=COUNTA(半紙!$B$11:$B$310),INDEX(半紙!$E$11:$E$310,89),IF(89&lt;=COUNTA(半紙!$B$11:$B$310)+COUNTA(条幅!$B$11:$B$310),INDEX(条幅!$E$11:$E$310,89-COUNTA(半紙!$B$11:$B$310)),IF(89&lt;=COUNTA(半紙!$B$11:$B$310)+COUNTA(条幅!$B$11:$B$310)+COUNTA(条幅4分の1!$B$11:$B$310),INDEX(条幅4分の1!$E$11:$E$310,89-COUNTA(半紙!$B$11:$B$310)-COUNTA(条幅!$B$11:$B$310)),""))))</f>
        <v/>
      </c>
      <c r="F94" s="38" t="str">
        <f>IF(IF(89&lt;=COUNTA(半紙!$B$11:$B$310),INDEX(半紙!$F$11:$F$310,89),IF(89&lt;=COUNTA(半紙!$B$11:$B$310)+COUNTA(条幅!$B$11:$B$310),INDEX(条幅!$F$11:$F$310,89-COUNTA(半紙!$B$11:$B$310)),IF(89&lt;=COUNTA(半紙!$B$11:$B$310)+COUNTA(条幅!$B$11:$B$310)+COUNTA(条幅4分の1!$B$11:$B$310),INDEX(条幅4分の1!$F$11:$F$310,89-COUNTA(半紙!$B$11:$B$310)-COUNTA(条幅!$B$11:$B$310)),"")))=0,"",IF(89&lt;=COUNTA(半紙!$B$11:$B$310),INDEX(半紙!$F$11:$F$310,89),IF(89&lt;=COUNTA(半紙!$B$11:$B$310)+COUNTA(条幅!$B$11:$B$310),INDEX(条幅!$F$11:$F$310,89-COUNTA(半紙!$B$11:$B$310)),IF(89&lt;=COUNTA(半紙!$B$11:$B$310)+COUNTA(条幅!$B$11:$B$310)+COUNTA(条幅4分の1!$B$11:$B$310),INDEX(条幅4分の1!$F$11:$F$310,89-COUNTA(半紙!$B$11:$B$310)-COUNTA(条幅!$B$11:$B$310)),""))))</f>
        <v/>
      </c>
      <c r="G94" s="38" t="str">
        <f>IF(IF(89&lt;=COUNTA(半紙!$B$11:$B$310),INDEX(半紙!$G$11:$G$310,89),IF(89&lt;=COUNTA(半紙!$B$11:$B$310)+COUNTA(条幅!$B$11:$B$310),INDEX(条幅!$G$11:$G$310,89-COUNTA(半紙!$B$11:$B$310)),IF(89&lt;=COUNTA(半紙!$B$11:$B$310)+COUNTA(条幅!$B$11:$B$310)+COUNTA(条幅4分の1!$B$11:$B$310),INDEX(条幅4分の1!$G$11:$G$310,89-COUNTA(半紙!$B$11:$B$310)-COUNTA(条幅!$B$11:$B$310)),"")))=0,"",IF(89&lt;=COUNTA(半紙!$B$11:$B$310),INDEX(半紙!$G$11:$G$310,89),IF(89&lt;=COUNTA(半紙!$B$11:$B$310)+COUNTA(条幅!$B$11:$B$310),INDEX(条幅!$G$11:$G$310,89-COUNTA(半紙!$B$11:$B$310)),IF(89&lt;=COUNTA(半紙!$B$11:$B$310)+COUNTA(条幅!$B$11:$B$310)+COUNTA(条幅4分の1!$B$11:$B$310),INDEX(条幅4分の1!$G$11:$G$310,89-COUNTA(半紙!$B$11:$B$310)-COUNTA(条幅!$B$11:$B$310)),""))))</f>
        <v/>
      </c>
      <c r="H94" s="38" t="str">
        <f>IF(IF(89&lt;=COUNTA(半紙!$B$11:$B$310),INDEX(半紙!$H$11:$H$310,89),IF(89&lt;=COUNTA(半紙!$B$11:$B$310)+COUNTA(条幅!$B$11:$B$310),INDEX(条幅!$H$11:$H$310,89-COUNTA(半紙!$B$11:$B$310)),IF(89&lt;=COUNTA(半紙!$B$11:$B$310)+COUNTA(条幅!$B$11:$B$310)+COUNTA(条幅4分の1!$B$11:$B$310),INDEX(条幅4分の1!$H$11:$H$310,89-COUNTA(半紙!$B$11:$B$310)-COUNTA(条幅!$B$11:$B$310)),"")))=0,"",IF(89&lt;=COUNTA(半紙!$B$11:$B$310),INDEX(半紙!$H$11:$H$310,89),IF(89&lt;=COUNTA(半紙!$B$11:$B$310)+COUNTA(条幅!$B$11:$B$310),INDEX(条幅!$H$11:$H$310,89-COUNTA(半紙!$B$11:$B$310)),IF(89&lt;=COUNTA(半紙!$B$11:$B$310)+COUNTA(条幅!$B$11:$B$310)+COUNTA(条幅4分の1!$B$11:$B$310),INDEX(条幅4分の1!$H$11:$H$310,89-COUNTA(半紙!$B$11:$B$310)-COUNTA(条幅!$B$11:$B$310)),""))))</f>
        <v/>
      </c>
      <c r="I94" s="38" t="str">
        <f>IF(IF(89&lt;=COUNTA(半紙!$B$11:$B$310),INDEX(半紙!$I$11:$I$310,89),IF(89&lt;=COUNTA(半紙!$B$11:$B$310)+COUNTA(条幅!$B$11:$B$310),INDEX(条幅!$I$11:$I$310,89-COUNTA(半紙!$B$11:$B$310)),IF(89&lt;=COUNTA(半紙!$B$11:$B$310)+COUNTA(条幅!$B$11:$B$310)+COUNTA(条幅4分の1!$B$11:$B$310),INDEX(条幅4分の1!$I$11:$I$310,89-COUNTA(半紙!$B$11:$B$310)-COUNTA(条幅!$B$11:$B$310)),"")))=0,"",IF(89&lt;=COUNTA(半紙!$B$11:$B$310),INDEX(半紙!$I$11:$I$310,89),IF(89&lt;=COUNTA(半紙!$B$11:$B$310)+COUNTA(条幅!$B$11:$B$310),INDEX(条幅!$I$11:$I$310,89-COUNTA(半紙!$B$11:$B$310)),IF(89&lt;=COUNTA(半紙!$B$11:$B$310)+COUNTA(条幅!$B$11:$B$310)+COUNTA(条幅4分の1!$B$11:$B$310),INDEX(条幅4分の1!$I$11:$I$310,89-COUNTA(半紙!$B$11:$B$310)-COUNTA(条幅!$B$11:$B$310)),""))))</f>
        <v/>
      </c>
      <c r="J94" s="38" t="str">
        <f>IF(IF(89&lt;=COUNTA(半紙!$B$11:$B$310),INDEX(半紙!$J$11:$J$310,89),IF(89&lt;=COUNTA(半紙!$B$11:$B$310)+COUNTA(条幅!$B$11:$B$310),INDEX(条幅!$J$11:$J$310,89-COUNTA(半紙!$B$11:$B$310)),IF(89&lt;=COUNTA(半紙!$B$11:$B$310)+COUNTA(条幅!$B$11:$B$310)+COUNTA(条幅4分の1!$B$11:$B$310),INDEX(条幅4分の1!$J$11:$J$310,89-COUNTA(半紙!$B$11:$B$310)-COUNTA(条幅!$B$11:$B$310)),"")))=0,"",IF(89&lt;=COUNTA(半紙!$B$11:$B$310),INDEX(半紙!$J$11:$J$310,89),IF(89&lt;=COUNTA(半紙!$B$11:$B$310)+COUNTA(条幅!$B$11:$B$310),INDEX(条幅!$J$11:$J$310,89-COUNTA(半紙!$B$11:$B$310)),IF(89&lt;=COUNTA(半紙!$B$11:$B$310)+COUNTA(条幅!$B$11:$B$310)+COUNTA(条幅4分の1!$B$11:$B$310),INDEX(条幅4分の1!$J$11:$J$310,89-COUNTA(半紙!$B$11:$B$310)-COUNTA(条幅!$B$11:$B$310)),""))))</f>
        <v/>
      </c>
      <c r="K94" s="38" t="str">
        <f>IF(IF(89&lt;=COUNTA(半紙!$B$11:$B$310),INDEX(半紙!$K$11:$K$310,89),IF(89&lt;=COUNTA(半紙!$B$11:$B$310)+COUNTA(条幅!$B$11:$B$310),INDEX(条幅!$K$11:$K$310,89-COUNTA(半紙!$B$11:$B$310)),IF(89&lt;=COUNTA(半紙!$B$11:$B$310)+COUNTA(条幅!$B$11:$B$310)+COUNTA(条幅4分の1!$B$11:$B$310),INDEX(条幅4分の1!$K$11:$K$310,89-COUNTA(半紙!$B$11:$B$310)-COUNTA(条幅!$B$11:$B$310)),"")))=0,"",IF(89&lt;=COUNTA(半紙!$B$11:$B$310),INDEX(半紙!$K$11:$K$310,89),IF(89&lt;=COUNTA(半紙!$B$11:$B$310)+COUNTA(条幅!$B$11:$B$310),INDEX(条幅!$K$11:$K$310,89-COUNTA(半紙!$B$11:$B$310)),IF(89&lt;=COUNTA(半紙!$B$11:$B$310)+COUNTA(条幅!$B$11:$B$310)+COUNTA(条幅4分の1!$B$11:$B$310),INDEX(条幅4分の1!$K$11:$K$310,89-COUNTA(半紙!$B$11:$B$310)-COUNTA(条幅!$B$11:$B$310)),""))))</f>
        <v/>
      </c>
      <c r="L94" s="48" t="str">
        <f>IF($B94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89))</f>
        <v/>
      </c>
    </row>
    <row r="95" spans="1:12" ht="15" customHeight="1">
      <c r="A95" s="37" t="str">
        <f>IF(90&lt;=COUNTA(半紙!$B$11:$B$310),"半紙",IF(90&lt;=COUNTA(半紙!$B$11:$B$310)+COUNTA(条幅!$B$11:$B$310),"条幅(半切)",IF(90&lt;=COUNTA(半紙!$B$11:$B$310)+COUNTA(条幅!$B$11:$B$310)+COUNTA(条幅4分の1!$B$11:$B$310),"条幅(1/4)","")))</f>
        <v/>
      </c>
      <c r="B95" s="38" t="str">
        <f>IF(IF(90&lt;=COUNTA(半紙!$B$11:$B$310),INDEX(半紙!$B$11:$B$310,90),IF(90&lt;=COUNTA(半紙!$B$11:$B$310)+COUNTA(条幅!$B$11:$B$310),INDEX(条幅!$B$11:$B$310,90-COUNTA(半紙!$B$11:$B$310)),IF(90&lt;=COUNTA(半紙!$B$11:$B$310)+COUNTA(条幅!$B$11:$B$310)+COUNTA(条幅4分の1!$B$11:$B$310),INDEX(条幅4分の1!$B$11:$B$310,90-COUNTA(半紙!$B$11:$B$310)-COUNTA(条幅!$B$11:$B$310)),"")))=0,"",IF(90&lt;=COUNTA(半紙!$B$11:$B$310),INDEX(半紙!$B$11:$B$310,90),IF(90&lt;=COUNTA(半紙!$B$11:$B$310)+COUNTA(条幅!$B$11:$B$310),INDEX(条幅!$B$11:$B$310,90-COUNTA(半紙!$B$11:$B$310)),IF(90&lt;=COUNTA(半紙!$B$11:$B$310)+COUNTA(条幅!$B$11:$B$310)+COUNTA(条幅4分の1!$B$11:$B$310),INDEX(条幅4分の1!$B$11:$B$310,90-COUNTA(半紙!$B$11:$B$310)-COUNTA(条幅!$B$11:$B$310)),""))))</f>
        <v/>
      </c>
      <c r="C95" s="38" t="str">
        <f>IF(IF(90&lt;=COUNTA(半紙!$B$11:$B$310),INDEX(半紙!$C$11:$C$310,90),IF(90&lt;=COUNTA(半紙!$B$11:$B$310)+COUNTA(条幅!$B$11:$B$310),INDEX(条幅!$C$11:$C$310,90-COUNTA(半紙!$B$11:$B$310)),IF(90&lt;=COUNTA(半紙!$B$11:$B$310)+COUNTA(条幅!$B$11:$B$310)+COUNTA(条幅4分の1!$B$11:$B$310),INDEX(条幅4分の1!$C$11:$C$310,90-COUNTA(半紙!$B$11:$B$310)-COUNTA(条幅!$B$11:$B$310)),"")))=0,"",IF(90&lt;=COUNTA(半紙!$B$11:$B$310),INDEX(半紙!$C$11:$C$310,90),IF(90&lt;=COUNTA(半紙!$B$11:$B$310)+COUNTA(条幅!$B$11:$B$310),INDEX(条幅!$C$11:$C$310,90-COUNTA(半紙!$B$11:$B$310)),IF(90&lt;=COUNTA(半紙!$B$11:$B$310)+COUNTA(条幅!$B$11:$B$310)+COUNTA(条幅4分の1!$B$11:$B$310),INDEX(条幅4分の1!$C$11:$C$310,90-COUNTA(半紙!$B$11:$B$310)-COUNTA(条幅!$B$11:$B$310)),""))))</f>
        <v/>
      </c>
      <c r="D95" s="38" t="str">
        <f>IF(IF(90&lt;=COUNTA(半紙!$B$11:$B$310),INDEX(半紙!$D$11:$D$310,90),IF(90&lt;=COUNTA(半紙!$B$11:$B$310)+COUNTA(条幅!$B$11:$B$310),INDEX(条幅!$D$11:$D$310,90-COUNTA(半紙!$B$11:$B$310)),IF(90&lt;=COUNTA(半紙!$B$11:$B$310)+COUNTA(条幅!$B$11:$B$310)+COUNTA(条幅4分の1!$B$11:$B$310),INDEX(条幅4分の1!$D$11:$D$310,90-COUNTA(半紙!$B$11:$B$310)-COUNTA(条幅!$B$11:$B$310)),"")))=0,"",IF(90&lt;=COUNTA(半紙!$B$11:$B$310),INDEX(半紙!$D$11:$D$310,90),IF(90&lt;=COUNTA(半紙!$B$11:$B$310)+COUNTA(条幅!$B$11:$B$310),INDEX(条幅!$D$11:$D$310,90-COUNTA(半紙!$B$11:$B$310)),IF(90&lt;=COUNTA(半紙!$B$11:$B$310)+COUNTA(条幅!$B$11:$B$310)+COUNTA(条幅4分の1!$B$11:$B$310),INDEX(条幅4分の1!$D$11:$D$310,90-COUNTA(半紙!$B$11:$B$310)-COUNTA(条幅!$B$11:$B$310)),""))))</f>
        <v/>
      </c>
      <c r="E95" s="38" t="str">
        <f>IF(IF(90&lt;=COUNTA(半紙!$B$11:$B$310),INDEX(半紙!$E$11:$E$310,90),IF(90&lt;=COUNTA(半紙!$B$11:$B$310)+COUNTA(条幅!$B$11:$B$310),INDEX(条幅!$E$11:$E$310,90-COUNTA(半紙!$B$11:$B$310)),IF(90&lt;=COUNTA(半紙!$B$11:$B$310)+COUNTA(条幅!$B$11:$B$310)+COUNTA(条幅4分の1!$B$11:$B$310),INDEX(条幅4分の1!$E$11:$E$310,90-COUNTA(半紙!$B$11:$B$310)-COUNTA(条幅!$B$11:$B$310)),"")))=0,"",IF(90&lt;=COUNTA(半紙!$B$11:$B$310),INDEX(半紙!$E$11:$E$310,90),IF(90&lt;=COUNTA(半紙!$B$11:$B$310)+COUNTA(条幅!$B$11:$B$310),INDEX(条幅!$E$11:$E$310,90-COUNTA(半紙!$B$11:$B$310)),IF(90&lt;=COUNTA(半紙!$B$11:$B$310)+COUNTA(条幅!$B$11:$B$310)+COUNTA(条幅4分の1!$B$11:$B$310),INDEX(条幅4分の1!$E$11:$E$310,90-COUNTA(半紙!$B$11:$B$310)-COUNTA(条幅!$B$11:$B$310)),""))))</f>
        <v/>
      </c>
      <c r="F95" s="38" t="str">
        <f>IF(IF(90&lt;=COUNTA(半紙!$B$11:$B$310),INDEX(半紙!$F$11:$F$310,90),IF(90&lt;=COUNTA(半紙!$B$11:$B$310)+COUNTA(条幅!$B$11:$B$310),INDEX(条幅!$F$11:$F$310,90-COUNTA(半紙!$B$11:$B$310)),IF(90&lt;=COUNTA(半紙!$B$11:$B$310)+COUNTA(条幅!$B$11:$B$310)+COUNTA(条幅4分の1!$B$11:$B$310),INDEX(条幅4分の1!$F$11:$F$310,90-COUNTA(半紙!$B$11:$B$310)-COUNTA(条幅!$B$11:$B$310)),"")))=0,"",IF(90&lt;=COUNTA(半紙!$B$11:$B$310),INDEX(半紙!$F$11:$F$310,90),IF(90&lt;=COUNTA(半紙!$B$11:$B$310)+COUNTA(条幅!$B$11:$B$310),INDEX(条幅!$F$11:$F$310,90-COUNTA(半紙!$B$11:$B$310)),IF(90&lt;=COUNTA(半紙!$B$11:$B$310)+COUNTA(条幅!$B$11:$B$310)+COUNTA(条幅4分の1!$B$11:$B$310),INDEX(条幅4分の1!$F$11:$F$310,90-COUNTA(半紙!$B$11:$B$310)-COUNTA(条幅!$B$11:$B$310)),""))))</f>
        <v/>
      </c>
      <c r="G95" s="38" t="str">
        <f>IF(IF(90&lt;=COUNTA(半紙!$B$11:$B$310),INDEX(半紙!$G$11:$G$310,90),IF(90&lt;=COUNTA(半紙!$B$11:$B$310)+COUNTA(条幅!$B$11:$B$310),INDEX(条幅!$G$11:$G$310,90-COUNTA(半紙!$B$11:$B$310)),IF(90&lt;=COUNTA(半紙!$B$11:$B$310)+COUNTA(条幅!$B$11:$B$310)+COUNTA(条幅4分の1!$B$11:$B$310),INDEX(条幅4分の1!$G$11:$G$310,90-COUNTA(半紙!$B$11:$B$310)-COUNTA(条幅!$B$11:$B$310)),"")))=0,"",IF(90&lt;=COUNTA(半紙!$B$11:$B$310),INDEX(半紙!$G$11:$G$310,90),IF(90&lt;=COUNTA(半紙!$B$11:$B$310)+COUNTA(条幅!$B$11:$B$310),INDEX(条幅!$G$11:$G$310,90-COUNTA(半紙!$B$11:$B$310)),IF(90&lt;=COUNTA(半紙!$B$11:$B$310)+COUNTA(条幅!$B$11:$B$310)+COUNTA(条幅4分の1!$B$11:$B$310),INDEX(条幅4分の1!$G$11:$G$310,90-COUNTA(半紙!$B$11:$B$310)-COUNTA(条幅!$B$11:$B$310)),""))))</f>
        <v/>
      </c>
      <c r="H95" s="38" t="str">
        <f>IF(IF(90&lt;=COUNTA(半紙!$B$11:$B$310),INDEX(半紙!$H$11:$H$310,90),IF(90&lt;=COUNTA(半紙!$B$11:$B$310)+COUNTA(条幅!$B$11:$B$310),INDEX(条幅!$H$11:$H$310,90-COUNTA(半紙!$B$11:$B$310)),IF(90&lt;=COUNTA(半紙!$B$11:$B$310)+COUNTA(条幅!$B$11:$B$310)+COUNTA(条幅4分の1!$B$11:$B$310),INDEX(条幅4分の1!$H$11:$H$310,90-COUNTA(半紙!$B$11:$B$310)-COUNTA(条幅!$B$11:$B$310)),"")))=0,"",IF(90&lt;=COUNTA(半紙!$B$11:$B$310),INDEX(半紙!$H$11:$H$310,90),IF(90&lt;=COUNTA(半紙!$B$11:$B$310)+COUNTA(条幅!$B$11:$B$310),INDEX(条幅!$H$11:$H$310,90-COUNTA(半紙!$B$11:$B$310)),IF(90&lt;=COUNTA(半紙!$B$11:$B$310)+COUNTA(条幅!$B$11:$B$310)+COUNTA(条幅4分の1!$B$11:$B$310),INDEX(条幅4分の1!$H$11:$H$310,90-COUNTA(半紙!$B$11:$B$310)-COUNTA(条幅!$B$11:$B$310)),""))))</f>
        <v/>
      </c>
      <c r="I95" s="38" t="str">
        <f>IF(IF(90&lt;=COUNTA(半紙!$B$11:$B$310),INDEX(半紙!$I$11:$I$310,90),IF(90&lt;=COUNTA(半紙!$B$11:$B$310)+COUNTA(条幅!$B$11:$B$310),INDEX(条幅!$I$11:$I$310,90-COUNTA(半紙!$B$11:$B$310)),IF(90&lt;=COUNTA(半紙!$B$11:$B$310)+COUNTA(条幅!$B$11:$B$310)+COUNTA(条幅4分の1!$B$11:$B$310),INDEX(条幅4分の1!$I$11:$I$310,90-COUNTA(半紙!$B$11:$B$310)-COUNTA(条幅!$B$11:$B$310)),"")))=0,"",IF(90&lt;=COUNTA(半紙!$B$11:$B$310),INDEX(半紙!$I$11:$I$310,90),IF(90&lt;=COUNTA(半紙!$B$11:$B$310)+COUNTA(条幅!$B$11:$B$310),INDEX(条幅!$I$11:$I$310,90-COUNTA(半紙!$B$11:$B$310)),IF(90&lt;=COUNTA(半紙!$B$11:$B$310)+COUNTA(条幅!$B$11:$B$310)+COUNTA(条幅4分の1!$B$11:$B$310),INDEX(条幅4分の1!$I$11:$I$310,90-COUNTA(半紙!$B$11:$B$310)-COUNTA(条幅!$B$11:$B$310)),""))))</f>
        <v/>
      </c>
      <c r="J95" s="38" t="str">
        <f>IF(IF(90&lt;=COUNTA(半紙!$B$11:$B$310),INDEX(半紙!$J$11:$J$310,90),IF(90&lt;=COUNTA(半紙!$B$11:$B$310)+COUNTA(条幅!$B$11:$B$310),INDEX(条幅!$J$11:$J$310,90-COUNTA(半紙!$B$11:$B$310)),IF(90&lt;=COUNTA(半紙!$B$11:$B$310)+COUNTA(条幅!$B$11:$B$310)+COUNTA(条幅4分の1!$B$11:$B$310),INDEX(条幅4分の1!$J$11:$J$310,90-COUNTA(半紙!$B$11:$B$310)-COUNTA(条幅!$B$11:$B$310)),"")))=0,"",IF(90&lt;=COUNTA(半紙!$B$11:$B$310),INDEX(半紙!$J$11:$J$310,90),IF(90&lt;=COUNTA(半紙!$B$11:$B$310)+COUNTA(条幅!$B$11:$B$310),INDEX(条幅!$J$11:$J$310,90-COUNTA(半紙!$B$11:$B$310)),IF(90&lt;=COUNTA(半紙!$B$11:$B$310)+COUNTA(条幅!$B$11:$B$310)+COUNTA(条幅4分の1!$B$11:$B$310),INDEX(条幅4分の1!$J$11:$J$310,90-COUNTA(半紙!$B$11:$B$310)-COUNTA(条幅!$B$11:$B$310)),""))))</f>
        <v/>
      </c>
      <c r="K95" s="38" t="str">
        <f>IF(IF(90&lt;=COUNTA(半紙!$B$11:$B$310),INDEX(半紙!$K$11:$K$310,90),IF(90&lt;=COUNTA(半紙!$B$11:$B$310)+COUNTA(条幅!$B$11:$B$310),INDEX(条幅!$K$11:$K$310,90-COUNTA(半紙!$B$11:$B$310)),IF(90&lt;=COUNTA(半紙!$B$11:$B$310)+COUNTA(条幅!$B$11:$B$310)+COUNTA(条幅4分の1!$B$11:$B$310),INDEX(条幅4分の1!$K$11:$K$310,90-COUNTA(半紙!$B$11:$B$310)-COUNTA(条幅!$B$11:$B$310)),"")))=0,"",IF(90&lt;=COUNTA(半紙!$B$11:$B$310),INDEX(半紙!$K$11:$K$310,90),IF(90&lt;=COUNTA(半紙!$B$11:$B$310)+COUNTA(条幅!$B$11:$B$310),INDEX(条幅!$K$11:$K$310,90-COUNTA(半紙!$B$11:$B$310)),IF(90&lt;=COUNTA(半紙!$B$11:$B$310)+COUNTA(条幅!$B$11:$B$310)+COUNTA(条幅4分の1!$B$11:$B$310),INDEX(条幅4分の1!$K$11:$K$310,90-COUNTA(半紙!$B$11:$B$310)-COUNTA(条幅!$B$11:$B$310)),""))))</f>
        <v/>
      </c>
      <c r="L95" s="48" t="str">
        <f>IF($B95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90))</f>
        <v/>
      </c>
    </row>
    <row r="96" spans="1:12" ht="15" customHeight="1">
      <c r="A96" s="37" t="str">
        <f>IF(91&lt;=COUNTA(半紙!$B$11:$B$310),"半紙",IF(91&lt;=COUNTA(半紙!$B$11:$B$310)+COUNTA(条幅!$B$11:$B$310),"条幅(半切)",IF(91&lt;=COUNTA(半紙!$B$11:$B$310)+COUNTA(条幅!$B$11:$B$310)+COUNTA(条幅4分の1!$B$11:$B$310),"条幅(1/4)","")))</f>
        <v/>
      </c>
      <c r="B96" s="38" t="str">
        <f>IF(IF(91&lt;=COUNTA(半紙!$B$11:$B$310),INDEX(半紙!$B$11:$B$310,91),IF(91&lt;=COUNTA(半紙!$B$11:$B$310)+COUNTA(条幅!$B$11:$B$310),INDEX(条幅!$B$11:$B$310,91-COUNTA(半紙!$B$11:$B$310)),IF(91&lt;=COUNTA(半紙!$B$11:$B$310)+COUNTA(条幅!$B$11:$B$310)+COUNTA(条幅4分の1!$B$11:$B$310),INDEX(条幅4分の1!$B$11:$B$310,91-COUNTA(半紙!$B$11:$B$310)-COUNTA(条幅!$B$11:$B$310)),"")))=0,"",IF(91&lt;=COUNTA(半紙!$B$11:$B$310),INDEX(半紙!$B$11:$B$310,91),IF(91&lt;=COUNTA(半紙!$B$11:$B$310)+COUNTA(条幅!$B$11:$B$310),INDEX(条幅!$B$11:$B$310,91-COUNTA(半紙!$B$11:$B$310)),IF(91&lt;=COUNTA(半紙!$B$11:$B$310)+COUNTA(条幅!$B$11:$B$310)+COUNTA(条幅4分の1!$B$11:$B$310),INDEX(条幅4分の1!$B$11:$B$310,91-COUNTA(半紙!$B$11:$B$310)-COUNTA(条幅!$B$11:$B$310)),""))))</f>
        <v/>
      </c>
      <c r="C96" s="38" t="str">
        <f>IF(IF(91&lt;=COUNTA(半紙!$B$11:$B$310),INDEX(半紙!$C$11:$C$310,91),IF(91&lt;=COUNTA(半紙!$B$11:$B$310)+COUNTA(条幅!$B$11:$B$310),INDEX(条幅!$C$11:$C$310,91-COUNTA(半紙!$B$11:$B$310)),IF(91&lt;=COUNTA(半紙!$B$11:$B$310)+COUNTA(条幅!$B$11:$B$310)+COUNTA(条幅4分の1!$B$11:$B$310),INDEX(条幅4分の1!$C$11:$C$310,91-COUNTA(半紙!$B$11:$B$310)-COUNTA(条幅!$B$11:$B$310)),"")))=0,"",IF(91&lt;=COUNTA(半紙!$B$11:$B$310),INDEX(半紙!$C$11:$C$310,91),IF(91&lt;=COUNTA(半紙!$B$11:$B$310)+COUNTA(条幅!$B$11:$B$310),INDEX(条幅!$C$11:$C$310,91-COUNTA(半紙!$B$11:$B$310)),IF(91&lt;=COUNTA(半紙!$B$11:$B$310)+COUNTA(条幅!$B$11:$B$310)+COUNTA(条幅4分の1!$B$11:$B$310),INDEX(条幅4分の1!$C$11:$C$310,91-COUNTA(半紙!$B$11:$B$310)-COUNTA(条幅!$B$11:$B$310)),""))))</f>
        <v/>
      </c>
      <c r="D96" s="38" t="str">
        <f>IF(IF(91&lt;=COUNTA(半紙!$B$11:$B$310),INDEX(半紙!$D$11:$D$310,91),IF(91&lt;=COUNTA(半紙!$B$11:$B$310)+COUNTA(条幅!$B$11:$B$310),INDEX(条幅!$D$11:$D$310,91-COUNTA(半紙!$B$11:$B$310)),IF(91&lt;=COUNTA(半紙!$B$11:$B$310)+COUNTA(条幅!$B$11:$B$310)+COUNTA(条幅4分の1!$B$11:$B$310),INDEX(条幅4分の1!$D$11:$D$310,91-COUNTA(半紙!$B$11:$B$310)-COUNTA(条幅!$B$11:$B$310)),"")))=0,"",IF(91&lt;=COUNTA(半紙!$B$11:$B$310),INDEX(半紙!$D$11:$D$310,91),IF(91&lt;=COUNTA(半紙!$B$11:$B$310)+COUNTA(条幅!$B$11:$B$310),INDEX(条幅!$D$11:$D$310,91-COUNTA(半紙!$B$11:$B$310)),IF(91&lt;=COUNTA(半紙!$B$11:$B$310)+COUNTA(条幅!$B$11:$B$310)+COUNTA(条幅4分の1!$B$11:$B$310),INDEX(条幅4分の1!$D$11:$D$310,91-COUNTA(半紙!$B$11:$B$310)-COUNTA(条幅!$B$11:$B$310)),""))))</f>
        <v/>
      </c>
      <c r="E96" s="38" t="str">
        <f>IF(IF(91&lt;=COUNTA(半紙!$B$11:$B$310),INDEX(半紙!$E$11:$E$310,91),IF(91&lt;=COUNTA(半紙!$B$11:$B$310)+COUNTA(条幅!$B$11:$B$310),INDEX(条幅!$E$11:$E$310,91-COUNTA(半紙!$B$11:$B$310)),IF(91&lt;=COUNTA(半紙!$B$11:$B$310)+COUNTA(条幅!$B$11:$B$310)+COUNTA(条幅4分の1!$B$11:$B$310),INDEX(条幅4分の1!$E$11:$E$310,91-COUNTA(半紙!$B$11:$B$310)-COUNTA(条幅!$B$11:$B$310)),"")))=0,"",IF(91&lt;=COUNTA(半紙!$B$11:$B$310),INDEX(半紙!$E$11:$E$310,91),IF(91&lt;=COUNTA(半紙!$B$11:$B$310)+COUNTA(条幅!$B$11:$B$310),INDEX(条幅!$E$11:$E$310,91-COUNTA(半紙!$B$11:$B$310)),IF(91&lt;=COUNTA(半紙!$B$11:$B$310)+COUNTA(条幅!$B$11:$B$310)+COUNTA(条幅4分の1!$B$11:$B$310),INDEX(条幅4分の1!$E$11:$E$310,91-COUNTA(半紙!$B$11:$B$310)-COUNTA(条幅!$B$11:$B$310)),""))))</f>
        <v/>
      </c>
      <c r="F96" s="38" t="str">
        <f>IF(IF(91&lt;=COUNTA(半紙!$B$11:$B$310),INDEX(半紙!$F$11:$F$310,91),IF(91&lt;=COUNTA(半紙!$B$11:$B$310)+COUNTA(条幅!$B$11:$B$310),INDEX(条幅!$F$11:$F$310,91-COUNTA(半紙!$B$11:$B$310)),IF(91&lt;=COUNTA(半紙!$B$11:$B$310)+COUNTA(条幅!$B$11:$B$310)+COUNTA(条幅4分の1!$B$11:$B$310),INDEX(条幅4分の1!$F$11:$F$310,91-COUNTA(半紙!$B$11:$B$310)-COUNTA(条幅!$B$11:$B$310)),"")))=0,"",IF(91&lt;=COUNTA(半紙!$B$11:$B$310),INDEX(半紙!$F$11:$F$310,91),IF(91&lt;=COUNTA(半紙!$B$11:$B$310)+COUNTA(条幅!$B$11:$B$310),INDEX(条幅!$F$11:$F$310,91-COUNTA(半紙!$B$11:$B$310)),IF(91&lt;=COUNTA(半紙!$B$11:$B$310)+COUNTA(条幅!$B$11:$B$310)+COUNTA(条幅4分の1!$B$11:$B$310),INDEX(条幅4分の1!$F$11:$F$310,91-COUNTA(半紙!$B$11:$B$310)-COUNTA(条幅!$B$11:$B$310)),""))))</f>
        <v/>
      </c>
      <c r="G96" s="38" t="str">
        <f>IF(IF(91&lt;=COUNTA(半紙!$B$11:$B$310),INDEX(半紙!$G$11:$G$310,91),IF(91&lt;=COUNTA(半紙!$B$11:$B$310)+COUNTA(条幅!$B$11:$B$310),INDEX(条幅!$G$11:$G$310,91-COUNTA(半紙!$B$11:$B$310)),IF(91&lt;=COUNTA(半紙!$B$11:$B$310)+COUNTA(条幅!$B$11:$B$310)+COUNTA(条幅4分の1!$B$11:$B$310),INDEX(条幅4分の1!$G$11:$G$310,91-COUNTA(半紙!$B$11:$B$310)-COUNTA(条幅!$B$11:$B$310)),"")))=0,"",IF(91&lt;=COUNTA(半紙!$B$11:$B$310),INDEX(半紙!$G$11:$G$310,91),IF(91&lt;=COUNTA(半紙!$B$11:$B$310)+COUNTA(条幅!$B$11:$B$310),INDEX(条幅!$G$11:$G$310,91-COUNTA(半紙!$B$11:$B$310)),IF(91&lt;=COUNTA(半紙!$B$11:$B$310)+COUNTA(条幅!$B$11:$B$310)+COUNTA(条幅4分の1!$B$11:$B$310),INDEX(条幅4分の1!$G$11:$G$310,91-COUNTA(半紙!$B$11:$B$310)-COUNTA(条幅!$B$11:$B$310)),""))))</f>
        <v/>
      </c>
      <c r="H96" s="38" t="str">
        <f>IF(IF(91&lt;=COUNTA(半紙!$B$11:$B$310),INDEX(半紙!$H$11:$H$310,91),IF(91&lt;=COUNTA(半紙!$B$11:$B$310)+COUNTA(条幅!$B$11:$B$310),INDEX(条幅!$H$11:$H$310,91-COUNTA(半紙!$B$11:$B$310)),IF(91&lt;=COUNTA(半紙!$B$11:$B$310)+COUNTA(条幅!$B$11:$B$310)+COUNTA(条幅4分の1!$B$11:$B$310),INDEX(条幅4分の1!$H$11:$H$310,91-COUNTA(半紙!$B$11:$B$310)-COUNTA(条幅!$B$11:$B$310)),"")))=0,"",IF(91&lt;=COUNTA(半紙!$B$11:$B$310),INDEX(半紙!$H$11:$H$310,91),IF(91&lt;=COUNTA(半紙!$B$11:$B$310)+COUNTA(条幅!$B$11:$B$310),INDEX(条幅!$H$11:$H$310,91-COUNTA(半紙!$B$11:$B$310)),IF(91&lt;=COUNTA(半紙!$B$11:$B$310)+COUNTA(条幅!$B$11:$B$310)+COUNTA(条幅4分の1!$B$11:$B$310),INDEX(条幅4分の1!$H$11:$H$310,91-COUNTA(半紙!$B$11:$B$310)-COUNTA(条幅!$B$11:$B$310)),""))))</f>
        <v/>
      </c>
      <c r="I96" s="38" t="str">
        <f>IF(IF(91&lt;=COUNTA(半紙!$B$11:$B$310),INDEX(半紙!$I$11:$I$310,91),IF(91&lt;=COUNTA(半紙!$B$11:$B$310)+COUNTA(条幅!$B$11:$B$310),INDEX(条幅!$I$11:$I$310,91-COUNTA(半紙!$B$11:$B$310)),IF(91&lt;=COUNTA(半紙!$B$11:$B$310)+COUNTA(条幅!$B$11:$B$310)+COUNTA(条幅4分の1!$B$11:$B$310),INDEX(条幅4分の1!$I$11:$I$310,91-COUNTA(半紙!$B$11:$B$310)-COUNTA(条幅!$B$11:$B$310)),"")))=0,"",IF(91&lt;=COUNTA(半紙!$B$11:$B$310),INDEX(半紙!$I$11:$I$310,91),IF(91&lt;=COUNTA(半紙!$B$11:$B$310)+COUNTA(条幅!$B$11:$B$310),INDEX(条幅!$I$11:$I$310,91-COUNTA(半紙!$B$11:$B$310)),IF(91&lt;=COUNTA(半紙!$B$11:$B$310)+COUNTA(条幅!$B$11:$B$310)+COUNTA(条幅4分の1!$B$11:$B$310),INDEX(条幅4分の1!$I$11:$I$310,91-COUNTA(半紙!$B$11:$B$310)-COUNTA(条幅!$B$11:$B$310)),""))))</f>
        <v/>
      </c>
      <c r="J96" s="38" t="str">
        <f>IF(IF(91&lt;=COUNTA(半紙!$B$11:$B$310),INDEX(半紙!$J$11:$J$310,91),IF(91&lt;=COUNTA(半紙!$B$11:$B$310)+COUNTA(条幅!$B$11:$B$310),INDEX(条幅!$J$11:$J$310,91-COUNTA(半紙!$B$11:$B$310)),IF(91&lt;=COUNTA(半紙!$B$11:$B$310)+COUNTA(条幅!$B$11:$B$310)+COUNTA(条幅4分の1!$B$11:$B$310),INDEX(条幅4分の1!$J$11:$J$310,91-COUNTA(半紙!$B$11:$B$310)-COUNTA(条幅!$B$11:$B$310)),"")))=0,"",IF(91&lt;=COUNTA(半紙!$B$11:$B$310),INDEX(半紙!$J$11:$J$310,91),IF(91&lt;=COUNTA(半紙!$B$11:$B$310)+COUNTA(条幅!$B$11:$B$310),INDEX(条幅!$J$11:$J$310,91-COUNTA(半紙!$B$11:$B$310)),IF(91&lt;=COUNTA(半紙!$B$11:$B$310)+COUNTA(条幅!$B$11:$B$310)+COUNTA(条幅4分の1!$B$11:$B$310),INDEX(条幅4分の1!$J$11:$J$310,91-COUNTA(半紙!$B$11:$B$310)-COUNTA(条幅!$B$11:$B$310)),""))))</f>
        <v/>
      </c>
      <c r="K96" s="38" t="str">
        <f>IF(IF(91&lt;=COUNTA(半紙!$B$11:$B$310),INDEX(半紙!$K$11:$K$310,91),IF(91&lt;=COUNTA(半紙!$B$11:$B$310)+COUNTA(条幅!$B$11:$B$310),INDEX(条幅!$K$11:$K$310,91-COUNTA(半紙!$B$11:$B$310)),IF(91&lt;=COUNTA(半紙!$B$11:$B$310)+COUNTA(条幅!$B$11:$B$310)+COUNTA(条幅4分の1!$B$11:$B$310),INDEX(条幅4分の1!$K$11:$K$310,91-COUNTA(半紙!$B$11:$B$310)-COUNTA(条幅!$B$11:$B$310)),"")))=0,"",IF(91&lt;=COUNTA(半紙!$B$11:$B$310),INDEX(半紙!$K$11:$K$310,91),IF(91&lt;=COUNTA(半紙!$B$11:$B$310)+COUNTA(条幅!$B$11:$B$310),INDEX(条幅!$K$11:$K$310,91-COUNTA(半紙!$B$11:$B$310)),IF(91&lt;=COUNTA(半紙!$B$11:$B$310)+COUNTA(条幅!$B$11:$B$310)+COUNTA(条幅4分の1!$B$11:$B$310),INDEX(条幅4分の1!$K$11:$K$310,91-COUNTA(半紙!$B$11:$B$310)-COUNTA(条幅!$B$11:$B$310)),""))))</f>
        <v/>
      </c>
      <c r="L96" s="48" t="str">
        <f>IF($B96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91))</f>
        <v/>
      </c>
    </row>
    <row r="97" spans="1:12" ht="15" customHeight="1">
      <c r="A97" s="37" t="str">
        <f>IF(92&lt;=COUNTA(半紙!$B$11:$B$310),"半紙",IF(92&lt;=COUNTA(半紙!$B$11:$B$310)+COUNTA(条幅!$B$11:$B$310),"条幅(半切)",IF(92&lt;=COUNTA(半紙!$B$11:$B$310)+COUNTA(条幅!$B$11:$B$310)+COUNTA(条幅4分の1!$B$11:$B$310),"条幅(1/4)","")))</f>
        <v/>
      </c>
      <c r="B97" s="38" t="str">
        <f>IF(IF(92&lt;=COUNTA(半紙!$B$11:$B$310),INDEX(半紙!$B$11:$B$310,92),IF(92&lt;=COUNTA(半紙!$B$11:$B$310)+COUNTA(条幅!$B$11:$B$310),INDEX(条幅!$B$11:$B$310,92-COUNTA(半紙!$B$11:$B$310)),IF(92&lt;=COUNTA(半紙!$B$11:$B$310)+COUNTA(条幅!$B$11:$B$310)+COUNTA(条幅4分の1!$B$11:$B$310),INDEX(条幅4分の1!$B$11:$B$310,92-COUNTA(半紙!$B$11:$B$310)-COUNTA(条幅!$B$11:$B$310)),"")))=0,"",IF(92&lt;=COUNTA(半紙!$B$11:$B$310),INDEX(半紙!$B$11:$B$310,92),IF(92&lt;=COUNTA(半紙!$B$11:$B$310)+COUNTA(条幅!$B$11:$B$310),INDEX(条幅!$B$11:$B$310,92-COUNTA(半紙!$B$11:$B$310)),IF(92&lt;=COUNTA(半紙!$B$11:$B$310)+COUNTA(条幅!$B$11:$B$310)+COUNTA(条幅4分の1!$B$11:$B$310),INDEX(条幅4分の1!$B$11:$B$310,92-COUNTA(半紙!$B$11:$B$310)-COUNTA(条幅!$B$11:$B$310)),""))))</f>
        <v/>
      </c>
      <c r="C97" s="38" t="str">
        <f>IF(IF(92&lt;=COUNTA(半紙!$B$11:$B$310),INDEX(半紙!$C$11:$C$310,92),IF(92&lt;=COUNTA(半紙!$B$11:$B$310)+COUNTA(条幅!$B$11:$B$310),INDEX(条幅!$C$11:$C$310,92-COUNTA(半紙!$B$11:$B$310)),IF(92&lt;=COUNTA(半紙!$B$11:$B$310)+COUNTA(条幅!$B$11:$B$310)+COUNTA(条幅4分の1!$B$11:$B$310),INDEX(条幅4分の1!$C$11:$C$310,92-COUNTA(半紙!$B$11:$B$310)-COUNTA(条幅!$B$11:$B$310)),"")))=0,"",IF(92&lt;=COUNTA(半紙!$B$11:$B$310),INDEX(半紙!$C$11:$C$310,92),IF(92&lt;=COUNTA(半紙!$B$11:$B$310)+COUNTA(条幅!$B$11:$B$310),INDEX(条幅!$C$11:$C$310,92-COUNTA(半紙!$B$11:$B$310)),IF(92&lt;=COUNTA(半紙!$B$11:$B$310)+COUNTA(条幅!$B$11:$B$310)+COUNTA(条幅4分の1!$B$11:$B$310),INDEX(条幅4分の1!$C$11:$C$310,92-COUNTA(半紙!$B$11:$B$310)-COUNTA(条幅!$B$11:$B$310)),""))))</f>
        <v/>
      </c>
      <c r="D97" s="38" t="str">
        <f>IF(IF(92&lt;=COUNTA(半紙!$B$11:$B$310),INDEX(半紙!$D$11:$D$310,92),IF(92&lt;=COUNTA(半紙!$B$11:$B$310)+COUNTA(条幅!$B$11:$B$310),INDEX(条幅!$D$11:$D$310,92-COUNTA(半紙!$B$11:$B$310)),IF(92&lt;=COUNTA(半紙!$B$11:$B$310)+COUNTA(条幅!$B$11:$B$310)+COUNTA(条幅4分の1!$B$11:$B$310),INDEX(条幅4分の1!$D$11:$D$310,92-COUNTA(半紙!$B$11:$B$310)-COUNTA(条幅!$B$11:$B$310)),"")))=0,"",IF(92&lt;=COUNTA(半紙!$B$11:$B$310),INDEX(半紙!$D$11:$D$310,92),IF(92&lt;=COUNTA(半紙!$B$11:$B$310)+COUNTA(条幅!$B$11:$B$310),INDEX(条幅!$D$11:$D$310,92-COUNTA(半紙!$B$11:$B$310)),IF(92&lt;=COUNTA(半紙!$B$11:$B$310)+COUNTA(条幅!$B$11:$B$310)+COUNTA(条幅4分の1!$B$11:$B$310),INDEX(条幅4分の1!$D$11:$D$310,92-COUNTA(半紙!$B$11:$B$310)-COUNTA(条幅!$B$11:$B$310)),""))))</f>
        <v/>
      </c>
      <c r="E97" s="38" t="str">
        <f>IF(IF(92&lt;=COUNTA(半紙!$B$11:$B$310),INDEX(半紙!$E$11:$E$310,92),IF(92&lt;=COUNTA(半紙!$B$11:$B$310)+COUNTA(条幅!$B$11:$B$310),INDEX(条幅!$E$11:$E$310,92-COUNTA(半紙!$B$11:$B$310)),IF(92&lt;=COUNTA(半紙!$B$11:$B$310)+COUNTA(条幅!$B$11:$B$310)+COUNTA(条幅4分の1!$B$11:$B$310),INDEX(条幅4分の1!$E$11:$E$310,92-COUNTA(半紙!$B$11:$B$310)-COUNTA(条幅!$B$11:$B$310)),"")))=0,"",IF(92&lt;=COUNTA(半紙!$B$11:$B$310),INDEX(半紙!$E$11:$E$310,92),IF(92&lt;=COUNTA(半紙!$B$11:$B$310)+COUNTA(条幅!$B$11:$B$310),INDEX(条幅!$E$11:$E$310,92-COUNTA(半紙!$B$11:$B$310)),IF(92&lt;=COUNTA(半紙!$B$11:$B$310)+COUNTA(条幅!$B$11:$B$310)+COUNTA(条幅4分の1!$B$11:$B$310),INDEX(条幅4分の1!$E$11:$E$310,92-COUNTA(半紙!$B$11:$B$310)-COUNTA(条幅!$B$11:$B$310)),""))))</f>
        <v/>
      </c>
      <c r="F97" s="38" t="str">
        <f>IF(IF(92&lt;=COUNTA(半紙!$B$11:$B$310),INDEX(半紙!$F$11:$F$310,92),IF(92&lt;=COUNTA(半紙!$B$11:$B$310)+COUNTA(条幅!$B$11:$B$310),INDEX(条幅!$F$11:$F$310,92-COUNTA(半紙!$B$11:$B$310)),IF(92&lt;=COUNTA(半紙!$B$11:$B$310)+COUNTA(条幅!$B$11:$B$310)+COUNTA(条幅4分の1!$B$11:$B$310),INDEX(条幅4分の1!$F$11:$F$310,92-COUNTA(半紙!$B$11:$B$310)-COUNTA(条幅!$B$11:$B$310)),"")))=0,"",IF(92&lt;=COUNTA(半紙!$B$11:$B$310),INDEX(半紙!$F$11:$F$310,92),IF(92&lt;=COUNTA(半紙!$B$11:$B$310)+COUNTA(条幅!$B$11:$B$310),INDEX(条幅!$F$11:$F$310,92-COUNTA(半紙!$B$11:$B$310)),IF(92&lt;=COUNTA(半紙!$B$11:$B$310)+COUNTA(条幅!$B$11:$B$310)+COUNTA(条幅4分の1!$B$11:$B$310),INDEX(条幅4分の1!$F$11:$F$310,92-COUNTA(半紙!$B$11:$B$310)-COUNTA(条幅!$B$11:$B$310)),""))))</f>
        <v/>
      </c>
      <c r="G97" s="38" t="str">
        <f>IF(IF(92&lt;=COUNTA(半紙!$B$11:$B$310),INDEX(半紙!$G$11:$G$310,92),IF(92&lt;=COUNTA(半紙!$B$11:$B$310)+COUNTA(条幅!$B$11:$B$310),INDEX(条幅!$G$11:$G$310,92-COUNTA(半紙!$B$11:$B$310)),IF(92&lt;=COUNTA(半紙!$B$11:$B$310)+COUNTA(条幅!$B$11:$B$310)+COUNTA(条幅4分の1!$B$11:$B$310),INDEX(条幅4分の1!$G$11:$G$310,92-COUNTA(半紙!$B$11:$B$310)-COUNTA(条幅!$B$11:$B$310)),"")))=0,"",IF(92&lt;=COUNTA(半紙!$B$11:$B$310),INDEX(半紙!$G$11:$G$310,92),IF(92&lt;=COUNTA(半紙!$B$11:$B$310)+COUNTA(条幅!$B$11:$B$310),INDEX(条幅!$G$11:$G$310,92-COUNTA(半紙!$B$11:$B$310)),IF(92&lt;=COUNTA(半紙!$B$11:$B$310)+COUNTA(条幅!$B$11:$B$310)+COUNTA(条幅4分の1!$B$11:$B$310),INDEX(条幅4分の1!$G$11:$G$310,92-COUNTA(半紙!$B$11:$B$310)-COUNTA(条幅!$B$11:$B$310)),""))))</f>
        <v/>
      </c>
      <c r="H97" s="38" t="str">
        <f>IF(IF(92&lt;=COUNTA(半紙!$B$11:$B$310),INDEX(半紙!$H$11:$H$310,92),IF(92&lt;=COUNTA(半紙!$B$11:$B$310)+COUNTA(条幅!$B$11:$B$310),INDEX(条幅!$H$11:$H$310,92-COUNTA(半紙!$B$11:$B$310)),IF(92&lt;=COUNTA(半紙!$B$11:$B$310)+COUNTA(条幅!$B$11:$B$310)+COUNTA(条幅4分の1!$B$11:$B$310),INDEX(条幅4分の1!$H$11:$H$310,92-COUNTA(半紙!$B$11:$B$310)-COUNTA(条幅!$B$11:$B$310)),"")))=0,"",IF(92&lt;=COUNTA(半紙!$B$11:$B$310),INDEX(半紙!$H$11:$H$310,92),IF(92&lt;=COUNTA(半紙!$B$11:$B$310)+COUNTA(条幅!$B$11:$B$310),INDEX(条幅!$H$11:$H$310,92-COUNTA(半紙!$B$11:$B$310)),IF(92&lt;=COUNTA(半紙!$B$11:$B$310)+COUNTA(条幅!$B$11:$B$310)+COUNTA(条幅4分の1!$B$11:$B$310),INDEX(条幅4分の1!$H$11:$H$310,92-COUNTA(半紙!$B$11:$B$310)-COUNTA(条幅!$B$11:$B$310)),""))))</f>
        <v/>
      </c>
      <c r="I97" s="38" t="str">
        <f>IF(IF(92&lt;=COUNTA(半紙!$B$11:$B$310),INDEX(半紙!$I$11:$I$310,92),IF(92&lt;=COUNTA(半紙!$B$11:$B$310)+COUNTA(条幅!$B$11:$B$310),INDEX(条幅!$I$11:$I$310,92-COUNTA(半紙!$B$11:$B$310)),IF(92&lt;=COUNTA(半紙!$B$11:$B$310)+COUNTA(条幅!$B$11:$B$310)+COUNTA(条幅4分の1!$B$11:$B$310),INDEX(条幅4分の1!$I$11:$I$310,92-COUNTA(半紙!$B$11:$B$310)-COUNTA(条幅!$B$11:$B$310)),"")))=0,"",IF(92&lt;=COUNTA(半紙!$B$11:$B$310),INDEX(半紙!$I$11:$I$310,92),IF(92&lt;=COUNTA(半紙!$B$11:$B$310)+COUNTA(条幅!$B$11:$B$310),INDEX(条幅!$I$11:$I$310,92-COUNTA(半紙!$B$11:$B$310)),IF(92&lt;=COUNTA(半紙!$B$11:$B$310)+COUNTA(条幅!$B$11:$B$310)+COUNTA(条幅4分の1!$B$11:$B$310),INDEX(条幅4分の1!$I$11:$I$310,92-COUNTA(半紙!$B$11:$B$310)-COUNTA(条幅!$B$11:$B$310)),""))))</f>
        <v/>
      </c>
      <c r="J97" s="38" t="str">
        <f>IF(IF(92&lt;=COUNTA(半紙!$B$11:$B$310),INDEX(半紙!$J$11:$J$310,92),IF(92&lt;=COUNTA(半紙!$B$11:$B$310)+COUNTA(条幅!$B$11:$B$310),INDEX(条幅!$J$11:$J$310,92-COUNTA(半紙!$B$11:$B$310)),IF(92&lt;=COUNTA(半紙!$B$11:$B$310)+COUNTA(条幅!$B$11:$B$310)+COUNTA(条幅4分の1!$B$11:$B$310),INDEX(条幅4分の1!$J$11:$J$310,92-COUNTA(半紙!$B$11:$B$310)-COUNTA(条幅!$B$11:$B$310)),"")))=0,"",IF(92&lt;=COUNTA(半紙!$B$11:$B$310),INDEX(半紙!$J$11:$J$310,92),IF(92&lt;=COUNTA(半紙!$B$11:$B$310)+COUNTA(条幅!$B$11:$B$310),INDEX(条幅!$J$11:$J$310,92-COUNTA(半紙!$B$11:$B$310)),IF(92&lt;=COUNTA(半紙!$B$11:$B$310)+COUNTA(条幅!$B$11:$B$310)+COUNTA(条幅4分の1!$B$11:$B$310),INDEX(条幅4分の1!$J$11:$J$310,92-COUNTA(半紙!$B$11:$B$310)-COUNTA(条幅!$B$11:$B$310)),""))))</f>
        <v/>
      </c>
      <c r="K97" s="38" t="str">
        <f>IF(IF(92&lt;=COUNTA(半紙!$B$11:$B$310),INDEX(半紙!$K$11:$K$310,92),IF(92&lt;=COUNTA(半紙!$B$11:$B$310)+COUNTA(条幅!$B$11:$B$310),INDEX(条幅!$K$11:$K$310,92-COUNTA(半紙!$B$11:$B$310)),IF(92&lt;=COUNTA(半紙!$B$11:$B$310)+COUNTA(条幅!$B$11:$B$310)+COUNTA(条幅4分の1!$B$11:$B$310),INDEX(条幅4分の1!$K$11:$K$310,92-COUNTA(半紙!$B$11:$B$310)-COUNTA(条幅!$B$11:$B$310)),"")))=0,"",IF(92&lt;=COUNTA(半紙!$B$11:$B$310),INDEX(半紙!$K$11:$K$310,92),IF(92&lt;=COUNTA(半紙!$B$11:$B$310)+COUNTA(条幅!$B$11:$B$310),INDEX(条幅!$K$11:$K$310,92-COUNTA(半紙!$B$11:$B$310)),IF(92&lt;=COUNTA(半紙!$B$11:$B$310)+COUNTA(条幅!$B$11:$B$310)+COUNTA(条幅4分の1!$B$11:$B$310),INDEX(条幅4分の1!$K$11:$K$310,92-COUNTA(半紙!$B$11:$B$310)-COUNTA(条幅!$B$11:$B$310)),""))))</f>
        <v/>
      </c>
      <c r="L97" s="48" t="str">
        <f>IF($B97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92))</f>
        <v/>
      </c>
    </row>
    <row r="98" spans="1:12" ht="15" customHeight="1">
      <c r="A98" s="37" t="str">
        <f>IF(93&lt;=COUNTA(半紙!$B$11:$B$310),"半紙",IF(93&lt;=COUNTA(半紙!$B$11:$B$310)+COUNTA(条幅!$B$11:$B$310),"条幅(半切)",IF(93&lt;=COUNTA(半紙!$B$11:$B$310)+COUNTA(条幅!$B$11:$B$310)+COUNTA(条幅4分の1!$B$11:$B$310),"条幅(1/4)","")))</f>
        <v/>
      </c>
      <c r="B98" s="38" t="str">
        <f>IF(IF(93&lt;=COUNTA(半紙!$B$11:$B$310),INDEX(半紙!$B$11:$B$310,93),IF(93&lt;=COUNTA(半紙!$B$11:$B$310)+COUNTA(条幅!$B$11:$B$310),INDEX(条幅!$B$11:$B$310,93-COUNTA(半紙!$B$11:$B$310)),IF(93&lt;=COUNTA(半紙!$B$11:$B$310)+COUNTA(条幅!$B$11:$B$310)+COUNTA(条幅4分の1!$B$11:$B$310),INDEX(条幅4分の1!$B$11:$B$310,93-COUNTA(半紙!$B$11:$B$310)-COUNTA(条幅!$B$11:$B$310)),"")))=0,"",IF(93&lt;=COUNTA(半紙!$B$11:$B$310),INDEX(半紙!$B$11:$B$310,93),IF(93&lt;=COUNTA(半紙!$B$11:$B$310)+COUNTA(条幅!$B$11:$B$310),INDEX(条幅!$B$11:$B$310,93-COUNTA(半紙!$B$11:$B$310)),IF(93&lt;=COUNTA(半紙!$B$11:$B$310)+COUNTA(条幅!$B$11:$B$310)+COUNTA(条幅4分の1!$B$11:$B$310),INDEX(条幅4分の1!$B$11:$B$310,93-COUNTA(半紙!$B$11:$B$310)-COUNTA(条幅!$B$11:$B$310)),""))))</f>
        <v/>
      </c>
      <c r="C98" s="38" t="str">
        <f>IF(IF(93&lt;=COUNTA(半紙!$B$11:$B$310),INDEX(半紙!$C$11:$C$310,93),IF(93&lt;=COUNTA(半紙!$B$11:$B$310)+COUNTA(条幅!$B$11:$B$310),INDEX(条幅!$C$11:$C$310,93-COUNTA(半紙!$B$11:$B$310)),IF(93&lt;=COUNTA(半紙!$B$11:$B$310)+COUNTA(条幅!$B$11:$B$310)+COUNTA(条幅4分の1!$B$11:$B$310),INDEX(条幅4分の1!$C$11:$C$310,93-COUNTA(半紙!$B$11:$B$310)-COUNTA(条幅!$B$11:$B$310)),"")))=0,"",IF(93&lt;=COUNTA(半紙!$B$11:$B$310),INDEX(半紙!$C$11:$C$310,93),IF(93&lt;=COUNTA(半紙!$B$11:$B$310)+COUNTA(条幅!$B$11:$B$310),INDEX(条幅!$C$11:$C$310,93-COUNTA(半紙!$B$11:$B$310)),IF(93&lt;=COUNTA(半紙!$B$11:$B$310)+COUNTA(条幅!$B$11:$B$310)+COUNTA(条幅4分の1!$B$11:$B$310),INDEX(条幅4分の1!$C$11:$C$310,93-COUNTA(半紙!$B$11:$B$310)-COUNTA(条幅!$B$11:$B$310)),""))))</f>
        <v/>
      </c>
      <c r="D98" s="38" t="str">
        <f>IF(IF(93&lt;=COUNTA(半紙!$B$11:$B$310),INDEX(半紙!$D$11:$D$310,93),IF(93&lt;=COUNTA(半紙!$B$11:$B$310)+COUNTA(条幅!$B$11:$B$310),INDEX(条幅!$D$11:$D$310,93-COUNTA(半紙!$B$11:$B$310)),IF(93&lt;=COUNTA(半紙!$B$11:$B$310)+COUNTA(条幅!$B$11:$B$310)+COUNTA(条幅4分の1!$B$11:$B$310),INDEX(条幅4分の1!$D$11:$D$310,93-COUNTA(半紙!$B$11:$B$310)-COUNTA(条幅!$B$11:$B$310)),"")))=0,"",IF(93&lt;=COUNTA(半紙!$B$11:$B$310),INDEX(半紙!$D$11:$D$310,93),IF(93&lt;=COUNTA(半紙!$B$11:$B$310)+COUNTA(条幅!$B$11:$B$310),INDEX(条幅!$D$11:$D$310,93-COUNTA(半紙!$B$11:$B$310)),IF(93&lt;=COUNTA(半紙!$B$11:$B$310)+COUNTA(条幅!$B$11:$B$310)+COUNTA(条幅4分の1!$B$11:$B$310),INDEX(条幅4分の1!$D$11:$D$310,93-COUNTA(半紙!$B$11:$B$310)-COUNTA(条幅!$B$11:$B$310)),""))))</f>
        <v/>
      </c>
      <c r="E98" s="38" t="str">
        <f>IF(IF(93&lt;=COUNTA(半紙!$B$11:$B$310),INDEX(半紙!$E$11:$E$310,93),IF(93&lt;=COUNTA(半紙!$B$11:$B$310)+COUNTA(条幅!$B$11:$B$310),INDEX(条幅!$E$11:$E$310,93-COUNTA(半紙!$B$11:$B$310)),IF(93&lt;=COUNTA(半紙!$B$11:$B$310)+COUNTA(条幅!$B$11:$B$310)+COUNTA(条幅4分の1!$B$11:$B$310),INDEX(条幅4分の1!$E$11:$E$310,93-COUNTA(半紙!$B$11:$B$310)-COUNTA(条幅!$B$11:$B$310)),"")))=0,"",IF(93&lt;=COUNTA(半紙!$B$11:$B$310),INDEX(半紙!$E$11:$E$310,93),IF(93&lt;=COUNTA(半紙!$B$11:$B$310)+COUNTA(条幅!$B$11:$B$310),INDEX(条幅!$E$11:$E$310,93-COUNTA(半紙!$B$11:$B$310)),IF(93&lt;=COUNTA(半紙!$B$11:$B$310)+COUNTA(条幅!$B$11:$B$310)+COUNTA(条幅4分の1!$B$11:$B$310),INDEX(条幅4分の1!$E$11:$E$310,93-COUNTA(半紙!$B$11:$B$310)-COUNTA(条幅!$B$11:$B$310)),""))))</f>
        <v/>
      </c>
      <c r="F98" s="38" t="str">
        <f>IF(IF(93&lt;=COUNTA(半紙!$B$11:$B$310),INDEX(半紙!$F$11:$F$310,93),IF(93&lt;=COUNTA(半紙!$B$11:$B$310)+COUNTA(条幅!$B$11:$B$310),INDEX(条幅!$F$11:$F$310,93-COUNTA(半紙!$B$11:$B$310)),IF(93&lt;=COUNTA(半紙!$B$11:$B$310)+COUNTA(条幅!$B$11:$B$310)+COUNTA(条幅4分の1!$B$11:$B$310),INDEX(条幅4分の1!$F$11:$F$310,93-COUNTA(半紙!$B$11:$B$310)-COUNTA(条幅!$B$11:$B$310)),"")))=0,"",IF(93&lt;=COUNTA(半紙!$B$11:$B$310),INDEX(半紙!$F$11:$F$310,93),IF(93&lt;=COUNTA(半紙!$B$11:$B$310)+COUNTA(条幅!$B$11:$B$310),INDEX(条幅!$F$11:$F$310,93-COUNTA(半紙!$B$11:$B$310)),IF(93&lt;=COUNTA(半紙!$B$11:$B$310)+COUNTA(条幅!$B$11:$B$310)+COUNTA(条幅4分の1!$B$11:$B$310),INDEX(条幅4分の1!$F$11:$F$310,93-COUNTA(半紙!$B$11:$B$310)-COUNTA(条幅!$B$11:$B$310)),""))))</f>
        <v/>
      </c>
      <c r="G98" s="38" t="str">
        <f>IF(IF(93&lt;=COUNTA(半紙!$B$11:$B$310),INDEX(半紙!$G$11:$G$310,93),IF(93&lt;=COUNTA(半紙!$B$11:$B$310)+COUNTA(条幅!$B$11:$B$310),INDEX(条幅!$G$11:$G$310,93-COUNTA(半紙!$B$11:$B$310)),IF(93&lt;=COUNTA(半紙!$B$11:$B$310)+COUNTA(条幅!$B$11:$B$310)+COUNTA(条幅4分の1!$B$11:$B$310),INDEX(条幅4分の1!$G$11:$G$310,93-COUNTA(半紙!$B$11:$B$310)-COUNTA(条幅!$B$11:$B$310)),"")))=0,"",IF(93&lt;=COUNTA(半紙!$B$11:$B$310),INDEX(半紙!$G$11:$G$310,93),IF(93&lt;=COUNTA(半紙!$B$11:$B$310)+COUNTA(条幅!$B$11:$B$310),INDEX(条幅!$G$11:$G$310,93-COUNTA(半紙!$B$11:$B$310)),IF(93&lt;=COUNTA(半紙!$B$11:$B$310)+COUNTA(条幅!$B$11:$B$310)+COUNTA(条幅4分の1!$B$11:$B$310),INDEX(条幅4分の1!$G$11:$G$310,93-COUNTA(半紙!$B$11:$B$310)-COUNTA(条幅!$B$11:$B$310)),""))))</f>
        <v/>
      </c>
      <c r="H98" s="38" t="str">
        <f>IF(IF(93&lt;=COUNTA(半紙!$B$11:$B$310),INDEX(半紙!$H$11:$H$310,93),IF(93&lt;=COUNTA(半紙!$B$11:$B$310)+COUNTA(条幅!$B$11:$B$310),INDEX(条幅!$H$11:$H$310,93-COUNTA(半紙!$B$11:$B$310)),IF(93&lt;=COUNTA(半紙!$B$11:$B$310)+COUNTA(条幅!$B$11:$B$310)+COUNTA(条幅4分の1!$B$11:$B$310),INDEX(条幅4分の1!$H$11:$H$310,93-COUNTA(半紙!$B$11:$B$310)-COUNTA(条幅!$B$11:$B$310)),"")))=0,"",IF(93&lt;=COUNTA(半紙!$B$11:$B$310),INDEX(半紙!$H$11:$H$310,93),IF(93&lt;=COUNTA(半紙!$B$11:$B$310)+COUNTA(条幅!$B$11:$B$310),INDEX(条幅!$H$11:$H$310,93-COUNTA(半紙!$B$11:$B$310)),IF(93&lt;=COUNTA(半紙!$B$11:$B$310)+COUNTA(条幅!$B$11:$B$310)+COUNTA(条幅4分の1!$B$11:$B$310),INDEX(条幅4分の1!$H$11:$H$310,93-COUNTA(半紙!$B$11:$B$310)-COUNTA(条幅!$B$11:$B$310)),""))))</f>
        <v/>
      </c>
      <c r="I98" s="38" t="str">
        <f>IF(IF(93&lt;=COUNTA(半紙!$B$11:$B$310),INDEX(半紙!$I$11:$I$310,93),IF(93&lt;=COUNTA(半紙!$B$11:$B$310)+COUNTA(条幅!$B$11:$B$310),INDEX(条幅!$I$11:$I$310,93-COUNTA(半紙!$B$11:$B$310)),IF(93&lt;=COUNTA(半紙!$B$11:$B$310)+COUNTA(条幅!$B$11:$B$310)+COUNTA(条幅4分の1!$B$11:$B$310),INDEX(条幅4分の1!$I$11:$I$310,93-COUNTA(半紙!$B$11:$B$310)-COUNTA(条幅!$B$11:$B$310)),"")))=0,"",IF(93&lt;=COUNTA(半紙!$B$11:$B$310),INDEX(半紙!$I$11:$I$310,93),IF(93&lt;=COUNTA(半紙!$B$11:$B$310)+COUNTA(条幅!$B$11:$B$310),INDEX(条幅!$I$11:$I$310,93-COUNTA(半紙!$B$11:$B$310)),IF(93&lt;=COUNTA(半紙!$B$11:$B$310)+COUNTA(条幅!$B$11:$B$310)+COUNTA(条幅4分の1!$B$11:$B$310),INDEX(条幅4分の1!$I$11:$I$310,93-COUNTA(半紙!$B$11:$B$310)-COUNTA(条幅!$B$11:$B$310)),""))))</f>
        <v/>
      </c>
      <c r="J98" s="38" t="str">
        <f>IF(IF(93&lt;=COUNTA(半紙!$B$11:$B$310),INDEX(半紙!$J$11:$J$310,93),IF(93&lt;=COUNTA(半紙!$B$11:$B$310)+COUNTA(条幅!$B$11:$B$310),INDEX(条幅!$J$11:$J$310,93-COUNTA(半紙!$B$11:$B$310)),IF(93&lt;=COUNTA(半紙!$B$11:$B$310)+COUNTA(条幅!$B$11:$B$310)+COUNTA(条幅4分の1!$B$11:$B$310),INDEX(条幅4分の1!$J$11:$J$310,93-COUNTA(半紙!$B$11:$B$310)-COUNTA(条幅!$B$11:$B$310)),"")))=0,"",IF(93&lt;=COUNTA(半紙!$B$11:$B$310),INDEX(半紙!$J$11:$J$310,93),IF(93&lt;=COUNTA(半紙!$B$11:$B$310)+COUNTA(条幅!$B$11:$B$310),INDEX(条幅!$J$11:$J$310,93-COUNTA(半紙!$B$11:$B$310)),IF(93&lt;=COUNTA(半紙!$B$11:$B$310)+COUNTA(条幅!$B$11:$B$310)+COUNTA(条幅4分の1!$B$11:$B$310),INDEX(条幅4分の1!$J$11:$J$310,93-COUNTA(半紙!$B$11:$B$310)-COUNTA(条幅!$B$11:$B$310)),""))))</f>
        <v/>
      </c>
      <c r="K98" s="38" t="str">
        <f>IF(IF(93&lt;=COUNTA(半紙!$B$11:$B$310),INDEX(半紙!$K$11:$K$310,93),IF(93&lt;=COUNTA(半紙!$B$11:$B$310)+COUNTA(条幅!$B$11:$B$310),INDEX(条幅!$K$11:$K$310,93-COUNTA(半紙!$B$11:$B$310)),IF(93&lt;=COUNTA(半紙!$B$11:$B$310)+COUNTA(条幅!$B$11:$B$310)+COUNTA(条幅4分の1!$B$11:$B$310),INDEX(条幅4分の1!$K$11:$K$310,93-COUNTA(半紙!$B$11:$B$310)-COUNTA(条幅!$B$11:$B$310)),"")))=0,"",IF(93&lt;=COUNTA(半紙!$B$11:$B$310),INDEX(半紙!$K$11:$K$310,93),IF(93&lt;=COUNTA(半紙!$B$11:$B$310)+COUNTA(条幅!$B$11:$B$310),INDEX(条幅!$K$11:$K$310,93-COUNTA(半紙!$B$11:$B$310)),IF(93&lt;=COUNTA(半紙!$B$11:$B$310)+COUNTA(条幅!$B$11:$B$310)+COUNTA(条幅4分の1!$B$11:$B$310),INDEX(条幅4分の1!$K$11:$K$310,93-COUNTA(半紙!$B$11:$B$310)-COUNTA(条幅!$B$11:$B$310)),""))))</f>
        <v/>
      </c>
      <c r="L98" s="48" t="str">
        <f>IF($B98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93))</f>
        <v/>
      </c>
    </row>
    <row r="99" spans="1:12" ht="15" customHeight="1">
      <c r="A99" s="37" t="str">
        <f>IF(94&lt;=COUNTA(半紙!$B$11:$B$310),"半紙",IF(94&lt;=COUNTA(半紙!$B$11:$B$310)+COUNTA(条幅!$B$11:$B$310),"条幅(半切)",IF(94&lt;=COUNTA(半紙!$B$11:$B$310)+COUNTA(条幅!$B$11:$B$310)+COUNTA(条幅4分の1!$B$11:$B$310),"条幅(1/4)","")))</f>
        <v/>
      </c>
      <c r="B99" s="38" t="str">
        <f>IF(IF(94&lt;=COUNTA(半紙!$B$11:$B$310),INDEX(半紙!$B$11:$B$310,94),IF(94&lt;=COUNTA(半紙!$B$11:$B$310)+COUNTA(条幅!$B$11:$B$310),INDEX(条幅!$B$11:$B$310,94-COUNTA(半紙!$B$11:$B$310)),IF(94&lt;=COUNTA(半紙!$B$11:$B$310)+COUNTA(条幅!$B$11:$B$310)+COUNTA(条幅4分の1!$B$11:$B$310),INDEX(条幅4分の1!$B$11:$B$310,94-COUNTA(半紙!$B$11:$B$310)-COUNTA(条幅!$B$11:$B$310)),"")))=0,"",IF(94&lt;=COUNTA(半紙!$B$11:$B$310),INDEX(半紙!$B$11:$B$310,94),IF(94&lt;=COUNTA(半紙!$B$11:$B$310)+COUNTA(条幅!$B$11:$B$310),INDEX(条幅!$B$11:$B$310,94-COUNTA(半紙!$B$11:$B$310)),IF(94&lt;=COUNTA(半紙!$B$11:$B$310)+COUNTA(条幅!$B$11:$B$310)+COUNTA(条幅4分の1!$B$11:$B$310),INDEX(条幅4分の1!$B$11:$B$310,94-COUNTA(半紙!$B$11:$B$310)-COUNTA(条幅!$B$11:$B$310)),""))))</f>
        <v/>
      </c>
      <c r="C99" s="38" t="str">
        <f>IF(IF(94&lt;=COUNTA(半紙!$B$11:$B$310),INDEX(半紙!$C$11:$C$310,94),IF(94&lt;=COUNTA(半紙!$B$11:$B$310)+COUNTA(条幅!$B$11:$B$310),INDEX(条幅!$C$11:$C$310,94-COUNTA(半紙!$B$11:$B$310)),IF(94&lt;=COUNTA(半紙!$B$11:$B$310)+COUNTA(条幅!$B$11:$B$310)+COUNTA(条幅4分の1!$B$11:$B$310),INDEX(条幅4分の1!$C$11:$C$310,94-COUNTA(半紙!$B$11:$B$310)-COUNTA(条幅!$B$11:$B$310)),"")))=0,"",IF(94&lt;=COUNTA(半紙!$B$11:$B$310),INDEX(半紙!$C$11:$C$310,94),IF(94&lt;=COUNTA(半紙!$B$11:$B$310)+COUNTA(条幅!$B$11:$B$310),INDEX(条幅!$C$11:$C$310,94-COUNTA(半紙!$B$11:$B$310)),IF(94&lt;=COUNTA(半紙!$B$11:$B$310)+COUNTA(条幅!$B$11:$B$310)+COUNTA(条幅4分の1!$B$11:$B$310),INDEX(条幅4分の1!$C$11:$C$310,94-COUNTA(半紙!$B$11:$B$310)-COUNTA(条幅!$B$11:$B$310)),""))))</f>
        <v/>
      </c>
      <c r="D99" s="38" t="str">
        <f>IF(IF(94&lt;=COUNTA(半紙!$B$11:$B$310),INDEX(半紙!$D$11:$D$310,94),IF(94&lt;=COUNTA(半紙!$B$11:$B$310)+COUNTA(条幅!$B$11:$B$310),INDEX(条幅!$D$11:$D$310,94-COUNTA(半紙!$B$11:$B$310)),IF(94&lt;=COUNTA(半紙!$B$11:$B$310)+COUNTA(条幅!$B$11:$B$310)+COUNTA(条幅4分の1!$B$11:$B$310),INDEX(条幅4分の1!$D$11:$D$310,94-COUNTA(半紙!$B$11:$B$310)-COUNTA(条幅!$B$11:$B$310)),"")))=0,"",IF(94&lt;=COUNTA(半紙!$B$11:$B$310),INDEX(半紙!$D$11:$D$310,94),IF(94&lt;=COUNTA(半紙!$B$11:$B$310)+COUNTA(条幅!$B$11:$B$310),INDEX(条幅!$D$11:$D$310,94-COUNTA(半紙!$B$11:$B$310)),IF(94&lt;=COUNTA(半紙!$B$11:$B$310)+COUNTA(条幅!$B$11:$B$310)+COUNTA(条幅4分の1!$B$11:$B$310),INDEX(条幅4分の1!$D$11:$D$310,94-COUNTA(半紙!$B$11:$B$310)-COUNTA(条幅!$B$11:$B$310)),""))))</f>
        <v/>
      </c>
      <c r="E99" s="38" t="str">
        <f>IF(IF(94&lt;=COUNTA(半紙!$B$11:$B$310),INDEX(半紙!$E$11:$E$310,94),IF(94&lt;=COUNTA(半紙!$B$11:$B$310)+COUNTA(条幅!$B$11:$B$310),INDEX(条幅!$E$11:$E$310,94-COUNTA(半紙!$B$11:$B$310)),IF(94&lt;=COUNTA(半紙!$B$11:$B$310)+COUNTA(条幅!$B$11:$B$310)+COUNTA(条幅4分の1!$B$11:$B$310),INDEX(条幅4分の1!$E$11:$E$310,94-COUNTA(半紙!$B$11:$B$310)-COUNTA(条幅!$B$11:$B$310)),"")))=0,"",IF(94&lt;=COUNTA(半紙!$B$11:$B$310),INDEX(半紙!$E$11:$E$310,94),IF(94&lt;=COUNTA(半紙!$B$11:$B$310)+COUNTA(条幅!$B$11:$B$310),INDEX(条幅!$E$11:$E$310,94-COUNTA(半紙!$B$11:$B$310)),IF(94&lt;=COUNTA(半紙!$B$11:$B$310)+COUNTA(条幅!$B$11:$B$310)+COUNTA(条幅4分の1!$B$11:$B$310),INDEX(条幅4分の1!$E$11:$E$310,94-COUNTA(半紙!$B$11:$B$310)-COUNTA(条幅!$B$11:$B$310)),""))))</f>
        <v/>
      </c>
      <c r="F99" s="38" t="str">
        <f>IF(IF(94&lt;=COUNTA(半紙!$B$11:$B$310),INDEX(半紙!$F$11:$F$310,94),IF(94&lt;=COUNTA(半紙!$B$11:$B$310)+COUNTA(条幅!$B$11:$B$310),INDEX(条幅!$F$11:$F$310,94-COUNTA(半紙!$B$11:$B$310)),IF(94&lt;=COUNTA(半紙!$B$11:$B$310)+COUNTA(条幅!$B$11:$B$310)+COUNTA(条幅4分の1!$B$11:$B$310),INDEX(条幅4分の1!$F$11:$F$310,94-COUNTA(半紙!$B$11:$B$310)-COUNTA(条幅!$B$11:$B$310)),"")))=0,"",IF(94&lt;=COUNTA(半紙!$B$11:$B$310),INDEX(半紙!$F$11:$F$310,94),IF(94&lt;=COUNTA(半紙!$B$11:$B$310)+COUNTA(条幅!$B$11:$B$310),INDEX(条幅!$F$11:$F$310,94-COUNTA(半紙!$B$11:$B$310)),IF(94&lt;=COUNTA(半紙!$B$11:$B$310)+COUNTA(条幅!$B$11:$B$310)+COUNTA(条幅4分の1!$B$11:$B$310),INDEX(条幅4分の1!$F$11:$F$310,94-COUNTA(半紙!$B$11:$B$310)-COUNTA(条幅!$B$11:$B$310)),""))))</f>
        <v/>
      </c>
      <c r="G99" s="38" t="str">
        <f>IF(IF(94&lt;=COUNTA(半紙!$B$11:$B$310),INDEX(半紙!$G$11:$G$310,94),IF(94&lt;=COUNTA(半紙!$B$11:$B$310)+COUNTA(条幅!$B$11:$B$310),INDEX(条幅!$G$11:$G$310,94-COUNTA(半紙!$B$11:$B$310)),IF(94&lt;=COUNTA(半紙!$B$11:$B$310)+COUNTA(条幅!$B$11:$B$310)+COUNTA(条幅4分の1!$B$11:$B$310),INDEX(条幅4分の1!$G$11:$G$310,94-COUNTA(半紙!$B$11:$B$310)-COUNTA(条幅!$B$11:$B$310)),"")))=0,"",IF(94&lt;=COUNTA(半紙!$B$11:$B$310),INDEX(半紙!$G$11:$G$310,94),IF(94&lt;=COUNTA(半紙!$B$11:$B$310)+COUNTA(条幅!$B$11:$B$310),INDEX(条幅!$G$11:$G$310,94-COUNTA(半紙!$B$11:$B$310)),IF(94&lt;=COUNTA(半紙!$B$11:$B$310)+COUNTA(条幅!$B$11:$B$310)+COUNTA(条幅4分の1!$B$11:$B$310),INDEX(条幅4分の1!$G$11:$G$310,94-COUNTA(半紙!$B$11:$B$310)-COUNTA(条幅!$B$11:$B$310)),""))))</f>
        <v/>
      </c>
      <c r="H99" s="38" t="str">
        <f>IF(IF(94&lt;=COUNTA(半紙!$B$11:$B$310),INDEX(半紙!$H$11:$H$310,94),IF(94&lt;=COUNTA(半紙!$B$11:$B$310)+COUNTA(条幅!$B$11:$B$310),INDEX(条幅!$H$11:$H$310,94-COUNTA(半紙!$B$11:$B$310)),IF(94&lt;=COUNTA(半紙!$B$11:$B$310)+COUNTA(条幅!$B$11:$B$310)+COUNTA(条幅4分の1!$B$11:$B$310),INDEX(条幅4分の1!$H$11:$H$310,94-COUNTA(半紙!$B$11:$B$310)-COUNTA(条幅!$B$11:$B$310)),"")))=0,"",IF(94&lt;=COUNTA(半紙!$B$11:$B$310),INDEX(半紙!$H$11:$H$310,94),IF(94&lt;=COUNTA(半紙!$B$11:$B$310)+COUNTA(条幅!$B$11:$B$310),INDEX(条幅!$H$11:$H$310,94-COUNTA(半紙!$B$11:$B$310)),IF(94&lt;=COUNTA(半紙!$B$11:$B$310)+COUNTA(条幅!$B$11:$B$310)+COUNTA(条幅4分の1!$B$11:$B$310),INDEX(条幅4分の1!$H$11:$H$310,94-COUNTA(半紙!$B$11:$B$310)-COUNTA(条幅!$B$11:$B$310)),""))))</f>
        <v/>
      </c>
      <c r="I99" s="38" t="str">
        <f>IF(IF(94&lt;=COUNTA(半紙!$B$11:$B$310),INDEX(半紙!$I$11:$I$310,94),IF(94&lt;=COUNTA(半紙!$B$11:$B$310)+COUNTA(条幅!$B$11:$B$310),INDEX(条幅!$I$11:$I$310,94-COUNTA(半紙!$B$11:$B$310)),IF(94&lt;=COUNTA(半紙!$B$11:$B$310)+COUNTA(条幅!$B$11:$B$310)+COUNTA(条幅4分の1!$B$11:$B$310),INDEX(条幅4分の1!$I$11:$I$310,94-COUNTA(半紙!$B$11:$B$310)-COUNTA(条幅!$B$11:$B$310)),"")))=0,"",IF(94&lt;=COUNTA(半紙!$B$11:$B$310),INDEX(半紙!$I$11:$I$310,94),IF(94&lt;=COUNTA(半紙!$B$11:$B$310)+COUNTA(条幅!$B$11:$B$310),INDEX(条幅!$I$11:$I$310,94-COUNTA(半紙!$B$11:$B$310)),IF(94&lt;=COUNTA(半紙!$B$11:$B$310)+COUNTA(条幅!$B$11:$B$310)+COUNTA(条幅4分の1!$B$11:$B$310),INDEX(条幅4分の1!$I$11:$I$310,94-COUNTA(半紙!$B$11:$B$310)-COUNTA(条幅!$B$11:$B$310)),""))))</f>
        <v/>
      </c>
      <c r="J99" s="38" t="str">
        <f>IF(IF(94&lt;=COUNTA(半紙!$B$11:$B$310),INDEX(半紙!$J$11:$J$310,94),IF(94&lt;=COUNTA(半紙!$B$11:$B$310)+COUNTA(条幅!$B$11:$B$310),INDEX(条幅!$J$11:$J$310,94-COUNTA(半紙!$B$11:$B$310)),IF(94&lt;=COUNTA(半紙!$B$11:$B$310)+COUNTA(条幅!$B$11:$B$310)+COUNTA(条幅4分の1!$B$11:$B$310),INDEX(条幅4分の1!$J$11:$J$310,94-COUNTA(半紙!$B$11:$B$310)-COUNTA(条幅!$B$11:$B$310)),"")))=0,"",IF(94&lt;=COUNTA(半紙!$B$11:$B$310),INDEX(半紙!$J$11:$J$310,94),IF(94&lt;=COUNTA(半紙!$B$11:$B$310)+COUNTA(条幅!$B$11:$B$310),INDEX(条幅!$J$11:$J$310,94-COUNTA(半紙!$B$11:$B$310)),IF(94&lt;=COUNTA(半紙!$B$11:$B$310)+COUNTA(条幅!$B$11:$B$310)+COUNTA(条幅4分の1!$B$11:$B$310),INDEX(条幅4分の1!$J$11:$J$310,94-COUNTA(半紙!$B$11:$B$310)-COUNTA(条幅!$B$11:$B$310)),""))))</f>
        <v/>
      </c>
      <c r="K99" s="38" t="str">
        <f>IF(IF(94&lt;=COUNTA(半紙!$B$11:$B$310),INDEX(半紙!$K$11:$K$310,94),IF(94&lt;=COUNTA(半紙!$B$11:$B$310)+COUNTA(条幅!$B$11:$B$310),INDEX(条幅!$K$11:$K$310,94-COUNTA(半紙!$B$11:$B$310)),IF(94&lt;=COUNTA(半紙!$B$11:$B$310)+COUNTA(条幅!$B$11:$B$310)+COUNTA(条幅4分の1!$B$11:$B$310),INDEX(条幅4分の1!$K$11:$K$310,94-COUNTA(半紙!$B$11:$B$310)-COUNTA(条幅!$B$11:$B$310)),"")))=0,"",IF(94&lt;=COUNTA(半紙!$B$11:$B$310),INDEX(半紙!$K$11:$K$310,94),IF(94&lt;=COUNTA(半紙!$B$11:$B$310)+COUNTA(条幅!$B$11:$B$310),INDEX(条幅!$K$11:$K$310,94-COUNTA(半紙!$B$11:$B$310)),IF(94&lt;=COUNTA(半紙!$B$11:$B$310)+COUNTA(条幅!$B$11:$B$310)+COUNTA(条幅4分の1!$B$11:$B$310),INDEX(条幅4分の1!$K$11:$K$310,94-COUNTA(半紙!$B$11:$B$310)-COUNTA(条幅!$B$11:$B$310)),""))))</f>
        <v/>
      </c>
      <c r="L99" s="48" t="str">
        <f>IF($B99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94))</f>
        <v/>
      </c>
    </row>
    <row r="100" spans="1:12" ht="15" customHeight="1">
      <c r="A100" s="37" t="str">
        <f>IF(95&lt;=COUNTA(半紙!$B$11:$B$310),"半紙",IF(95&lt;=COUNTA(半紙!$B$11:$B$310)+COUNTA(条幅!$B$11:$B$310),"条幅(半切)",IF(95&lt;=COUNTA(半紙!$B$11:$B$310)+COUNTA(条幅!$B$11:$B$310)+COUNTA(条幅4分の1!$B$11:$B$310),"条幅(1/4)","")))</f>
        <v/>
      </c>
      <c r="B100" s="38" t="str">
        <f>IF(IF(95&lt;=COUNTA(半紙!$B$11:$B$310),INDEX(半紙!$B$11:$B$310,95),IF(95&lt;=COUNTA(半紙!$B$11:$B$310)+COUNTA(条幅!$B$11:$B$310),INDEX(条幅!$B$11:$B$310,95-COUNTA(半紙!$B$11:$B$310)),IF(95&lt;=COUNTA(半紙!$B$11:$B$310)+COUNTA(条幅!$B$11:$B$310)+COUNTA(条幅4分の1!$B$11:$B$310),INDEX(条幅4分の1!$B$11:$B$310,95-COUNTA(半紙!$B$11:$B$310)-COUNTA(条幅!$B$11:$B$310)),"")))=0,"",IF(95&lt;=COUNTA(半紙!$B$11:$B$310),INDEX(半紙!$B$11:$B$310,95),IF(95&lt;=COUNTA(半紙!$B$11:$B$310)+COUNTA(条幅!$B$11:$B$310),INDEX(条幅!$B$11:$B$310,95-COUNTA(半紙!$B$11:$B$310)),IF(95&lt;=COUNTA(半紙!$B$11:$B$310)+COUNTA(条幅!$B$11:$B$310)+COUNTA(条幅4分の1!$B$11:$B$310),INDEX(条幅4分の1!$B$11:$B$310,95-COUNTA(半紙!$B$11:$B$310)-COUNTA(条幅!$B$11:$B$310)),""))))</f>
        <v/>
      </c>
      <c r="C100" s="38" t="str">
        <f>IF(IF(95&lt;=COUNTA(半紙!$B$11:$B$310),INDEX(半紙!$C$11:$C$310,95),IF(95&lt;=COUNTA(半紙!$B$11:$B$310)+COUNTA(条幅!$B$11:$B$310),INDEX(条幅!$C$11:$C$310,95-COUNTA(半紙!$B$11:$B$310)),IF(95&lt;=COUNTA(半紙!$B$11:$B$310)+COUNTA(条幅!$B$11:$B$310)+COUNTA(条幅4分の1!$B$11:$B$310),INDEX(条幅4分の1!$C$11:$C$310,95-COUNTA(半紙!$B$11:$B$310)-COUNTA(条幅!$B$11:$B$310)),"")))=0,"",IF(95&lt;=COUNTA(半紙!$B$11:$B$310),INDEX(半紙!$C$11:$C$310,95),IF(95&lt;=COUNTA(半紙!$B$11:$B$310)+COUNTA(条幅!$B$11:$B$310),INDEX(条幅!$C$11:$C$310,95-COUNTA(半紙!$B$11:$B$310)),IF(95&lt;=COUNTA(半紙!$B$11:$B$310)+COUNTA(条幅!$B$11:$B$310)+COUNTA(条幅4分の1!$B$11:$B$310),INDEX(条幅4分の1!$C$11:$C$310,95-COUNTA(半紙!$B$11:$B$310)-COUNTA(条幅!$B$11:$B$310)),""))))</f>
        <v/>
      </c>
      <c r="D100" s="38" t="str">
        <f>IF(IF(95&lt;=COUNTA(半紙!$B$11:$B$310),INDEX(半紙!$D$11:$D$310,95),IF(95&lt;=COUNTA(半紙!$B$11:$B$310)+COUNTA(条幅!$B$11:$B$310),INDEX(条幅!$D$11:$D$310,95-COUNTA(半紙!$B$11:$B$310)),IF(95&lt;=COUNTA(半紙!$B$11:$B$310)+COUNTA(条幅!$B$11:$B$310)+COUNTA(条幅4分の1!$B$11:$B$310),INDEX(条幅4分の1!$D$11:$D$310,95-COUNTA(半紙!$B$11:$B$310)-COUNTA(条幅!$B$11:$B$310)),"")))=0,"",IF(95&lt;=COUNTA(半紙!$B$11:$B$310),INDEX(半紙!$D$11:$D$310,95),IF(95&lt;=COUNTA(半紙!$B$11:$B$310)+COUNTA(条幅!$B$11:$B$310),INDEX(条幅!$D$11:$D$310,95-COUNTA(半紙!$B$11:$B$310)),IF(95&lt;=COUNTA(半紙!$B$11:$B$310)+COUNTA(条幅!$B$11:$B$310)+COUNTA(条幅4分の1!$B$11:$B$310),INDEX(条幅4分の1!$D$11:$D$310,95-COUNTA(半紙!$B$11:$B$310)-COUNTA(条幅!$B$11:$B$310)),""))))</f>
        <v/>
      </c>
      <c r="E100" s="38" t="str">
        <f>IF(IF(95&lt;=COUNTA(半紙!$B$11:$B$310),INDEX(半紙!$E$11:$E$310,95),IF(95&lt;=COUNTA(半紙!$B$11:$B$310)+COUNTA(条幅!$B$11:$B$310),INDEX(条幅!$E$11:$E$310,95-COUNTA(半紙!$B$11:$B$310)),IF(95&lt;=COUNTA(半紙!$B$11:$B$310)+COUNTA(条幅!$B$11:$B$310)+COUNTA(条幅4分の1!$B$11:$B$310),INDEX(条幅4分の1!$E$11:$E$310,95-COUNTA(半紙!$B$11:$B$310)-COUNTA(条幅!$B$11:$B$310)),"")))=0,"",IF(95&lt;=COUNTA(半紙!$B$11:$B$310),INDEX(半紙!$E$11:$E$310,95),IF(95&lt;=COUNTA(半紙!$B$11:$B$310)+COUNTA(条幅!$B$11:$B$310),INDEX(条幅!$E$11:$E$310,95-COUNTA(半紙!$B$11:$B$310)),IF(95&lt;=COUNTA(半紙!$B$11:$B$310)+COUNTA(条幅!$B$11:$B$310)+COUNTA(条幅4分の1!$B$11:$B$310),INDEX(条幅4分の1!$E$11:$E$310,95-COUNTA(半紙!$B$11:$B$310)-COUNTA(条幅!$B$11:$B$310)),""))))</f>
        <v/>
      </c>
      <c r="F100" s="38" t="str">
        <f>IF(IF(95&lt;=COUNTA(半紙!$B$11:$B$310),INDEX(半紙!$F$11:$F$310,95),IF(95&lt;=COUNTA(半紙!$B$11:$B$310)+COUNTA(条幅!$B$11:$B$310),INDEX(条幅!$F$11:$F$310,95-COUNTA(半紙!$B$11:$B$310)),IF(95&lt;=COUNTA(半紙!$B$11:$B$310)+COUNTA(条幅!$B$11:$B$310)+COUNTA(条幅4分の1!$B$11:$B$310),INDEX(条幅4分の1!$F$11:$F$310,95-COUNTA(半紙!$B$11:$B$310)-COUNTA(条幅!$B$11:$B$310)),"")))=0,"",IF(95&lt;=COUNTA(半紙!$B$11:$B$310),INDEX(半紙!$F$11:$F$310,95),IF(95&lt;=COUNTA(半紙!$B$11:$B$310)+COUNTA(条幅!$B$11:$B$310),INDEX(条幅!$F$11:$F$310,95-COUNTA(半紙!$B$11:$B$310)),IF(95&lt;=COUNTA(半紙!$B$11:$B$310)+COUNTA(条幅!$B$11:$B$310)+COUNTA(条幅4分の1!$B$11:$B$310),INDEX(条幅4分の1!$F$11:$F$310,95-COUNTA(半紙!$B$11:$B$310)-COUNTA(条幅!$B$11:$B$310)),""))))</f>
        <v/>
      </c>
      <c r="G100" s="38" t="str">
        <f>IF(IF(95&lt;=COUNTA(半紙!$B$11:$B$310),INDEX(半紙!$G$11:$G$310,95),IF(95&lt;=COUNTA(半紙!$B$11:$B$310)+COUNTA(条幅!$B$11:$B$310),INDEX(条幅!$G$11:$G$310,95-COUNTA(半紙!$B$11:$B$310)),IF(95&lt;=COUNTA(半紙!$B$11:$B$310)+COUNTA(条幅!$B$11:$B$310)+COUNTA(条幅4分の1!$B$11:$B$310),INDEX(条幅4分の1!$G$11:$G$310,95-COUNTA(半紙!$B$11:$B$310)-COUNTA(条幅!$B$11:$B$310)),"")))=0,"",IF(95&lt;=COUNTA(半紙!$B$11:$B$310),INDEX(半紙!$G$11:$G$310,95),IF(95&lt;=COUNTA(半紙!$B$11:$B$310)+COUNTA(条幅!$B$11:$B$310),INDEX(条幅!$G$11:$G$310,95-COUNTA(半紙!$B$11:$B$310)),IF(95&lt;=COUNTA(半紙!$B$11:$B$310)+COUNTA(条幅!$B$11:$B$310)+COUNTA(条幅4分の1!$B$11:$B$310),INDEX(条幅4分の1!$G$11:$G$310,95-COUNTA(半紙!$B$11:$B$310)-COUNTA(条幅!$B$11:$B$310)),""))))</f>
        <v/>
      </c>
      <c r="H100" s="38" t="str">
        <f>IF(IF(95&lt;=COUNTA(半紙!$B$11:$B$310),INDEX(半紙!$H$11:$H$310,95),IF(95&lt;=COUNTA(半紙!$B$11:$B$310)+COUNTA(条幅!$B$11:$B$310),INDEX(条幅!$H$11:$H$310,95-COUNTA(半紙!$B$11:$B$310)),IF(95&lt;=COUNTA(半紙!$B$11:$B$310)+COUNTA(条幅!$B$11:$B$310)+COUNTA(条幅4分の1!$B$11:$B$310),INDEX(条幅4分の1!$H$11:$H$310,95-COUNTA(半紙!$B$11:$B$310)-COUNTA(条幅!$B$11:$B$310)),"")))=0,"",IF(95&lt;=COUNTA(半紙!$B$11:$B$310),INDEX(半紙!$H$11:$H$310,95),IF(95&lt;=COUNTA(半紙!$B$11:$B$310)+COUNTA(条幅!$B$11:$B$310),INDEX(条幅!$H$11:$H$310,95-COUNTA(半紙!$B$11:$B$310)),IF(95&lt;=COUNTA(半紙!$B$11:$B$310)+COUNTA(条幅!$B$11:$B$310)+COUNTA(条幅4分の1!$B$11:$B$310),INDEX(条幅4分の1!$H$11:$H$310,95-COUNTA(半紙!$B$11:$B$310)-COUNTA(条幅!$B$11:$B$310)),""))))</f>
        <v/>
      </c>
      <c r="I100" s="38" t="str">
        <f>IF(IF(95&lt;=COUNTA(半紙!$B$11:$B$310),INDEX(半紙!$I$11:$I$310,95),IF(95&lt;=COUNTA(半紙!$B$11:$B$310)+COUNTA(条幅!$B$11:$B$310),INDEX(条幅!$I$11:$I$310,95-COUNTA(半紙!$B$11:$B$310)),IF(95&lt;=COUNTA(半紙!$B$11:$B$310)+COUNTA(条幅!$B$11:$B$310)+COUNTA(条幅4分の1!$B$11:$B$310),INDEX(条幅4分の1!$I$11:$I$310,95-COUNTA(半紙!$B$11:$B$310)-COUNTA(条幅!$B$11:$B$310)),"")))=0,"",IF(95&lt;=COUNTA(半紙!$B$11:$B$310),INDEX(半紙!$I$11:$I$310,95),IF(95&lt;=COUNTA(半紙!$B$11:$B$310)+COUNTA(条幅!$B$11:$B$310),INDEX(条幅!$I$11:$I$310,95-COUNTA(半紙!$B$11:$B$310)),IF(95&lt;=COUNTA(半紙!$B$11:$B$310)+COUNTA(条幅!$B$11:$B$310)+COUNTA(条幅4分の1!$B$11:$B$310),INDEX(条幅4分の1!$I$11:$I$310,95-COUNTA(半紙!$B$11:$B$310)-COUNTA(条幅!$B$11:$B$310)),""))))</f>
        <v/>
      </c>
      <c r="J100" s="38" t="str">
        <f>IF(IF(95&lt;=COUNTA(半紙!$B$11:$B$310),INDEX(半紙!$J$11:$J$310,95),IF(95&lt;=COUNTA(半紙!$B$11:$B$310)+COUNTA(条幅!$B$11:$B$310),INDEX(条幅!$J$11:$J$310,95-COUNTA(半紙!$B$11:$B$310)),IF(95&lt;=COUNTA(半紙!$B$11:$B$310)+COUNTA(条幅!$B$11:$B$310)+COUNTA(条幅4分の1!$B$11:$B$310),INDEX(条幅4分の1!$J$11:$J$310,95-COUNTA(半紙!$B$11:$B$310)-COUNTA(条幅!$B$11:$B$310)),"")))=0,"",IF(95&lt;=COUNTA(半紙!$B$11:$B$310),INDEX(半紙!$J$11:$J$310,95),IF(95&lt;=COUNTA(半紙!$B$11:$B$310)+COUNTA(条幅!$B$11:$B$310),INDEX(条幅!$J$11:$J$310,95-COUNTA(半紙!$B$11:$B$310)),IF(95&lt;=COUNTA(半紙!$B$11:$B$310)+COUNTA(条幅!$B$11:$B$310)+COUNTA(条幅4分の1!$B$11:$B$310),INDEX(条幅4分の1!$J$11:$J$310,95-COUNTA(半紙!$B$11:$B$310)-COUNTA(条幅!$B$11:$B$310)),""))))</f>
        <v/>
      </c>
      <c r="K100" s="38" t="str">
        <f>IF(IF(95&lt;=COUNTA(半紙!$B$11:$B$310),INDEX(半紙!$K$11:$K$310,95),IF(95&lt;=COUNTA(半紙!$B$11:$B$310)+COUNTA(条幅!$B$11:$B$310),INDEX(条幅!$K$11:$K$310,95-COUNTA(半紙!$B$11:$B$310)),IF(95&lt;=COUNTA(半紙!$B$11:$B$310)+COUNTA(条幅!$B$11:$B$310)+COUNTA(条幅4分の1!$B$11:$B$310),INDEX(条幅4分の1!$K$11:$K$310,95-COUNTA(半紙!$B$11:$B$310)-COUNTA(条幅!$B$11:$B$310)),"")))=0,"",IF(95&lt;=COUNTA(半紙!$B$11:$B$310),INDEX(半紙!$K$11:$K$310,95),IF(95&lt;=COUNTA(半紙!$B$11:$B$310)+COUNTA(条幅!$B$11:$B$310),INDEX(条幅!$K$11:$K$310,95-COUNTA(半紙!$B$11:$B$310)),IF(95&lt;=COUNTA(半紙!$B$11:$B$310)+COUNTA(条幅!$B$11:$B$310)+COUNTA(条幅4分の1!$B$11:$B$310),INDEX(条幅4分の1!$K$11:$K$310,95-COUNTA(半紙!$B$11:$B$310)-COUNTA(条幅!$B$11:$B$310)),""))))</f>
        <v/>
      </c>
      <c r="L100" s="48" t="str">
        <f>IF($B100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95))</f>
        <v/>
      </c>
    </row>
    <row r="101" spans="1:12" ht="15" customHeight="1">
      <c r="A101" s="37" t="str">
        <f>IF(96&lt;=COUNTA(半紙!$B$11:$B$310),"半紙",IF(96&lt;=COUNTA(半紙!$B$11:$B$310)+COUNTA(条幅!$B$11:$B$310),"条幅(半切)",IF(96&lt;=COUNTA(半紙!$B$11:$B$310)+COUNTA(条幅!$B$11:$B$310)+COUNTA(条幅4分の1!$B$11:$B$310),"条幅(1/4)","")))</f>
        <v/>
      </c>
      <c r="B101" s="38" t="str">
        <f>IF(IF(96&lt;=COUNTA(半紙!$B$11:$B$310),INDEX(半紙!$B$11:$B$310,96),IF(96&lt;=COUNTA(半紙!$B$11:$B$310)+COUNTA(条幅!$B$11:$B$310),INDEX(条幅!$B$11:$B$310,96-COUNTA(半紙!$B$11:$B$310)),IF(96&lt;=COUNTA(半紙!$B$11:$B$310)+COUNTA(条幅!$B$11:$B$310)+COUNTA(条幅4分の1!$B$11:$B$310),INDEX(条幅4分の1!$B$11:$B$310,96-COUNTA(半紙!$B$11:$B$310)-COUNTA(条幅!$B$11:$B$310)),"")))=0,"",IF(96&lt;=COUNTA(半紙!$B$11:$B$310),INDEX(半紙!$B$11:$B$310,96),IF(96&lt;=COUNTA(半紙!$B$11:$B$310)+COUNTA(条幅!$B$11:$B$310),INDEX(条幅!$B$11:$B$310,96-COUNTA(半紙!$B$11:$B$310)),IF(96&lt;=COUNTA(半紙!$B$11:$B$310)+COUNTA(条幅!$B$11:$B$310)+COUNTA(条幅4分の1!$B$11:$B$310),INDEX(条幅4分の1!$B$11:$B$310,96-COUNTA(半紙!$B$11:$B$310)-COUNTA(条幅!$B$11:$B$310)),""))))</f>
        <v/>
      </c>
      <c r="C101" s="38" t="str">
        <f>IF(IF(96&lt;=COUNTA(半紙!$B$11:$B$310),INDEX(半紙!$C$11:$C$310,96),IF(96&lt;=COUNTA(半紙!$B$11:$B$310)+COUNTA(条幅!$B$11:$B$310),INDEX(条幅!$C$11:$C$310,96-COUNTA(半紙!$B$11:$B$310)),IF(96&lt;=COUNTA(半紙!$B$11:$B$310)+COUNTA(条幅!$B$11:$B$310)+COUNTA(条幅4分の1!$B$11:$B$310),INDEX(条幅4分の1!$C$11:$C$310,96-COUNTA(半紙!$B$11:$B$310)-COUNTA(条幅!$B$11:$B$310)),"")))=0,"",IF(96&lt;=COUNTA(半紙!$B$11:$B$310),INDEX(半紙!$C$11:$C$310,96),IF(96&lt;=COUNTA(半紙!$B$11:$B$310)+COUNTA(条幅!$B$11:$B$310),INDEX(条幅!$C$11:$C$310,96-COUNTA(半紙!$B$11:$B$310)),IF(96&lt;=COUNTA(半紙!$B$11:$B$310)+COUNTA(条幅!$B$11:$B$310)+COUNTA(条幅4分の1!$B$11:$B$310),INDEX(条幅4分の1!$C$11:$C$310,96-COUNTA(半紙!$B$11:$B$310)-COUNTA(条幅!$B$11:$B$310)),""))))</f>
        <v/>
      </c>
      <c r="D101" s="38" t="str">
        <f>IF(IF(96&lt;=COUNTA(半紙!$B$11:$B$310),INDEX(半紙!$D$11:$D$310,96),IF(96&lt;=COUNTA(半紙!$B$11:$B$310)+COUNTA(条幅!$B$11:$B$310),INDEX(条幅!$D$11:$D$310,96-COUNTA(半紙!$B$11:$B$310)),IF(96&lt;=COUNTA(半紙!$B$11:$B$310)+COUNTA(条幅!$B$11:$B$310)+COUNTA(条幅4分の1!$B$11:$B$310),INDEX(条幅4分の1!$D$11:$D$310,96-COUNTA(半紙!$B$11:$B$310)-COUNTA(条幅!$B$11:$B$310)),"")))=0,"",IF(96&lt;=COUNTA(半紙!$B$11:$B$310),INDEX(半紙!$D$11:$D$310,96),IF(96&lt;=COUNTA(半紙!$B$11:$B$310)+COUNTA(条幅!$B$11:$B$310),INDEX(条幅!$D$11:$D$310,96-COUNTA(半紙!$B$11:$B$310)),IF(96&lt;=COUNTA(半紙!$B$11:$B$310)+COUNTA(条幅!$B$11:$B$310)+COUNTA(条幅4分の1!$B$11:$B$310),INDEX(条幅4分の1!$D$11:$D$310,96-COUNTA(半紙!$B$11:$B$310)-COUNTA(条幅!$B$11:$B$310)),""))))</f>
        <v/>
      </c>
      <c r="E101" s="38" t="str">
        <f>IF(IF(96&lt;=COUNTA(半紙!$B$11:$B$310),INDEX(半紙!$E$11:$E$310,96),IF(96&lt;=COUNTA(半紙!$B$11:$B$310)+COUNTA(条幅!$B$11:$B$310),INDEX(条幅!$E$11:$E$310,96-COUNTA(半紙!$B$11:$B$310)),IF(96&lt;=COUNTA(半紙!$B$11:$B$310)+COUNTA(条幅!$B$11:$B$310)+COUNTA(条幅4分の1!$B$11:$B$310),INDEX(条幅4分の1!$E$11:$E$310,96-COUNTA(半紙!$B$11:$B$310)-COUNTA(条幅!$B$11:$B$310)),"")))=0,"",IF(96&lt;=COUNTA(半紙!$B$11:$B$310),INDEX(半紙!$E$11:$E$310,96),IF(96&lt;=COUNTA(半紙!$B$11:$B$310)+COUNTA(条幅!$B$11:$B$310),INDEX(条幅!$E$11:$E$310,96-COUNTA(半紙!$B$11:$B$310)),IF(96&lt;=COUNTA(半紙!$B$11:$B$310)+COUNTA(条幅!$B$11:$B$310)+COUNTA(条幅4分の1!$B$11:$B$310),INDEX(条幅4分の1!$E$11:$E$310,96-COUNTA(半紙!$B$11:$B$310)-COUNTA(条幅!$B$11:$B$310)),""))))</f>
        <v/>
      </c>
      <c r="F101" s="38" t="str">
        <f>IF(IF(96&lt;=COUNTA(半紙!$B$11:$B$310),INDEX(半紙!$F$11:$F$310,96),IF(96&lt;=COUNTA(半紙!$B$11:$B$310)+COUNTA(条幅!$B$11:$B$310),INDEX(条幅!$F$11:$F$310,96-COUNTA(半紙!$B$11:$B$310)),IF(96&lt;=COUNTA(半紙!$B$11:$B$310)+COUNTA(条幅!$B$11:$B$310)+COUNTA(条幅4分の1!$B$11:$B$310),INDEX(条幅4分の1!$F$11:$F$310,96-COUNTA(半紙!$B$11:$B$310)-COUNTA(条幅!$B$11:$B$310)),"")))=0,"",IF(96&lt;=COUNTA(半紙!$B$11:$B$310),INDEX(半紙!$F$11:$F$310,96),IF(96&lt;=COUNTA(半紙!$B$11:$B$310)+COUNTA(条幅!$B$11:$B$310),INDEX(条幅!$F$11:$F$310,96-COUNTA(半紙!$B$11:$B$310)),IF(96&lt;=COUNTA(半紙!$B$11:$B$310)+COUNTA(条幅!$B$11:$B$310)+COUNTA(条幅4分の1!$B$11:$B$310),INDEX(条幅4分の1!$F$11:$F$310,96-COUNTA(半紙!$B$11:$B$310)-COUNTA(条幅!$B$11:$B$310)),""))))</f>
        <v/>
      </c>
      <c r="G101" s="38" t="str">
        <f>IF(IF(96&lt;=COUNTA(半紙!$B$11:$B$310),INDEX(半紙!$G$11:$G$310,96),IF(96&lt;=COUNTA(半紙!$B$11:$B$310)+COUNTA(条幅!$B$11:$B$310),INDEX(条幅!$G$11:$G$310,96-COUNTA(半紙!$B$11:$B$310)),IF(96&lt;=COUNTA(半紙!$B$11:$B$310)+COUNTA(条幅!$B$11:$B$310)+COUNTA(条幅4分の1!$B$11:$B$310),INDEX(条幅4分の1!$G$11:$G$310,96-COUNTA(半紙!$B$11:$B$310)-COUNTA(条幅!$B$11:$B$310)),"")))=0,"",IF(96&lt;=COUNTA(半紙!$B$11:$B$310),INDEX(半紙!$G$11:$G$310,96),IF(96&lt;=COUNTA(半紙!$B$11:$B$310)+COUNTA(条幅!$B$11:$B$310),INDEX(条幅!$G$11:$G$310,96-COUNTA(半紙!$B$11:$B$310)),IF(96&lt;=COUNTA(半紙!$B$11:$B$310)+COUNTA(条幅!$B$11:$B$310)+COUNTA(条幅4分の1!$B$11:$B$310),INDEX(条幅4分の1!$G$11:$G$310,96-COUNTA(半紙!$B$11:$B$310)-COUNTA(条幅!$B$11:$B$310)),""))))</f>
        <v/>
      </c>
      <c r="H101" s="38" t="str">
        <f>IF(IF(96&lt;=COUNTA(半紙!$B$11:$B$310),INDEX(半紙!$H$11:$H$310,96),IF(96&lt;=COUNTA(半紙!$B$11:$B$310)+COUNTA(条幅!$B$11:$B$310),INDEX(条幅!$H$11:$H$310,96-COUNTA(半紙!$B$11:$B$310)),IF(96&lt;=COUNTA(半紙!$B$11:$B$310)+COUNTA(条幅!$B$11:$B$310)+COUNTA(条幅4分の1!$B$11:$B$310),INDEX(条幅4分の1!$H$11:$H$310,96-COUNTA(半紙!$B$11:$B$310)-COUNTA(条幅!$B$11:$B$310)),"")))=0,"",IF(96&lt;=COUNTA(半紙!$B$11:$B$310),INDEX(半紙!$H$11:$H$310,96),IF(96&lt;=COUNTA(半紙!$B$11:$B$310)+COUNTA(条幅!$B$11:$B$310),INDEX(条幅!$H$11:$H$310,96-COUNTA(半紙!$B$11:$B$310)),IF(96&lt;=COUNTA(半紙!$B$11:$B$310)+COUNTA(条幅!$B$11:$B$310)+COUNTA(条幅4分の1!$B$11:$B$310),INDEX(条幅4分の1!$H$11:$H$310,96-COUNTA(半紙!$B$11:$B$310)-COUNTA(条幅!$B$11:$B$310)),""))))</f>
        <v/>
      </c>
      <c r="I101" s="38" t="str">
        <f>IF(IF(96&lt;=COUNTA(半紙!$B$11:$B$310),INDEX(半紙!$I$11:$I$310,96),IF(96&lt;=COUNTA(半紙!$B$11:$B$310)+COUNTA(条幅!$B$11:$B$310),INDEX(条幅!$I$11:$I$310,96-COUNTA(半紙!$B$11:$B$310)),IF(96&lt;=COUNTA(半紙!$B$11:$B$310)+COUNTA(条幅!$B$11:$B$310)+COUNTA(条幅4分の1!$B$11:$B$310),INDEX(条幅4分の1!$I$11:$I$310,96-COUNTA(半紙!$B$11:$B$310)-COUNTA(条幅!$B$11:$B$310)),"")))=0,"",IF(96&lt;=COUNTA(半紙!$B$11:$B$310),INDEX(半紙!$I$11:$I$310,96),IF(96&lt;=COUNTA(半紙!$B$11:$B$310)+COUNTA(条幅!$B$11:$B$310),INDEX(条幅!$I$11:$I$310,96-COUNTA(半紙!$B$11:$B$310)),IF(96&lt;=COUNTA(半紙!$B$11:$B$310)+COUNTA(条幅!$B$11:$B$310)+COUNTA(条幅4分の1!$B$11:$B$310),INDEX(条幅4分の1!$I$11:$I$310,96-COUNTA(半紙!$B$11:$B$310)-COUNTA(条幅!$B$11:$B$310)),""))))</f>
        <v/>
      </c>
      <c r="J101" s="38" t="str">
        <f>IF(IF(96&lt;=COUNTA(半紙!$B$11:$B$310),INDEX(半紙!$J$11:$J$310,96),IF(96&lt;=COUNTA(半紙!$B$11:$B$310)+COUNTA(条幅!$B$11:$B$310),INDEX(条幅!$J$11:$J$310,96-COUNTA(半紙!$B$11:$B$310)),IF(96&lt;=COUNTA(半紙!$B$11:$B$310)+COUNTA(条幅!$B$11:$B$310)+COUNTA(条幅4分の1!$B$11:$B$310),INDEX(条幅4分の1!$J$11:$J$310,96-COUNTA(半紙!$B$11:$B$310)-COUNTA(条幅!$B$11:$B$310)),"")))=0,"",IF(96&lt;=COUNTA(半紙!$B$11:$B$310),INDEX(半紙!$J$11:$J$310,96),IF(96&lt;=COUNTA(半紙!$B$11:$B$310)+COUNTA(条幅!$B$11:$B$310),INDEX(条幅!$J$11:$J$310,96-COUNTA(半紙!$B$11:$B$310)),IF(96&lt;=COUNTA(半紙!$B$11:$B$310)+COUNTA(条幅!$B$11:$B$310)+COUNTA(条幅4分の1!$B$11:$B$310),INDEX(条幅4分の1!$J$11:$J$310,96-COUNTA(半紙!$B$11:$B$310)-COUNTA(条幅!$B$11:$B$310)),""))))</f>
        <v/>
      </c>
      <c r="K101" s="38" t="str">
        <f>IF(IF(96&lt;=COUNTA(半紙!$B$11:$B$310),INDEX(半紙!$K$11:$K$310,96),IF(96&lt;=COUNTA(半紙!$B$11:$B$310)+COUNTA(条幅!$B$11:$B$310),INDEX(条幅!$K$11:$K$310,96-COUNTA(半紙!$B$11:$B$310)),IF(96&lt;=COUNTA(半紙!$B$11:$B$310)+COUNTA(条幅!$B$11:$B$310)+COUNTA(条幅4分の1!$B$11:$B$310),INDEX(条幅4分の1!$K$11:$K$310,96-COUNTA(半紙!$B$11:$B$310)-COUNTA(条幅!$B$11:$B$310)),"")))=0,"",IF(96&lt;=COUNTA(半紙!$B$11:$B$310),INDEX(半紙!$K$11:$K$310,96),IF(96&lt;=COUNTA(半紙!$B$11:$B$310)+COUNTA(条幅!$B$11:$B$310),INDEX(条幅!$K$11:$K$310,96-COUNTA(半紙!$B$11:$B$310)),IF(96&lt;=COUNTA(半紙!$B$11:$B$310)+COUNTA(条幅!$B$11:$B$310)+COUNTA(条幅4分の1!$B$11:$B$310),INDEX(条幅4分の1!$K$11:$K$310,96-COUNTA(半紙!$B$11:$B$310)-COUNTA(条幅!$B$11:$B$310)),""))))</f>
        <v/>
      </c>
      <c r="L101" s="48" t="str">
        <f>IF($B101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96))</f>
        <v/>
      </c>
    </row>
    <row r="102" spans="1:12" ht="15" customHeight="1">
      <c r="A102" s="37" t="str">
        <f>IF(97&lt;=COUNTA(半紙!$B$11:$B$310),"半紙",IF(97&lt;=COUNTA(半紙!$B$11:$B$310)+COUNTA(条幅!$B$11:$B$310),"条幅(半切)",IF(97&lt;=COUNTA(半紙!$B$11:$B$310)+COUNTA(条幅!$B$11:$B$310)+COUNTA(条幅4分の1!$B$11:$B$310),"条幅(1/4)","")))</f>
        <v/>
      </c>
      <c r="B102" s="38" t="str">
        <f>IF(IF(97&lt;=COUNTA(半紙!$B$11:$B$310),INDEX(半紙!$B$11:$B$310,97),IF(97&lt;=COUNTA(半紙!$B$11:$B$310)+COUNTA(条幅!$B$11:$B$310),INDEX(条幅!$B$11:$B$310,97-COUNTA(半紙!$B$11:$B$310)),IF(97&lt;=COUNTA(半紙!$B$11:$B$310)+COUNTA(条幅!$B$11:$B$310)+COUNTA(条幅4分の1!$B$11:$B$310),INDEX(条幅4分の1!$B$11:$B$310,97-COUNTA(半紙!$B$11:$B$310)-COUNTA(条幅!$B$11:$B$310)),"")))=0,"",IF(97&lt;=COUNTA(半紙!$B$11:$B$310),INDEX(半紙!$B$11:$B$310,97),IF(97&lt;=COUNTA(半紙!$B$11:$B$310)+COUNTA(条幅!$B$11:$B$310),INDEX(条幅!$B$11:$B$310,97-COUNTA(半紙!$B$11:$B$310)),IF(97&lt;=COUNTA(半紙!$B$11:$B$310)+COUNTA(条幅!$B$11:$B$310)+COUNTA(条幅4分の1!$B$11:$B$310),INDEX(条幅4分の1!$B$11:$B$310,97-COUNTA(半紙!$B$11:$B$310)-COUNTA(条幅!$B$11:$B$310)),""))))</f>
        <v/>
      </c>
      <c r="C102" s="38" t="str">
        <f>IF(IF(97&lt;=COUNTA(半紙!$B$11:$B$310),INDEX(半紙!$C$11:$C$310,97),IF(97&lt;=COUNTA(半紙!$B$11:$B$310)+COUNTA(条幅!$B$11:$B$310),INDEX(条幅!$C$11:$C$310,97-COUNTA(半紙!$B$11:$B$310)),IF(97&lt;=COUNTA(半紙!$B$11:$B$310)+COUNTA(条幅!$B$11:$B$310)+COUNTA(条幅4分の1!$B$11:$B$310),INDEX(条幅4分の1!$C$11:$C$310,97-COUNTA(半紙!$B$11:$B$310)-COUNTA(条幅!$B$11:$B$310)),"")))=0,"",IF(97&lt;=COUNTA(半紙!$B$11:$B$310),INDEX(半紙!$C$11:$C$310,97),IF(97&lt;=COUNTA(半紙!$B$11:$B$310)+COUNTA(条幅!$B$11:$B$310),INDEX(条幅!$C$11:$C$310,97-COUNTA(半紙!$B$11:$B$310)),IF(97&lt;=COUNTA(半紙!$B$11:$B$310)+COUNTA(条幅!$B$11:$B$310)+COUNTA(条幅4分の1!$B$11:$B$310),INDEX(条幅4分の1!$C$11:$C$310,97-COUNTA(半紙!$B$11:$B$310)-COUNTA(条幅!$B$11:$B$310)),""))))</f>
        <v/>
      </c>
      <c r="D102" s="38" t="str">
        <f>IF(IF(97&lt;=COUNTA(半紙!$B$11:$B$310),INDEX(半紙!$D$11:$D$310,97),IF(97&lt;=COUNTA(半紙!$B$11:$B$310)+COUNTA(条幅!$B$11:$B$310),INDEX(条幅!$D$11:$D$310,97-COUNTA(半紙!$B$11:$B$310)),IF(97&lt;=COUNTA(半紙!$B$11:$B$310)+COUNTA(条幅!$B$11:$B$310)+COUNTA(条幅4分の1!$B$11:$B$310),INDEX(条幅4分の1!$D$11:$D$310,97-COUNTA(半紙!$B$11:$B$310)-COUNTA(条幅!$B$11:$B$310)),"")))=0,"",IF(97&lt;=COUNTA(半紙!$B$11:$B$310),INDEX(半紙!$D$11:$D$310,97),IF(97&lt;=COUNTA(半紙!$B$11:$B$310)+COUNTA(条幅!$B$11:$B$310),INDEX(条幅!$D$11:$D$310,97-COUNTA(半紙!$B$11:$B$310)),IF(97&lt;=COUNTA(半紙!$B$11:$B$310)+COUNTA(条幅!$B$11:$B$310)+COUNTA(条幅4分の1!$B$11:$B$310),INDEX(条幅4分の1!$D$11:$D$310,97-COUNTA(半紙!$B$11:$B$310)-COUNTA(条幅!$B$11:$B$310)),""))))</f>
        <v/>
      </c>
      <c r="E102" s="38" t="str">
        <f>IF(IF(97&lt;=COUNTA(半紙!$B$11:$B$310),INDEX(半紙!$E$11:$E$310,97),IF(97&lt;=COUNTA(半紙!$B$11:$B$310)+COUNTA(条幅!$B$11:$B$310),INDEX(条幅!$E$11:$E$310,97-COUNTA(半紙!$B$11:$B$310)),IF(97&lt;=COUNTA(半紙!$B$11:$B$310)+COUNTA(条幅!$B$11:$B$310)+COUNTA(条幅4分の1!$B$11:$B$310),INDEX(条幅4分の1!$E$11:$E$310,97-COUNTA(半紙!$B$11:$B$310)-COUNTA(条幅!$B$11:$B$310)),"")))=0,"",IF(97&lt;=COUNTA(半紙!$B$11:$B$310),INDEX(半紙!$E$11:$E$310,97),IF(97&lt;=COUNTA(半紙!$B$11:$B$310)+COUNTA(条幅!$B$11:$B$310),INDEX(条幅!$E$11:$E$310,97-COUNTA(半紙!$B$11:$B$310)),IF(97&lt;=COUNTA(半紙!$B$11:$B$310)+COUNTA(条幅!$B$11:$B$310)+COUNTA(条幅4分の1!$B$11:$B$310),INDEX(条幅4分の1!$E$11:$E$310,97-COUNTA(半紙!$B$11:$B$310)-COUNTA(条幅!$B$11:$B$310)),""))))</f>
        <v/>
      </c>
      <c r="F102" s="38" t="str">
        <f>IF(IF(97&lt;=COUNTA(半紙!$B$11:$B$310),INDEX(半紙!$F$11:$F$310,97),IF(97&lt;=COUNTA(半紙!$B$11:$B$310)+COUNTA(条幅!$B$11:$B$310),INDEX(条幅!$F$11:$F$310,97-COUNTA(半紙!$B$11:$B$310)),IF(97&lt;=COUNTA(半紙!$B$11:$B$310)+COUNTA(条幅!$B$11:$B$310)+COUNTA(条幅4分の1!$B$11:$B$310),INDEX(条幅4分の1!$F$11:$F$310,97-COUNTA(半紙!$B$11:$B$310)-COUNTA(条幅!$B$11:$B$310)),"")))=0,"",IF(97&lt;=COUNTA(半紙!$B$11:$B$310),INDEX(半紙!$F$11:$F$310,97),IF(97&lt;=COUNTA(半紙!$B$11:$B$310)+COUNTA(条幅!$B$11:$B$310),INDEX(条幅!$F$11:$F$310,97-COUNTA(半紙!$B$11:$B$310)),IF(97&lt;=COUNTA(半紙!$B$11:$B$310)+COUNTA(条幅!$B$11:$B$310)+COUNTA(条幅4分の1!$B$11:$B$310),INDEX(条幅4分の1!$F$11:$F$310,97-COUNTA(半紙!$B$11:$B$310)-COUNTA(条幅!$B$11:$B$310)),""))))</f>
        <v/>
      </c>
      <c r="G102" s="38" t="str">
        <f>IF(IF(97&lt;=COUNTA(半紙!$B$11:$B$310),INDEX(半紙!$G$11:$G$310,97),IF(97&lt;=COUNTA(半紙!$B$11:$B$310)+COUNTA(条幅!$B$11:$B$310),INDEX(条幅!$G$11:$G$310,97-COUNTA(半紙!$B$11:$B$310)),IF(97&lt;=COUNTA(半紙!$B$11:$B$310)+COUNTA(条幅!$B$11:$B$310)+COUNTA(条幅4分の1!$B$11:$B$310),INDEX(条幅4分の1!$G$11:$G$310,97-COUNTA(半紙!$B$11:$B$310)-COUNTA(条幅!$B$11:$B$310)),"")))=0,"",IF(97&lt;=COUNTA(半紙!$B$11:$B$310),INDEX(半紙!$G$11:$G$310,97),IF(97&lt;=COUNTA(半紙!$B$11:$B$310)+COUNTA(条幅!$B$11:$B$310),INDEX(条幅!$G$11:$G$310,97-COUNTA(半紙!$B$11:$B$310)),IF(97&lt;=COUNTA(半紙!$B$11:$B$310)+COUNTA(条幅!$B$11:$B$310)+COUNTA(条幅4分の1!$B$11:$B$310),INDEX(条幅4分の1!$G$11:$G$310,97-COUNTA(半紙!$B$11:$B$310)-COUNTA(条幅!$B$11:$B$310)),""))))</f>
        <v/>
      </c>
      <c r="H102" s="38" t="str">
        <f>IF(IF(97&lt;=COUNTA(半紙!$B$11:$B$310),INDEX(半紙!$H$11:$H$310,97),IF(97&lt;=COUNTA(半紙!$B$11:$B$310)+COUNTA(条幅!$B$11:$B$310),INDEX(条幅!$H$11:$H$310,97-COUNTA(半紙!$B$11:$B$310)),IF(97&lt;=COUNTA(半紙!$B$11:$B$310)+COUNTA(条幅!$B$11:$B$310)+COUNTA(条幅4分の1!$B$11:$B$310),INDEX(条幅4分の1!$H$11:$H$310,97-COUNTA(半紙!$B$11:$B$310)-COUNTA(条幅!$B$11:$B$310)),"")))=0,"",IF(97&lt;=COUNTA(半紙!$B$11:$B$310),INDEX(半紙!$H$11:$H$310,97),IF(97&lt;=COUNTA(半紙!$B$11:$B$310)+COUNTA(条幅!$B$11:$B$310),INDEX(条幅!$H$11:$H$310,97-COUNTA(半紙!$B$11:$B$310)),IF(97&lt;=COUNTA(半紙!$B$11:$B$310)+COUNTA(条幅!$B$11:$B$310)+COUNTA(条幅4分の1!$B$11:$B$310),INDEX(条幅4分の1!$H$11:$H$310,97-COUNTA(半紙!$B$11:$B$310)-COUNTA(条幅!$B$11:$B$310)),""))))</f>
        <v/>
      </c>
      <c r="I102" s="38" t="str">
        <f>IF(IF(97&lt;=COUNTA(半紙!$B$11:$B$310),INDEX(半紙!$I$11:$I$310,97),IF(97&lt;=COUNTA(半紙!$B$11:$B$310)+COUNTA(条幅!$B$11:$B$310),INDEX(条幅!$I$11:$I$310,97-COUNTA(半紙!$B$11:$B$310)),IF(97&lt;=COUNTA(半紙!$B$11:$B$310)+COUNTA(条幅!$B$11:$B$310)+COUNTA(条幅4分の1!$B$11:$B$310),INDEX(条幅4分の1!$I$11:$I$310,97-COUNTA(半紙!$B$11:$B$310)-COUNTA(条幅!$B$11:$B$310)),"")))=0,"",IF(97&lt;=COUNTA(半紙!$B$11:$B$310),INDEX(半紙!$I$11:$I$310,97),IF(97&lt;=COUNTA(半紙!$B$11:$B$310)+COUNTA(条幅!$B$11:$B$310),INDEX(条幅!$I$11:$I$310,97-COUNTA(半紙!$B$11:$B$310)),IF(97&lt;=COUNTA(半紙!$B$11:$B$310)+COUNTA(条幅!$B$11:$B$310)+COUNTA(条幅4分の1!$B$11:$B$310),INDEX(条幅4分の1!$I$11:$I$310,97-COUNTA(半紙!$B$11:$B$310)-COUNTA(条幅!$B$11:$B$310)),""))))</f>
        <v/>
      </c>
      <c r="J102" s="38" t="str">
        <f>IF(IF(97&lt;=COUNTA(半紙!$B$11:$B$310),INDEX(半紙!$J$11:$J$310,97),IF(97&lt;=COUNTA(半紙!$B$11:$B$310)+COUNTA(条幅!$B$11:$B$310),INDEX(条幅!$J$11:$J$310,97-COUNTA(半紙!$B$11:$B$310)),IF(97&lt;=COUNTA(半紙!$B$11:$B$310)+COUNTA(条幅!$B$11:$B$310)+COUNTA(条幅4分の1!$B$11:$B$310),INDEX(条幅4分の1!$J$11:$J$310,97-COUNTA(半紙!$B$11:$B$310)-COUNTA(条幅!$B$11:$B$310)),"")))=0,"",IF(97&lt;=COUNTA(半紙!$B$11:$B$310),INDEX(半紙!$J$11:$J$310,97),IF(97&lt;=COUNTA(半紙!$B$11:$B$310)+COUNTA(条幅!$B$11:$B$310),INDEX(条幅!$J$11:$J$310,97-COUNTA(半紙!$B$11:$B$310)),IF(97&lt;=COUNTA(半紙!$B$11:$B$310)+COUNTA(条幅!$B$11:$B$310)+COUNTA(条幅4分の1!$B$11:$B$310),INDEX(条幅4分の1!$J$11:$J$310,97-COUNTA(半紙!$B$11:$B$310)-COUNTA(条幅!$B$11:$B$310)),""))))</f>
        <v/>
      </c>
      <c r="K102" s="38" t="str">
        <f>IF(IF(97&lt;=COUNTA(半紙!$B$11:$B$310),INDEX(半紙!$K$11:$K$310,97),IF(97&lt;=COUNTA(半紙!$B$11:$B$310)+COUNTA(条幅!$B$11:$B$310),INDEX(条幅!$K$11:$K$310,97-COUNTA(半紙!$B$11:$B$310)),IF(97&lt;=COUNTA(半紙!$B$11:$B$310)+COUNTA(条幅!$B$11:$B$310)+COUNTA(条幅4分の1!$B$11:$B$310),INDEX(条幅4分の1!$K$11:$K$310,97-COUNTA(半紙!$B$11:$B$310)-COUNTA(条幅!$B$11:$B$310)),"")))=0,"",IF(97&lt;=COUNTA(半紙!$B$11:$B$310),INDEX(半紙!$K$11:$K$310,97),IF(97&lt;=COUNTA(半紙!$B$11:$B$310)+COUNTA(条幅!$B$11:$B$310),INDEX(条幅!$K$11:$K$310,97-COUNTA(半紙!$B$11:$B$310)),IF(97&lt;=COUNTA(半紙!$B$11:$B$310)+COUNTA(条幅!$B$11:$B$310)+COUNTA(条幅4分の1!$B$11:$B$310),INDEX(条幅4分の1!$K$11:$K$310,97-COUNTA(半紙!$B$11:$B$310)-COUNTA(条幅!$B$11:$B$310)),""))))</f>
        <v/>
      </c>
      <c r="L102" s="48" t="str">
        <f>IF($B102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97))</f>
        <v/>
      </c>
    </row>
    <row r="103" spans="1:12" ht="15" customHeight="1">
      <c r="A103" s="37" t="str">
        <f>IF(98&lt;=COUNTA(半紙!$B$11:$B$310),"半紙",IF(98&lt;=COUNTA(半紙!$B$11:$B$310)+COUNTA(条幅!$B$11:$B$310),"条幅(半切)",IF(98&lt;=COUNTA(半紙!$B$11:$B$310)+COUNTA(条幅!$B$11:$B$310)+COUNTA(条幅4分の1!$B$11:$B$310),"条幅(1/4)","")))</f>
        <v/>
      </c>
      <c r="B103" s="38" t="str">
        <f>IF(IF(98&lt;=COUNTA(半紙!$B$11:$B$310),INDEX(半紙!$B$11:$B$310,98),IF(98&lt;=COUNTA(半紙!$B$11:$B$310)+COUNTA(条幅!$B$11:$B$310),INDEX(条幅!$B$11:$B$310,98-COUNTA(半紙!$B$11:$B$310)),IF(98&lt;=COUNTA(半紙!$B$11:$B$310)+COUNTA(条幅!$B$11:$B$310)+COUNTA(条幅4分の1!$B$11:$B$310),INDEX(条幅4分の1!$B$11:$B$310,98-COUNTA(半紙!$B$11:$B$310)-COUNTA(条幅!$B$11:$B$310)),"")))=0,"",IF(98&lt;=COUNTA(半紙!$B$11:$B$310),INDEX(半紙!$B$11:$B$310,98),IF(98&lt;=COUNTA(半紙!$B$11:$B$310)+COUNTA(条幅!$B$11:$B$310),INDEX(条幅!$B$11:$B$310,98-COUNTA(半紙!$B$11:$B$310)),IF(98&lt;=COUNTA(半紙!$B$11:$B$310)+COUNTA(条幅!$B$11:$B$310)+COUNTA(条幅4分の1!$B$11:$B$310),INDEX(条幅4分の1!$B$11:$B$310,98-COUNTA(半紙!$B$11:$B$310)-COUNTA(条幅!$B$11:$B$310)),""))))</f>
        <v/>
      </c>
      <c r="C103" s="38" t="str">
        <f>IF(IF(98&lt;=COUNTA(半紙!$B$11:$B$310),INDEX(半紙!$C$11:$C$310,98),IF(98&lt;=COUNTA(半紙!$B$11:$B$310)+COUNTA(条幅!$B$11:$B$310),INDEX(条幅!$C$11:$C$310,98-COUNTA(半紙!$B$11:$B$310)),IF(98&lt;=COUNTA(半紙!$B$11:$B$310)+COUNTA(条幅!$B$11:$B$310)+COUNTA(条幅4分の1!$B$11:$B$310),INDEX(条幅4分の1!$C$11:$C$310,98-COUNTA(半紙!$B$11:$B$310)-COUNTA(条幅!$B$11:$B$310)),"")))=0,"",IF(98&lt;=COUNTA(半紙!$B$11:$B$310),INDEX(半紙!$C$11:$C$310,98),IF(98&lt;=COUNTA(半紙!$B$11:$B$310)+COUNTA(条幅!$B$11:$B$310),INDEX(条幅!$C$11:$C$310,98-COUNTA(半紙!$B$11:$B$310)),IF(98&lt;=COUNTA(半紙!$B$11:$B$310)+COUNTA(条幅!$B$11:$B$310)+COUNTA(条幅4分の1!$B$11:$B$310),INDEX(条幅4分の1!$C$11:$C$310,98-COUNTA(半紙!$B$11:$B$310)-COUNTA(条幅!$B$11:$B$310)),""))))</f>
        <v/>
      </c>
      <c r="D103" s="38" t="str">
        <f>IF(IF(98&lt;=COUNTA(半紙!$B$11:$B$310),INDEX(半紙!$D$11:$D$310,98),IF(98&lt;=COUNTA(半紙!$B$11:$B$310)+COUNTA(条幅!$B$11:$B$310),INDEX(条幅!$D$11:$D$310,98-COUNTA(半紙!$B$11:$B$310)),IF(98&lt;=COUNTA(半紙!$B$11:$B$310)+COUNTA(条幅!$B$11:$B$310)+COUNTA(条幅4分の1!$B$11:$B$310),INDEX(条幅4分の1!$D$11:$D$310,98-COUNTA(半紙!$B$11:$B$310)-COUNTA(条幅!$B$11:$B$310)),"")))=0,"",IF(98&lt;=COUNTA(半紙!$B$11:$B$310),INDEX(半紙!$D$11:$D$310,98),IF(98&lt;=COUNTA(半紙!$B$11:$B$310)+COUNTA(条幅!$B$11:$B$310),INDEX(条幅!$D$11:$D$310,98-COUNTA(半紙!$B$11:$B$310)),IF(98&lt;=COUNTA(半紙!$B$11:$B$310)+COUNTA(条幅!$B$11:$B$310)+COUNTA(条幅4分の1!$B$11:$B$310),INDEX(条幅4分の1!$D$11:$D$310,98-COUNTA(半紙!$B$11:$B$310)-COUNTA(条幅!$B$11:$B$310)),""))))</f>
        <v/>
      </c>
      <c r="E103" s="38" t="str">
        <f>IF(IF(98&lt;=COUNTA(半紙!$B$11:$B$310),INDEX(半紙!$E$11:$E$310,98),IF(98&lt;=COUNTA(半紙!$B$11:$B$310)+COUNTA(条幅!$B$11:$B$310),INDEX(条幅!$E$11:$E$310,98-COUNTA(半紙!$B$11:$B$310)),IF(98&lt;=COUNTA(半紙!$B$11:$B$310)+COUNTA(条幅!$B$11:$B$310)+COUNTA(条幅4分の1!$B$11:$B$310),INDEX(条幅4分の1!$E$11:$E$310,98-COUNTA(半紙!$B$11:$B$310)-COUNTA(条幅!$B$11:$B$310)),"")))=0,"",IF(98&lt;=COUNTA(半紙!$B$11:$B$310),INDEX(半紙!$E$11:$E$310,98),IF(98&lt;=COUNTA(半紙!$B$11:$B$310)+COUNTA(条幅!$B$11:$B$310),INDEX(条幅!$E$11:$E$310,98-COUNTA(半紙!$B$11:$B$310)),IF(98&lt;=COUNTA(半紙!$B$11:$B$310)+COUNTA(条幅!$B$11:$B$310)+COUNTA(条幅4分の1!$B$11:$B$310),INDEX(条幅4分の1!$E$11:$E$310,98-COUNTA(半紙!$B$11:$B$310)-COUNTA(条幅!$B$11:$B$310)),""))))</f>
        <v/>
      </c>
      <c r="F103" s="38" t="str">
        <f>IF(IF(98&lt;=COUNTA(半紙!$B$11:$B$310),INDEX(半紙!$F$11:$F$310,98),IF(98&lt;=COUNTA(半紙!$B$11:$B$310)+COUNTA(条幅!$B$11:$B$310),INDEX(条幅!$F$11:$F$310,98-COUNTA(半紙!$B$11:$B$310)),IF(98&lt;=COUNTA(半紙!$B$11:$B$310)+COUNTA(条幅!$B$11:$B$310)+COUNTA(条幅4分の1!$B$11:$B$310),INDEX(条幅4分の1!$F$11:$F$310,98-COUNTA(半紙!$B$11:$B$310)-COUNTA(条幅!$B$11:$B$310)),"")))=0,"",IF(98&lt;=COUNTA(半紙!$B$11:$B$310),INDEX(半紙!$F$11:$F$310,98),IF(98&lt;=COUNTA(半紙!$B$11:$B$310)+COUNTA(条幅!$B$11:$B$310),INDEX(条幅!$F$11:$F$310,98-COUNTA(半紙!$B$11:$B$310)),IF(98&lt;=COUNTA(半紙!$B$11:$B$310)+COUNTA(条幅!$B$11:$B$310)+COUNTA(条幅4分の1!$B$11:$B$310),INDEX(条幅4分の1!$F$11:$F$310,98-COUNTA(半紙!$B$11:$B$310)-COUNTA(条幅!$B$11:$B$310)),""))))</f>
        <v/>
      </c>
      <c r="G103" s="38" t="str">
        <f>IF(IF(98&lt;=COUNTA(半紙!$B$11:$B$310),INDEX(半紙!$G$11:$G$310,98),IF(98&lt;=COUNTA(半紙!$B$11:$B$310)+COUNTA(条幅!$B$11:$B$310),INDEX(条幅!$G$11:$G$310,98-COUNTA(半紙!$B$11:$B$310)),IF(98&lt;=COUNTA(半紙!$B$11:$B$310)+COUNTA(条幅!$B$11:$B$310)+COUNTA(条幅4分の1!$B$11:$B$310),INDEX(条幅4分の1!$G$11:$G$310,98-COUNTA(半紙!$B$11:$B$310)-COUNTA(条幅!$B$11:$B$310)),"")))=0,"",IF(98&lt;=COUNTA(半紙!$B$11:$B$310),INDEX(半紙!$G$11:$G$310,98),IF(98&lt;=COUNTA(半紙!$B$11:$B$310)+COUNTA(条幅!$B$11:$B$310),INDEX(条幅!$G$11:$G$310,98-COUNTA(半紙!$B$11:$B$310)),IF(98&lt;=COUNTA(半紙!$B$11:$B$310)+COUNTA(条幅!$B$11:$B$310)+COUNTA(条幅4分の1!$B$11:$B$310),INDEX(条幅4分の1!$G$11:$G$310,98-COUNTA(半紙!$B$11:$B$310)-COUNTA(条幅!$B$11:$B$310)),""))))</f>
        <v/>
      </c>
      <c r="H103" s="38" t="str">
        <f>IF(IF(98&lt;=COUNTA(半紙!$B$11:$B$310),INDEX(半紙!$H$11:$H$310,98),IF(98&lt;=COUNTA(半紙!$B$11:$B$310)+COUNTA(条幅!$B$11:$B$310),INDEX(条幅!$H$11:$H$310,98-COUNTA(半紙!$B$11:$B$310)),IF(98&lt;=COUNTA(半紙!$B$11:$B$310)+COUNTA(条幅!$B$11:$B$310)+COUNTA(条幅4分の1!$B$11:$B$310),INDEX(条幅4分の1!$H$11:$H$310,98-COUNTA(半紙!$B$11:$B$310)-COUNTA(条幅!$B$11:$B$310)),"")))=0,"",IF(98&lt;=COUNTA(半紙!$B$11:$B$310),INDEX(半紙!$H$11:$H$310,98),IF(98&lt;=COUNTA(半紙!$B$11:$B$310)+COUNTA(条幅!$B$11:$B$310),INDEX(条幅!$H$11:$H$310,98-COUNTA(半紙!$B$11:$B$310)),IF(98&lt;=COUNTA(半紙!$B$11:$B$310)+COUNTA(条幅!$B$11:$B$310)+COUNTA(条幅4分の1!$B$11:$B$310),INDEX(条幅4分の1!$H$11:$H$310,98-COUNTA(半紙!$B$11:$B$310)-COUNTA(条幅!$B$11:$B$310)),""))))</f>
        <v/>
      </c>
      <c r="I103" s="38" t="str">
        <f>IF(IF(98&lt;=COUNTA(半紙!$B$11:$B$310),INDEX(半紙!$I$11:$I$310,98),IF(98&lt;=COUNTA(半紙!$B$11:$B$310)+COUNTA(条幅!$B$11:$B$310),INDEX(条幅!$I$11:$I$310,98-COUNTA(半紙!$B$11:$B$310)),IF(98&lt;=COUNTA(半紙!$B$11:$B$310)+COUNTA(条幅!$B$11:$B$310)+COUNTA(条幅4分の1!$B$11:$B$310),INDEX(条幅4分の1!$I$11:$I$310,98-COUNTA(半紙!$B$11:$B$310)-COUNTA(条幅!$B$11:$B$310)),"")))=0,"",IF(98&lt;=COUNTA(半紙!$B$11:$B$310),INDEX(半紙!$I$11:$I$310,98),IF(98&lt;=COUNTA(半紙!$B$11:$B$310)+COUNTA(条幅!$B$11:$B$310),INDEX(条幅!$I$11:$I$310,98-COUNTA(半紙!$B$11:$B$310)),IF(98&lt;=COUNTA(半紙!$B$11:$B$310)+COUNTA(条幅!$B$11:$B$310)+COUNTA(条幅4分の1!$B$11:$B$310),INDEX(条幅4分の1!$I$11:$I$310,98-COUNTA(半紙!$B$11:$B$310)-COUNTA(条幅!$B$11:$B$310)),""))))</f>
        <v/>
      </c>
      <c r="J103" s="38" t="str">
        <f>IF(IF(98&lt;=COUNTA(半紙!$B$11:$B$310),INDEX(半紙!$J$11:$J$310,98),IF(98&lt;=COUNTA(半紙!$B$11:$B$310)+COUNTA(条幅!$B$11:$B$310),INDEX(条幅!$J$11:$J$310,98-COUNTA(半紙!$B$11:$B$310)),IF(98&lt;=COUNTA(半紙!$B$11:$B$310)+COUNTA(条幅!$B$11:$B$310)+COUNTA(条幅4分の1!$B$11:$B$310),INDEX(条幅4分の1!$J$11:$J$310,98-COUNTA(半紙!$B$11:$B$310)-COUNTA(条幅!$B$11:$B$310)),"")))=0,"",IF(98&lt;=COUNTA(半紙!$B$11:$B$310),INDEX(半紙!$J$11:$J$310,98),IF(98&lt;=COUNTA(半紙!$B$11:$B$310)+COUNTA(条幅!$B$11:$B$310),INDEX(条幅!$J$11:$J$310,98-COUNTA(半紙!$B$11:$B$310)),IF(98&lt;=COUNTA(半紙!$B$11:$B$310)+COUNTA(条幅!$B$11:$B$310)+COUNTA(条幅4分の1!$B$11:$B$310),INDEX(条幅4分の1!$J$11:$J$310,98-COUNTA(半紙!$B$11:$B$310)-COUNTA(条幅!$B$11:$B$310)),""))))</f>
        <v/>
      </c>
      <c r="K103" s="38" t="str">
        <f>IF(IF(98&lt;=COUNTA(半紙!$B$11:$B$310),INDEX(半紙!$K$11:$K$310,98),IF(98&lt;=COUNTA(半紙!$B$11:$B$310)+COUNTA(条幅!$B$11:$B$310),INDEX(条幅!$K$11:$K$310,98-COUNTA(半紙!$B$11:$B$310)),IF(98&lt;=COUNTA(半紙!$B$11:$B$310)+COUNTA(条幅!$B$11:$B$310)+COUNTA(条幅4分の1!$B$11:$B$310),INDEX(条幅4分の1!$K$11:$K$310,98-COUNTA(半紙!$B$11:$B$310)-COUNTA(条幅!$B$11:$B$310)),"")))=0,"",IF(98&lt;=COUNTA(半紙!$B$11:$B$310),INDEX(半紙!$K$11:$K$310,98),IF(98&lt;=COUNTA(半紙!$B$11:$B$310)+COUNTA(条幅!$B$11:$B$310),INDEX(条幅!$K$11:$K$310,98-COUNTA(半紙!$B$11:$B$310)),IF(98&lt;=COUNTA(半紙!$B$11:$B$310)+COUNTA(条幅!$B$11:$B$310)+COUNTA(条幅4分の1!$B$11:$B$310),INDEX(条幅4分の1!$K$11:$K$310,98-COUNTA(半紙!$B$11:$B$310)-COUNTA(条幅!$B$11:$B$310)),""))))</f>
        <v/>
      </c>
      <c r="L103" s="48" t="str">
        <f>IF($B103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98))</f>
        <v/>
      </c>
    </row>
    <row r="104" spans="1:12" ht="15" customHeight="1">
      <c r="A104" s="37" t="str">
        <f>IF(99&lt;=COUNTA(半紙!$B$11:$B$310),"半紙",IF(99&lt;=COUNTA(半紙!$B$11:$B$310)+COUNTA(条幅!$B$11:$B$310),"条幅(半切)",IF(99&lt;=COUNTA(半紙!$B$11:$B$310)+COUNTA(条幅!$B$11:$B$310)+COUNTA(条幅4分の1!$B$11:$B$310),"条幅(1/4)","")))</f>
        <v/>
      </c>
      <c r="B104" s="38" t="str">
        <f>IF(IF(99&lt;=COUNTA(半紙!$B$11:$B$310),INDEX(半紙!$B$11:$B$310,99),IF(99&lt;=COUNTA(半紙!$B$11:$B$310)+COUNTA(条幅!$B$11:$B$310),INDEX(条幅!$B$11:$B$310,99-COUNTA(半紙!$B$11:$B$310)),IF(99&lt;=COUNTA(半紙!$B$11:$B$310)+COUNTA(条幅!$B$11:$B$310)+COUNTA(条幅4分の1!$B$11:$B$310),INDEX(条幅4分の1!$B$11:$B$310,99-COUNTA(半紙!$B$11:$B$310)-COUNTA(条幅!$B$11:$B$310)),"")))=0,"",IF(99&lt;=COUNTA(半紙!$B$11:$B$310),INDEX(半紙!$B$11:$B$310,99),IF(99&lt;=COUNTA(半紙!$B$11:$B$310)+COUNTA(条幅!$B$11:$B$310),INDEX(条幅!$B$11:$B$310,99-COUNTA(半紙!$B$11:$B$310)),IF(99&lt;=COUNTA(半紙!$B$11:$B$310)+COUNTA(条幅!$B$11:$B$310)+COUNTA(条幅4分の1!$B$11:$B$310),INDEX(条幅4分の1!$B$11:$B$310,99-COUNTA(半紙!$B$11:$B$310)-COUNTA(条幅!$B$11:$B$310)),""))))</f>
        <v/>
      </c>
      <c r="C104" s="38" t="str">
        <f>IF(IF(99&lt;=COUNTA(半紙!$B$11:$B$310),INDEX(半紙!$C$11:$C$310,99),IF(99&lt;=COUNTA(半紙!$B$11:$B$310)+COUNTA(条幅!$B$11:$B$310),INDEX(条幅!$C$11:$C$310,99-COUNTA(半紙!$B$11:$B$310)),IF(99&lt;=COUNTA(半紙!$B$11:$B$310)+COUNTA(条幅!$B$11:$B$310)+COUNTA(条幅4分の1!$B$11:$B$310),INDEX(条幅4分の1!$C$11:$C$310,99-COUNTA(半紙!$B$11:$B$310)-COUNTA(条幅!$B$11:$B$310)),"")))=0,"",IF(99&lt;=COUNTA(半紙!$B$11:$B$310),INDEX(半紙!$C$11:$C$310,99),IF(99&lt;=COUNTA(半紙!$B$11:$B$310)+COUNTA(条幅!$B$11:$B$310),INDEX(条幅!$C$11:$C$310,99-COUNTA(半紙!$B$11:$B$310)),IF(99&lt;=COUNTA(半紙!$B$11:$B$310)+COUNTA(条幅!$B$11:$B$310)+COUNTA(条幅4分の1!$B$11:$B$310),INDEX(条幅4分の1!$C$11:$C$310,99-COUNTA(半紙!$B$11:$B$310)-COUNTA(条幅!$B$11:$B$310)),""))))</f>
        <v/>
      </c>
      <c r="D104" s="38" t="str">
        <f>IF(IF(99&lt;=COUNTA(半紙!$B$11:$B$310),INDEX(半紙!$D$11:$D$310,99),IF(99&lt;=COUNTA(半紙!$B$11:$B$310)+COUNTA(条幅!$B$11:$B$310),INDEX(条幅!$D$11:$D$310,99-COUNTA(半紙!$B$11:$B$310)),IF(99&lt;=COUNTA(半紙!$B$11:$B$310)+COUNTA(条幅!$B$11:$B$310)+COUNTA(条幅4分の1!$B$11:$B$310),INDEX(条幅4分の1!$D$11:$D$310,99-COUNTA(半紙!$B$11:$B$310)-COUNTA(条幅!$B$11:$B$310)),"")))=0,"",IF(99&lt;=COUNTA(半紙!$B$11:$B$310),INDEX(半紙!$D$11:$D$310,99),IF(99&lt;=COUNTA(半紙!$B$11:$B$310)+COUNTA(条幅!$B$11:$B$310),INDEX(条幅!$D$11:$D$310,99-COUNTA(半紙!$B$11:$B$310)),IF(99&lt;=COUNTA(半紙!$B$11:$B$310)+COUNTA(条幅!$B$11:$B$310)+COUNTA(条幅4分の1!$B$11:$B$310),INDEX(条幅4分の1!$D$11:$D$310,99-COUNTA(半紙!$B$11:$B$310)-COUNTA(条幅!$B$11:$B$310)),""))))</f>
        <v/>
      </c>
      <c r="E104" s="38" t="str">
        <f>IF(IF(99&lt;=COUNTA(半紙!$B$11:$B$310),INDEX(半紙!$E$11:$E$310,99),IF(99&lt;=COUNTA(半紙!$B$11:$B$310)+COUNTA(条幅!$B$11:$B$310),INDEX(条幅!$E$11:$E$310,99-COUNTA(半紙!$B$11:$B$310)),IF(99&lt;=COUNTA(半紙!$B$11:$B$310)+COUNTA(条幅!$B$11:$B$310)+COUNTA(条幅4分の1!$B$11:$B$310),INDEX(条幅4分の1!$E$11:$E$310,99-COUNTA(半紙!$B$11:$B$310)-COUNTA(条幅!$B$11:$B$310)),"")))=0,"",IF(99&lt;=COUNTA(半紙!$B$11:$B$310),INDEX(半紙!$E$11:$E$310,99),IF(99&lt;=COUNTA(半紙!$B$11:$B$310)+COUNTA(条幅!$B$11:$B$310),INDEX(条幅!$E$11:$E$310,99-COUNTA(半紙!$B$11:$B$310)),IF(99&lt;=COUNTA(半紙!$B$11:$B$310)+COUNTA(条幅!$B$11:$B$310)+COUNTA(条幅4分の1!$B$11:$B$310),INDEX(条幅4分の1!$E$11:$E$310,99-COUNTA(半紙!$B$11:$B$310)-COUNTA(条幅!$B$11:$B$310)),""))))</f>
        <v/>
      </c>
      <c r="F104" s="38" t="str">
        <f>IF(IF(99&lt;=COUNTA(半紙!$B$11:$B$310),INDEX(半紙!$F$11:$F$310,99),IF(99&lt;=COUNTA(半紙!$B$11:$B$310)+COUNTA(条幅!$B$11:$B$310),INDEX(条幅!$F$11:$F$310,99-COUNTA(半紙!$B$11:$B$310)),IF(99&lt;=COUNTA(半紙!$B$11:$B$310)+COUNTA(条幅!$B$11:$B$310)+COUNTA(条幅4分の1!$B$11:$B$310),INDEX(条幅4分の1!$F$11:$F$310,99-COUNTA(半紙!$B$11:$B$310)-COUNTA(条幅!$B$11:$B$310)),"")))=0,"",IF(99&lt;=COUNTA(半紙!$B$11:$B$310),INDEX(半紙!$F$11:$F$310,99),IF(99&lt;=COUNTA(半紙!$B$11:$B$310)+COUNTA(条幅!$B$11:$B$310),INDEX(条幅!$F$11:$F$310,99-COUNTA(半紙!$B$11:$B$310)),IF(99&lt;=COUNTA(半紙!$B$11:$B$310)+COUNTA(条幅!$B$11:$B$310)+COUNTA(条幅4分の1!$B$11:$B$310),INDEX(条幅4分の1!$F$11:$F$310,99-COUNTA(半紙!$B$11:$B$310)-COUNTA(条幅!$B$11:$B$310)),""))))</f>
        <v/>
      </c>
      <c r="G104" s="38" t="str">
        <f>IF(IF(99&lt;=COUNTA(半紙!$B$11:$B$310),INDEX(半紙!$G$11:$G$310,99),IF(99&lt;=COUNTA(半紙!$B$11:$B$310)+COUNTA(条幅!$B$11:$B$310),INDEX(条幅!$G$11:$G$310,99-COUNTA(半紙!$B$11:$B$310)),IF(99&lt;=COUNTA(半紙!$B$11:$B$310)+COUNTA(条幅!$B$11:$B$310)+COUNTA(条幅4分の1!$B$11:$B$310),INDEX(条幅4分の1!$G$11:$G$310,99-COUNTA(半紙!$B$11:$B$310)-COUNTA(条幅!$B$11:$B$310)),"")))=0,"",IF(99&lt;=COUNTA(半紙!$B$11:$B$310),INDEX(半紙!$G$11:$G$310,99),IF(99&lt;=COUNTA(半紙!$B$11:$B$310)+COUNTA(条幅!$B$11:$B$310),INDEX(条幅!$G$11:$G$310,99-COUNTA(半紙!$B$11:$B$310)),IF(99&lt;=COUNTA(半紙!$B$11:$B$310)+COUNTA(条幅!$B$11:$B$310)+COUNTA(条幅4分の1!$B$11:$B$310),INDEX(条幅4分の1!$G$11:$G$310,99-COUNTA(半紙!$B$11:$B$310)-COUNTA(条幅!$B$11:$B$310)),""))))</f>
        <v/>
      </c>
      <c r="H104" s="38" t="str">
        <f>IF(IF(99&lt;=COUNTA(半紙!$B$11:$B$310),INDEX(半紙!$H$11:$H$310,99),IF(99&lt;=COUNTA(半紙!$B$11:$B$310)+COUNTA(条幅!$B$11:$B$310),INDEX(条幅!$H$11:$H$310,99-COUNTA(半紙!$B$11:$B$310)),IF(99&lt;=COUNTA(半紙!$B$11:$B$310)+COUNTA(条幅!$B$11:$B$310)+COUNTA(条幅4分の1!$B$11:$B$310),INDEX(条幅4分の1!$H$11:$H$310,99-COUNTA(半紙!$B$11:$B$310)-COUNTA(条幅!$B$11:$B$310)),"")))=0,"",IF(99&lt;=COUNTA(半紙!$B$11:$B$310),INDEX(半紙!$H$11:$H$310,99),IF(99&lt;=COUNTA(半紙!$B$11:$B$310)+COUNTA(条幅!$B$11:$B$310),INDEX(条幅!$H$11:$H$310,99-COUNTA(半紙!$B$11:$B$310)),IF(99&lt;=COUNTA(半紙!$B$11:$B$310)+COUNTA(条幅!$B$11:$B$310)+COUNTA(条幅4分の1!$B$11:$B$310),INDEX(条幅4分の1!$H$11:$H$310,99-COUNTA(半紙!$B$11:$B$310)-COUNTA(条幅!$B$11:$B$310)),""))))</f>
        <v/>
      </c>
      <c r="I104" s="38" t="str">
        <f>IF(IF(99&lt;=COUNTA(半紙!$B$11:$B$310),INDEX(半紙!$I$11:$I$310,99),IF(99&lt;=COUNTA(半紙!$B$11:$B$310)+COUNTA(条幅!$B$11:$B$310),INDEX(条幅!$I$11:$I$310,99-COUNTA(半紙!$B$11:$B$310)),IF(99&lt;=COUNTA(半紙!$B$11:$B$310)+COUNTA(条幅!$B$11:$B$310)+COUNTA(条幅4分の1!$B$11:$B$310),INDEX(条幅4分の1!$I$11:$I$310,99-COUNTA(半紙!$B$11:$B$310)-COUNTA(条幅!$B$11:$B$310)),"")))=0,"",IF(99&lt;=COUNTA(半紙!$B$11:$B$310),INDEX(半紙!$I$11:$I$310,99),IF(99&lt;=COUNTA(半紙!$B$11:$B$310)+COUNTA(条幅!$B$11:$B$310),INDEX(条幅!$I$11:$I$310,99-COUNTA(半紙!$B$11:$B$310)),IF(99&lt;=COUNTA(半紙!$B$11:$B$310)+COUNTA(条幅!$B$11:$B$310)+COUNTA(条幅4分の1!$B$11:$B$310),INDEX(条幅4分の1!$I$11:$I$310,99-COUNTA(半紙!$B$11:$B$310)-COUNTA(条幅!$B$11:$B$310)),""))))</f>
        <v/>
      </c>
      <c r="J104" s="38" t="str">
        <f>IF(IF(99&lt;=COUNTA(半紙!$B$11:$B$310),INDEX(半紙!$J$11:$J$310,99),IF(99&lt;=COUNTA(半紙!$B$11:$B$310)+COUNTA(条幅!$B$11:$B$310),INDEX(条幅!$J$11:$J$310,99-COUNTA(半紙!$B$11:$B$310)),IF(99&lt;=COUNTA(半紙!$B$11:$B$310)+COUNTA(条幅!$B$11:$B$310)+COUNTA(条幅4分の1!$B$11:$B$310),INDEX(条幅4分の1!$J$11:$J$310,99-COUNTA(半紙!$B$11:$B$310)-COUNTA(条幅!$B$11:$B$310)),"")))=0,"",IF(99&lt;=COUNTA(半紙!$B$11:$B$310),INDEX(半紙!$J$11:$J$310,99),IF(99&lt;=COUNTA(半紙!$B$11:$B$310)+COUNTA(条幅!$B$11:$B$310),INDEX(条幅!$J$11:$J$310,99-COUNTA(半紙!$B$11:$B$310)),IF(99&lt;=COUNTA(半紙!$B$11:$B$310)+COUNTA(条幅!$B$11:$B$310)+COUNTA(条幅4分の1!$B$11:$B$310),INDEX(条幅4分の1!$J$11:$J$310,99-COUNTA(半紙!$B$11:$B$310)-COUNTA(条幅!$B$11:$B$310)),""))))</f>
        <v/>
      </c>
      <c r="K104" s="38" t="str">
        <f>IF(IF(99&lt;=COUNTA(半紙!$B$11:$B$310),INDEX(半紙!$K$11:$K$310,99),IF(99&lt;=COUNTA(半紙!$B$11:$B$310)+COUNTA(条幅!$B$11:$B$310),INDEX(条幅!$K$11:$K$310,99-COUNTA(半紙!$B$11:$B$310)),IF(99&lt;=COUNTA(半紙!$B$11:$B$310)+COUNTA(条幅!$B$11:$B$310)+COUNTA(条幅4分の1!$B$11:$B$310),INDEX(条幅4分の1!$K$11:$K$310,99-COUNTA(半紙!$B$11:$B$310)-COUNTA(条幅!$B$11:$B$310)),"")))=0,"",IF(99&lt;=COUNTA(半紙!$B$11:$B$310),INDEX(半紙!$K$11:$K$310,99),IF(99&lt;=COUNTA(半紙!$B$11:$B$310)+COUNTA(条幅!$B$11:$B$310),INDEX(条幅!$K$11:$K$310,99-COUNTA(半紙!$B$11:$B$310)),IF(99&lt;=COUNTA(半紙!$B$11:$B$310)+COUNTA(条幅!$B$11:$B$310)+COUNTA(条幅4分の1!$B$11:$B$310),INDEX(条幅4分の1!$K$11:$K$310,99-COUNTA(半紙!$B$11:$B$310)-COUNTA(条幅!$B$11:$B$310)),""))))</f>
        <v/>
      </c>
      <c r="L104" s="48" t="str">
        <f>IF($B104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99))</f>
        <v/>
      </c>
    </row>
    <row r="105" spans="1:12" ht="15" customHeight="1">
      <c r="A105" s="37" t="str">
        <f>IF(100&lt;=COUNTA(半紙!$B$11:$B$310),"半紙",IF(100&lt;=COUNTA(半紙!$B$11:$B$310)+COUNTA(条幅!$B$11:$B$310),"条幅(半切)",IF(100&lt;=COUNTA(半紙!$B$11:$B$310)+COUNTA(条幅!$B$11:$B$310)+COUNTA(条幅4分の1!$B$11:$B$310),"条幅(1/4)","")))</f>
        <v/>
      </c>
      <c r="B105" s="38" t="str">
        <f>IF(IF(100&lt;=COUNTA(半紙!$B$11:$B$310),INDEX(半紙!$B$11:$B$310,100),IF(100&lt;=COUNTA(半紙!$B$11:$B$310)+COUNTA(条幅!$B$11:$B$310),INDEX(条幅!$B$11:$B$310,100-COUNTA(半紙!$B$11:$B$310)),IF(100&lt;=COUNTA(半紙!$B$11:$B$310)+COUNTA(条幅!$B$11:$B$310)+COUNTA(条幅4分の1!$B$11:$B$310),INDEX(条幅4分の1!$B$11:$B$310,100-COUNTA(半紙!$B$11:$B$310)-COUNTA(条幅!$B$11:$B$310)),"")))=0,"",IF(100&lt;=COUNTA(半紙!$B$11:$B$310),INDEX(半紙!$B$11:$B$310,100),IF(100&lt;=COUNTA(半紙!$B$11:$B$310)+COUNTA(条幅!$B$11:$B$310),INDEX(条幅!$B$11:$B$310,100-COUNTA(半紙!$B$11:$B$310)),IF(100&lt;=COUNTA(半紙!$B$11:$B$310)+COUNTA(条幅!$B$11:$B$310)+COUNTA(条幅4分の1!$B$11:$B$310),INDEX(条幅4分の1!$B$11:$B$310,100-COUNTA(半紙!$B$11:$B$310)-COUNTA(条幅!$B$11:$B$310)),""))))</f>
        <v/>
      </c>
      <c r="C105" s="38" t="str">
        <f>IF(IF(100&lt;=COUNTA(半紙!$B$11:$B$310),INDEX(半紙!$C$11:$C$310,100),IF(100&lt;=COUNTA(半紙!$B$11:$B$310)+COUNTA(条幅!$B$11:$B$310),INDEX(条幅!$C$11:$C$310,100-COUNTA(半紙!$B$11:$B$310)),IF(100&lt;=COUNTA(半紙!$B$11:$B$310)+COUNTA(条幅!$B$11:$B$310)+COUNTA(条幅4分の1!$B$11:$B$310),INDEX(条幅4分の1!$C$11:$C$310,100-COUNTA(半紙!$B$11:$B$310)-COUNTA(条幅!$B$11:$B$310)),"")))=0,"",IF(100&lt;=COUNTA(半紙!$B$11:$B$310),INDEX(半紙!$C$11:$C$310,100),IF(100&lt;=COUNTA(半紙!$B$11:$B$310)+COUNTA(条幅!$B$11:$B$310),INDEX(条幅!$C$11:$C$310,100-COUNTA(半紙!$B$11:$B$310)),IF(100&lt;=COUNTA(半紙!$B$11:$B$310)+COUNTA(条幅!$B$11:$B$310)+COUNTA(条幅4分の1!$B$11:$B$310),INDEX(条幅4分の1!$C$11:$C$310,100-COUNTA(半紙!$B$11:$B$310)-COUNTA(条幅!$B$11:$B$310)),""))))</f>
        <v/>
      </c>
      <c r="D105" s="38" t="str">
        <f>IF(IF(100&lt;=COUNTA(半紙!$B$11:$B$310),INDEX(半紙!$D$11:$D$310,100),IF(100&lt;=COUNTA(半紙!$B$11:$B$310)+COUNTA(条幅!$B$11:$B$310),INDEX(条幅!$D$11:$D$310,100-COUNTA(半紙!$B$11:$B$310)),IF(100&lt;=COUNTA(半紙!$B$11:$B$310)+COUNTA(条幅!$B$11:$B$310)+COUNTA(条幅4分の1!$B$11:$B$310),INDEX(条幅4分の1!$D$11:$D$310,100-COUNTA(半紙!$B$11:$B$310)-COUNTA(条幅!$B$11:$B$310)),"")))=0,"",IF(100&lt;=COUNTA(半紙!$B$11:$B$310),INDEX(半紙!$D$11:$D$310,100),IF(100&lt;=COUNTA(半紙!$B$11:$B$310)+COUNTA(条幅!$B$11:$B$310),INDEX(条幅!$D$11:$D$310,100-COUNTA(半紙!$B$11:$B$310)),IF(100&lt;=COUNTA(半紙!$B$11:$B$310)+COUNTA(条幅!$B$11:$B$310)+COUNTA(条幅4分の1!$B$11:$B$310),INDEX(条幅4分の1!$D$11:$D$310,100-COUNTA(半紙!$B$11:$B$310)-COUNTA(条幅!$B$11:$B$310)),""))))</f>
        <v/>
      </c>
      <c r="E105" s="38" t="str">
        <f>IF(IF(100&lt;=COUNTA(半紙!$B$11:$B$310),INDEX(半紙!$E$11:$E$310,100),IF(100&lt;=COUNTA(半紙!$B$11:$B$310)+COUNTA(条幅!$B$11:$B$310),INDEX(条幅!$E$11:$E$310,100-COUNTA(半紙!$B$11:$B$310)),IF(100&lt;=COUNTA(半紙!$B$11:$B$310)+COUNTA(条幅!$B$11:$B$310)+COUNTA(条幅4分の1!$B$11:$B$310),INDEX(条幅4分の1!$E$11:$E$310,100-COUNTA(半紙!$B$11:$B$310)-COUNTA(条幅!$B$11:$B$310)),"")))=0,"",IF(100&lt;=COUNTA(半紙!$B$11:$B$310),INDEX(半紙!$E$11:$E$310,100),IF(100&lt;=COUNTA(半紙!$B$11:$B$310)+COUNTA(条幅!$B$11:$B$310),INDEX(条幅!$E$11:$E$310,100-COUNTA(半紙!$B$11:$B$310)),IF(100&lt;=COUNTA(半紙!$B$11:$B$310)+COUNTA(条幅!$B$11:$B$310)+COUNTA(条幅4分の1!$B$11:$B$310),INDEX(条幅4分の1!$E$11:$E$310,100-COUNTA(半紙!$B$11:$B$310)-COUNTA(条幅!$B$11:$B$310)),""))))</f>
        <v/>
      </c>
      <c r="F105" s="38" t="str">
        <f>IF(IF(100&lt;=COUNTA(半紙!$B$11:$B$310),INDEX(半紙!$F$11:$F$310,100),IF(100&lt;=COUNTA(半紙!$B$11:$B$310)+COUNTA(条幅!$B$11:$B$310),INDEX(条幅!$F$11:$F$310,100-COUNTA(半紙!$B$11:$B$310)),IF(100&lt;=COUNTA(半紙!$B$11:$B$310)+COUNTA(条幅!$B$11:$B$310)+COUNTA(条幅4分の1!$B$11:$B$310),INDEX(条幅4分の1!$F$11:$F$310,100-COUNTA(半紙!$B$11:$B$310)-COUNTA(条幅!$B$11:$B$310)),"")))=0,"",IF(100&lt;=COUNTA(半紙!$B$11:$B$310),INDEX(半紙!$F$11:$F$310,100),IF(100&lt;=COUNTA(半紙!$B$11:$B$310)+COUNTA(条幅!$B$11:$B$310),INDEX(条幅!$F$11:$F$310,100-COUNTA(半紙!$B$11:$B$310)),IF(100&lt;=COUNTA(半紙!$B$11:$B$310)+COUNTA(条幅!$B$11:$B$310)+COUNTA(条幅4分の1!$B$11:$B$310),INDEX(条幅4分の1!$F$11:$F$310,100-COUNTA(半紙!$B$11:$B$310)-COUNTA(条幅!$B$11:$B$310)),""))))</f>
        <v/>
      </c>
      <c r="G105" s="38" t="str">
        <f>IF(IF(100&lt;=COUNTA(半紙!$B$11:$B$310),INDEX(半紙!$G$11:$G$310,100),IF(100&lt;=COUNTA(半紙!$B$11:$B$310)+COUNTA(条幅!$B$11:$B$310),INDEX(条幅!$G$11:$G$310,100-COUNTA(半紙!$B$11:$B$310)),IF(100&lt;=COUNTA(半紙!$B$11:$B$310)+COUNTA(条幅!$B$11:$B$310)+COUNTA(条幅4分の1!$B$11:$B$310),INDEX(条幅4分の1!$G$11:$G$310,100-COUNTA(半紙!$B$11:$B$310)-COUNTA(条幅!$B$11:$B$310)),"")))=0,"",IF(100&lt;=COUNTA(半紙!$B$11:$B$310),INDEX(半紙!$G$11:$G$310,100),IF(100&lt;=COUNTA(半紙!$B$11:$B$310)+COUNTA(条幅!$B$11:$B$310),INDEX(条幅!$G$11:$G$310,100-COUNTA(半紙!$B$11:$B$310)),IF(100&lt;=COUNTA(半紙!$B$11:$B$310)+COUNTA(条幅!$B$11:$B$310)+COUNTA(条幅4分の1!$B$11:$B$310),INDEX(条幅4分の1!$G$11:$G$310,100-COUNTA(半紙!$B$11:$B$310)-COUNTA(条幅!$B$11:$B$310)),""))))</f>
        <v/>
      </c>
      <c r="H105" s="38" t="str">
        <f>IF(IF(100&lt;=COUNTA(半紙!$B$11:$B$310),INDEX(半紙!$H$11:$H$310,100),IF(100&lt;=COUNTA(半紙!$B$11:$B$310)+COUNTA(条幅!$B$11:$B$310),INDEX(条幅!$H$11:$H$310,100-COUNTA(半紙!$B$11:$B$310)),IF(100&lt;=COUNTA(半紙!$B$11:$B$310)+COUNTA(条幅!$B$11:$B$310)+COUNTA(条幅4分の1!$B$11:$B$310),INDEX(条幅4分の1!$H$11:$H$310,100-COUNTA(半紙!$B$11:$B$310)-COUNTA(条幅!$B$11:$B$310)),"")))=0,"",IF(100&lt;=COUNTA(半紙!$B$11:$B$310),INDEX(半紙!$H$11:$H$310,100),IF(100&lt;=COUNTA(半紙!$B$11:$B$310)+COUNTA(条幅!$B$11:$B$310),INDEX(条幅!$H$11:$H$310,100-COUNTA(半紙!$B$11:$B$310)),IF(100&lt;=COUNTA(半紙!$B$11:$B$310)+COUNTA(条幅!$B$11:$B$310)+COUNTA(条幅4分の1!$B$11:$B$310),INDEX(条幅4分の1!$H$11:$H$310,100-COUNTA(半紙!$B$11:$B$310)-COUNTA(条幅!$B$11:$B$310)),""))))</f>
        <v/>
      </c>
      <c r="I105" s="38" t="str">
        <f>IF(IF(100&lt;=COUNTA(半紙!$B$11:$B$310),INDEX(半紙!$I$11:$I$310,100),IF(100&lt;=COUNTA(半紙!$B$11:$B$310)+COUNTA(条幅!$B$11:$B$310),INDEX(条幅!$I$11:$I$310,100-COUNTA(半紙!$B$11:$B$310)),IF(100&lt;=COUNTA(半紙!$B$11:$B$310)+COUNTA(条幅!$B$11:$B$310)+COUNTA(条幅4分の1!$B$11:$B$310),INDEX(条幅4分の1!$I$11:$I$310,100-COUNTA(半紙!$B$11:$B$310)-COUNTA(条幅!$B$11:$B$310)),"")))=0,"",IF(100&lt;=COUNTA(半紙!$B$11:$B$310),INDEX(半紙!$I$11:$I$310,100),IF(100&lt;=COUNTA(半紙!$B$11:$B$310)+COUNTA(条幅!$B$11:$B$310),INDEX(条幅!$I$11:$I$310,100-COUNTA(半紙!$B$11:$B$310)),IF(100&lt;=COUNTA(半紙!$B$11:$B$310)+COUNTA(条幅!$B$11:$B$310)+COUNTA(条幅4分の1!$B$11:$B$310),INDEX(条幅4分の1!$I$11:$I$310,100-COUNTA(半紙!$B$11:$B$310)-COUNTA(条幅!$B$11:$B$310)),""))))</f>
        <v/>
      </c>
      <c r="J105" s="38" t="str">
        <f>IF(IF(100&lt;=COUNTA(半紙!$B$11:$B$310),INDEX(半紙!$J$11:$J$310,100),IF(100&lt;=COUNTA(半紙!$B$11:$B$310)+COUNTA(条幅!$B$11:$B$310),INDEX(条幅!$J$11:$J$310,100-COUNTA(半紙!$B$11:$B$310)),IF(100&lt;=COUNTA(半紙!$B$11:$B$310)+COUNTA(条幅!$B$11:$B$310)+COUNTA(条幅4分の1!$B$11:$B$310),INDEX(条幅4分の1!$J$11:$J$310,100-COUNTA(半紙!$B$11:$B$310)-COUNTA(条幅!$B$11:$B$310)),"")))=0,"",IF(100&lt;=COUNTA(半紙!$B$11:$B$310),INDEX(半紙!$J$11:$J$310,100),IF(100&lt;=COUNTA(半紙!$B$11:$B$310)+COUNTA(条幅!$B$11:$B$310),INDEX(条幅!$J$11:$J$310,100-COUNTA(半紙!$B$11:$B$310)),IF(100&lt;=COUNTA(半紙!$B$11:$B$310)+COUNTA(条幅!$B$11:$B$310)+COUNTA(条幅4分の1!$B$11:$B$310),INDEX(条幅4分の1!$J$11:$J$310,100-COUNTA(半紙!$B$11:$B$310)-COUNTA(条幅!$B$11:$B$310)),""))))</f>
        <v/>
      </c>
      <c r="K105" s="38" t="str">
        <f>IF(IF(100&lt;=COUNTA(半紙!$B$11:$B$310),INDEX(半紙!$K$11:$K$310,100),IF(100&lt;=COUNTA(半紙!$B$11:$B$310)+COUNTA(条幅!$B$11:$B$310),INDEX(条幅!$K$11:$K$310,100-COUNTA(半紙!$B$11:$B$310)),IF(100&lt;=COUNTA(半紙!$B$11:$B$310)+COUNTA(条幅!$B$11:$B$310)+COUNTA(条幅4分の1!$B$11:$B$310),INDEX(条幅4分の1!$K$11:$K$310,100-COUNTA(半紙!$B$11:$B$310)-COUNTA(条幅!$B$11:$B$310)),"")))=0,"",IF(100&lt;=COUNTA(半紙!$B$11:$B$310),INDEX(半紙!$K$11:$K$310,100),IF(100&lt;=COUNTA(半紙!$B$11:$B$310)+COUNTA(条幅!$B$11:$B$310),INDEX(条幅!$K$11:$K$310,100-COUNTA(半紙!$B$11:$B$310)),IF(100&lt;=COUNTA(半紙!$B$11:$B$310)+COUNTA(条幅!$B$11:$B$310)+COUNTA(条幅4分の1!$B$11:$B$310),INDEX(条幅4分の1!$K$11:$K$310,100-COUNTA(半紙!$B$11:$B$310)-COUNTA(条幅!$B$11:$B$310)),""))))</f>
        <v/>
      </c>
      <c r="L105" s="48" t="str">
        <f>IF($B105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100))</f>
        <v/>
      </c>
    </row>
    <row r="106" spans="1:12" ht="15" customHeight="1">
      <c r="A106" s="37" t="str">
        <f>IF(101&lt;=COUNTA(半紙!$B$11:$B$310),"半紙",IF(101&lt;=COUNTA(半紙!$B$11:$B$310)+COUNTA(条幅!$B$11:$B$310),"条幅(半切)",IF(101&lt;=COUNTA(半紙!$B$11:$B$310)+COUNTA(条幅!$B$11:$B$310)+COUNTA(条幅4分の1!$B$11:$B$310),"条幅(1/4)","")))</f>
        <v/>
      </c>
      <c r="B106" s="38" t="str">
        <f>IF(IF(101&lt;=COUNTA(半紙!$B$11:$B$310),INDEX(半紙!$B$11:$B$310,101),IF(101&lt;=COUNTA(半紙!$B$11:$B$310)+COUNTA(条幅!$B$11:$B$310),INDEX(条幅!$B$11:$B$310,101-COUNTA(半紙!$B$11:$B$310)),IF(101&lt;=COUNTA(半紙!$B$11:$B$310)+COUNTA(条幅!$B$11:$B$310)+COUNTA(条幅4分の1!$B$11:$B$310),INDEX(条幅4分の1!$B$11:$B$310,101-COUNTA(半紙!$B$11:$B$310)-COUNTA(条幅!$B$11:$B$310)),"")))=0,"",IF(101&lt;=COUNTA(半紙!$B$11:$B$310),INDEX(半紙!$B$11:$B$310,101),IF(101&lt;=COUNTA(半紙!$B$11:$B$310)+COUNTA(条幅!$B$11:$B$310),INDEX(条幅!$B$11:$B$310,101-COUNTA(半紙!$B$11:$B$310)),IF(101&lt;=COUNTA(半紙!$B$11:$B$310)+COUNTA(条幅!$B$11:$B$310)+COUNTA(条幅4分の1!$B$11:$B$310),INDEX(条幅4分の1!$B$11:$B$310,101-COUNTA(半紙!$B$11:$B$310)-COUNTA(条幅!$B$11:$B$310)),""))))</f>
        <v/>
      </c>
      <c r="C106" s="38" t="str">
        <f>IF(IF(101&lt;=COUNTA(半紙!$B$11:$B$310),INDEX(半紙!$C$11:$C$310,101),IF(101&lt;=COUNTA(半紙!$B$11:$B$310)+COUNTA(条幅!$B$11:$B$310),INDEX(条幅!$C$11:$C$310,101-COUNTA(半紙!$B$11:$B$310)),IF(101&lt;=COUNTA(半紙!$B$11:$B$310)+COUNTA(条幅!$B$11:$B$310)+COUNTA(条幅4分の1!$B$11:$B$310),INDEX(条幅4分の1!$C$11:$C$310,101-COUNTA(半紙!$B$11:$B$310)-COUNTA(条幅!$B$11:$B$310)),"")))=0,"",IF(101&lt;=COUNTA(半紙!$B$11:$B$310),INDEX(半紙!$C$11:$C$310,101),IF(101&lt;=COUNTA(半紙!$B$11:$B$310)+COUNTA(条幅!$B$11:$B$310),INDEX(条幅!$C$11:$C$310,101-COUNTA(半紙!$B$11:$B$310)),IF(101&lt;=COUNTA(半紙!$B$11:$B$310)+COUNTA(条幅!$B$11:$B$310)+COUNTA(条幅4分の1!$B$11:$B$310),INDEX(条幅4分の1!$C$11:$C$310,101-COUNTA(半紙!$B$11:$B$310)-COUNTA(条幅!$B$11:$B$310)),""))))</f>
        <v/>
      </c>
      <c r="D106" s="38" t="str">
        <f>IF(IF(101&lt;=COUNTA(半紙!$B$11:$B$310),INDEX(半紙!$D$11:$D$310,101),IF(101&lt;=COUNTA(半紙!$B$11:$B$310)+COUNTA(条幅!$B$11:$B$310),INDEX(条幅!$D$11:$D$310,101-COUNTA(半紙!$B$11:$B$310)),IF(101&lt;=COUNTA(半紙!$B$11:$B$310)+COUNTA(条幅!$B$11:$B$310)+COUNTA(条幅4分の1!$B$11:$B$310),INDEX(条幅4分の1!$D$11:$D$310,101-COUNTA(半紙!$B$11:$B$310)-COUNTA(条幅!$B$11:$B$310)),"")))=0,"",IF(101&lt;=COUNTA(半紙!$B$11:$B$310),INDEX(半紙!$D$11:$D$310,101),IF(101&lt;=COUNTA(半紙!$B$11:$B$310)+COUNTA(条幅!$B$11:$B$310),INDEX(条幅!$D$11:$D$310,101-COUNTA(半紙!$B$11:$B$310)),IF(101&lt;=COUNTA(半紙!$B$11:$B$310)+COUNTA(条幅!$B$11:$B$310)+COUNTA(条幅4分の1!$B$11:$B$310),INDEX(条幅4分の1!$D$11:$D$310,101-COUNTA(半紙!$B$11:$B$310)-COUNTA(条幅!$B$11:$B$310)),""))))</f>
        <v/>
      </c>
      <c r="E106" s="38" t="str">
        <f>IF(IF(101&lt;=COUNTA(半紙!$B$11:$B$310),INDEX(半紙!$E$11:$E$310,101),IF(101&lt;=COUNTA(半紙!$B$11:$B$310)+COUNTA(条幅!$B$11:$B$310),INDEX(条幅!$E$11:$E$310,101-COUNTA(半紙!$B$11:$B$310)),IF(101&lt;=COUNTA(半紙!$B$11:$B$310)+COUNTA(条幅!$B$11:$B$310)+COUNTA(条幅4分の1!$B$11:$B$310),INDEX(条幅4分の1!$E$11:$E$310,101-COUNTA(半紙!$B$11:$B$310)-COUNTA(条幅!$B$11:$B$310)),"")))=0,"",IF(101&lt;=COUNTA(半紙!$B$11:$B$310),INDEX(半紙!$E$11:$E$310,101),IF(101&lt;=COUNTA(半紙!$B$11:$B$310)+COUNTA(条幅!$B$11:$B$310),INDEX(条幅!$E$11:$E$310,101-COUNTA(半紙!$B$11:$B$310)),IF(101&lt;=COUNTA(半紙!$B$11:$B$310)+COUNTA(条幅!$B$11:$B$310)+COUNTA(条幅4分の1!$B$11:$B$310),INDEX(条幅4分の1!$E$11:$E$310,101-COUNTA(半紙!$B$11:$B$310)-COUNTA(条幅!$B$11:$B$310)),""))))</f>
        <v/>
      </c>
      <c r="F106" s="38" t="str">
        <f>IF(IF(101&lt;=COUNTA(半紙!$B$11:$B$310),INDEX(半紙!$F$11:$F$310,101),IF(101&lt;=COUNTA(半紙!$B$11:$B$310)+COUNTA(条幅!$B$11:$B$310),INDEX(条幅!$F$11:$F$310,101-COUNTA(半紙!$B$11:$B$310)),IF(101&lt;=COUNTA(半紙!$B$11:$B$310)+COUNTA(条幅!$B$11:$B$310)+COUNTA(条幅4分の1!$B$11:$B$310),INDEX(条幅4分の1!$F$11:$F$310,101-COUNTA(半紙!$B$11:$B$310)-COUNTA(条幅!$B$11:$B$310)),"")))=0,"",IF(101&lt;=COUNTA(半紙!$B$11:$B$310),INDEX(半紙!$F$11:$F$310,101),IF(101&lt;=COUNTA(半紙!$B$11:$B$310)+COUNTA(条幅!$B$11:$B$310),INDEX(条幅!$F$11:$F$310,101-COUNTA(半紙!$B$11:$B$310)),IF(101&lt;=COUNTA(半紙!$B$11:$B$310)+COUNTA(条幅!$B$11:$B$310)+COUNTA(条幅4分の1!$B$11:$B$310),INDEX(条幅4分の1!$F$11:$F$310,101-COUNTA(半紙!$B$11:$B$310)-COUNTA(条幅!$B$11:$B$310)),""))))</f>
        <v/>
      </c>
      <c r="G106" s="38" t="str">
        <f>IF(IF(101&lt;=COUNTA(半紙!$B$11:$B$310),INDEX(半紙!$G$11:$G$310,101),IF(101&lt;=COUNTA(半紙!$B$11:$B$310)+COUNTA(条幅!$B$11:$B$310),INDEX(条幅!$G$11:$G$310,101-COUNTA(半紙!$B$11:$B$310)),IF(101&lt;=COUNTA(半紙!$B$11:$B$310)+COUNTA(条幅!$B$11:$B$310)+COUNTA(条幅4分の1!$B$11:$B$310),INDEX(条幅4分の1!$G$11:$G$310,101-COUNTA(半紙!$B$11:$B$310)-COUNTA(条幅!$B$11:$B$310)),"")))=0,"",IF(101&lt;=COUNTA(半紙!$B$11:$B$310),INDEX(半紙!$G$11:$G$310,101),IF(101&lt;=COUNTA(半紙!$B$11:$B$310)+COUNTA(条幅!$B$11:$B$310),INDEX(条幅!$G$11:$G$310,101-COUNTA(半紙!$B$11:$B$310)),IF(101&lt;=COUNTA(半紙!$B$11:$B$310)+COUNTA(条幅!$B$11:$B$310)+COUNTA(条幅4分の1!$B$11:$B$310),INDEX(条幅4分の1!$G$11:$G$310,101-COUNTA(半紙!$B$11:$B$310)-COUNTA(条幅!$B$11:$B$310)),""))))</f>
        <v/>
      </c>
      <c r="H106" s="38" t="str">
        <f>IF(IF(101&lt;=COUNTA(半紙!$B$11:$B$310),INDEX(半紙!$H$11:$H$310,101),IF(101&lt;=COUNTA(半紙!$B$11:$B$310)+COUNTA(条幅!$B$11:$B$310),INDEX(条幅!$H$11:$H$310,101-COUNTA(半紙!$B$11:$B$310)),IF(101&lt;=COUNTA(半紙!$B$11:$B$310)+COUNTA(条幅!$B$11:$B$310)+COUNTA(条幅4分の1!$B$11:$B$310),INDEX(条幅4分の1!$H$11:$H$310,101-COUNTA(半紙!$B$11:$B$310)-COUNTA(条幅!$B$11:$B$310)),"")))=0,"",IF(101&lt;=COUNTA(半紙!$B$11:$B$310),INDEX(半紙!$H$11:$H$310,101),IF(101&lt;=COUNTA(半紙!$B$11:$B$310)+COUNTA(条幅!$B$11:$B$310),INDEX(条幅!$H$11:$H$310,101-COUNTA(半紙!$B$11:$B$310)),IF(101&lt;=COUNTA(半紙!$B$11:$B$310)+COUNTA(条幅!$B$11:$B$310)+COUNTA(条幅4分の1!$B$11:$B$310),INDEX(条幅4分の1!$H$11:$H$310,101-COUNTA(半紙!$B$11:$B$310)-COUNTA(条幅!$B$11:$B$310)),""))))</f>
        <v/>
      </c>
      <c r="I106" s="38" t="str">
        <f>IF(IF(101&lt;=COUNTA(半紙!$B$11:$B$310),INDEX(半紙!$I$11:$I$310,101),IF(101&lt;=COUNTA(半紙!$B$11:$B$310)+COUNTA(条幅!$B$11:$B$310),INDEX(条幅!$I$11:$I$310,101-COUNTA(半紙!$B$11:$B$310)),IF(101&lt;=COUNTA(半紙!$B$11:$B$310)+COUNTA(条幅!$B$11:$B$310)+COUNTA(条幅4分の1!$B$11:$B$310),INDEX(条幅4分の1!$I$11:$I$310,101-COUNTA(半紙!$B$11:$B$310)-COUNTA(条幅!$B$11:$B$310)),"")))=0,"",IF(101&lt;=COUNTA(半紙!$B$11:$B$310),INDEX(半紙!$I$11:$I$310,101),IF(101&lt;=COUNTA(半紙!$B$11:$B$310)+COUNTA(条幅!$B$11:$B$310),INDEX(条幅!$I$11:$I$310,101-COUNTA(半紙!$B$11:$B$310)),IF(101&lt;=COUNTA(半紙!$B$11:$B$310)+COUNTA(条幅!$B$11:$B$310)+COUNTA(条幅4分の1!$B$11:$B$310),INDEX(条幅4分の1!$I$11:$I$310,101-COUNTA(半紙!$B$11:$B$310)-COUNTA(条幅!$B$11:$B$310)),""))))</f>
        <v/>
      </c>
      <c r="J106" s="38" t="str">
        <f>IF(IF(101&lt;=COUNTA(半紙!$B$11:$B$310),INDEX(半紙!$J$11:$J$310,101),IF(101&lt;=COUNTA(半紙!$B$11:$B$310)+COUNTA(条幅!$B$11:$B$310),INDEX(条幅!$J$11:$J$310,101-COUNTA(半紙!$B$11:$B$310)),IF(101&lt;=COUNTA(半紙!$B$11:$B$310)+COUNTA(条幅!$B$11:$B$310)+COUNTA(条幅4分の1!$B$11:$B$310),INDEX(条幅4分の1!$J$11:$J$310,101-COUNTA(半紙!$B$11:$B$310)-COUNTA(条幅!$B$11:$B$310)),"")))=0,"",IF(101&lt;=COUNTA(半紙!$B$11:$B$310),INDEX(半紙!$J$11:$J$310,101),IF(101&lt;=COUNTA(半紙!$B$11:$B$310)+COUNTA(条幅!$B$11:$B$310),INDEX(条幅!$J$11:$J$310,101-COUNTA(半紙!$B$11:$B$310)),IF(101&lt;=COUNTA(半紙!$B$11:$B$310)+COUNTA(条幅!$B$11:$B$310)+COUNTA(条幅4分の1!$B$11:$B$310),INDEX(条幅4分の1!$J$11:$J$310,101-COUNTA(半紙!$B$11:$B$310)-COUNTA(条幅!$B$11:$B$310)),""))))</f>
        <v/>
      </c>
      <c r="K106" s="38" t="str">
        <f>IF(IF(101&lt;=COUNTA(半紙!$B$11:$B$310),INDEX(半紙!$K$11:$K$310,101),IF(101&lt;=COUNTA(半紙!$B$11:$B$310)+COUNTA(条幅!$B$11:$B$310),INDEX(条幅!$K$11:$K$310,101-COUNTA(半紙!$B$11:$B$310)),IF(101&lt;=COUNTA(半紙!$B$11:$B$310)+COUNTA(条幅!$B$11:$B$310)+COUNTA(条幅4分の1!$B$11:$B$310),INDEX(条幅4分の1!$K$11:$K$310,101-COUNTA(半紙!$B$11:$B$310)-COUNTA(条幅!$B$11:$B$310)),"")))=0,"",IF(101&lt;=COUNTA(半紙!$B$11:$B$310),INDEX(半紙!$K$11:$K$310,101),IF(101&lt;=COUNTA(半紙!$B$11:$B$310)+COUNTA(条幅!$B$11:$B$310),INDEX(条幅!$K$11:$K$310,101-COUNTA(半紙!$B$11:$B$310)),IF(101&lt;=COUNTA(半紙!$B$11:$B$310)+COUNTA(条幅!$B$11:$B$310)+COUNTA(条幅4分の1!$B$11:$B$310),INDEX(条幅4分の1!$K$11:$K$310,101-COUNTA(半紙!$B$11:$B$310)-COUNTA(条幅!$B$11:$B$310)),""))))</f>
        <v/>
      </c>
      <c r="L106" s="48" t="str">
        <f>IF($B106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101))</f>
        <v/>
      </c>
    </row>
    <row r="107" spans="1:12" ht="15" customHeight="1">
      <c r="A107" s="37" t="str">
        <f>IF(102&lt;=COUNTA(半紙!$B$11:$B$310),"半紙",IF(102&lt;=COUNTA(半紙!$B$11:$B$310)+COUNTA(条幅!$B$11:$B$310),"条幅(半切)",IF(102&lt;=COUNTA(半紙!$B$11:$B$310)+COUNTA(条幅!$B$11:$B$310)+COUNTA(条幅4分の1!$B$11:$B$310),"条幅(1/4)","")))</f>
        <v/>
      </c>
      <c r="B107" s="38" t="str">
        <f>IF(IF(102&lt;=COUNTA(半紙!$B$11:$B$310),INDEX(半紙!$B$11:$B$310,102),IF(102&lt;=COUNTA(半紙!$B$11:$B$310)+COUNTA(条幅!$B$11:$B$310),INDEX(条幅!$B$11:$B$310,102-COUNTA(半紙!$B$11:$B$310)),IF(102&lt;=COUNTA(半紙!$B$11:$B$310)+COUNTA(条幅!$B$11:$B$310)+COUNTA(条幅4分の1!$B$11:$B$310),INDEX(条幅4分の1!$B$11:$B$310,102-COUNTA(半紙!$B$11:$B$310)-COUNTA(条幅!$B$11:$B$310)),"")))=0,"",IF(102&lt;=COUNTA(半紙!$B$11:$B$310),INDEX(半紙!$B$11:$B$310,102),IF(102&lt;=COUNTA(半紙!$B$11:$B$310)+COUNTA(条幅!$B$11:$B$310),INDEX(条幅!$B$11:$B$310,102-COUNTA(半紙!$B$11:$B$310)),IF(102&lt;=COUNTA(半紙!$B$11:$B$310)+COUNTA(条幅!$B$11:$B$310)+COUNTA(条幅4分の1!$B$11:$B$310),INDEX(条幅4分の1!$B$11:$B$310,102-COUNTA(半紙!$B$11:$B$310)-COUNTA(条幅!$B$11:$B$310)),""))))</f>
        <v/>
      </c>
      <c r="C107" s="38" t="str">
        <f>IF(IF(102&lt;=COUNTA(半紙!$B$11:$B$310),INDEX(半紙!$C$11:$C$310,102),IF(102&lt;=COUNTA(半紙!$B$11:$B$310)+COUNTA(条幅!$B$11:$B$310),INDEX(条幅!$C$11:$C$310,102-COUNTA(半紙!$B$11:$B$310)),IF(102&lt;=COUNTA(半紙!$B$11:$B$310)+COUNTA(条幅!$B$11:$B$310)+COUNTA(条幅4分の1!$B$11:$B$310),INDEX(条幅4分の1!$C$11:$C$310,102-COUNTA(半紙!$B$11:$B$310)-COUNTA(条幅!$B$11:$B$310)),"")))=0,"",IF(102&lt;=COUNTA(半紙!$B$11:$B$310),INDEX(半紙!$C$11:$C$310,102),IF(102&lt;=COUNTA(半紙!$B$11:$B$310)+COUNTA(条幅!$B$11:$B$310),INDEX(条幅!$C$11:$C$310,102-COUNTA(半紙!$B$11:$B$310)),IF(102&lt;=COUNTA(半紙!$B$11:$B$310)+COUNTA(条幅!$B$11:$B$310)+COUNTA(条幅4分の1!$B$11:$B$310),INDEX(条幅4分の1!$C$11:$C$310,102-COUNTA(半紙!$B$11:$B$310)-COUNTA(条幅!$B$11:$B$310)),""))))</f>
        <v/>
      </c>
      <c r="D107" s="38" t="str">
        <f>IF(IF(102&lt;=COUNTA(半紙!$B$11:$B$310),INDEX(半紙!$D$11:$D$310,102),IF(102&lt;=COUNTA(半紙!$B$11:$B$310)+COUNTA(条幅!$B$11:$B$310),INDEX(条幅!$D$11:$D$310,102-COUNTA(半紙!$B$11:$B$310)),IF(102&lt;=COUNTA(半紙!$B$11:$B$310)+COUNTA(条幅!$B$11:$B$310)+COUNTA(条幅4分の1!$B$11:$B$310),INDEX(条幅4分の1!$D$11:$D$310,102-COUNTA(半紙!$B$11:$B$310)-COUNTA(条幅!$B$11:$B$310)),"")))=0,"",IF(102&lt;=COUNTA(半紙!$B$11:$B$310),INDEX(半紙!$D$11:$D$310,102),IF(102&lt;=COUNTA(半紙!$B$11:$B$310)+COUNTA(条幅!$B$11:$B$310),INDEX(条幅!$D$11:$D$310,102-COUNTA(半紙!$B$11:$B$310)),IF(102&lt;=COUNTA(半紙!$B$11:$B$310)+COUNTA(条幅!$B$11:$B$310)+COUNTA(条幅4分の1!$B$11:$B$310),INDEX(条幅4分の1!$D$11:$D$310,102-COUNTA(半紙!$B$11:$B$310)-COUNTA(条幅!$B$11:$B$310)),""))))</f>
        <v/>
      </c>
      <c r="E107" s="38" t="str">
        <f>IF(IF(102&lt;=COUNTA(半紙!$B$11:$B$310),INDEX(半紙!$E$11:$E$310,102),IF(102&lt;=COUNTA(半紙!$B$11:$B$310)+COUNTA(条幅!$B$11:$B$310),INDEX(条幅!$E$11:$E$310,102-COUNTA(半紙!$B$11:$B$310)),IF(102&lt;=COUNTA(半紙!$B$11:$B$310)+COUNTA(条幅!$B$11:$B$310)+COUNTA(条幅4分の1!$B$11:$B$310),INDEX(条幅4分の1!$E$11:$E$310,102-COUNTA(半紙!$B$11:$B$310)-COUNTA(条幅!$B$11:$B$310)),"")))=0,"",IF(102&lt;=COUNTA(半紙!$B$11:$B$310),INDEX(半紙!$E$11:$E$310,102),IF(102&lt;=COUNTA(半紙!$B$11:$B$310)+COUNTA(条幅!$B$11:$B$310),INDEX(条幅!$E$11:$E$310,102-COUNTA(半紙!$B$11:$B$310)),IF(102&lt;=COUNTA(半紙!$B$11:$B$310)+COUNTA(条幅!$B$11:$B$310)+COUNTA(条幅4分の1!$B$11:$B$310),INDEX(条幅4分の1!$E$11:$E$310,102-COUNTA(半紙!$B$11:$B$310)-COUNTA(条幅!$B$11:$B$310)),""))))</f>
        <v/>
      </c>
      <c r="F107" s="38" t="str">
        <f>IF(IF(102&lt;=COUNTA(半紙!$B$11:$B$310),INDEX(半紙!$F$11:$F$310,102),IF(102&lt;=COUNTA(半紙!$B$11:$B$310)+COUNTA(条幅!$B$11:$B$310),INDEX(条幅!$F$11:$F$310,102-COUNTA(半紙!$B$11:$B$310)),IF(102&lt;=COUNTA(半紙!$B$11:$B$310)+COUNTA(条幅!$B$11:$B$310)+COUNTA(条幅4分の1!$B$11:$B$310),INDEX(条幅4分の1!$F$11:$F$310,102-COUNTA(半紙!$B$11:$B$310)-COUNTA(条幅!$B$11:$B$310)),"")))=0,"",IF(102&lt;=COUNTA(半紙!$B$11:$B$310),INDEX(半紙!$F$11:$F$310,102),IF(102&lt;=COUNTA(半紙!$B$11:$B$310)+COUNTA(条幅!$B$11:$B$310),INDEX(条幅!$F$11:$F$310,102-COUNTA(半紙!$B$11:$B$310)),IF(102&lt;=COUNTA(半紙!$B$11:$B$310)+COUNTA(条幅!$B$11:$B$310)+COUNTA(条幅4分の1!$B$11:$B$310),INDEX(条幅4分の1!$F$11:$F$310,102-COUNTA(半紙!$B$11:$B$310)-COUNTA(条幅!$B$11:$B$310)),""))))</f>
        <v/>
      </c>
      <c r="G107" s="38" t="str">
        <f>IF(IF(102&lt;=COUNTA(半紙!$B$11:$B$310),INDEX(半紙!$G$11:$G$310,102),IF(102&lt;=COUNTA(半紙!$B$11:$B$310)+COUNTA(条幅!$B$11:$B$310),INDEX(条幅!$G$11:$G$310,102-COUNTA(半紙!$B$11:$B$310)),IF(102&lt;=COUNTA(半紙!$B$11:$B$310)+COUNTA(条幅!$B$11:$B$310)+COUNTA(条幅4分の1!$B$11:$B$310),INDEX(条幅4分の1!$G$11:$G$310,102-COUNTA(半紙!$B$11:$B$310)-COUNTA(条幅!$B$11:$B$310)),"")))=0,"",IF(102&lt;=COUNTA(半紙!$B$11:$B$310),INDEX(半紙!$G$11:$G$310,102),IF(102&lt;=COUNTA(半紙!$B$11:$B$310)+COUNTA(条幅!$B$11:$B$310),INDEX(条幅!$G$11:$G$310,102-COUNTA(半紙!$B$11:$B$310)),IF(102&lt;=COUNTA(半紙!$B$11:$B$310)+COUNTA(条幅!$B$11:$B$310)+COUNTA(条幅4分の1!$B$11:$B$310),INDEX(条幅4分の1!$G$11:$G$310,102-COUNTA(半紙!$B$11:$B$310)-COUNTA(条幅!$B$11:$B$310)),""))))</f>
        <v/>
      </c>
      <c r="H107" s="38" t="str">
        <f>IF(IF(102&lt;=COUNTA(半紙!$B$11:$B$310),INDEX(半紙!$H$11:$H$310,102),IF(102&lt;=COUNTA(半紙!$B$11:$B$310)+COUNTA(条幅!$B$11:$B$310),INDEX(条幅!$H$11:$H$310,102-COUNTA(半紙!$B$11:$B$310)),IF(102&lt;=COUNTA(半紙!$B$11:$B$310)+COUNTA(条幅!$B$11:$B$310)+COUNTA(条幅4分の1!$B$11:$B$310),INDEX(条幅4分の1!$H$11:$H$310,102-COUNTA(半紙!$B$11:$B$310)-COUNTA(条幅!$B$11:$B$310)),"")))=0,"",IF(102&lt;=COUNTA(半紙!$B$11:$B$310),INDEX(半紙!$H$11:$H$310,102),IF(102&lt;=COUNTA(半紙!$B$11:$B$310)+COUNTA(条幅!$B$11:$B$310),INDEX(条幅!$H$11:$H$310,102-COUNTA(半紙!$B$11:$B$310)),IF(102&lt;=COUNTA(半紙!$B$11:$B$310)+COUNTA(条幅!$B$11:$B$310)+COUNTA(条幅4分の1!$B$11:$B$310),INDEX(条幅4分の1!$H$11:$H$310,102-COUNTA(半紙!$B$11:$B$310)-COUNTA(条幅!$B$11:$B$310)),""))))</f>
        <v/>
      </c>
      <c r="I107" s="38" t="str">
        <f>IF(IF(102&lt;=COUNTA(半紙!$B$11:$B$310),INDEX(半紙!$I$11:$I$310,102),IF(102&lt;=COUNTA(半紙!$B$11:$B$310)+COUNTA(条幅!$B$11:$B$310),INDEX(条幅!$I$11:$I$310,102-COUNTA(半紙!$B$11:$B$310)),IF(102&lt;=COUNTA(半紙!$B$11:$B$310)+COUNTA(条幅!$B$11:$B$310)+COUNTA(条幅4分の1!$B$11:$B$310),INDEX(条幅4分の1!$I$11:$I$310,102-COUNTA(半紙!$B$11:$B$310)-COUNTA(条幅!$B$11:$B$310)),"")))=0,"",IF(102&lt;=COUNTA(半紙!$B$11:$B$310),INDEX(半紙!$I$11:$I$310,102),IF(102&lt;=COUNTA(半紙!$B$11:$B$310)+COUNTA(条幅!$B$11:$B$310),INDEX(条幅!$I$11:$I$310,102-COUNTA(半紙!$B$11:$B$310)),IF(102&lt;=COUNTA(半紙!$B$11:$B$310)+COUNTA(条幅!$B$11:$B$310)+COUNTA(条幅4分の1!$B$11:$B$310),INDEX(条幅4分の1!$I$11:$I$310,102-COUNTA(半紙!$B$11:$B$310)-COUNTA(条幅!$B$11:$B$310)),""))))</f>
        <v/>
      </c>
      <c r="J107" s="38" t="str">
        <f>IF(IF(102&lt;=COUNTA(半紙!$B$11:$B$310),INDEX(半紙!$J$11:$J$310,102),IF(102&lt;=COUNTA(半紙!$B$11:$B$310)+COUNTA(条幅!$B$11:$B$310),INDEX(条幅!$J$11:$J$310,102-COUNTA(半紙!$B$11:$B$310)),IF(102&lt;=COUNTA(半紙!$B$11:$B$310)+COUNTA(条幅!$B$11:$B$310)+COUNTA(条幅4分の1!$B$11:$B$310),INDEX(条幅4分の1!$J$11:$J$310,102-COUNTA(半紙!$B$11:$B$310)-COUNTA(条幅!$B$11:$B$310)),"")))=0,"",IF(102&lt;=COUNTA(半紙!$B$11:$B$310),INDEX(半紙!$J$11:$J$310,102),IF(102&lt;=COUNTA(半紙!$B$11:$B$310)+COUNTA(条幅!$B$11:$B$310),INDEX(条幅!$J$11:$J$310,102-COUNTA(半紙!$B$11:$B$310)),IF(102&lt;=COUNTA(半紙!$B$11:$B$310)+COUNTA(条幅!$B$11:$B$310)+COUNTA(条幅4分の1!$B$11:$B$310),INDEX(条幅4分の1!$J$11:$J$310,102-COUNTA(半紙!$B$11:$B$310)-COUNTA(条幅!$B$11:$B$310)),""))))</f>
        <v/>
      </c>
      <c r="K107" s="38" t="str">
        <f>IF(IF(102&lt;=COUNTA(半紙!$B$11:$B$310),INDEX(半紙!$K$11:$K$310,102),IF(102&lt;=COUNTA(半紙!$B$11:$B$310)+COUNTA(条幅!$B$11:$B$310),INDEX(条幅!$K$11:$K$310,102-COUNTA(半紙!$B$11:$B$310)),IF(102&lt;=COUNTA(半紙!$B$11:$B$310)+COUNTA(条幅!$B$11:$B$310)+COUNTA(条幅4分の1!$B$11:$B$310),INDEX(条幅4分の1!$K$11:$K$310,102-COUNTA(半紙!$B$11:$B$310)-COUNTA(条幅!$B$11:$B$310)),"")))=0,"",IF(102&lt;=COUNTA(半紙!$B$11:$B$310),INDEX(半紙!$K$11:$K$310,102),IF(102&lt;=COUNTA(半紙!$B$11:$B$310)+COUNTA(条幅!$B$11:$B$310),INDEX(条幅!$K$11:$K$310,102-COUNTA(半紙!$B$11:$B$310)),IF(102&lt;=COUNTA(半紙!$B$11:$B$310)+COUNTA(条幅!$B$11:$B$310)+COUNTA(条幅4分の1!$B$11:$B$310),INDEX(条幅4分の1!$K$11:$K$310,102-COUNTA(半紙!$B$11:$B$310)-COUNTA(条幅!$B$11:$B$310)),""))))</f>
        <v/>
      </c>
      <c r="L107" s="48" t="str">
        <f>IF($B107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102))</f>
        <v/>
      </c>
    </row>
    <row r="108" spans="1:12" ht="15" customHeight="1">
      <c r="A108" s="37" t="str">
        <f>IF(103&lt;=COUNTA(半紙!$B$11:$B$310),"半紙",IF(103&lt;=COUNTA(半紙!$B$11:$B$310)+COUNTA(条幅!$B$11:$B$310),"条幅(半切)",IF(103&lt;=COUNTA(半紙!$B$11:$B$310)+COUNTA(条幅!$B$11:$B$310)+COUNTA(条幅4分の1!$B$11:$B$310),"条幅(1/4)","")))</f>
        <v/>
      </c>
      <c r="B108" s="38" t="str">
        <f>IF(IF(103&lt;=COUNTA(半紙!$B$11:$B$310),INDEX(半紙!$B$11:$B$310,103),IF(103&lt;=COUNTA(半紙!$B$11:$B$310)+COUNTA(条幅!$B$11:$B$310),INDEX(条幅!$B$11:$B$310,103-COUNTA(半紙!$B$11:$B$310)),IF(103&lt;=COUNTA(半紙!$B$11:$B$310)+COUNTA(条幅!$B$11:$B$310)+COUNTA(条幅4分の1!$B$11:$B$310),INDEX(条幅4分の1!$B$11:$B$310,103-COUNTA(半紙!$B$11:$B$310)-COUNTA(条幅!$B$11:$B$310)),"")))=0,"",IF(103&lt;=COUNTA(半紙!$B$11:$B$310),INDEX(半紙!$B$11:$B$310,103),IF(103&lt;=COUNTA(半紙!$B$11:$B$310)+COUNTA(条幅!$B$11:$B$310),INDEX(条幅!$B$11:$B$310,103-COUNTA(半紙!$B$11:$B$310)),IF(103&lt;=COUNTA(半紙!$B$11:$B$310)+COUNTA(条幅!$B$11:$B$310)+COUNTA(条幅4分の1!$B$11:$B$310),INDEX(条幅4分の1!$B$11:$B$310,103-COUNTA(半紙!$B$11:$B$310)-COUNTA(条幅!$B$11:$B$310)),""))))</f>
        <v/>
      </c>
      <c r="C108" s="38" t="str">
        <f>IF(IF(103&lt;=COUNTA(半紙!$B$11:$B$310),INDEX(半紙!$C$11:$C$310,103),IF(103&lt;=COUNTA(半紙!$B$11:$B$310)+COUNTA(条幅!$B$11:$B$310),INDEX(条幅!$C$11:$C$310,103-COUNTA(半紙!$B$11:$B$310)),IF(103&lt;=COUNTA(半紙!$B$11:$B$310)+COUNTA(条幅!$B$11:$B$310)+COUNTA(条幅4分の1!$B$11:$B$310),INDEX(条幅4分の1!$C$11:$C$310,103-COUNTA(半紙!$B$11:$B$310)-COUNTA(条幅!$B$11:$B$310)),"")))=0,"",IF(103&lt;=COUNTA(半紙!$B$11:$B$310),INDEX(半紙!$C$11:$C$310,103),IF(103&lt;=COUNTA(半紙!$B$11:$B$310)+COUNTA(条幅!$B$11:$B$310),INDEX(条幅!$C$11:$C$310,103-COUNTA(半紙!$B$11:$B$310)),IF(103&lt;=COUNTA(半紙!$B$11:$B$310)+COUNTA(条幅!$B$11:$B$310)+COUNTA(条幅4分の1!$B$11:$B$310),INDEX(条幅4分の1!$C$11:$C$310,103-COUNTA(半紙!$B$11:$B$310)-COUNTA(条幅!$B$11:$B$310)),""))))</f>
        <v/>
      </c>
      <c r="D108" s="38" t="str">
        <f>IF(IF(103&lt;=COUNTA(半紙!$B$11:$B$310),INDEX(半紙!$D$11:$D$310,103),IF(103&lt;=COUNTA(半紙!$B$11:$B$310)+COUNTA(条幅!$B$11:$B$310),INDEX(条幅!$D$11:$D$310,103-COUNTA(半紙!$B$11:$B$310)),IF(103&lt;=COUNTA(半紙!$B$11:$B$310)+COUNTA(条幅!$B$11:$B$310)+COUNTA(条幅4分の1!$B$11:$B$310),INDEX(条幅4分の1!$D$11:$D$310,103-COUNTA(半紙!$B$11:$B$310)-COUNTA(条幅!$B$11:$B$310)),"")))=0,"",IF(103&lt;=COUNTA(半紙!$B$11:$B$310),INDEX(半紙!$D$11:$D$310,103),IF(103&lt;=COUNTA(半紙!$B$11:$B$310)+COUNTA(条幅!$B$11:$B$310),INDEX(条幅!$D$11:$D$310,103-COUNTA(半紙!$B$11:$B$310)),IF(103&lt;=COUNTA(半紙!$B$11:$B$310)+COUNTA(条幅!$B$11:$B$310)+COUNTA(条幅4分の1!$B$11:$B$310),INDEX(条幅4分の1!$D$11:$D$310,103-COUNTA(半紙!$B$11:$B$310)-COUNTA(条幅!$B$11:$B$310)),""))))</f>
        <v/>
      </c>
      <c r="E108" s="38" t="str">
        <f>IF(IF(103&lt;=COUNTA(半紙!$B$11:$B$310),INDEX(半紙!$E$11:$E$310,103),IF(103&lt;=COUNTA(半紙!$B$11:$B$310)+COUNTA(条幅!$B$11:$B$310),INDEX(条幅!$E$11:$E$310,103-COUNTA(半紙!$B$11:$B$310)),IF(103&lt;=COUNTA(半紙!$B$11:$B$310)+COUNTA(条幅!$B$11:$B$310)+COUNTA(条幅4分の1!$B$11:$B$310),INDEX(条幅4分の1!$E$11:$E$310,103-COUNTA(半紙!$B$11:$B$310)-COUNTA(条幅!$B$11:$B$310)),"")))=0,"",IF(103&lt;=COUNTA(半紙!$B$11:$B$310),INDEX(半紙!$E$11:$E$310,103),IF(103&lt;=COUNTA(半紙!$B$11:$B$310)+COUNTA(条幅!$B$11:$B$310),INDEX(条幅!$E$11:$E$310,103-COUNTA(半紙!$B$11:$B$310)),IF(103&lt;=COUNTA(半紙!$B$11:$B$310)+COUNTA(条幅!$B$11:$B$310)+COUNTA(条幅4分の1!$B$11:$B$310),INDEX(条幅4分の1!$E$11:$E$310,103-COUNTA(半紙!$B$11:$B$310)-COUNTA(条幅!$B$11:$B$310)),""))))</f>
        <v/>
      </c>
      <c r="F108" s="38" t="str">
        <f>IF(IF(103&lt;=COUNTA(半紙!$B$11:$B$310),INDEX(半紙!$F$11:$F$310,103),IF(103&lt;=COUNTA(半紙!$B$11:$B$310)+COUNTA(条幅!$B$11:$B$310),INDEX(条幅!$F$11:$F$310,103-COUNTA(半紙!$B$11:$B$310)),IF(103&lt;=COUNTA(半紙!$B$11:$B$310)+COUNTA(条幅!$B$11:$B$310)+COUNTA(条幅4分の1!$B$11:$B$310),INDEX(条幅4分の1!$F$11:$F$310,103-COUNTA(半紙!$B$11:$B$310)-COUNTA(条幅!$B$11:$B$310)),"")))=0,"",IF(103&lt;=COUNTA(半紙!$B$11:$B$310),INDEX(半紙!$F$11:$F$310,103),IF(103&lt;=COUNTA(半紙!$B$11:$B$310)+COUNTA(条幅!$B$11:$B$310),INDEX(条幅!$F$11:$F$310,103-COUNTA(半紙!$B$11:$B$310)),IF(103&lt;=COUNTA(半紙!$B$11:$B$310)+COUNTA(条幅!$B$11:$B$310)+COUNTA(条幅4分の1!$B$11:$B$310),INDEX(条幅4分の1!$F$11:$F$310,103-COUNTA(半紙!$B$11:$B$310)-COUNTA(条幅!$B$11:$B$310)),""))))</f>
        <v/>
      </c>
      <c r="G108" s="38" t="str">
        <f>IF(IF(103&lt;=COUNTA(半紙!$B$11:$B$310),INDEX(半紙!$G$11:$G$310,103),IF(103&lt;=COUNTA(半紙!$B$11:$B$310)+COUNTA(条幅!$B$11:$B$310),INDEX(条幅!$G$11:$G$310,103-COUNTA(半紙!$B$11:$B$310)),IF(103&lt;=COUNTA(半紙!$B$11:$B$310)+COUNTA(条幅!$B$11:$B$310)+COUNTA(条幅4分の1!$B$11:$B$310),INDEX(条幅4分の1!$G$11:$G$310,103-COUNTA(半紙!$B$11:$B$310)-COUNTA(条幅!$B$11:$B$310)),"")))=0,"",IF(103&lt;=COUNTA(半紙!$B$11:$B$310),INDEX(半紙!$G$11:$G$310,103),IF(103&lt;=COUNTA(半紙!$B$11:$B$310)+COUNTA(条幅!$B$11:$B$310),INDEX(条幅!$G$11:$G$310,103-COUNTA(半紙!$B$11:$B$310)),IF(103&lt;=COUNTA(半紙!$B$11:$B$310)+COUNTA(条幅!$B$11:$B$310)+COUNTA(条幅4分の1!$B$11:$B$310),INDEX(条幅4分の1!$G$11:$G$310,103-COUNTA(半紙!$B$11:$B$310)-COUNTA(条幅!$B$11:$B$310)),""))))</f>
        <v/>
      </c>
      <c r="H108" s="38" t="str">
        <f>IF(IF(103&lt;=COUNTA(半紙!$B$11:$B$310),INDEX(半紙!$H$11:$H$310,103),IF(103&lt;=COUNTA(半紙!$B$11:$B$310)+COUNTA(条幅!$B$11:$B$310),INDEX(条幅!$H$11:$H$310,103-COUNTA(半紙!$B$11:$B$310)),IF(103&lt;=COUNTA(半紙!$B$11:$B$310)+COUNTA(条幅!$B$11:$B$310)+COUNTA(条幅4分の1!$B$11:$B$310),INDEX(条幅4分の1!$H$11:$H$310,103-COUNTA(半紙!$B$11:$B$310)-COUNTA(条幅!$B$11:$B$310)),"")))=0,"",IF(103&lt;=COUNTA(半紙!$B$11:$B$310),INDEX(半紙!$H$11:$H$310,103),IF(103&lt;=COUNTA(半紙!$B$11:$B$310)+COUNTA(条幅!$B$11:$B$310),INDEX(条幅!$H$11:$H$310,103-COUNTA(半紙!$B$11:$B$310)),IF(103&lt;=COUNTA(半紙!$B$11:$B$310)+COUNTA(条幅!$B$11:$B$310)+COUNTA(条幅4分の1!$B$11:$B$310),INDEX(条幅4分の1!$H$11:$H$310,103-COUNTA(半紙!$B$11:$B$310)-COUNTA(条幅!$B$11:$B$310)),""))))</f>
        <v/>
      </c>
      <c r="I108" s="38" t="str">
        <f>IF(IF(103&lt;=COUNTA(半紙!$B$11:$B$310),INDEX(半紙!$I$11:$I$310,103),IF(103&lt;=COUNTA(半紙!$B$11:$B$310)+COUNTA(条幅!$B$11:$B$310),INDEX(条幅!$I$11:$I$310,103-COUNTA(半紙!$B$11:$B$310)),IF(103&lt;=COUNTA(半紙!$B$11:$B$310)+COUNTA(条幅!$B$11:$B$310)+COUNTA(条幅4分の1!$B$11:$B$310),INDEX(条幅4分の1!$I$11:$I$310,103-COUNTA(半紙!$B$11:$B$310)-COUNTA(条幅!$B$11:$B$310)),"")))=0,"",IF(103&lt;=COUNTA(半紙!$B$11:$B$310),INDEX(半紙!$I$11:$I$310,103),IF(103&lt;=COUNTA(半紙!$B$11:$B$310)+COUNTA(条幅!$B$11:$B$310),INDEX(条幅!$I$11:$I$310,103-COUNTA(半紙!$B$11:$B$310)),IF(103&lt;=COUNTA(半紙!$B$11:$B$310)+COUNTA(条幅!$B$11:$B$310)+COUNTA(条幅4分の1!$B$11:$B$310),INDEX(条幅4分の1!$I$11:$I$310,103-COUNTA(半紙!$B$11:$B$310)-COUNTA(条幅!$B$11:$B$310)),""))))</f>
        <v/>
      </c>
      <c r="J108" s="38" t="str">
        <f>IF(IF(103&lt;=COUNTA(半紙!$B$11:$B$310),INDEX(半紙!$J$11:$J$310,103),IF(103&lt;=COUNTA(半紙!$B$11:$B$310)+COUNTA(条幅!$B$11:$B$310),INDEX(条幅!$J$11:$J$310,103-COUNTA(半紙!$B$11:$B$310)),IF(103&lt;=COUNTA(半紙!$B$11:$B$310)+COUNTA(条幅!$B$11:$B$310)+COUNTA(条幅4分の1!$B$11:$B$310),INDEX(条幅4分の1!$J$11:$J$310,103-COUNTA(半紙!$B$11:$B$310)-COUNTA(条幅!$B$11:$B$310)),"")))=0,"",IF(103&lt;=COUNTA(半紙!$B$11:$B$310),INDEX(半紙!$J$11:$J$310,103),IF(103&lt;=COUNTA(半紙!$B$11:$B$310)+COUNTA(条幅!$B$11:$B$310),INDEX(条幅!$J$11:$J$310,103-COUNTA(半紙!$B$11:$B$310)),IF(103&lt;=COUNTA(半紙!$B$11:$B$310)+COUNTA(条幅!$B$11:$B$310)+COUNTA(条幅4分の1!$B$11:$B$310),INDEX(条幅4分の1!$J$11:$J$310,103-COUNTA(半紙!$B$11:$B$310)-COUNTA(条幅!$B$11:$B$310)),""))))</f>
        <v/>
      </c>
      <c r="K108" s="38" t="str">
        <f>IF(IF(103&lt;=COUNTA(半紙!$B$11:$B$310),INDEX(半紙!$K$11:$K$310,103),IF(103&lt;=COUNTA(半紙!$B$11:$B$310)+COUNTA(条幅!$B$11:$B$310),INDEX(条幅!$K$11:$K$310,103-COUNTA(半紙!$B$11:$B$310)),IF(103&lt;=COUNTA(半紙!$B$11:$B$310)+COUNTA(条幅!$B$11:$B$310)+COUNTA(条幅4分の1!$B$11:$B$310),INDEX(条幅4分の1!$K$11:$K$310,103-COUNTA(半紙!$B$11:$B$310)-COUNTA(条幅!$B$11:$B$310)),"")))=0,"",IF(103&lt;=COUNTA(半紙!$B$11:$B$310),INDEX(半紙!$K$11:$K$310,103),IF(103&lt;=COUNTA(半紙!$B$11:$B$310)+COUNTA(条幅!$B$11:$B$310),INDEX(条幅!$K$11:$K$310,103-COUNTA(半紙!$B$11:$B$310)),IF(103&lt;=COUNTA(半紙!$B$11:$B$310)+COUNTA(条幅!$B$11:$B$310)+COUNTA(条幅4分の1!$B$11:$B$310),INDEX(条幅4分の1!$K$11:$K$310,103-COUNTA(半紙!$B$11:$B$310)-COUNTA(条幅!$B$11:$B$310)),""))))</f>
        <v/>
      </c>
      <c r="L108" s="48" t="str">
        <f>IF($B108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103))</f>
        <v/>
      </c>
    </row>
    <row r="109" spans="1:12" ht="15" customHeight="1">
      <c r="A109" s="37" t="str">
        <f>IF(104&lt;=COUNTA(半紙!$B$11:$B$310),"半紙",IF(104&lt;=COUNTA(半紙!$B$11:$B$310)+COUNTA(条幅!$B$11:$B$310),"条幅(半切)",IF(104&lt;=COUNTA(半紙!$B$11:$B$310)+COUNTA(条幅!$B$11:$B$310)+COUNTA(条幅4分の1!$B$11:$B$310),"条幅(1/4)","")))</f>
        <v/>
      </c>
      <c r="B109" s="38" t="str">
        <f>IF(IF(104&lt;=COUNTA(半紙!$B$11:$B$310),INDEX(半紙!$B$11:$B$310,104),IF(104&lt;=COUNTA(半紙!$B$11:$B$310)+COUNTA(条幅!$B$11:$B$310),INDEX(条幅!$B$11:$B$310,104-COUNTA(半紙!$B$11:$B$310)),IF(104&lt;=COUNTA(半紙!$B$11:$B$310)+COUNTA(条幅!$B$11:$B$310)+COUNTA(条幅4分の1!$B$11:$B$310),INDEX(条幅4分の1!$B$11:$B$310,104-COUNTA(半紙!$B$11:$B$310)-COUNTA(条幅!$B$11:$B$310)),"")))=0,"",IF(104&lt;=COUNTA(半紙!$B$11:$B$310),INDEX(半紙!$B$11:$B$310,104),IF(104&lt;=COUNTA(半紙!$B$11:$B$310)+COUNTA(条幅!$B$11:$B$310),INDEX(条幅!$B$11:$B$310,104-COUNTA(半紙!$B$11:$B$310)),IF(104&lt;=COUNTA(半紙!$B$11:$B$310)+COUNTA(条幅!$B$11:$B$310)+COUNTA(条幅4分の1!$B$11:$B$310),INDEX(条幅4分の1!$B$11:$B$310,104-COUNTA(半紙!$B$11:$B$310)-COUNTA(条幅!$B$11:$B$310)),""))))</f>
        <v/>
      </c>
      <c r="C109" s="38" t="str">
        <f>IF(IF(104&lt;=COUNTA(半紙!$B$11:$B$310),INDEX(半紙!$C$11:$C$310,104),IF(104&lt;=COUNTA(半紙!$B$11:$B$310)+COUNTA(条幅!$B$11:$B$310),INDEX(条幅!$C$11:$C$310,104-COUNTA(半紙!$B$11:$B$310)),IF(104&lt;=COUNTA(半紙!$B$11:$B$310)+COUNTA(条幅!$B$11:$B$310)+COUNTA(条幅4分の1!$B$11:$B$310),INDEX(条幅4分の1!$C$11:$C$310,104-COUNTA(半紙!$B$11:$B$310)-COUNTA(条幅!$B$11:$B$310)),"")))=0,"",IF(104&lt;=COUNTA(半紙!$B$11:$B$310),INDEX(半紙!$C$11:$C$310,104),IF(104&lt;=COUNTA(半紙!$B$11:$B$310)+COUNTA(条幅!$B$11:$B$310),INDEX(条幅!$C$11:$C$310,104-COUNTA(半紙!$B$11:$B$310)),IF(104&lt;=COUNTA(半紙!$B$11:$B$310)+COUNTA(条幅!$B$11:$B$310)+COUNTA(条幅4分の1!$B$11:$B$310),INDEX(条幅4分の1!$C$11:$C$310,104-COUNTA(半紙!$B$11:$B$310)-COUNTA(条幅!$B$11:$B$310)),""))))</f>
        <v/>
      </c>
      <c r="D109" s="38" t="str">
        <f>IF(IF(104&lt;=COUNTA(半紙!$B$11:$B$310),INDEX(半紙!$D$11:$D$310,104),IF(104&lt;=COUNTA(半紙!$B$11:$B$310)+COUNTA(条幅!$B$11:$B$310),INDEX(条幅!$D$11:$D$310,104-COUNTA(半紙!$B$11:$B$310)),IF(104&lt;=COUNTA(半紙!$B$11:$B$310)+COUNTA(条幅!$B$11:$B$310)+COUNTA(条幅4分の1!$B$11:$B$310),INDEX(条幅4分の1!$D$11:$D$310,104-COUNTA(半紙!$B$11:$B$310)-COUNTA(条幅!$B$11:$B$310)),"")))=0,"",IF(104&lt;=COUNTA(半紙!$B$11:$B$310),INDEX(半紙!$D$11:$D$310,104),IF(104&lt;=COUNTA(半紙!$B$11:$B$310)+COUNTA(条幅!$B$11:$B$310),INDEX(条幅!$D$11:$D$310,104-COUNTA(半紙!$B$11:$B$310)),IF(104&lt;=COUNTA(半紙!$B$11:$B$310)+COUNTA(条幅!$B$11:$B$310)+COUNTA(条幅4分の1!$B$11:$B$310),INDEX(条幅4分の1!$D$11:$D$310,104-COUNTA(半紙!$B$11:$B$310)-COUNTA(条幅!$B$11:$B$310)),""))))</f>
        <v/>
      </c>
      <c r="E109" s="38" t="str">
        <f>IF(IF(104&lt;=COUNTA(半紙!$B$11:$B$310),INDEX(半紙!$E$11:$E$310,104),IF(104&lt;=COUNTA(半紙!$B$11:$B$310)+COUNTA(条幅!$B$11:$B$310),INDEX(条幅!$E$11:$E$310,104-COUNTA(半紙!$B$11:$B$310)),IF(104&lt;=COUNTA(半紙!$B$11:$B$310)+COUNTA(条幅!$B$11:$B$310)+COUNTA(条幅4分の1!$B$11:$B$310),INDEX(条幅4分の1!$E$11:$E$310,104-COUNTA(半紙!$B$11:$B$310)-COUNTA(条幅!$B$11:$B$310)),"")))=0,"",IF(104&lt;=COUNTA(半紙!$B$11:$B$310),INDEX(半紙!$E$11:$E$310,104),IF(104&lt;=COUNTA(半紙!$B$11:$B$310)+COUNTA(条幅!$B$11:$B$310),INDEX(条幅!$E$11:$E$310,104-COUNTA(半紙!$B$11:$B$310)),IF(104&lt;=COUNTA(半紙!$B$11:$B$310)+COUNTA(条幅!$B$11:$B$310)+COUNTA(条幅4分の1!$B$11:$B$310),INDEX(条幅4分の1!$E$11:$E$310,104-COUNTA(半紙!$B$11:$B$310)-COUNTA(条幅!$B$11:$B$310)),""))))</f>
        <v/>
      </c>
      <c r="F109" s="38" t="str">
        <f>IF(IF(104&lt;=COUNTA(半紙!$B$11:$B$310),INDEX(半紙!$F$11:$F$310,104),IF(104&lt;=COUNTA(半紙!$B$11:$B$310)+COUNTA(条幅!$B$11:$B$310),INDEX(条幅!$F$11:$F$310,104-COUNTA(半紙!$B$11:$B$310)),IF(104&lt;=COUNTA(半紙!$B$11:$B$310)+COUNTA(条幅!$B$11:$B$310)+COUNTA(条幅4分の1!$B$11:$B$310),INDEX(条幅4分の1!$F$11:$F$310,104-COUNTA(半紙!$B$11:$B$310)-COUNTA(条幅!$B$11:$B$310)),"")))=0,"",IF(104&lt;=COUNTA(半紙!$B$11:$B$310),INDEX(半紙!$F$11:$F$310,104),IF(104&lt;=COUNTA(半紙!$B$11:$B$310)+COUNTA(条幅!$B$11:$B$310),INDEX(条幅!$F$11:$F$310,104-COUNTA(半紙!$B$11:$B$310)),IF(104&lt;=COUNTA(半紙!$B$11:$B$310)+COUNTA(条幅!$B$11:$B$310)+COUNTA(条幅4分の1!$B$11:$B$310),INDEX(条幅4分の1!$F$11:$F$310,104-COUNTA(半紙!$B$11:$B$310)-COUNTA(条幅!$B$11:$B$310)),""))))</f>
        <v/>
      </c>
      <c r="G109" s="38" t="str">
        <f>IF(IF(104&lt;=COUNTA(半紙!$B$11:$B$310),INDEX(半紙!$G$11:$G$310,104),IF(104&lt;=COUNTA(半紙!$B$11:$B$310)+COUNTA(条幅!$B$11:$B$310),INDEX(条幅!$G$11:$G$310,104-COUNTA(半紙!$B$11:$B$310)),IF(104&lt;=COUNTA(半紙!$B$11:$B$310)+COUNTA(条幅!$B$11:$B$310)+COUNTA(条幅4分の1!$B$11:$B$310),INDEX(条幅4分の1!$G$11:$G$310,104-COUNTA(半紙!$B$11:$B$310)-COUNTA(条幅!$B$11:$B$310)),"")))=0,"",IF(104&lt;=COUNTA(半紙!$B$11:$B$310),INDEX(半紙!$G$11:$G$310,104),IF(104&lt;=COUNTA(半紙!$B$11:$B$310)+COUNTA(条幅!$B$11:$B$310),INDEX(条幅!$G$11:$G$310,104-COUNTA(半紙!$B$11:$B$310)),IF(104&lt;=COUNTA(半紙!$B$11:$B$310)+COUNTA(条幅!$B$11:$B$310)+COUNTA(条幅4分の1!$B$11:$B$310),INDEX(条幅4分の1!$G$11:$G$310,104-COUNTA(半紙!$B$11:$B$310)-COUNTA(条幅!$B$11:$B$310)),""))))</f>
        <v/>
      </c>
      <c r="H109" s="38" t="str">
        <f>IF(IF(104&lt;=COUNTA(半紙!$B$11:$B$310),INDEX(半紙!$H$11:$H$310,104),IF(104&lt;=COUNTA(半紙!$B$11:$B$310)+COUNTA(条幅!$B$11:$B$310),INDEX(条幅!$H$11:$H$310,104-COUNTA(半紙!$B$11:$B$310)),IF(104&lt;=COUNTA(半紙!$B$11:$B$310)+COUNTA(条幅!$B$11:$B$310)+COUNTA(条幅4分の1!$B$11:$B$310),INDEX(条幅4分の1!$H$11:$H$310,104-COUNTA(半紙!$B$11:$B$310)-COUNTA(条幅!$B$11:$B$310)),"")))=0,"",IF(104&lt;=COUNTA(半紙!$B$11:$B$310),INDEX(半紙!$H$11:$H$310,104),IF(104&lt;=COUNTA(半紙!$B$11:$B$310)+COUNTA(条幅!$B$11:$B$310),INDEX(条幅!$H$11:$H$310,104-COUNTA(半紙!$B$11:$B$310)),IF(104&lt;=COUNTA(半紙!$B$11:$B$310)+COUNTA(条幅!$B$11:$B$310)+COUNTA(条幅4分の1!$B$11:$B$310),INDEX(条幅4分の1!$H$11:$H$310,104-COUNTA(半紙!$B$11:$B$310)-COUNTA(条幅!$B$11:$B$310)),""))))</f>
        <v/>
      </c>
      <c r="I109" s="38" t="str">
        <f>IF(IF(104&lt;=COUNTA(半紙!$B$11:$B$310),INDEX(半紙!$I$11:$I$310,104),IF(104&lt;=COUNTA(半紙!$B$11:$B$310)+COUNTA(条幅!$B$11:$B$310),INDEX(条幅!$I$11:$I$310,104-COUNTA(半紙!$B$11:$B$310)),IF(104&lt;=COUNTA(半紙!$B$11:$B$310)+COUNTA(条幅!$B$11:$B$310)+COUNTA(条幅4分の1!$B$11:$B$310),INDEX(条幅4分の1!$I$11:$I$310,104-COUNTA(半紙!$B$11:$B$310)-COUNTA(条幅!$B$11:$B$310)),"")))=0,"",IF(104&lt;=COUNTA(半紙!$B$11:$B$310),INDEX(半紙!$I$11:$I$310,104),IF(104&lt;=COUNTA(半紙!$B$11:$B$310)+COUNTA(条幅!$B$11:$B$310),INDEX(条幅!$I$11:$I$310,104-COUNTA(半紙!$B$11:$B$310)),IF(104&lt;=COUNTA(半紙!$B$11:$B$310)+COUNTA(条幅!$B$11:$B$310)+COUNTA(条幅4分の1!$B$11:$B$310),INDEX(条幅4分の1!$I$11:$I$310,104-COUNTA(半紙!$B$11:$B$310)-COUNTA(条幅!$B$11:$B$310)),""))))</f>
        <v/>
      </c>
      <c r="J109" s="38" t="str">
        <f>IF(IF(104&lt;=COUNTA(半紙!$B$11:$B$310),INDEX(半紙!$J$11:$J$310,104),IF(104&lt;=COUNTA(半紙!$B$11:$B$310)+COUNTA(条幅!$B$11:$B$310),INDEX(条幅!$J$11:$J$310,104-COUNTA(半紙!$B$11:$B$310)),IF(104&lt;=COUNTA(半紙!$B$11:$B$310)+COUNTA(条幅!$B$11:$B$310)+COUNTA(条幅4分の1!$B$11:$B$310),INDEX(条幅4分の1!$J$11:$J$310,104-COUNTA(半紙!$B$11:$B$310)-COUNTA(条幅!$B$11:$B$310)),"")))=0,"",IF(104&lt;=COUNTA(半紙!$B$11:$B$310),INDEX(半紙!$J$11:$J$310,104),IF(104&lt;=COUNTA(半紙!$B$11:$B$310)+COUNTA(条幅!$B$11:$B$310),INDEX(条幅!$J$11:$J$310,104-COUNTA(半紙!$B$11:$B$310)),IF(104&lt;=COUNTA(半紙!$B$11:$B$310)+COUNTA(条幅!$B$11:$B$310)+COUNTA(条幅4分の1!$B$11:$B$310),INDEX(条幅4分の1!$J$11:$J$310,104-COUNTA(半紙!$B$11:$B$310)-COUNTA(条幅!$B$11:$B$310)),""))))</f>
        <v/>
      </c>
      <c r="K109" s="38" t="str">
        <f>IF(IF(104&lt;=COUNTA(半紙!$B$11:$B$310),INDEX(半紙!$K$11:$K$310,104),IF(104&lt;=COUNTA(半紙!$B$11:$B$310)+COUNTA(条幅!$B$11:$B$310),INDEX(条幅!$K$11:$K$310,104-COUNTA(半紙!$B$11:$B$310)),IF(104&lt;=COUNTA(半紙!$B$11:$B$310)+COUNTA(条幅!$B$11:$B$310)+COUNTA(条幅4分の1!$B$11:$B$310),INDEX(条幅4分の1!$K$11:$K$310,104-COUNTA(半紙!$B$11:$B$310)-COUNTA(条幅!$B$11:$B$310)),"")))=0,"",IF(104&lt;=COUNTA(半紙!$B$11:$B$310),INDEX(半紙!$K$11:$K$310,104),IF(104&lt;=COUNTA(半紙!$B$11:$B$310)+COUNTA(条幅!$B$11:$B$310),INDEX(条幅!$K$11:$K$310,104-COUNTA(半紙!$B$11:$B$310)),IF(104&lt;=COUNTA(半紙!$B$11:$B$310)+COUNTA(条幅!$B$11:$B$310)+COUNTA(条幅4分の1!$B$11:$B$310),INDEX(条幅4分の1!$K$11:$K$310,104-COUNTA(半紙!$B$11:$B$310)-COUNTA(条幅!$B$11:$B$310)),""))))</f>
        <v/>
      </c>
      <c r="L109" s="48" t="str">
        <f>IF($B109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104))</f>
        <v/>
      </c>
    </row>
    <row r="110" spans="1:12" ht="15" customHeight="1">
      <c r="A110" s="37" t="str">
        <f>IF(105&lt;=COUNTA(半紙!$B$11:$B$310),"半紙",IF(105&lt;=COUNTA(半紙!$B$11:$B$310)+COUNTA(条幅!$B$11:$B$310),"条幅(半切)",IF(105&lt;=COUNTA(半紙!$B$11:$B$310)+COUNTA(条幅!$B$11:$B$310)+COUNTA(条幅4分の1!$B$11:$B$310),"条幅(1/4)","")))</f>
        <v/>
      </c>
      <c r="B110" s="38" t="str">
        <f>IF(IF(105&lt;=COUNTA(半紙!$B$11:$B$310),INDEX(半紙!$B$11:$B$310,105),IF(105&lt;=COUNTA(半紙!$B$11:$B$310)+COUNTA(条幅!$B$11:$B$310),INDEX(条幅!$B$11:$B$310,105-COUNTA(半紙!$B$11:$B$310)),IF(105&lt;=COUNTA(半紙!$B$11:$B$310)+COUNTA(条幅!$B$11:$B$310)+COUNTA(条幅4分の1!$B$11:$B$310),INDEX(条幅4分の1!$B$11:$B$310,105-COUNTA(半紙!$B$11:$B$310)-COUNTA(条幅!$B$11:$B$310)),"")))=0,"",IF(105&lt;=COUNTA(半紙!$B$11:$B$310),INDEX(半紙!$B$11:$B$310,105),IF(105&lt;=COUNTA(半紙!$B$11:$B$310)+COUNTA(条幅!$B$11:$B$310),INDEX(条幅!$B$11:$B$310,105-COUNTA(半紙!$B$11:$B$310)),IF(105&lt;=COUNTA(半紙!$B$11:$B$310)+COUNTA(条幅!$B$11:$B$310)+COUNTA(条幅4分の1!$B$11:$B$310),INDEX(条幅4分の1!$B$11:$B$310,105-COUNTA(半紙!$B$11:$B$310)-COUNTA(条幅!$B$11:$B$310)),""))))</f>
        <v/>
      </c>
      <c r="C110" s="38" t="str">
        <f>IF(IF(105&lt;=COUNTA(半紙!$B$11:$B$310),INDEX(半紙!$C$11:$C$310,105),IF(105&lt;=COUNTA(半紙!$B$11:$B$310)+COUNTA(条幅!$B$11:$B$310),INDEX(条幅!$C$11:$C$310,105-COUNTA(半紙!$B$11:$B$310)),IF(105&lt;=COUNTA(半紙!$B$11:$B$310)+COUNTA(条幅!$B$11:$B$310)+COUNTA(条幅4分の1!$B$11:$B$310),INDEX(条幅4分の1!$C$11:$C$310,105-COUNTA(半紙!$B$11:$B$310)-COUNTA(条幅!$B$11:$B$310)),"")))=0,"",IF(105&lt;=COUNTA(半紙!$B$11:$B$310),INDEX(半紙!$C$11:$C$310,105),IF(105&lt;=COUNTA(半紙!$B$11:$B$310)+COUNTA(条幅!$B$11:$B$310),INDEX(条幅!$C$11:$C$310,105-COUNTA(半紙!$B$11:$B$310)),IF(105&lt;=COUNTA(半紙!$B$11:$B$310)+COUNTA(条幅!$B$11:$B$310)+COUNTA(条幅4分の1!$B$11:$B$310),INDEX(条幅4分の1!$C$11:$C$310,105-COUNTA(半紙!$B$11:$B$310)-COUNTA(条幅!$B$11:$B$310)),""))))</f>
        <v/>
      </c>
      <c r="D110" s="38" t="str">
        <f>IF(IF(105&lt;=COUNTA(半紙!$B$11:$B$310),INDEX(半紙!$D$11:$D$310,105),IF(105&lt;=COUNTA(半紙!$B$11:$B$310)+COUNTA(条幅!$B$11:$B$310),INDEX(条幅!$D$11:$D$310,105-COUNTA(半紙!$B$11:$B$310)),IF(105&lt;=COUNTA(半紙!$B$11:$B$310)+COUNTA(条幅!$B$11:$B$310)+COUNTA(条幅4分の1!$B$11:$B$310),INDEX(条幅4分の1!$D$11:$D$310,105-COUNTA(半紙!$B$11:$B$310)-COUNTA(条幅!$B$11:$B$310)),"")))=0,"",IF(105&lt;=COUNTA(半紙!$B$11:$B$310),INDEX(半紙!$D$11:$D$310,105),IF(105&lt;=COUNTA(半紙!$B$11:$B$310)+COUNTA(条幅!$B$11:$B$310),INDEX(条幅!$D$11:$D$310,105-COUNTA(半紙!$B$11:$B$310)),IF(105&lt;=COUNTA(半紙!$B$11:$B$310)+COUNTA(条幅!$B$11:$B$310)+COUNTA(条幅4分の1!$B$11:$B$310),INDEX(条幅4分の1!$D$11:$D$310,105-COUNTA(半紙!$B$11:$B$310)-COUNTA(条幅!$B$11:$B$310)),""))))</f>
        <v/>
      </c>
      <c r="E110" s="38" t="str">
        <f>IF(IF(105&lt;=COUNTA(半紙!$B$11:$B$310),INDEX(半紙!$E$11:$E$310,105),IF(105&lt;=COUNTA(半紙!$B$11:$B$310)+COUNTA(条幅!$B$11:$B$310),INDEX(条幅!$E$11:$E$310,105-COUNTA(半紙!$B$11:$B$310)),IF(105&lt;=COUNTA(半紙!$B$11:$B$310)+COUNTA(条幅!$B$11:$B$310)+COUNTA(条幅4分の1!$B$11:$B$310),INDEX(条幅4分の1!$E$11:$E$310,105-COUNTA(半紙!$B$11:$B$310)-COUNTA(条幅!$B$11:$B$310)),"")))=0,"",IF(105&lt;=COUNTA(半紙!$B$11:$B$310),INDEX(半紙!$E$11:$E$310,105),IF(105&lt;=COUNTA(半紙!$B$11:$B$310)+COUNTA(条幅!$B$11:$B$310),INDEX(条幅!$E$11:$E$310,105-COUNTA(半紙!$B$11:$B$310)),IF(105&lt;=COUNTA(半紙!$B$11:$B$310)+COUNTA(条幅!$B$11:$B$310)+COUNTA(条幅4分の1!$B$11:$B$310),INDEX(条幅4分の1!$E$11:$E$310,105-COUNTA(半紙!$B$11:$B$310)-COUNTA(条幅!$B$11:$B$310)),""))))</f>
        <v/>
      </c>
      <c r="F110" s="38" t="str">
        <f>IF(IF(105&lt;=COUNTA(半紙!$B$11:$B$310),INDEX(半紙!$F$11:$F$310,105),IF(105&lt;=COUNTA(半紙!$B$11:$B$310)+COUNTA(条幅!$B$11:$B$310),INDEX(条幅!$F$11:$F$310,105-COUNTA(半紙!$B$11:$B$310)),IF(105&lt;=COUNTA(半紙!$B$11:$B$310)+COUNTA(条幅!$B$11:$B$310)+COUNTA(条幅4分の1!$B$11:$B$310),INDEX(条幅4分の1!$F$11:$F$310,105-COUNTA(半紙!$B$11:$B$310)-COUNTA(条幅!$B$11:$B$310)),"")))=0,"",IF(105&lt;=COUNTA(半紙!$B$11:$B$310),INDEX(半紙!$F$11:$F$310,105),IF(105&lt;=COUNTA(半紙!$B$11:$B$310)+COUNTA(条幅!$B$11:$B$310),INDEX(条幅!$F$11:$F$310,105-COUNTA(半紙!$B$11:$B$310)),IF(105&lt;=COUNTA(半紙!$B$11:$B$310)+COUNTA(条幅!$B$11:$B$310)+COUNTA(条幅4分の1!$B$11:$B$310),INDEX(条幅4分の1!$F$11:$F$310,105-COUNTA(半紙!$B$11:$B$310)-COUNTA(条幅!$B$11:$B$310)),""))))</f>
        <v/>
      </c>
      <c r="G110" s="38" t="str">
        <f>IF(IF(105&lt;=COUNTA(半紙!$B$11:$B$310),INDEX(半紙!$G$11:$G$310,105),IF(105&lt;=COUNTA(半紙!$B$11:$B$310)+COUNTA(条幅!$B$11:$B$310),INDEX(条幅!$G$11:$G$310,105-COUNTA(半紙!$B$11:$B$310)),IF(105&lt;=COUNTA(半紙!$B$11:$B$310)+COUNTA(条幅!$B$11:$B$310)+COUNTA(条幅4分の1!$B$11:$B$310),INDEX(条幅4分の1!$G$11:$G$310,105-COUNTA(半紙!$B$11:$B$310)-COUNTA(条幅!$B$11:$B$310)),"")))=0,"",IF(105&lt;=COUNTA(半紙!$B$11:$B$310),INDEX(半紙!$G$11:$G$310,105),IF(105&lt;=COUNTA(半紙!$B$11:$B$310)+COUNTA(条幅!$B$11:$B$310),INDEX(条幅!$G$11:$G$310,105-COUNTA(半紙!$B$11:$B$310)),IF(105&lt;=COUNTA(半紙!$B$11:$B$310)+COUNTA(条幅!$B$11:$B$310)+COUNTA(条幅4分の1!$B$11:$B$310),INDEX(条幅4分の1!$G$11:$G$310,105-COUNTA(半紙!$B$11:$B$310)-COUNTA(条幅!$B$11:$B$310)),""))))</f>
        <v/>
      </c>
      <c r="H110" s="38" t="str">
        <f>IF(IF(105&lt;=COUNTA(半紙!$B$11:$B$310),INDEX(半紙!$H$11:$H$310,105),IF(105&lt;=COUNTA(半紙!$B$11:$B$310)+COUNTA(条幅!$B$11:$B$310),INDEX(条幅!$H$11:$H$310,105-COUNTA(半紙!$B$11:$B$310)),IF(105&lt;=COUNTA(半紙!$B$11:$B$310)+COUNTA(条幅!$B$11:$B$310)+COUNTA(条幅4分の1!$B$11:$B$310),INDEX(条幅4分の1!$H$11:$H$310,105-COUNTA(半紙!$B$11:$B$310)-COUNTA(条幅!$B$11:$B$310)),"")))=0,"",IF(105&lt;=COUNTA(半紙!$B$11:$B$310),INDEX(半紙!$H$11:$H$310,105),IF(105&lt;=COUNTA(半紙!$B$11:$B$310)+COUNTA(条幅!$B$11:$B$310),INDEX(条幅!$H$11:$H$310,105-COUNTA(半紙!$B$11:$B$310)),IF(105&lt;=COUNTA(半紙!$B$11:$B$310)+COUNTA(条幅!$B$11:$B$310)+COUNTA(条幅4分の1!$B$11:$B$310),INDEX(条幅4分の1!$H$11:$H$310,105-COUNTA(半紙!$B$11:$B$310)-COUNTA(条幅!$B$11:$B$310)),""))))</f>
        <v/>
      </c>
      <c r="I110" s="38" t="str">
        <f>IF(IF(105&lt;=COUNTA(半紙!$B$11:$B$310),INDEX(半紙!$I$11:$I$310,105),IF(105&lt;=COUNTA(半紙!$B$11:$B$310)+COUNTA(条幅!$B$11:$B$310),INDEX(条幅!$I$11:$I$310,105-COUNTA(半紙!$B$11:$B$310)),IF(105&lt;=COUNTA(半紙!$B$11:$B$310)+COUNTA(条幅!$B$11:$B$310)+COUNTA(条幅4分の1!$B$11:$B$310),INDEX(条幅4分の1!$I$11:$I$310,105-COUNTA(半紙!$B$11:$B$310)-COUNTA(条幅!$B$11:$B$310)),"")))=0,"",IF(105&lt;=COUNTA(半紙!$B$11:$B$310),INDEX(半紙!$I$11:$I$310,105),IF(105&lt;=COUNTA(半紙!$B$11:$B$310)+COUNTA(条幅!$B$11:$B$310),INDEX(条幅!$I$11:$I$310,105-COUNTA(半紙!$B$11:$B$310)),IF(105&lt;=COUNTA(半紙!$B$11:$B$310)+COUNTA(条幅!$B$11:$B$310)+COUNTA(条幅4分の1!$B$11:$B$310),INDEX(条幅4分の1!$I$11:$I$310,105-COUNTA(半紙!$B$11:$B$310)-COUNTA(条幅!$B$11:$B$310)),""))))</f>
        <v/>
      </c>
      <c r="J110" s="38" t="str">
        <f>IF(IF(105&lt;=COUNTA(半紙!$B$11:$B$310),INDEX(半紙!$J$11:$J$310,105),IF(105&lt;=COUNTA(半紙!$B$11:$B$310)+COUNTA(条幅!$B$11:$B$310),INDEX(条幅!$J$11:$J$310,105-COUNTA(半紙!$B$11:$B$310)),IF(105&lt;=COUNTA(半紙!$B$11:$B$310)+COUNTA(条幅!$B$11:$B$310)+COUNTA(条幅4分の1!$B$11:$B$310),INDEX(条幅4分の1!$J$11:$J$310,105-COUNTA(半紙!$B$11:$B$310)-COUNTA(条幅!$B$11:$B$310)),"")))=0,"",IF(105&lt;=COUNTA(半紙!$B$11:$B$310),INDEX(半紙!$J$11:$J$310,105),IF(105&lt;=COUNTA(半紙!$B$11:$B$310)+COUNTA(条幅!$B$11:$B$310),INDEX(条幅!$J$11:$J$310,105-COUNTA(半紙!$B$11:$B$310)),IF(105&lt;=COUNTA(半紙!$B$11:$B$310)+COUNTA(条幅!$B$11:$B$310)+COUNTA(条幅4分の1!$B$11:$B$310),INDEX(条幅4分の1!$J$11:$J$310,105-COUNTA(半紙!$B$11:$B$310)-COUNTA(条幅!$B$11:$B$310)),""))))</f>
        <v/>
      </c>
      <c r="K110" s="38" t="str">
        <f>IF(IF(105&lt;=COUNTA(半紙!$B$11:$B$310),INDEX(半紙!$K$11:$K$310,105),IF(105&lt;=COUNTA(半紙!$B$11:$B$310)+COUNTA(条幅!$B$11:$B$310),INDEX(条幅!$K$11:$K$310,105-COUNTA(半紙!$B$11:$B$310)),IF(105&lt;=COUNTA(半紙!$B$11:$B$310)+COUNTA(条幅!$B$11:$B$310)+COUNTA(条幅4分の1!$B$11:$B$310),INDEX(条幅4分の1!$K$11:$K$310,105-COUNTA(半紙!$B$11:$B$310)-COUNTA(条幅!$B$11:$B$310)),"")))=0,"",IF(105&lt;=COUNTA(半紙!$B$11:$B$310),INDEX(半紙!$K$11:$K$310,105),IF(105&lt;=COUNTA(半紙!$B$11:$B$310)+COUNTA(条幅!$B$11:$B$310),INDEX(条幅!$K$11:$K$310,105-COUNTA(半紙!$B$11:$B$310)),IF(105&lt;=COUNTA(半紙!$B$11:$B$310)+COUNTA(条幅!$B$11:$B$310)+COUNTA(条幅4分の1!$B$11:$B$310),INDEX(条幅4分の1!$K$11:$K$310,105-COUNTA(半紙!$B$11:$B$310)-COUNTA(条幅!$B$11:$B$310)),""))))</f>
        <v/>
      </c>
      <c r="L110" s="48" t="str">
        <f>IF($B110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105))</f>
        <v/>
      </c>
    </row>
    <row r="111" spans="1:12" ht="15" customHeight="1">
      <c r="A111" s="37" t="str">
        <f>IF(106&lt;=COUNTA(半紙!$B$11:$B$310),"半紙",IF(106&lt;=COUNTA(半紙!$B$11:$B$310)+COUNTA(条幅!$B$11:$B$310),"条幅(半切)",IF(106&lt;=COUNTA(半紙!$B$11:$B$310)+COUNTA(条幅!$B$11:$B$310)+COUNTA(条幅4分の1!$B$11:$B$310),"条幅(1/4)","")))</f>
        <v/>
      </c>
      <c r="B111" s="38" t="str">
        <f>IF(IF(106&lt;=COUNTA(半紙!$B$11:$B$310),INDEX(半紙!$B$11:$B$310,106),IF(106&lt;=COUNTA(半紙!$B$11:$B$310)+COUNTA(条幅!$B$11:$B$310),INDEX(条幅!$B$11:$B$310,106-COUNTA(半紙!$B$11:$B$310)),IF(106&lt;=COUNTA(半紙!$B$11:$B$310)+COUNTA(条幅!$B$11:$B$310)+COUNTA(条幅4分の1!$B$11:$B$310),INDEX(条幅4分の1!$B$11:$B$310,106-COUNTA(半紙!$B$11:$B$310)-COUNTA(条幅!$B$11:$B$310)),"")))=0,"",IF(106&lt;=COUNTA(半紙!$B$11:$B$310),INDEX(半紙!$B$11:$B$310,106),IF(106&lt;=COUNTA(半紙!$B$11:$B$310)+COUNTA(条幅!$B$11:$B$310),INDEX(条幅!$B$11:$B$310,106-COUNTA(半紙!$B$11:$B$310)),IF(106&lt;=COUNTA(半紙!$B$11:$B$310)+COUNTA(条幅!$B$11:$B$310)+COUNTA(条幅4分の1!$B$11:$B$310),INDEX(条幅4分の1!$B$11:$B$310,106-COUNTA(半紙!$B$11:$B$310)-COUNTA(条幅!$B$11:$B$310)),""))))</f>
        <v/>
      </c>
      <c r="C111" s="38" t="str">
        <f>IF(IF(106&lt;=COUNTA(半紙!$B$11:$B$310),INDEX(半紙!$C$11:$C$310,106),IF(106&lt;=COUNTA(半紙!$B$11:$B$310)+COUNTA(条幅!$B$11:$B$310),INDEX(条幅!$C$11:$C$310,106-COUNTA(半紙!$B$11:$B$310)),IF(106&lt;=COUNTA(半紙!$B$11:$B$310)+COUNTA(条幅!$B$11:$B$310)+COUNTA(条幅4分の1!$B$11:$B$310),INDEX(条幅4分の1!$C$11:$C$310,106-COUNTA(半紙!$B$11:$B$310)-COUNTA(条幅!$B$11:$B$310)),"")))=0,"",IF(106&lt;=COUNTA(半紙!$B$11:$B$310),INDEX(半紙!$C$11:$C$310,106),IF(106&lt;=COUNTA(半紙!$B$11:$B$310)+COUNTA(条幅!$B$11:$B$310),INDEX(条幅!$C$11:$C$310,106-COUNTA(半紙!$B$11:$B$310)),IF(106&lt;=COUNTA(半紙!$B$11:$B$310)+COUNTA(条幅!$B$11:$B$310)+COUNTA(条幅4分の1!$B$11:$B$310),INDEX(条幅4分の1!$C$11:$C$310,106-COUNTA(半紙!$B$11:$B$310)-COUNTA(条幅!$B$11:$B$310)),""))))</f>
        <v/>
      </c>
      <c r="D111" s="38" t="str">
        <f>IF(IF(106&lt;=COUNTA(半紙!$B$11:$B$310),INDEX(半紙!$D$11:$D$310,106),IF(106&lt;=COUNTA(半紙!$B$11:$B$310)+COUNTA(条幅!$B$11:$B$310),INDEX(条幅!$D$11:$D$310,106-COUNTA(半紙!$B$11:$B$310)),IF(106&lt;=COUNTA(半紙!$B$11:$B$310)+COUNTA(条幅!$B$11:$B$310)+COUNTA(条幅4分の1!$B$11:$B$310),INDEX(条幅4分の1!$D$11:$D$310,106-COUNTA(半紙!$B$11:$B$310)-COUNTA(条幅!$B$11:$B$310)),"")))=0,"",IF(106&lt;=COUNTA(半紙!$B$11:$B$310),INDEX(半紙!$D$11:$D$310,106),IF(106&lt;=COUNTA(半紙!$B$11:$B$310)+COUNTA(条幅!$B$11:$B$310),INDEX(条幅!$D$11:$D$310,106-COUNTA(半紙!$B$11:$B$310)),IF(106&lt;=COUNTA(半紙!$B$11:$B$310)+COUNTA(条幅!$B$11:$B$310)+COUNTA(条幅4分の1!$B$11:$B$310),INDEX(条幅4分の1!$D$11:$D$310,106-COUNTA(半紙!$B$11:$B$310)-COUNTA(条幅!$B$11:$B$310)),""))))</f>
        <v/>
      </c>
      <c r="E111" s="38" t="str">
        <f>IF(IF(106&lt;=COUNTA(半紙!$B$11:$B$310),INDEX(半紙!$E$11:$E$310,106),IF(106&lt;=COUNTA(半紙!$B$11:$B$310)+COUNTA(条幅!$B$11:$B$310),INDEX(条幅!$E$11:$E$310,106-COUNTA(半紙!$B$11:$B$310)),IF(106&lt;=COUNTA(半紙!$B$11:$B$310)+COUNTA(条幅!$B$11:$B$310)+COUNTA(条幅4分の1!$B$11:$B$310),INDEX(条幅4分の1!$E$11:$E$310,106-COUNTA(半紙!$B$11:$B$310)-COUNTA(条幅!$B$11:$B$310)),"")))=0,"",IF(106&lt;=COUNTA(半紙!$B$11:$B$310),INDEX(半紙!$E$11:$E$310,106),IF(106&lt;=COUNTA(半紙!$B$11:$B$310)+COUNTA(条幅!$B$11:$B$310),INDEX(条幅!$E$11:$E$310,106-COUNTA(半紙!$B$11:$B$310)),IF(106&lt;=COUNTA(半紙!$B$11:$B$310)+COUNTA(条幅!$B$11:$B$310)+COUNTA(条幅4分の1!$B$11:$B$310),INDEX(条幅4分の1!$E$11:$E$310,106-COUNTA(半紙!$B$11:$B$310)-COUNTA(条幅!$B$11:$B$310)),""))))</f>
        <v/>
      </c>
      <c r="F111" s="38" t="str">
        <f>IF(IF(106&lt;=COUNTA(半紙!$B$11:$B$310),INDEX(半紙!$F$11:$F$310,106),IF(106&lt;=COUNTA(半紙!$B$11:$B$310)+COUNTA(条幅!$B$11:$B$310),INDEX(条幅!$F$11:$F$310,106-COUNTA(半紙!$B$11:$B$310)),IF(106&lt;=COUNTA(半紙!$B$11:$B$310)+COUNTA(条幅!$B$11:$B$310)+COUNTA(条幅4分の1!$B$11:$B$310),INDEX(条幅4分の1!$F$11:$F$310,106-COUNTA(半紙!$B$11:$B$310)-COUNTA(条幅!$B$11:$B$310)),"")))=0,"",IF(106&lt;=COUNTA(半紙!$B$11:$B$310),INDEX(半紙!$F$11:$F$310,106),IF(106&lt;=COUNTA(半紙!$B$11:$B$310)+COUNTA(条幅!$B$11:$B$310),INDEX(条幅!$F$11:$F$310,106-COUNTA(半紙!$B$11:$B$310)),IF(106&lt;=COUNTA(半紙!$B$11:$B$310)+COUNTA(条幅!$B$11:$B$310)+COUNTA(条幅4分の1!$B$11:$B$310),INDEX(条幅4分の1!$F$11:$F$310,106-COUNTA(半紙!$B$11:$B$310)-COUNTA(条幅!$B$11:$B$310)),""))))</f>
        <v/>
      </c>
      <c r="G111" s="38" t="str">
        <f>IF(IF(106&lt;=COUNTA(半紙!$B$11:$B$310),INDEX(半紙!$G$11:$G$310,106),IF(106&lt;=COUNTA(半紙!$B$11:$B$310)+COUNTA(条幅!$B$11:$B$310),INDEX(条幅!$G$11:$G$310,106-COUNTA(半紙!$B$11:$B$310)),IF(106&lt;=COUNTA(半紙!$B$11:$B$310)+COUNTA(条幅!$B$11:$B$310)+COUNTA(条幅4分の1!$B$11:$B$310),INDEX(条幅4分の1!$G$11:$G$310,106-COUNTA(半紙!$B$11:$B$310)-COUNTA(条幅!$B$11:$B$310)),"")))=0,"",IF(106&lt;=COUNTA(半紙!$B$11:$B$310),INDEX(半紙!$G$11:$G$310,106),IF(106&lt;=COUNTA(半紙!$B$11:$B$310)+COUNTA(条幅!$B$11:$B$310),INDEX(条幅!$G$11:$G$310,106-COUNTA(半紙!$B$11:$B$310)),IF(106&lt;=COUNTA(半紙!$B$11:$B$310)+COUNTA(条幅!$B$11:$B$310)+COUNTA(条幅4分の1!$B$11:$B$310),INDEX(条幅4分の1!$G$11:$G$310,106-COUNTA(半紙!$B$11:$B$310)-COUNTA(条幅!$B$11:$B$310)),""))))</f>
        <v/>
      </c>
      <c r="H111" s="38" t="str">
        <f>IF(IF(106&lt;=COUNTA(半紙!$B$11:$B$310),INDEX(半紙!$H$11:$H$310,106),IF(106&lt;=COUNTA(半紙!$B$11:$B$310)+COUNTA(条幅!$B$11:$B$310),INDEX(条幅!$H$11:$H$310,106-COUNTA(半紙!$B$11:$B$310)),IF(106&lt;=COUNTA(半紙!$B$11:$B$310)+COUNTA(条幅!$B$11:$B$310)+COUNTA(条幅4分の1!$B$11:$B$310),INDEX(条幅4分の1!$H$11:$H$310,106-COUNTA(半紙!$B$11:$B$310)-COUNTA(条幅!$B$11:$B$310)),"")))=0,"",IF(106&lt;=COUNTA(半紙!$B$11:$B$310),INDEX(半紙!$H$11:$H$310,106),IF(106&lt;=COUNTA(半紙!$B$11:$B$310)+COUNTA(条幅!$B$11:$B$310),INDEX(条幅!$H$11:$H$310,106-COUNTA(半紙!$B$11:$B$310)),IF(106&lt;=COUNTA(半紙!$B$11:$B$310)+COUNTA(条幅!$B$11:$B$310)+COUNTA(条幅4分の1!$B$11:$B$310),INDEX(条幅4分の1!$H$11:$H$310,106-COUNTA(半紙!$B$11:$B$310)-COUNTA(条幅!$B$11:$B$310)),""))))</f>
        <v/>
      </c>
      <c r="I111" s="38" t="str">
        <f>IF(IF(106&lt;=COUNTA(半紙!$B$11:$B$310),INDEX(半紙!$I$11:$I$310,106),IF(106&lt;=COUNTA(半紙!$B$11:$B$310)+COUNTA(条幅!$B$11:$B$310),INDEX(条幅!$I$11:$I$310,106-COUNTA(半紙!$B$11:$B$310)),IF(106&lt;=COUNTA(半紙!$B$11:$B$310)+COUNTA(条幅!$B$11:$B$310)+COUNTA(条幅4分の1!$B$11:$B$310),INDEX(条幅4分の1!$I$11:$I$310,106-COUNTA(半紙!$B$11:$B$310)-COUNTA(条幅!$B$11:$B$310)),"")))=0,"",IF(106&lt;=COUNTA(半紙!$B$11:$B$310),INDEX(半紙!$I$11:$I$310,106),IF(106&lt;=COUNTA(半紙!$B$11:$B$310)+COUNTA(条幅!$B$11:$B$310),INDEX(条幅!$I$11:$I$310,106-COUNTA(半紙!$B$11:$B$310)),IF(106&lt;=COUNTA(半紙!$B$11:$B$310)+COUNTA(条幅!$B$11:$B$310)+COUNTA(条幅4分の1!$B$11:$B$310),INDEX(条幅4分の1!$I$11:$I$310,106-COUNTA(半紙!$B$11:$B$310)-COUNTA(条幅!$B$11:$B$310)),""))))</f>
        <v/>
      </c>
      <c r="J111" s="38" t="str">
        <f>IF(IF(106&lt;=COUNTA(半紙!$B$11:$B$310),INDEX(半紙!$J$11:$J$310,106),IF(106&lt;=COUNTA(半紙!$B$11:$B$310)+COUNTA(条幅!$B$11:$B$310),INDEX(条幅!$J$11:$J$310,106-COUNTA(半紙!$B$11:$B$310)),IF(106&lt;=COUNTA(半紙!$B$11:$B$310)+COUNTA(条幅!$B$11:$B$310)+COUNTA(条幅4分の1!$B$11:$B$310),INDEX(条幅4分の1!$J$11:$J$310,106-COUNTA(半紙!$B$11:$B$310)-COUNTA(条幅!$B$11:$B$310)),"")))=0,"",IF(106&lt;=COUNTA(半紙!$B$11:$B$310),INDEX(半紙!$J$11:$J$310,106),IF(106&lt;=COUNTA(半紙!$B$11:$B$310)+COUNTA(条幅!$B$11:$B$310),INDEX(条幅!$J$11:$J$310,106-COUNTA(半紙!$B$11:$B$310)),IF(106&lt;=COUNTA(半紙!$B$11:$B$310)+COUNTA(条幅!$B$11:$B$310)+COUNTA(条幅4分の1!$B$11:$B$310),INDEX(条幅4分の1!$J$11:$J$310,106-COUNTA(半紙!$B$11:$B$310)-COUNTA(条幅!$B$11:$B$310)),""))))</f>
        <v/>
      </c>
      <c r="K111" s="38" t="str">
        <f>IF(IF(106&lt;=COUNTA(半紙!$B$11:$B$310),INDEX(半紙!$K$11:$K$310,106),IF(106&lt;=COUNTA(半紙!$B$11:$B$310)+COUNTA(条幅!$B$11:$B$310),INDEX(条幅!$K$11:$K$310,106-COUNTA(半紙!$B$11:$B$310)),IF(106&lt;=COUNTA(半紙!$B$11:$B$310)+COUNTA(条幅!$B$11:$B$310)+COUNTA(条幅4分の1!$B$11:$B$310),INDEX(条幅4分の1!$K$11:$K$310,106-COUNTA(半紙!$B$11:$B$310)-COUNTA(条幅!$B$11:$B$310)),"")))=0,"",IF(106&lt;=COUNTA(半紙!$B$11:$B$310),INDEX(半紙!$K$11:$K$310,106),IF(106&lt;=COUNTA(半紙!$B$11:$B$310)+COUNTA(条幅!$B$11:$B$310),INDEX(条幅!$K$11:$K$310,106-COUNTA(半紙!$B$11:$B$310)),IF(106&lt;=COUNTA(半紙!$B$11:$B$310)+COUNTA(条幅!$B$11:$B$310)+COUNTA(条幅4分の1!$B$11:$B$310),INDEX(条幅4分の1!$K$11:$K$310,106-COUNTA(半紙!$B$11:$B$310)-COUNTA(条幅!$B$11:$B$310)),""))))</f>
        <v/>
      </c>
      <c r="L111" s="48" t="str">
        <f>IF($B111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106))</f>
        <v/>
      </c>
    </row>
    <row r="112" spans="1:12" ht="15" customHeight="1">
      <c r="A112" s="37" t="str">
        <f>IF(107&lt;=COUNTA(半紙!$B$11:$B$310),"半紙",IF(107&lt;=COUNTA(半紙!$B$11:$B$310)+COUNTA(条幅!$B$11:$B$310),"条幅(半切)",IF(107&lt;=COUNTA(半紙!$B$11:$B$310)+COUNTA(条幅!$B$11:$B$310)+COUNTA(条幅4分の1!$B$11:$B$310),"条幅(1/4)","")))</f>
        <v/>
      </c>
      <c r="B112" s="38" t="str">
        <f>IF(IF(107&lt;=COUNTA(半紙!$B$11:$B$310),INDEX(半紙!$B$11:$B$310,107),IF(107&lt;=COUNTA(半紙!$B$11:$B$310)+COUNTA(条幅!$B$11:$B$310),INDEX(条幅!$B$11:$B$310,107-COUNTA(半紙!$B$11:$B$310)),IF(107&lt;=COUNTA(半紙!$B$11:$B$310)+COUNTA(条幅!$B$11:$B$310)+COUNTA(条幅4分の1!$B$11:$B$310),INDEX(条幅4分の1!$B$11:$B$310,107-COUNTA(半紙!$B$11:$B$310)-COUNTA(条幅!$B$11:$B$310)),"")))=0,"",IF(107&lt;=COUNTA(半紙!$B$11:$B$310),INDEX(半紙!$B$11:$B$310,107),IF(107&lt;=COUNTA(半紙!$B$11:$B$310)+COUNTA(条幅!$B$11:$B$310),INDEX(条幅!$B$11:$B$310,107-COUNTA(半紙!$B$11:$B$310)),IF(107&lt;=COUNTA(半紙!$B$11:$B$310)+COUNTA(条幅!$B$11:$B$310)+COUNTA(条幅4分の1!$B$11:$B$310),INDEX(条幅4分の1!$B$11:$B$310,107-COUNTA(半紙!$B$11:$B$310)-COUNTA(条幅!$B$11:$B$310)),""))))</f>
        <v/>
      </c>
      <c r="C112" s="38" t="str">
        <f>IF(IF(107&lt;=COUNTA(半紙!$B$11:$B$310),INDEX(半紙!$C$11:$C$310,107),IF(107&lt;=COUNTA(半紙!$B$11:$B$310)+COUNTA(条幅!$B$11:$B$310),INDEX(条幅!$C$11:$C$310,107-COUNTA(半紙!$B$11:$B$310)),IF(107&lt;=COUNTA(半紙!$B$11:$B$310)+COUNTA(条幅!$B$11:$B$310)+COUNTA(条幅4分の1!$B$11:$B$310),INDEX(条幅4分の1!$C$11:$C$310,107-COUNTA(半紙!$B$11:$B$310)-COUNTA(条幅!$B$11:$B$310)),"")))=0,"",IF(107&lt;=COUNTA(半紙!$B$11:$B$310),INDEX(半紙!$C$11:$C$310,107),IF(107&lt;=COUNTA(半紙!$B$11:$B$310)+COUNTA(条幅!$B$11:$B$310),INDEX(条幅!$C$11:$C$310,107-COUNTA(半紙!$B$11:$B$310)),IF(107&lt;=COUNTA(半紙!$B$11:$B$310)+COUNTA(条幅!$B$11:$B$310)+COUNTA(条幅4分の1!$B$11:$B$310),INDEX(条幅4分の1!$C$11:$C$310,107-COUNTA(半紙!$B$11:$B$310)-COUNTA(条幅!$B$11:$B$310)),""))))</f>
        <v/>
      </c>
      <c r="D112" s="38" t="str">
        <f>IF(IF(107&lt;=COUNTA(半紙!$B$11:$B$310),INDEX(半紙!$D$11:$D$310,107),IF(107&lt;=COUNTA(半紙!$B$11:$B$310)+COUNTA(条幅!$B$11:$B$310),INDEX(条幅!$D$11:$D$310,107-COUNTA(半紙!$B$11:$B$310)),IF(107&lt;=COUNTA(半紙!$B$11:$B$310)+COUNTA(条幅!$B$11:$B$310)+COUNTA(条幅4分の1!$B$11:$B$310),INDEX(条幅4分の1!$D$11:$D$310,107-COUNTA(半紙!$B$11:$B$310)-COUNTA(条幅!$B$11:$B$310)),"")))=0,"",IF(107&lt;=COUNTA(半紙!$B$11:$B$310),INDEX(半紙!$D$11:$D$310,107),IF(107&lt;=COUNTA(半紙!$B$11:$B$310)+COUNTA(条幅!$B$11:$B$310),INDEX(条幅!$D$11:$D$310,107-COUNTA(半紙!$B$11:$B$310)),IF(107&lt;=COUNTA(半紙!$B$11:$B$310)+COUNTA(条幅!$B$11:$B$310)+COUNTA(条幅4分の1!$B$11:$B$310),INDEX(条幅4分の1!$D$11:$D$310,107-COUNTA(半紙!$B$11:$B$310)-COUNTA(条幅!$B$11:$B$310)),""))))</f>
        <v/>
      </c>
      <c r="E112" s="38" t="str">
        <f>IF(IF(107&lt;=COUNTA(半紙!$B$11:$B$310),INDEX(半紙!$E$11:$E$310,107),IF(107&lt;=COUNTA(半紙!$B$11:$B$310)+COUNTA(条幅!$B$11:$B$310),INDEX(条幅!$E$11:$E$310,107-COUNTA(半紙!$B$11:$B$310)),IF(107&lt;=COUNTA(半紙!$B$11:$B$310)+COUNTA(条幅!$B$11:$B$310)+COUNTA(条幅4分の1!$B$11:$B$310),INDEX(条幅4分の1!$E$11:$E$310,107-COUNTA(半紙!$B$11:$B$310)-COUNTA(条幅!$B$11:$B$310)),"")))=0,"",IF(107&lt;=COUNTA(半紙!$B$11:$B$310),INDEX(半紙!$E$11:$E$310,107),IF(107&lt;=COUNTA(半紙!$B$11:$B$310)+COUNTA(条幅!$B$11:$B$310),INDEX(条幅!$E$11:$E$310,107-COUNTA(半紙!$B$11:$B$310)),IF(107&lt;=COUNTA(半紙!$B$11:$B$310)+COUNTA(条幅!$B$11:$B$310)+COUNTA(条幅4分の1!$B$11:$B$310),INDEX(条幅4分の1!$E$11:$E$310,107-COUNTA(半紙!$B$11:$B$310)-COUNTA(条幅!$B$11:$B$310)),""))))</f>
        <v/>
      </c>
      <c r="F112" s="38" t="str">
        <f>IF(IF(107&lt;=COUNTA(半紙!$B$11:$B$310),INDEX(半紙!$F$11:$F$310,107),IF(107&lt;=COUNTA(半紙!$B$11:$B$310)+COUNTA(条幅!$B$11:$B$310),INDEX(条幅!$F$11:$F$310,107-COUNTA(半紙!$B$11:$B$310)),IF(107&lt;=COUNTA(半紙!$B$11:$B$310)+COUNTA(条幅!$B$11:$B$310)+COUNTA(条幅4分の1!$B$11:$B$310),INDEX(条幅4分の1!$F$11:$F$310,107-COUNTA(半紙!$B$11:$B$310)-COUNTA(条幅!$B$11:$B$310)),"")))=0,"",IF(107&lt;=COUNTA(半紙!$B$11:$B$310),INDEX(半紙!$F$11:$F$310,107),IF(107&lt;=COUNTA(半紙!$B$11:$B$310)+COUNTA(条幅!$B$11:$B$310),INDEX(条幅!$F$11:$F$310,107-COUNTA(半紙!$B$11:$B$310)),IF(107&lt;=COUNTA(半紙!$B$11:$B$310)+COUNTA(条幅!$B$11:$B$310)+COUNTA(条幅4分の1!$B$11:$B$310),INDEX(条幅4分の1!$F$11:$F$310,107-COUNTA(半紙!$B$11:$B$310)-COUNTA(条幅!$B$11:$B$310)),""))))</f>
        <v/>
      </c>
      <c r="G112" s="38" t="str">
        <f>IF(IF(107&lt;=COUNTA(半紙!$B$11:$B$310),INDEX(半紙!$G$11:$G$310,107),IF(107&lt;=COUNTA(半紙!$B$11:$B$310)+COUNTA(条幅!$B$11:$B$310),INDEX(条幅!$G$11:$G$310,107-COUNTA(半紙!$B$11:$B$310)),IF(107&lt;=COUNTA(半紙!$B$11:$B$310)+COUNTA(条幅!$B$11:$B$310)+COUNTA(条幅4分の1!$B$11:$B$310),INDEX(条幅4分の1!$G$11:$G$310,107-COUNTA(半紙!$B$11:$B$310)-COUNTA(条幅!$B$11:$B$310)),"")))=0,"",IF(107&lt;=COUNTA(半紙!$B$11:$B$310),INDEX(半紙!$G$11:$G$310,107),IF(107&lt;=COUNTA(半紙!$B$11:$B$310)+COUNTA(条幅!$B$11:$B$310),INDEX(条幅!$G$11:$G$310,107-COUNTA(半紙!$B$11:$B$310)),IF(107&lt;=COUNTA(半紙!$B$11:$B$310)+COUNTA(条幅!$B$11:$B$310)+COUNTA(条幅4分の1!$B$11:$B$310),INDEX(条幅4分の1!$G$11:$G$310,107-COUNTA(半紙!$B$11:$B$310)-COUNTA(条幅!$B$11:$B$310)),""))))</f>
        <v/>
      </c>
      <c r="H112" s="38" t="str">
        <f>IF(IF(107&lt;=COUNTA(半紙!$B$11:$B$310),INDEX(半紙!$H$11:$H$310,107),IF(107&lt;=COUNTA(半紙!$B$11:$B$310)+COUNTA(条幅!$B$11:$B$310),INDEX(条幅!$H$11:$H$310,107-COUNTA(半紙!$B$11:$B$310)),IF(107&lt;=COUNTA(半紙!$B$11:$B$310)+COUNTA(条幅!$B$11:$B$310)+COUNTA(条幅4分の1!$B$11:$B$310),INDEX(条幅4分の1!$H$11:$H$310,107-COUNTA(半紙!$B$11:$B$310)-COUNTA(条幅!$B$11:$B$310)),"")))=0,"",IF(107&lt;=COUNTA(半紙!$B$11:$B$310),INDEX(半紙!$H$11:$H$310,107),IF(107&lt;=COUNTA(半紙!$B$11:$B$310)+COUNTA(条幅!$B$11:$B$310),INDEX(条幅!$H$11:$H$310,107-COUNTA(半紙!$B$11:$B$310)),IF(107&lt;=COUNTA(半紙!$B$11:$B$310)+COUNTA(条幅!$B$11:$B$310)+COUNTA(条幅4分の1!$B$11:$B$310),INDEX(条幅4分の1!$H$11:$H$310,107-COUNTA(半紙!$B$11:$B$310)-COUNTA(条幅!$B$11:$B$310)),""))))</f>
        <v/>
      </c>
      <c r="I112" s="38" t="str">
        <f>IF(IF(107&lt;=COUNTA(半紙!$B$11:$B$310),INDEX(半紙!$I$11:$I$310,107),IF(107&lt;=COUNTA(半紙!$B$11:$B$310)+COUNTA(条幅!$B$11:$B$310),INDEX(条幅!$I$11:$I$310,107-COUNTA(半紙!$B$11:$B$310)),IF(107&lt;=COUNTA(半紙!$B$11:$B$310)+COUNTA(条幅!$B$11:$B$310)+COUNTA(条幅4分の1!$B$11:$B$310),INDEX(条幅4分の1!$I$11:$I$310,107-COUNTA(半紙!$B$11:$B$310)-COUNTA(条幅!$B$11:$B$310)),"")))=0,"",IF(107&lt;=COUNTA(半紙!$B$11:$B$310),INDEX(半紙!$I$11:$I$310,107),IF(107&lt;=COUNTA(半紙!$B$11:$B$310)+COUNTA(条幅!$B$11:$B$310),INDEX(条幅!$I$11:$I$310,107-COUNTA(半紙!$B$11:$B$310)),IF(107&lt;=COUNTA(半紙!$B$11:$B$310)+COUNTA(条幅!$B$11:$B$310)+COUNTA(条幅4分の1!$B$11:$B$310),INDEX(条幅4分の1!$I$11:$I$310,107-COUNTA(半紙!$B$11:$B$310)-COUNTA(条幅!$B$11:$B$310)),""))))</f>
        <v/>
      </c>
      <c r="J112" s="38" t="str">
        <f>IF(IF(107&lt;=COUNTA(半紙!$B$11:$B$310),INDEX(半紙!$J$11:$J$310,107),IF(107&lt;=COUNTA(半紙!$B$11:$B$310)+COUNTA(条幅!$B$11:$B$310),INDEX(条幅!$J$11:$J$310,107-COUNTA(半紙!$B$11:$B$310)),IF(107&lt;=COUNTA(半紙!$B$11:$B$310)+COUNTA(条幅!$B$11:$B$310)+COUNTA(条幅4分の1!$B$11:$B$310),INDEX(条幅4分の1!$J$11:$J$310,107-COUNTA(半紙!$B$11:$B$310)-COUNTA(条幅!$B$11:$B$310)),"")))=0,"",IF(107&lt;=COUNTA(半紙!$B$11:$B$310),INDEX(半紙!$J$11:$J$310,107),IF(107&lt;=COUNTA(半紙!$B$11:$B$310)+COUNTA(条幅!$B$11:$B$310),INDEX(条幅!$J$11:$J$310,107-COUNTA(半紙!$B$11:$B$310)),IF(107&lt;=COUNTA(半紙!$B$11:$B$310)+COUNTA(条幅!$B$11:$B$310)+COUNTA(条幅4分の1!$B$11:$B$310),INDEX(条幅4分の1!$J$11:$J$310,107-COUNTA(半紙!$B$11:$B$310)-COUNTA(条幅!$B$11:$B$310)),""))))</f>
        <v/>
      </c>
      <c r="K112" s="38" t="str">
        <f>IF(IF(107&lt;=COUNTA(半紙!$B$11:$B$310),INDEX(半紙!$K$11:$K$310,107),IF(107&lt;=COUNTA(半紙!$B$11:$B$310)+COUNTA(条幅!$B$11:$B$310),INDEX(条幅!$K$11:$K$310,107-COUNTA(半紙!$B$11:$B$310)),IF(107&lt;=COUNTA(半紙!$B$11:$B$310)+COUNTA(条幅!$B$11:$B$310)+COUNTA(条幅4分の1!$B$11:$B$310),INDEX(条幅4分の1!$K$11:$K$310,107-COUNTA(半紙!$B$11:$B$310)-COUNTA(条幅!$B$11:$B$310)),"")))=0,"",IF(107&lt;=COUNTA(半紙!$B$11:$B$310),INDEX(半紙!$K$11:$K$310,107),IF(107&lt;=COUNTA(半紙!$B$11:$B$310)+COUNTA(条幅!$B$11:$B$310),INDEX(条幅!$K$11:$K$310,107-COUNTA(半紙!$B$11:$B$310)),IF(107&lt;=COUNTA(半紙!$B$11:$B$310)+COUNTA(条幅!$B$11:$B$310)+COUNTA(条幅4分の1!$B$11:$B$310),INDEX(条幅4分の1!$K$11:$K$310,107-COUNTA(半紙!$B$11:$B$310)-COUNTA(条幅!$B$11:$B$310)),""))))</f>
        <v/>
      </c>
      <c r="L112" s="48" t="str">
        <f>IF($B112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107))</f>
        <v/>
      </c>
    </row>
    <row r="113" spans="1:12" ht="15" customHeight="1">
      <c r="A113" s="37" t="str">
        <f>IF(108&lt;=COUNTA(半紙!$B$11:$B$310),"半紙",IF(108&lt;=COUNTA(半紙!$B$11:$B$310)+COUNTA(条幅!$B$11:$B$310),"条幅(半切)",IF(108&lt;=COUNTA(半紙!$B$11:$B$310)+COUNTA(条幅!$B$11:$B$310)+COUNTA(条幅4分の1!$B$11:$B$310),"条幅(1/4)","")))</f>
        <v/>
      </c>
      <c r="B113" s="38" t="str">
        <f>IF(IF(108&lt;=COUNTA(半紙!$B$11:$B$310),INDEX(半紙!$B$11:$B$310,108),IF(108&lt;=COUNTA(半紙!$B$11:$B$310)+COUNTA(条幅!$B$11:$B$310),INDEX(条幅!$B$11:$B$310,108-COUNTA(半紙!$B$11:$B$310)),IF(108&lt;=COUNTA(半紙!$B$11:$B$310)+COUNTA(条幅!$B$11:$B$310)+COUNTA(条幅4分の1!$B$11:$B$310),INDEX(条幅4分の1!$B$11:$B$310,108-COUNTA(半紙!$B$11:$B$310)-COUNTA(条幅!$B$11:$B$310)),"")))=0,"",IF(108&lt;=COUNTA(半紙!$B$11:$B$310),INDEX(半紙!$B$11:$B$310,108),IF(108&lt;=COUNTA(半紙!$B$11:$B$310)+COUNTA(条幅!$B$11:$B$310),INDEX(条幅!$B$11:$B$310,108-COUNTA(半紙!$B$11:$B$310)),IF(108&lt;=COUNTA(半紙!$B$11:$B$310)+COUNTA(条幅!$B$11:$B$310)+COUNTA(条幅4分の1!$B$11:$B$310),INDEX(条幅4分の1!$B$11:$B$310,108-COUNTA(半紙!$B$11:$B$310)-COUNTA(条幅!$B$11:$B$310)),""))))</f>
        <v/>
      </c>
      <c r="C113" s="38" t="str">
        <f>IF(IF(108&lt;=COUNTA(半紙!$B$11:$B$310),INDEX(半紙!$C$11:$C$310,108),IF(108&lt;=COUNTA(半紙!$B$11:$B$310)+COUNTA(条幅!$B$11:$B$310),INDEX(条幅!$C$11:$C$310,108-COUNTA(半紙!$B$11:$B$310)),IF(108&lt;=COUNTA(半紙!$B$11:$B$310)+COUNTA(条幅!$B$11:$B$310)+COUNTA(条幅4分の1!$B$11:$B$310),INDEX(条幅4分の1!$C$11:$C$310,108-COUNTA(半紙!$B$11:$B$310)-COUNTA(条幅!$B$11:$B$310)),"")))=0,"",IF(108&lt;=COUNTA(半紙!$B$11:$B$310),INDEX(半紙!$C$11:$C$310,108),IF(108&lt;=COUNTA(半紙!$B$11:$B$310)+COUNTA(条幅!$B$11:$B$310),INDEX(条幅!$C$11:$C$310,108-COUNTA(半紙!$B$11:$B$310)),IF(108&lt;=COUNTA(半紙!$B$11:$B$310)+COUNTA(条幅!$B$11:$B$310)+COUNTA(条幅4分の1!$B$11:$B$310),INDEX(条幅4分の1!$C$11:$C$310,108-COUNTA(半紙!$B$11:$B$310)-COUNTA(条幅!$B$11:$B$310)),""))))</f>
        <v/>
      </c>
      <c r="D113" s="38" t="str">
        <f>IF(IF(108&lt;=COUNTA(半紙!$B$11:$B$310),INDEX(半紙!$D$11:$D$310,108),IF(108&lt;=COUNTA(半紙!$B$11:$B$310)+COUNTA(条幅!$B$11:$B$310),INDEX(条幅!$D$11:$D$310,108-COUNTA(半紙!$B$11:$B$310)),IF(108&lt;=COUNTA(半紙!$B$11:$B$310)+COUNTA(条幅!$B$11:$B$310)+COUNTA(条幅4分の1!$B$11:$B$310),INDEX(条幅4分の1!$D$11:$D$310,108-COUNTA(半紙!$B$11:$B$310)-COUNTA(条幅!$B$11:$B$310)),"")))=0,"",IF(108&lt;=COUNTA(半紙!$B$11:$B$310),INDEX(半紙!$D$11:$D$310,108),IF(108&lt;=COUNTA(半紙!$B$11:$B$310)+COUNTA(条幅!$B$11:$B$310),INDEX(条幅!$D$11:$D$310,108-COUNTA(半紙!$B$11:$B$310)),IF(108&lt;=COUNTA(半紙!$B$11:$B$310)+COUNTA(条幅!$B$11:$B$310)+COUNTA(条幅4分の1!$B$11:$B$310),INDEX(条幅4分の1!$D$11:$D$310,108-COUNTA(半紙!$B$11:$B$310)-COUNTA(条幅!$B$11:$B$310)),""))))</f>
        <v/>
      </c>
      <c r="E113" s="38" t="str">
        <f>IF(IF(108&lt;=COUNTA(半紙!$B$11:$B$310),INDEX(半紙!$E$11:$E$310,108),IF(108&lt;=COUNTA(半紙!$B$11:$B$310)+COUNTA(条幅!$B$11:$B$310),INDEX(条幅!$E$11:$E$310,108-COUNTA(半紙!$B$11:$B$310)),IF(108&lt;=COUNTA(半紙!$B$11:$B$310)+COUNTA(条幅!$B$11:$B$310)+COUNTA(条幅4分の1!$B$11:$B$310),INDEX(条幅4分の1!$E$11:$E$310,108-COUNTA(半紙!$B$11:$B$310)-COUNTA(条幅!$B$11:$B$310)),"")))=0,"",IF(108&lt;=COUNTA(半紙!$B$11:$B$310),INDEX(半紙!$E$11:$E$310,108),IF(108&lt;=COUNTA(半紙!$B$11:$B$310)+COUNTA(条幅!$B$11:$B$310),INDEX(条幅!$E$11:$E$310,108-COUNTA(半紙!$B$11:$B$310)),IF(108&lt;=COUNTA(半紙!$B$11:$B$310)+COUNTA(条幅!$B$11:$B$310)+COUNTA(条幅4分の1!$B$11:$B$310),INDEX(条幅4分の1!$E$11:$E$310,108-COUNTA(半紙!$B$11:$B$310)-COUNTA(条幅!$B$11:$B$310)),""))))</f>
        <v/>
      </c>
      <c r="F113" s="38" t="str">
        <f>IF(IF(108&lt;=COUNTA(半紙!$B$11:$B$310),INDEX(半紙!$F$11:$F$310,108),IF(108&lt;=COUNTA(半紙!$B$11:$B$310)+COUNTA(条幅!$B$11:$B$310),INDEX(条幅!$F$11:$F$310,108-COUNTA(半紙!$B$11:$B$310)),IF(108&lt;=COUNTA(半紙!$B$11:$B$310)+COUNTA(条幅!$B$11:$B$310)+COUNTA(条幅4分の1!$B$11:$B$310),INDEX(条幅4分の1!$F$11:$F$310,108-COUNTA(半紙!$B$11:$B$310)-COUNTA(条幅!$B$11:$B$310)),"")))=0,"",IF(108&lt;=COUNTA(半紙!$B$11:$B$310),INDEX(半紙!$F$11:$F$310,108),IF(108&lt;=COUNTA(半紙!$B$11:$B$310)+COUNTA(条幅!$B$11:$B$310),INDEX(条幅!$F$11:$F$310,108-COUNTA(半紙!$B$11:$B$310)),IF(108&lt;=COUNTA(半紙!$B$11:$B$310)+COUNTA(条幅!$B$11:$B$310)+COUNTA(条幅4分の1!$B$11:$B$310),INDEX(条幅4分の1!$F$11:$F$310,108-COUNTA(半紙!$B$11:$B$310)-COUNTA(条幅!$B$11:$B$310)),""))))</f>
        <v/>
      </c>
      <c r="G113" s="38" t="str">
        <f>IF(IF(108&lt;=COUNTA(半紙!$B$11:$B$310),INDEX(半紙!$G$11:$G$310,108),IF(108&lt;=COUNTA(半紙!$B$11:$B$310)+COUNTA(条幅!$B$11:$B$310),INDEX(条幅!$G$11:$G$310,108-COUNTA(半紙!$B$11:$B$310)),IF(108&lt;=COUNTA(半紙!$B$11:$B$310)+COUNTA(条幅!$B$11:$B$310)+COUNTA(条幅4分の1!$B$11:$B$310),INDEX(条幅4分の1!$G$11:$G$310,108-COUNTA(半紙!$B$11:$B$310)-COUNTA(条幅!$B$11:$B$310)),"")))=0,"",IF(108&lt;=COUNTA(半紙!$B$11:$B$310),INDEX(半紙!$G$11:$G$310,108),IF(108&lt;=COUNTA(半紙!$B$11:$B$310)+COUNTA(条幅!$B$11:$B$310),INDEX(条幅!$G$11:$G$310,108-COUNTA(半紙!$B$11:$B$310)),IF(108&lt;=COUNTA(半紙!$B$11:$B$310)+COUNTA(条幅!$B$11:$B$310)+COUNTA(条幅4分の1!$B$11:$B$310),INDEX(条幅4分の1!$G$11:$G$310,108-COUNTA(半紙!$B$11:$B$310)-COUNTA(条幅!$B$11:$B$310)),""))))</f>
        <v/>
      </c>
      <c r="H113" s="38" t="str">
        <f>IF(IF(108&lt;=COUNTA(半紙!$B$11:$B$310),INDEX(半紙!$H$11:$H$310,108),IF(108&lt;=COUNTA(半紙!$B$11:$B$310)+COUNTA(条幅!$B$11:$B$310),INDEX(条幅!$H$11:$H$310,108-COUNTA(半紙!$B$11:$B$310)),IF(108&lt;=COUNTA(半紙!$B$11:$B$310)+COUNTA(条幅!$B$11:$B$310)+COUNTA(条幅4分の1!$B$11:$B$310),INDEX(条幅4分の1!$H$11:$H$310,108-COUNTA(半紙!$B$11:$B$310)-COUNTA(条幅!$B$11:$B$310)),"")))=0,"",IF(108&lt;=COUNTA(半紙!$B$11:$B$310),INDEX(半紙!$H$11:$H$310,108),IF(108&lt;=COUNTA(半紙!$B$11:$B$310)+COUNTA(条幅!$B$11:$B$310),INDEX(条幅!$H$11:$H$310,108-COUNTA(半紙!$B$11:$B$310)),IF(108&lt;=COUNTA(半紙!$B$11:$B$310)+COUNTA(条幅!$B$11:$B$310)+COUNTA(条幅4分の1!$B$11:$B$310),INDEX(条幅4分の1!$H$11:$H$310,108-COUNTA(半紙!$B$11:$B$310)-COUNTA(条幅!$B$11:$B$310)),""))))</f>
        <v/>
      </c>
      <c r="I113" s="38" t="str">
        <f>IF(IF(108&lt;=COUNTA(半紙!$B$11:$B$310),INDEX(半紙!$I$11:$I$310,108),IF(108&lt;=COUNTA(半紙!$B$11:$B$310)+COUNTA(条幅!$B$11:$B$310),INDEX(条幅!$I$11:$I$310,108-COUNTA(半紙!$B$11:$B$310)),IF(108&lt;=COUNTA(半紙!$B$11:$B$310)+COUNTA(条幅!$B$11:$B$310)+COUNTA(条幅4分の1!$B$11:$B$310),INDEX(条幅4分の1!$I$11:$I$310,108-COUNTA(半紙!$B$11:$B$310)-COUNTA(条幅!$B$11:$B$310)),"")))=0,"",IF(108&lt;=COUNTA(半紙!$B$11:$B$310),INDEX(半紙!$I$11:$I$310,108),IF(108&lt;=COUNTA(半紙!$B$11:$B$310)+COUNTA(条幅!$B$11:$B$310),INDEX(条幅!$I$11:$I$310,108-COUNTA(半紙!$B$11:$B$310)),IF(108&lt;=COUNTA(半紙!$B$11:$B$310)+COUNTA(条幅!$B$11:$B$310)+COUNTA(条幅4分の1!$B$11:$B$310),INDEX(条幅4分の1!$I$11:$I$310,108-COUNTA(半紙!$B$11:$B$310)-COUNTA(条幅!$B$11:$B$310)),""))))</f>
        <v/>
      </c>
      <c r="J113" s="38" t="str">
        <f>IF(IF(108&lt;=COUNTA(半紙!$B$11:$B$310),INDEX(半紙!$J$11:$J$310,108),IF(108&lt;=COUNTA(半紙!$B$11:$B$310)+COUNTA(条幅!$B$11:$B$310),INDEX(条幅!$J$11:$J$310,108-COUNTA(半紙!$B$11:$B$310)),IF(108&lt;=COUNTA(半紙!$B$11:$B$310)+COUNTA(条幅!$B$11:$B$310)+COUNTA(条幅4分の1!$B$11:$B$310),INDEX(条幅4分の1!$J$11:$J$310,108-COUNTA(半紙!$B$11:$B$310)-COUNTA(条幅!$B$11:$B$310)),"")))=0,"",IF(108&lt;=COUNTA(半紙!$B$11:$B$310),INDEX(半紙!$J$11:$J$310,108),IF(108&lt;=COUNTA(半紙!$B$11:$B$310)+COUNTA(条幅!$B$11:$B$310),INDEX(条幅!$J$11:$J$310,108-COUNTA(半紙!$B$11:$B$310)),IF(108&lt;=COUNTA(半紙!$B$11:$B$310)+COUNTA(条幅!$B$11:$B$310)+COUNTA(条幅4分の1!$B$11:$B$310),INDEX(条幅4分の1!$J$11:$J$310,108-COUNTA(半紙!$B$11:$B$310)-COUNTA(条幅!$B$11:$B$310)),""))))</f>
        <v/>
      </c>
      <c r="K113" s="38" t="str">
        <f>IF(IF(108&lt;=COUNTA(半紙!$B$11:$B$310),INDEX(半紙!$K$11:$K$310,108),IF(108&lt;=COUNTA(半紙!$B$11:$B$310)+COUNTA(条幅!$B$11:$B$310),INDEX(条幅!$K$11:$K$310,108-COUNTA(半紙!$B$11:$B$310)),IF(108&lt;=COUNTA(半紙!$B$11:$B$310)+COUNTA(条幅!$B$11:$B$310)+COUNTA(条幅4分の1!$B$11:$B$310),INDEX(条幅4分の1!$K$11:$K$310,108-COUNTA(半紙!$B$11:$B$310)-COUNTA(条幅!$B$11:$B$310)),"")))=0,"",IF(108&lt;=COUNTA(半紙!$B$11:$B$310),INDEX(半紙!$K$11:$K$310,108),IF(108&lt;=COUNTA(半紙!$B$11:$B$310)+COUNTA(条幅!$B$11:$B$310),INDEX(条幅!$K$11:$K$310,108-COUNTA(半紙!$B$11:$B$310)),IF(108&lt;=COUNTA(半紙!$B$11:$B$310)+COUNTA(条幅!$B$11:$B$310)+COUNTA(条幅4分の1!$B$11:$B$310),INDEX(条幅4分の1!$K$11:$K$310,108-COUNTA(半紙!$B$11:$B$310)-COUNTA(条幅!$B$11:$B$310)),""))))</f>
        <v/>
      </c>
      <c r="L113" s="48" t="str">
        <f>IF($B113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108))</f>
        <v/>
      </c>
    </row>
    <row r="114" spans="1:12" ht="15" customHeight="1">
      <c r="A114" s="37" t="str">
        <f>IF(109&lt;=COUNTA(半紙!$B$11:$B$310),"半紙",IF(109&lt;=COUNTA(半紙!$B$11:$B$310)+COUNTA(条幅!$B$11:$B$310),"条幅(半切)",IF(109&lt;=COUNTA(半紙!$B$11:$B$310)+COUNTA(条幅!$B$11:$B$310)+COUNTA(条幅4分の1!$B$11:$B$310),"条幅(1/4)","")))</f>
        <v/>
      </c>
      <c r="B114" s="38" t="str">
        <f>IF(IF(109&lt;=COUNTA(半紙!$B$11:$B$310),INDEX(半紙!$B$11:$B$310,109),IF(109&lt;=COUNTA(半紙!$B$11:$B$310)+COUNTA(条幅!$B$11:$B$310),INDEX(条幅!$B$11:$B$310,109-COUNTA(半紙!$B$11:$B$310)),IF(109&lt;=COUNTA(半紙!$B$11:$B$310)+COUNTA(条幅!$B$11:$B$310)+COUNTA(条幅4分の1!$B$11:$B$310),INDEX(条幅4分の1!$B$11:$B$310,109-COUNTA(半紙!$B$11:$B$310)-COUNTA(条幅!$B$11:$B$310)),"")))=0,"",IF(109&lt;=COUNTA(半紙!$B$11:$B$310),INDEX(半紙!$B$11:$B$310,109),IF(109&lt;=COUNTA(半紙!$B$11:$B$310)+COUNTA(条幅!$B$11:$B$310),INDEX(条幅!$B$11:$B$310,109-COUNTA(半紙!$B$11:$B$310)),IF(109&lt;=COUNTA(半紙!$B$11:$B$310)+COUNTA(条幅!$B$11:$B$310)+COUNTA(条幅4分の1!$B$11:$B$310),INDEX(条幅4分の1!$B$11:$B$310,109-COUNTA(半紙!$B$11:$B$310)-COUNTA(条幅!$B$11:$B$310)),""))))</f>
        <v/>
      </c>
      <c r="C114" s="38" t="str">
        <f>IF(IF(109&lt;=COUNTA(半紙!$B$11:$B$310),INDEX(半紙!$C$11:$C$310,109),IF(109&lt;=COUNTA(半紙!$B$11:$B$310)+COUNTA(条幅!$B$11:$B$310),INDEX(条幅!$C$11:$C$310,109-COUNTA(半紙!$B$11:$B$310)),IF(109&lt;=COUNTA(半紙!$B$11:$B$310)+COUNTA(条幅!$B$11:$B$310)+COUNTA(条幅4分の1!$B$11:$B$310),INDEX(条幅4分の1!$C$11:$C$310,109-COUNTA(半紙!$B$11:$B$310)-COUNTA(条幅!$B$11:$B$310)),"")))=0,"",IF(109&lt;=COUNTA(半紙!$B$11:$B$310),INDEX(半紙!$C$11:$C$310,109),IF(109&lt;=COUNTA(半紙!$B$11:$B$310)+COUNTA(条幅!$B$11:$B$310),INDEX(条幅!$C$11:$C$310,109-COUNTA(半紙!$B$11:$B$310)),IF(109&lt;=COUNTA(半紙!$B$11:$B$310)+COUNTA(条幅!$B$11:$B$310)+COUNTA(条幅4分の1!$B$11:$B$310),INDEX(条幅4分の1!$C$11:$C$310,109-COUNTA(半紙!$B$11:$B$310)-COUNTA(条幅!$B$11:$B$310)),""))))</f>
        <v/>
      </c>
      <c r="D114" s="38" t="str">
        <f>IF(IF(109&lt;=COUNTA(半紙!$B$11:$B$310),INDEX(半紙!$D$11:$D$310,109),IF(109&lt;=COUNTA(半紙!$B$11:$B$310)+COUNTA(条幅!$B$11:$B$310),INDEX(条幅!$D$11:$D$310,109-COUNTA(半紙!$B$11:$B$310)),IF(109&lt;=COUNTA(半紙!$B$11:$B$310)+COUNTA(条幅!$B$11:$B$310)+COUNTA(条幅4分の1!$B$11:$B$310),INDEX(条幅4分の1!$D$11:$D$310,109-COUNTA(半紙!$B$11:$B$310)-COUNTA(条幅!$B$11:$B$310)),"")))=0,"",IF(109&lt;=COUNTA(半紙!$B$11:$B$310),INDEX(半紙!$D$11:$D$310,109),IF(109&lt;=COUNTA(半紙!$B$11:$B$310)+COUNTA(条幅!$B$11:$B$310),INDEX(条幅!$D$11:$D$310,109-COUNTA(半紙!$B$11:$B$310)),IF(109&lt;=COUNTA(半紙!$B$11:$B$310)+COUNTA(条幅!$B$11:$B$310)+COUNTA(条幅4分の1!$B$11:$B$310),INDEX(条幅4分の1!$D$11:$D$310,109-COUNTA(半紙!$B$11:$B$310)-COUNTA(条幅!$B$11:$B$310)),""))))</f>
        <v/>
      </c>
      <c r="E114" s="38" t="str">
        <f>IF(IF(109&lt;=COUNTA(半紙!$B$11:$B$310),INDEX(半紙!$E$11:$E$310,109),IF(109&lt;=COUNTA(半紙!$B$11:$B$310)+COUNTA(条幅!$B$11:$B$310),INDEX(条幅!$E$11:$E$310,109-COUNTA(半紙!$B$11:$B$310)),IF(109&lt;=COUNTA(半紙!$B$11:$B$310)+COUNTA(条幅!$B$11:$B$310)+COUNTA(条幅4分の1!$B$11:$B$310),INDEX(条幅4分の1!$E$11:$E$310,109-COUNTA(半紙!$B$11:$B$310)-COUNTA(条幅!$B$11:$B$310)),"")))=0,"",IF(109&lt;=COUNTA(半紙!$B$11:$B$310),INDEX(半紙!$E$11:$E$310,109),IF(109&lt;=COUNTA(半紙!$B$11:$B$310)+COUNTA(条幅!$B$11:$B$310),INDEX(条幅!$E$11:$E$310,109-COUNTA(半紙!$B$11:$B$310)),IF(109&lt;=COUNTA(半紙!$B$11:$B$310)+COUNTA(条幅!$B$11:$B$310)+COUNTA(条幅4分の1!$B$11:$B$310),INDEX(条幅4分の1!$E$11:$E$310,109-COUNTA(半紙!$B$11:$B$310)-COUNTA(条幅!$B$11:$B$310)),""))))</f>
        <v/>
      </c>
      <c r="F114" s="38" t="str">
        <f>IF(IF(109&lt;=COUNTA(半紙!$B$11:$B$310),INDEX(半紙!$F$11:$F$310,109),IF(109&lt;=COUNTA(半紙!$B$11:$B$310)+COUNTA(条幅!$B$11:$B$310),INDEX(条幅!$F$11:$F$310,109-COUNTA(半紙!$B$11:$B$310)),IF(109&lt;=COUNTA(半紙!$B$11:$B$310)+COUNTA(条幅!$B$11:$B$310)+COUNTA(条幅4分の1!$B$11:$B$310),INDEX(条幅4分の1!$F$11:$F$310,109-COUNTA(半紙!$B$11:$B$310)-COUNTA(条幅!$B$11:$B$310)),"")))=0,"",IF(109&lt;=COUNTA(半紙!$B$11:$B$310),INDEX(半紙!$F$11:$F$310,109),IF(109&lt;=COUNTA(半紙!$B$11:$B$310)+COUNTA(条幅!$B$11:$B$310),INDEX(条幅!$F$11:$F$310,109-COUNTA(半紙!$B$11:$B$310)),IF(109&lt;=COUNTA(半紙!$B$11:$B$310)+COUNTA(条幅!$B$11:$B$310)+COUNTA(条幅4分の1!$B$11:$B$310),INDEX(条幅4分の1!$F$11:$F$310,109-COUNTA(半紙!$B$11:$B$310)-COUNTA(条幅!$B$11:$B$310)),""))))</f>
        <v/>
      </c>
      <c r="G114" s="38" t="str">
        <f>IF(IF(109&lt;=COUNTA(半紙!$B$11:$B$310),INDEX(半紙!$G$11:$G$310,109),IF(109&lt;=COUNTA(半紙!$B$11:$B$310)+COUNTA(条幅!$B$11:$B$310),INDEX(条幅!$G$11:$G$310,109-COUNTA(半紙!$B$11:$B$310)),IF(109&lt;=COUNTA(半紙!$B$11:$B$310)+COUNTA(条幅!$B$11:$B$310)+COUNTA(条幅4分の1!$B$11:$B$310),INDEX(条幅4分の1!$G$11:$G$310,109-COUNTA(半紙!$B$11:$B$310)-COUNTA(条幅!$B$11:$B$310)),"")))=0,"",IF(109&lt;=COUNTA(半紙!$B$11:$B$310),INDEX(半紙!$G$11:$G$310,109),IF(109&lt;=COUNTA(半紙!$B$11:$B$310)+COUNTA(条幅!$B$11:$B$310),INDEX(条幅!$G$11:$G$310,109-COUNTA(半紙!$B$11:$B$310)),IF(109&lt;=COUNTA(半紙!$B$11:$B$310)+COUNTA(条幅!$B$11:$B$310)+COUNTA(条幅4分の1!$B$11:$B$310),INDEX(条幅4分の1!$G$11:$G$310,109-COUNTA(半紙!$B$11:$B$310)-COUNTA(条幅!$B$11:$B$310)),""))))</f>
        <v/>
      </c>
      <c r="H114" s="38" t="str">
        <f>IF(IF(109&lt;=COUNTA(半紙!$B$11:$B$310),INDEX(半紙!$H$11:$H$310,109),IF(109&lt;=COUNTA(半紙!$B$11:$B$310)+COUNTA(条幅!$B$11:$B$310),INDEX(条幅!$H$11:$H$310,109-COUNTA(半紙!$B$11:$B$310)),IF(109&lt;=COUNTA(半紙!$B$11:$B$310)+COUNTA(条幅!$B$11:$B$310)+COUNTA(条幅4分の1!$B$11:$B$310),INDEX(条幅4分の1!$H$11:$H$310,109-COUNTA(半紙!$B$11:$B$310)-COUNTA(条幅!$B$11:$B$310)),"")))=0,"",IF(109&lt;=COUNTA(半紙!$B$11:$B$310),INDEX(半紙!$H$11:$H$310,109),IF(109&lt;=COUNTA(半紙!$B$11:$B$310)+COUNTA(条幅!$B$11:$B$310),INDEX(条幅!$H$11:$H$310,109-COUNTA(半紙!$B$11:$B$310)),IF(109&lt;=COUNTA(半紙!$B$11:$B$310)+COUNTA(条幅!$B$11:$B$310)+COUNTA(条幅4分の1!$B$11:$B$310),INDEX(条幅4分の1!$H$11:$H$310,109-COUNTA(半紙!$B$11:$B$310)-COUNTA(条幅!$B$11:$B$310)),""))))</f>
        <v/>
      </c>
      <c r="I114" s="38" t="str">
        <f>IF(IF(109&lt;=COUNTA(半紙!$B$11:$B$310),INDEX(半紙!$I$11:$I$310,109),IF(109&lt;=COUNTA(半紙!$B$11:$B$310)+COUNTA(条幅!$B$11:$B$310),INDEX(条幅!$I$11:$I$310,109-COUNTA(半紙!$B$11:$B$310)),IF(109&lt;=COUNTA(半紙!$B$11:$B$310)+COUNTA(条幅!$B$11:$B$310)+COUNTA(条幅4分の1!$B$11:$B$310),INDEX(条幅4分の1!$I$11:$I$310,109-COUNTA(半紙!$B$11:$B$310)-COUNTA(条幅!$B$11:$B$310)),"")))=0,"",IF(109&lt;=COUNTA(半紙!$B$11:$B$310),INDEX(半紙!$I$11:$I$310,109),IF(109&lt;=COUNTA(半紙!$B$11:$B$310)+COUNTA(条幅!$B$11:$B$310),INDEX(条幅!$I$11:$I$310,109-COUNTA(半紙!$B$11:$B$310)),IF(109&lt;=COUNTA(半紙!$B$11:$B$310)+COUNTA(条幅!$B$11:$B$310)+COUNTA(条幅4分の1!$B$11:$B$310),INDEX(条幅4分の1!$I$11:$I$310,109-COUNTA(半紙!$B$11:$B$310)-COUNTA(条幅!$B$11:$B$310)),""))))</f>
        <v/>
      </c>
      <c r="J114" s="38" t="str">
        <f>IF(IF(109&lt;=COUNTA(半紙!$B$11:$B$310),INDEX(半紙!$J$11:$J$310,109),IF(109&lt;=COUNTA(半紙!$B$11:$B$310)+COUNTA(条幅!$B$11:$B$310),INDEX(条幅!$J$11:$J$310,109-COUNTA(半紙!$B$11:$B$310)),IF(109&lt;=COUNTA(半紙!$B$11:$B$310)+COUNTA(条幅!$B$11:$B$310)+COUNTA(条幅4分の1!$B$11:$B$310),INDEX(条幅4分の1!$J$11:$J$310,109-COUNTA(半紙!$B$11:$B$310)-COUNTA(条幅!$B$11:$B$310)),"")))=0,"",IF(109&lt;=COUNTA(半紙!$B$11:$B$310),INDEX(半紙!$J$11:$J$310,109),IF(109&lt;=COUNTA(半紙!$B$11:$B$310)+COUNTA(条幅!$B$11:$B$310),INDEX(条幅!$J$11:$J$310,109-COUNTA(半紙!$B$11:$B$310)),IF(109&lt;=COUNTA(半紙!$B$11:$B$310)+COUNTA(条幅!$B$11:$B$310)+COUNTA(条幅4分の1!$B$11:$B$310),INDEX(条幅4分の1!$J$11:$J$310,109-COUNTA(半紙!$B$11:$B$310)-COUNTA(条幅!$B$11:$B$310)),""))))</f>
        <v/>
      </c>
      <c r="K114" s="38" t="str">
        <f>IF(IF(109&lt;=COUNTA(半紙!$B$11:$B$310),INDEX(半紙!$K$11:$K$310,109),IF(109&lt;=COUNTA(半紙!$B$11:$B$310)+COUNTA(条幅!$B$11:$B$310),INDEX(条幅!$K$11:$K$310,109-COUNTA(半紙!$B$11:$B$310)),IF(109&lt;=COUNTA(半紙!$B$11:$B$310)+COUNTA(条幅!$B$11:$B$310)+COUNTA(条幅4分の1!$B$11:$B$310),INDEX(条幅4分の1!$K$11:$K$310,109-COUNTA(半紙!$B$11:$B$310)-COUNTA(条幅!$B$11:$B$310)),"")))=0,"",IF(109&lt;=COUNTA(半紙!$B$11:$B$310),INDEX(半紙!$K$11:$K$310,109),IF(109&lt;=COUNTA(半紙!$B$11:$B$310)+COUNTA(条幅!$B$11:$B$310),INDEX(条幅!$K$11:$K$310,109-COUNTA(半紙!$B$11:$B$310)),IF(109&lt;=COUNTA(半紙!$B$11:$B$310)+COUNTA(条幅!$B$11:$B$310)+COUNTA(条幅4分の1!$B$11:$B$310),INDEX(条幅4分の1!$K$11:$K$310,109-COUNTA(半紙!$B$11:$B$310)-COUNTA(条幅!$B$11:$B$310)),""))))</f>
        <v/>
      </c>
      <c r="L114" s="48" t="str">
        <f>IF($B114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109))</f>
        <v/>
      </c>
    </row>
    <row r="115" spans="1:12" ht="15" customHeight="1">
      <c r="A115" s="37" t="str">
        <f>IF(110&lt;=COUNTA(半紙!$B$11:$B$310),"半紙",IF(110&lt;=COUNTA(半紙!$B$11:$B$310)+COUNTA(条幅!$B$11:$B$310),"条幅(半切)",IF(110&lt;=COUNTA(半紙!$B$11:$B$310)+COUNTA(条幅!$B$11:$B$310)+COUNTA(条幅4分の1!$B$11:$B$310),"条幅(1/4)","")))</f>
        <v/>
      </c>
      <c r="B115" s="38" t="str">
        <f>IF(IF(110&lt;=COUNTA(半紙!$B$11:$B$310),INDEX(半紙!$B$11:$B$310,110),IF(110&lt;=COUNTA(半紙!$B$11:$B$310)+COUNTA(条幅!$B$11:$B$310),INDEX(条幅!$B$11:$B$310,110-COUNTA(半紙!$B$11:$B$310)),IF(110&lt;=COUNTA(半紙!$B$11:$B$310)+COUNTA(条幅!$B$11:$B$310)+COUNTA(条幅4分の1!$B$11:$B$310),INDEX(条幅4分の1!$B$11:$B$310,110-COUNTA(半紙!$B$11:$B$310)-COUNTA(条幅!$B$11:$B$310)),"")))=0,"",IF(110&lt;=COUNTA(半紙!$B$11:$B$310),INDEX(半紙!$B$11:$B$310,110),IF(110&lt;=COUNTA(半紙!$B$11:$B$310)+COUNTA(条幅!$B$11:$B$310),INDEX(条幅!$B$11:$B$310,110-COUNTA(半紙!$B$11:$B$310)),IF(110&lt;=COUNTA(半紙!$B$11:$B$310)+COUNTA(条幅!$B$11:$B$310)+COUNTA(条幅4分の1!$B$11:$B$310),INDEX(条幅4分の1!$B$11:$B$310,110-COUNTA(半紙!$B$11:$B$310)-COUNTA(条幅!$B$11:$B$310)),""))))</f>
        <v/>
      </c>
      <c r="C115" s="38" t="str">
        <f>IF(IF(110&lt;=COUNTA(半紙!$B$11:$B$310),INDEX(半紙!$C$11:$C$310,110),IF(110&lt;=COUNTA(半紙!$B$11:$B$310)+COUNTA(条幅!$B$11:$B$310),INDEX(条幅!$C$11:$C$310,110-COUNTA(半紙!$B$11:$B$310)),IF(110&lt;=COUNTA(半紙!$B$11:$B$310)+COUNTA(条幅!$B$11:$B$310)+COUNTA(条幅4分の1!$B$11:$B$310),INDEX(条幅4分の1!$C$11:$C$310,110-COUNTA(半紙!$B$11:$B$310)-COUNTA(条幅!$B$11:$B$310)),"")))=0,"",IF(110&lt;=COUNTA(半紙!$B$11:$B$310),INDEX(半紙!$C$11:$C$310,110),IF(110&lt;=COUNTA(半紙!$B$11:$B$310)+COUNTA(条幅!$B$11:$B$310),INDEX(条幅!$C$11:$C$310,110-COUNTA(半紙!$B$11:$B$310)),IF(110&lt;=COUNTA(半紙!$B$11:$B$310)+COUNTA(条幅!$B$11:$B$310)+COUNTA(条幅4分の1!$B$11:$B$310),INDEX(条幅4分の1!$C$11:$C$310,110-COUNTA(半紙!$B$11:$B$310)-COUNTA(条幅!$B$11:$B$310)),""))))</f>
        <v/>
      </c>
      <c r="D115" s="38" t="str">
        <f>IF(IF(110&lt;=COUNTA(半紙!$B$11:$B$310),INDEX(半紙!$D$11:$D$310,110),IF(110&lt;=COUNTA(半紙!$B$11:$B$310)+COUNTA(条幅!$B$11:$B$310),INDEX(条幅!$D$11:$D$310,110-COUNTA(半紙!$B$11:$B$310)),IF(110&lt;=COUNTA(半紙!$B$11:$B$310)+COUNTA(条幅!$B$11:$B$310)+COUNTA(条幅4分の1!$B$11:$B$310),INDEX(条幅4分の1!$D$11:$D$310,110-COUNTA(半紙!$B$11:$B$310)-COUNTA(条幅!$B$11:$B$310)),"")))=0,"",IF(110&lt;=COUNTA(半紙!$B$11:$B$310),INDEX(半紙!$D$11:$D$310,110),IF(110&lt;=COUNTA(半紙!$B$11:$B$310)+COUNTA(条幅!$B$11:$B$310),INDEX(条幅!$D$11:$D$310,110-COUNTA(半紙!$B$11:$B$310)),IF(110&lt;=COUNTA(半紙!$B$11:$B$310)+COUNTA(条幅!$B$11:$B$310)+COUNTA(条幅4分の1!$B$11:$B$310),INDEX(条幅4分の1!$D$11:$D$310,110-COUNTA(半紙!$B$11:$B$310)-COUNTA(条幅!$B$11:$B$310)),""))))</f>
        <v/>
      </c>
      <c r="E115" s="38" t="str">
        <f>IF(IF(110&lt;=COUNTA(半紙!$B$11:$B$310),INDEX(半紙!$E$11:$E$310,110),IF(110&lt;=COUNTA(半紙!$B$11:$B$310)+COUNTA(条幅!$B$11:$B$310),INDEX(条幅!$E$11:$E$310,110-COUNTA(半紙!$B$11:$B$310)),IF(110&lt;=COUNTA(半紙!$B$11:$B$310)+COUNTA(条幅!$B$11:$B$310)+COUNTA(条幅4分の1!$B$11:$B$310),INDEX(条幅4分の1!$E$11:$E$310,110-COUNTA(半紙!$B$11:$B$310)-COUNTA(条幅!$B$11:$B$310)),"")))=0,"",IF(110&lt;=COUNTA(半紙!$B$11:$B$310),INDEX(半紙!$E$11:$E$310,110),IF(110&lt;=COUNTA(半紙!$B$11:$B$310)+COUNTA(条幅!$B$11:$B$310),INDEX(条幅!$E$11:$E$310,110-COUNTA(半紙!$B$11:$B$310)),IF(110&lt;=COUNTA(半紙!$B$11:$B$310)+COUNTA(条幅!$B$11:$B$310)+COUNTA(条幅4分の1!$B$11:$B$310),INDEX(条幅4分の1!$E$11:$E$310,110-COUNTA(半紙!$B$11:$B$310)-COUNTA(条幅!$B$11:$B$310)),""))))</f>
        <v/>
      </c>
      <c r="F115" s="38" t="str">
        <f>IF(IF(110&lt;=COUNTA(半紙!$B$11:$B$310),INDEX(半紙!$F$11:$F$310,110),IF(110&lt;=COUNTA(半紙!$B$11:$B$310)+COUNTA(条幅!$B$11:$B$310),INDEX(条幅!$F$11:$F$310,110-COUNTA(半紙!$B$11:$B$310)),IF(110&lt;=COUNTA(半紙!$B$11:$B$310)+COUNTA(条幅!$B$11:$B$310)+COUNTA(条幅4分の1!$B$11:$B$310),INDEX(条幅4分の1!$F$11:$F$310,110-COUNTA(半紙!$B$11:$B$310)-COUNTA(条幅!$B$11:$B$310)),"")))=0,"",IF(110&lt;=COUNTA(半紙!$B$11:$B$310),INDEX(半紙!$F$11:$F$310,110),IF(110&lt;=COUNTA(半紙!$B$11:$B$310)+COUNTA(条幅!$B$11:$B$310),INDEX(条幅!$F$11:$F$310,110-COUNTA(半紙!$B$11:$B$310)),IF(110&lt;=COUNTA(半紙!$B$11:$B$310)+COUNTA(条幅!$B$11:$B$310)+COUNTA(条幅4分の1!$B$11:$B$310),INDEX(条幅4分の1!$F$11:$F$310,110-COUNTA(半紙!$B$11:$B$310)-COUNTA(条幅!$B$11:$B$310)),""))))</f>
        <v/>
      </c>
      <c r="G115" s="38" t="str">
        <f>IF(IF(110&lt;=COUNTA(半紙!$B$11:$B$310),INDEX(半紙!$G$11:$G$310,110),IF(110&lt;=COUNTA(半紙!$B$11:$B$310)+COUNTA(条幅!$B$11:$B$310),INDEX(条幅!$G$11:$G$310,110-COUNTA(半紙!$B$11:$B$310)),IF(110&lt;=COUNTA(半紙!$B$11:$B$310)+COUNTA(条幅!$B$11:$B$310)+COUNTA(条幅4分の1!$B$11:$B$310),INDEX(条幅4分の1!$G$11:$G$310,110-COUNTA(半紙!$B$11:$B$310)-COUNTA(条幅!$B$11:$B$310)),"")))=0,"",IF(110&lt;=COUNTA(半紙!$B$11:$B$310),INDEX(半紙!$G$11:$G$310,110),IF(110&lt;=COUNTA(半紙!$B$11:$B$310)+COUNTA(条幅!$B$11:$B$310),INDEX(条幅!$G$11:$G$310,110-COUNTA(半紙!$B$11:$B$310)),IF(110&lt;=COUNTA(半紙!$B$11:$B$310)+COUNTA(条幅!$B$11:$B$310)+COUNTA(条幅4分の1!$B$11:$B$310),INDEX(条幅4分の1!$G$11:$G$310,110-COUNTA(半紙!$B$11:$B$310)-COUNTA(条幅!$B$11:$B$310)),""))))</f>
        <v/>
      </c>
      <c r="H115" s="38" t="str">
        <f>IF(IF(110&lt;=COUNTA(半紙!$B$11:$B$310),INDEX(半紙!$H$11:$H$310,110),IF(110&lt;=COUNTA(半紙!$B$11:$B$310)+COUNTA(条幅!$B$11:$B$310),INDEX(条幅!$H$11:$H$310,110-COUNTA(半紙!$B$11:$B$310)),IF(110&lt;=COUNTA(半紙!$B$11:$B$310)+COUNTA(条幅!$B$11:$B$310)+COUNTA(条幅4分の1!$B$11:$B$310),INDEX(条幅4分の1!$H$11:$H$310,110-COUNTA(半紙!$B$11:$B$310)-COUNTA(条幅!$B$11:$B$310)),"")))=0,"",IF(110&lt;=COUNTA(半紙!$B$11:$B$310),INDEX(半紙!$H$11:$H$310,110),IF(110&lt;=COUNTA(半紙!$B$11:$B$310)+COUNTA(条幅!$B$11:$B$310),INDEX(条幅!$H$11:$H$310,110-COUNTA(半紙!$B$11:$B$310)),IF(110&lt;=COUNTA(半紙!$B$11:$B$310)+COUNTA(条幅!$B$11:$B$310)+COUNTA(条幅4分の1!$B$11:$B$310),INDEX(条幅4分の1!$H$11:$H$310,110-COUNTA(半紙!$B$11:$B$310)-COUNTA(条幅!$B$11:$B$310)),""))))</f>
        <v/>
      </c>
      <c r="I115" s="38" t="str">
        <f>IF(IF(110&lt;=COUNTA(半紙!$B$11:$B$310),INDEX(半紙!$I$11:$I$310,110),IF(110&lt;=COUNTA(半紙!$B$11:$B$310)+COUNTA(条幅!$B$11:$B$310),INDEX(条幅!$I$11:$I$310,110-COUNTA(半紙!$B$11:$B$310)),IF(110&lt;=COUNTA(半紙!$B$11:$B$310)+COUNTA(条幅!$B$11:$B$310)+COUNTA(条幅4分の1!$B$11:$B$310),INDEX(条幅4分の1!$I$11:$I$310,110-COUNTA(半紙!$B$11:$B$310)-COUNTA(条幅!$B$11:$B$310)),"")))=0,"",IF(110&lt;=COUNTA(半紙!$B$11:$B$310),INDEX(半紙!$I$11:$I$310,110),IF(110&lt;=COUNTA(半紙!$B$11:$B$310)+COUNTA(条幅!$B$11:$B$310),INDEX(条幅!$I$11:$I$310,110-COUNTA(半紙!$B$11:$B$310)),IF(110&lt;=COUNTA(半紙!$B$11:$B$310)+COUNTA(条幅!$B$11:$B$310)+COUNTA(条幅4分の1!$B$11:$B$310),INDEX(条幅4分の1!$I$11:$I$310,110-COUNTA(半紙!$B$11:$B$310)-COUNTA(条幅!$B$11:$B$310)),""))))</f>
        <v/>
      </c>
      <c r="J115" s="38" t="str">
        <f>IF(IF(110&lt;=COUNTA(半紙!$B$11:$B$310),INDEX(半紙!$J$11:$J$310,110),IF(110&lt;=COUNTA(半紙!$B$11:$B$310)+COUNTA(条幅!$B$11:$B$310),INDEX(条幅!$J$11:$J$310,110-COUNTA(半紙!$B$11:$B$310)),IF(110&lt;=COUNTA(半紙!$B$11:$B$310)+COUNTA(条幅!$B$11:$B$310)+COUNTA(条幅4分の1!$B$11:$B$310),INDEX(条幅4分の1!$J$11:$J$310,110-COUNTA(半紙!$B$11:$B$310)-COUNTA(条幅!$B$11:$B$310)),"")))=0,"",IF(110&lt;=COUNTA(半紙!$B$11:$B$310),INDEX(半紙!$J$11:$J$310,110),IF(110&lt;=COUNTA(半紙!$B$11:$B$310)+COUNTA(条幅!$B$11:$B$310),INDEX(条幅!$J$11:$J$310,110-COUNTA(半紙!$B$11:$B$310)),IF(110&lt;=COUNTA(半紙!$B$11:$B$310)+COUNTA(条幅!$B$11:$B$310)+COUNTA(条幅4分の1!$B$11:$B$310),INDEX(条幅4分の1!$J$11:$J$310,110-COUNTA(半紙!$B$11:$B$310)-COUNTA(条幅!$B$11:$B$310)),""))))</f>
        <v/>
      </c>
      <c r="K115" s="38" t="str">
        <f>IF(IF(110&lt;=COUNTA(半紙!$B$11:$B$310),INDEX(半紙!$K$11:$K$310,110),IF(110&lt;=COUNTA(半紙!$B$11:$B$310)+COUNTA(条幅!$B$11:$B$310),INDEX(条幅!$K$11:$K$310,110-COUNTA(半紙!$B$11:$B$310)),IF(110&lt;=COUNTA(半紙!$B$11:$B$310)+COUNTA(条幅!$B$11:$B$310)+COUNTA(条幅4分の1!$B$11:$B$310),INDEX(条幅4分の1!$K$11:$K$310,110-COUNTA(半紙!$B$11:$B$310)-COUNTA(条幅!$B$11:$B$310)),"")))=0,"",IF(110&lt;=COUNTA(半紙!$B$11:$B$310),INDEX(半紙!$K$11:$K$310,110),IF(110&lt;=COUNTA(半紙!$B$11:$B$310)+COUNTA(条幅!$B$11:$B$310),INDEX(条幅!$K$11:$K$310,110-COUNTA(半紙!$B$11:$B$310)),IF(110&lt;=COUNTA(半紙!$B$11:$B$310)+COUNTA(条幅!$B$11:$B$310)+COUNTA(条幅4分の1!$B$11:$B$310),INDEX(条幅4分の1!$K$11:$K$310,110-COUNTA(半紙!$B$11:$B$310)-COUNTA(条幅!$B$11:$B$310)),""))))</f>
        <v/>
      </c>
      <c r="L115" s="48" t="str">
        <f>IF($B115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110))</f>
        <v/>
      </c>
    </row>
    <row r="116" spans="1:12" ht="15" customHeight="1">
      <c r="A116" s="37" t="str">
        <f>IF(111&lt;=COUNTA(半紙!$B$11:$B$310),"半紙",IF(111&lt;=COUNTA(半紙!$B$11:$B$310)+COUNTA(条幅!$B$11:$B$310),"条幅(半切)",IF(111&lt;=COUNTA(半紙!$B$11:$B$310)+COUNTA(条幅!$B$11:$B$310)+COUNTA(条幅4分の1!$B$11:$B$310),"条幅(1/4)","")))</f>
        <v/>
      </c>
      <c r="B116" s="38" t="str">
        <f>IF(IF(111&lt;=COUNTA(半紙!$B$11:$B$310),INDEX(半紙!$B$11:$B$310,111),IF(111&lt;=COUNTA(半紙!$B$11:$B$310)+COUNTA(条幅!$B$11:$B$310),INDEX(条幅!$B$11:$B$310,111-COUNTA(半紙!$B$11:$B$310)),IF(111&lt;=COUNTA(半紙!$B$11:$B$310)+COUNTA(条幅!$B$11:$B$310)+COUNTA(条幅4分の1!$B$11:$B$310),INDEX(条幅4分の1!$B$11:$B$310,111-COUNTA(半紙!$B$11:$B$310)-COUNTA(条幅!$B$11:$B$310)),"")))=0,"",IF(111&lt;=COUNTA(半紙!$B$11:$B$310),INDEX(半紙!$B$11:$B$310,111),IF(111&lt;=COUNTA(半紙!$B$11:$B$310)+COUNTA(条幅!$B$11:$B$310),INDEX(条幅!$B$11:$B$310,111-COUNTA(半紙!$B$11:$B$310)),IF(111&lt;=COUNTA(半紙!$B$11:$B$310)+COUNTA(条幅!$B$11:$B$310)+COUNTA(条幅4分の1!$B$11:$B$310),INDEX(条幅4分の1!$B$11:$B$310,111-COUNTA(半紙!$B$11:$B$310)-COUNTA(条幅!$B$11:$B$310)),""))))</f>
        <v/>
      </c>
      <c r="C116" s="38" t="str">
        <f>IF(IF(111&lt;=COUNTA(半紙!$B$11:$B$310),INDEX(半紙!$C$11:$C$310,111),IF(111&lt;=COUNTA(半紙!$B$11:$B$310)+COUNTA(条幅!$B$11:$B$310),INDEX(条幅!$C$11:$C$310,111-COUNTA(半紙!$B$11:$B$310)),IF(111&lt;=COUNTA(半紙!$B$11:$B$310)+COUNTA(条幅!$B$11:$B$310)+COUNTA(条幅4分の1!$B$11:$B$310),INDEX(条幅4分の1!$C$11:$C$310,111-COUNTA(半紙!$B$11:$B$310)-COUNTA(条幅!$B$11:$B$310)),"")))=0,"",IF(111&lt;=COUNTA(半紙!$B$11:$B$310),INDEX(半紙!$C$11:$C$310,111),IF(111&lt;=COUNTA(半紙!$B$11:$B$310)+COUNTA(条幅!$B$11:$B$310),INDEX(条幅!$C$11:$C$310,111-COUNTA(半紙!$B$11:$B$310)),IF(111&lt;=COUNTA(半紙!$B$11:$B$310)+COUNTA(条幅!$B$11:$B$310)+COUNTA(条幅4分の1!$B$11:$B$310),INDEX(条幅4分の1!$C$11:$C$310,111-COUNTA(半紙!$B$11:$B$310)-COUNTA(条幅!$B$11:$B$310)),""))))</f>
        <v/>
      </c>
      <c r="D116" s="38" t="str">
        <f>IF(IF(111&lt;=COUNTA(半紙!$B$11:$B$310),INDEX(半紙!$D$11:$D$310,111),IF(111&lt;=COUNTA(半紙!$B$11:$B$310)+COUNTA(条幅!$B$11:$B$310),INDEX(条幅!$D$11:$D$310,111-COUNTA(半紙!$B$11:$B$310)),IF(111&lt;=COUNTA(半紙!$B$11:$B$310)+COUNTA(条幅!$B$11:$B$310)+COUNTA(条幅4分の1!$B$11:$B$310),INDEX(条幅4分の1!$D$11:$D$310,111-COUNTA(半紙!$B$11:$B$310)-COUNTA(条幅!$B$11:$B$310)),"")))=0,"",IF(111&lt;=COUNTA(半紙!$B$11:$B$310),INDEX(半紙!$D$11:$D$310,111),IF(111&lt;=COUNTA(半紙!$B$11:$B$310)+COUNTA(条幅!$B$11:$B$310),INDEX(条幅!$D$11:$D$310,111-COUNTA(半紙!$B$11:$B$310)),IF(111&lt;=COUNTA(半紙!$B$11:$B$310)+COUNTA(条幅!$B$11:$B$310)+COUNTA(条幅4分の1!$B$11:$B$310),INDEX(条幅4分の1!$D$11:$D$310,111-COUNTA(半紙!$B$11:$B$310)-COUNTA(条幅!$B$11:$B$310)),""))))</f>
        <v/>
      </c>
      <c r="E116" s="38" t="str">
        <f>IF(IF(111&lt;=COUNTA(半紙!$B$11:$B$310),INDEX(半紙!$E$11:$E$310,111),IF(111&lt;=COUNTA(半紙!$B$11:$B$310)+COUNTA(条幅!$B$11:$B$310),INDEX(条幅!$E$11:$E$310,111-COUNTA(半紙!$B$11:$B$310)),IF(111&lt;=COUNTA(半紙!$B$11:$B$310)+COUNTA(条幅!$B$11:$B$310)+COUNTA(条幅4分の1!$B$11:$B$310),INDEX(条幅4分の1!$E$11:$E$310,111-COUNTA(半紙!$B$11:$B$310)-COUNTA(条幅!$B$11:$B$310)),"")))=0,"",IF(111&lt;=COUNTA(半紙!$B$11:$B$310),INDEX(半紙!$E$11:$E$310,111),IF(111&lt;=COUNTA(半紙!$B$11:$B$310)+COUNTA(条幅!$B$11:$B$310),INDEX(条幅!$E$11:$E$310,111-COUNTA(半紙!$B$11:$B$310)),IF(111&lt;=COUNTA(半紙!$B$11:$B$310)+COUNTA(条幅!$B$11:$B$310)+COUNTA(条幅4分の1!$B$11:$B$310),INDEX(条幅4分の1!$E$11:$E$310,111-COUNTA(半紙!$B$11:$B$310)-COUNTA(条幅!$B$11:$B$310)),""))))</f>
        <v/>
      </c>
      <c r="F116" s="38" t="str">
        <f>IF(IF(111&lt;=COUNTA(半紙!$B$11:$B$310),INDEX(半紙!$F$11:$F$310,111),IF(111&lt;=COUNTA(半紙!$B$11:$B$310)+COUNTA(条幅!$B$11:$B$310),INDEX(条幅!$F$11:$F$310,111-COUNTA(半紙!$B$11:$B$310)),IF(111&lt;=COUNTA(半紙!$B$11:$B$310)+COUNTA(条幅!$B$11:$B$310)+COUNTA(条幅4分の1!$B$11:$B$310),INDEX(条幅4分の1!$F$11:$F$310,111-COUNTA(半紙!$B$11:$B$310)-COUNTA(条幅!$B$11:$B$310)),"")))=0,"",IF(111&lt;=COUNTA(半紙!$B$11:$B$310),INDEX(半紙!$F$11:$F$310,111),IF(111&lt;=COUNTA(半紙!$B$11:$B$310)+COUNTA(条幅!$B$11:$B$310),INDEX(条幅!$F$11:$F$310,111-COUNTA(半紙!$B$11:$B$310)),IF(111&lt;=COUNTA(半紙!$B$11:$B$310)+COUNTA(条幅!$B$11:$B$310)+COUNTA(条幅4分の1!$B$11:$B$310),INDEX(条幅4分の1!$F$11:$F$310,111-COUNTA(半紙!$B$11:$B$310)-COUNTA(条幅!$B$11:$B$310)),""))))</f>
        <v/>
      </c>
      <c r="G116" s="38" t="str">
        <f>IF(IF(111&lt;=COUNTA(半紙!$B$11:$B$310),INDEX(半紙!$G$11:$G$310,111),IF(111&lt;=COUNTA(半紙!$B$11:$B$310)+COUNTA(条幅!$B$11:$B$310),INDEX(条幅!$G$11:$G$310,111-COUNTA(半紙!$B$11:$B$310)),IF(111&lt;=COUNTA(半紙!$B$11:$B$310)+COUNTA(条幅!$B$11:$B$310)+COUNTA(条幅4分の1!$B$11:$B$310),INDEX(条幅4分の1!$G$11:$G$310,111-COUNTA(半紙!$B$11:$B$310)-COUNTA(条幅!$B$11:$B$310)),"")))=0,"",IF(111&lt;=COUNTA(半紙!$B$11:$B$310),INDEX(半紙!$G$11:$G$310,111),IF(111&lt;=COUNTA(半紙!$B$11:$B$310)+COUNTA(条幅!$B$11:$B$310),INDEX(条幅!$G$11:$G$310,111-COUNTA(半紙!$B$11:$B$310)),IF(111&lt;=COUNTA(半紙!$B$11:$B$310)+COUNTA(条幅!$B$11:$B$310)+COUNTA(条幅4分の1!$B$11:$B$310),INDEX(条幅4分の1!$G$11:$G$310,111-COUNTA(半紙!$B$11:$B$310)-COUNTA(条幅!$B$11:$B$310)),""))))</f>
        <v/>
      </c>
      <c r="H116" s="38" t="str">
        <f>IF(IF(111&lt;=COUNTA(半紙!$B$11:$B$310),INDEX(半紙!$H$11:$H$310,111),IF(111&lt;=COUNTA(半紙!$B$11:$B$310)+COUNTA(条幅!$B$11:$B$310),INDEX(条幅!$H$11:$H$310,111-COUNTA(半紙!$B$11:$B$310)),IF(111&lt;=COUNTA(半紙!$B$11:$B$310)+COUNTA(条幅!$B$11:$B$310)+COUNTA(条幅4分の1!$B$11:$B$310),INDEX(条幅4分の1!$H$11:$H$310,111-COUNTA(半紙!$B$11:$B$310)-COUNTA(条幅!$B$11:$B$310)),"")))=0,"",IF(111&lt;=COUNTA(半紙!$B$11:$B$310),INDEX(半紙!$H$11:$H$310,111),IF(111&lt;=COUNTA(半紙!$B$11:$B$310)+COUNTA(条幅!$B$11:$B$310),INDEX(条幅!$H$11:$H$310,111-COUNTA(半紙!$B$11:$B$310)),IF(111&lt;=COUNTA(半紙!$B$11:$B$310)+COUNTA(条幅!$B$11:$B$310)+COUNTA(条幅4分の1!$B$11:$B$310),INDEX(条幅4分の1!$H$11:$H$310,111-COUNTA(半紙!$B$11:$B$310)-COUNTA(条幅!$B$11:$B$310)),""))))</f>
        <v/>
      </c>
      <c r="I116" s="38" t="str">
        <f>IF(IF(111&lt;=COUNTA(半紙!$B$11:$B$310),INDEX(半紙!$I$11:$I$310,111),IF(111&lt;=COUNTA(半紙!$B$11:$B$310)+COUNTA(条幅!$B$11:$B$310),INDEX(条幅!$I$11:$I$310,111-COUNTA(半紙!$B$11:$B$310)),IF(111&lt;=COUNTA(半紙!$B$11:$B$310)+COUNTA(条幅!$B$11:$B$310)+COUNTA(条幅4分の1!$B$11:$B$310),INDEX(条幅4分の1!$I$11:$I$310,111-COUNTA(半紙!$B$11:$B$310)-COUNTA(条幅!$B$11:$B$310)),"")))=0,"",IF(111&lt;=COUNTA(半紙!$B$11:$B$310),INDEX(半紙!$I$11:$I$310,111),IF(111&lt;=COUNTA(半紙!$B$11:$B$310)+COUNTA(条幅!$B$11:$B$310),INDEX(条幅!$I$11:$I$310,111-COUNTA(半紙!$B$11:$B$310)),IF(111&lt;=COUNTA(半紙!$B$11:$B$310)+COUNTA(条幅!$B$11:$B$310)+COUNTA(条幅4分の1!$B$11:$B$310),INDEX(条幅4分の1!$I$11:$I$310,111-COUNTA(半紙!$B$11:$B$310)-COUNTA(条幅!$B$11:$B$310)),""))))</f>
        <v/>
      </c>
      <c r="J116" s="38" t="str">
        <f>IF(IF(111&lt;=COUNTA(半紙!$B$11:$B$310),INDEX(半紙!$J$11:$J$310,111),IF(111&lt;=COUNTA(半紙!$B$11:$B$310)+COUNTA(条幅!$B$11:$B$310),INDEX(条幅!$J$11:$J$310,111-COUNTA(半紙!$B$11:$B$310)),IF(111&lt;=COUNTA(半紙!$B$11:$B$310)+COUNTA(条幅!$B$11:$B$310)+COUNTA(条幅4分の1!$B$11:$B$310),INDEX(条幅4分の1!$J$11:$J$310,111-COUNTA(半紙!$B$11:$B$310)-COUNTA(条幅!$B$11:$B$310)),"")))=0,"",IF(111&lt;=COUNTA(半紙!$B$11:$B$310),INDEX(半紙!$J$11:$J$310,111),IF(111&lt;=COUNTA(半紙!$B$11:$B$310)+COUNTA(条幅!$B$11:$B$310),INDEX(条幅!$J$11:$J$310,111-COUNTA(半紙!$B$11:$B$310)),IF(111&lt;=COUNTA(半紙!$B$11:$B$310)+COUNTA(条幅!$B$11:$B$310)+COUNTA(条幅4分の1!$B$11:$B$310),INDEX(条幅4分の1!$J$11:$J$310,111-COUNTA(半紙!$B$11:$B$310)-COUNTA(条幅!$B$11:$B$310)),""))))</f>
        <v/>
      </c>
      <c r="K116" s="38" t="str">
        <f>IF(IF(111&lt;=COUNTA(半紙!$B$11:$B$310),INDEX(半紙!$K$11:$K$310,111),IF(111&lt;=COUNTA(半紙!$B$11:$B$310)+COUNTA(条幅!$B$11:$B$310),INDEX(条幅!$K$11:$K$310,111-COUNTA(半紙!$B$11:$B$310)),IF(111&lt;=COUNTA(半紙!$B$11:$B$310)+COUNTA(条幅!$B$11:$B$310)+COUNTA(条幅4分の1!$B$11:$B$310),INDEX(条幅4分の1!$K$11:$K$310,111-COUNTA(半紙!$B$11:$B$310)-COUNTA(条幅!$B$11:$B$310)),"")))=0,"",IF(111&lt;=COUNTA(半紙!$B$11:$B$310),INDEX(半紙!$K$11:$K$310,111),IF(111&lt;=COUNTA(半紙!$B$11:$B$310)+COUNTA(条幅!$B$11:$B$310),INDEX(条幅!$K$11:$K$310,111-COUNTA(半紙!$B$11:$B$310)),IF(111&lt;=COUNTA(半紙!$B$11:$B$310)+COUNTA(条幅!$B$11:$B$310)+COUNTA(条幅4分の1!$B$11:$B$310),INDEX(条幅4分の1!$K$11:$K$310,111-COUNTA(半紙!$B$11:$B$310)-COUNTA(条幅!$B$11:$B$310)),""))))</f>
        <v/>
      </c>
      <c r="L116" s="48" t="str">
        <f>IF($B116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111))</f>
        <v/>
      </c>
    </row>
    <row r="117" spans="1:12" ht="15" customHeight="1">
      <c r="A117" s="37" t="str">
        <f>IF(112&lt;=COUNTA(半紙!$B$11:$B$310),"半紙",IF(112&lt;=COUNTA(半紙!$B$11:$B$310)+COUNTA(条幅!$B$11:$B$310),"条幅(半切)",IF(112&lt;=COUNTA(半紙!$B$11:$B$310)+COUNTA(条幅!$B$11:$B$310)+COUNTA(条幅4分の1!$B$11:$B$310),"条幅(1/4)","")))</f>
        <v/>
      </c>
      <c r="B117" s="38" t="str">
        <f>IF(IF(112&lt;=COUNTA(半紙!$B$11:$B$310),INDEX(半紙!$B$11:$B$310,112),IF(112&lt;=COUNTA(半紙!$B$11:$B$310)+COUNTA(条幅!$B$11:$B$310),INDEX(条幅!$B$11:$B$310,112-COUNTA(半紙!$B$11:$B$310)),IF(112&lt;=COUNTA(半紙!$B$11:$B$310)+COUNTA(条幅!$B$11:$B$310)+COUNTA(条幅4分の1!$B$11:$B$310),INDEX(条幅4分の1!$B$11:$B$310,112-COUNTA(半紙!$B$11:$B$310)-COUNTA(条幅!$B$11:$B$310)),"")))=0,"",IF(112&lt;=COUNTA(半紙!$B$11:$B$310),INDEX(半紙!$B$11:$B$310,112),IF(112&lt;=COUNTA(半紙!$B$11:$B$310)+COUNTA(条幅!$B$11:$B$310),INDEX(条幅!$B$11:$B$310,112-COUNTA(半紙!$B$11:$B$310)),IF(112&lt;=COUNTA(半紙!$B$11:$B$310)+COUNTA(条幅!$B$11:$B$310)+COUNTA(条幅4分の1!$B$11:$B$310),INDEX(条幅4分の1!$B$11:$B$310,112-COUNTA(半紙!$B$11:$B$310)-COUNTA(条幅!$B$11:$B$310)),""))))</f>
        <v/>
      </c>
      <c r="C117" s="38" t="str">
        <f>IF(IF(112&lt;=COUNTA(半紙!$B$11:$B$310),INDEX(半紙!$C$11:$C$310,112),IF(112&lt;=COUNTA(半紙!$B$11:$B$310)+COUNTA(条幅!$B$11:$B$310),INDEX(条幅!$C$11:$C$310,112-COUNTA(半紙!$B$11:$B$310)),IF(112&lt;=COUNTA(半紙!$B$11:$B$310)+COUNTA(条幅!$B$11:$B$310)+COUNTA(条幅4分の1!$B$11:$B$310),INDEX(条幅4分の1!$C$11:$C$310,112-COUNTA(半紙!$B$11:$B$310)-COUNTA(条幅!$B$11:$B$310)),"")))=0,"",IF(112&lt;=COUNTA(半紙!$B$11:$B$310),INDEX(半紙!$C$11:$C$310,112),IF(112&lt;=COUNTA(半紙!$B$11:$B$310)+COUNTA(条幅!$B$11:$B$310),INDEX(条幅!$C$11:$C$310,112-COUNTA(半紙!$B$11:$B$310)),IF(112&lt;=COUNTA(半紙!$B$11:$B$310)+COUNTA(条幅!$B$11:$B$310)+COUNTA(条幅4分の1!$B$11:$B$310),INDEX(条幅4分の1!$C$11:$C$310,112-COUNTA(半紙!$B$11:$B$310)-COUNTA(条幅!$B$11:$B$310)),""))))</f>
        <v/>
      </c>
      <c r="D117" s="38" t="str">
        <f>IF(IF(112&lt;=COUNTA(半紙!$B$11:$B$310),INDEX(半紙!$D$11:$D$310,112),IF(112&lt;=COUNTA(半紙!$B$11:$B$310)+COUNTA(条幅!$B$11:$B$310),INDEX(条幅!$D$11:$D$310,112-COUNTA(半紙!$B$11:$B$310)),IF(112&lt;=COUNTA(半紙!$B$11:$B$310)+COUNTA(条幅!$B$11:$B$310)+COUNTA(条幅4分の1!$B$11:$B$310),INDEX(条幅4分の1!$D$11:$D$310,112-COUNTA(半紙!$B$11:$B$310)-COUNTA(条幅!$B$11:$B$310)),"")))=0,"",IF(112&lt;=COUNTA(半紙!$B$11:$B$310),INDEX(半紙!$D$11:$D$310,112),IF(112&lt;=COUNTA(半紙!$B$11:$B$310)+COUNTA(条幅!$B$11:$B$310),INDEX(条幅!$D$11:$D$310,112-COUNTA(半紙!$B$11:$B$310)),IF(112&lt;=COUNTA(半紙!$B$11:$B$310)+COUNTA(条幅!$B$11:$B$310)+COUNTA(条幅4分の1!$B$11:$B$310),INDEX(条幅4分の1!$D$11:$D$310,112-COUNTA(半紙!$B$11:$B$310)-COUNTA(条幅!$B$11:$B$310)),""))))</f>
        <v/>
      </c>
      <c r="E117" s="38" t="str">
        <f>IF(IF(112&lt;=COUNTA(半紙!$B$11:$B$310),INDEX(半紙!$E$11:$E$310,112),IF(112&lt;=COUNTA(半紙!$B$11:$B$310)+COUNTA(条幅!$B$11:$B$310),INDEX(条幅!$E$11:$E$310,112-COUNTA(半紙!$B$11:$B$310)),IF(112&lt;=COUNTA(半紙!$B$11:$B$310)+COUNTA(条幅!$B$11:$B$310)+COUNTA(条幅4分の1!$B$11:$B$310),INDEX(条幅4分の1!$E$11:$E$310,112-COUNTA(半紙!$B$11:$B$310)-COUNTA(条幅!$B$11:$B$310)),"")))=0,"",IF(112&lt;=COUNTA(半紙!$B$11:$B$310),INDEX(半紙!$E$11:$E$310,112),IF(112&lt;=COUNTA(半紙!$B$11:$B$310)+COUNTA(条幅!$B$11:$B$310),INDEX(条幅!$E$11:$E$310,112-COUNTA(半紙!$B$11:$B$310)),IF(112&lt;=COUNTA(半紙!$B$11:$B$310)+COUNTA(条幅!$B$11:$B$310)+COUNTA(条幅4分の1!$B$11:$B$310),INDEX(条幅4分の1!$E$11:$E$310,112-COUNTA(半紙!$B$11:$B$310)-COUNTA(条幅!$B$11:$B$310)),""))))</f>
        <v/>
      </c>
      <c r="F117" s="38" t="str">
        <f>IF(IF(112&lt;=COUNTA(半紙!$B$11:$B$310),INDEX(半紙!$F$11:$F$310,112),IF(112&lt;=COUNTA(半紙!$B$11:$B$310)+COUNTA(条幅!$B$11:$B$310),INDEX(条幅!$F$11:$F$310,112-COUNTA(半紙!$B$11:$B$310)),IF(112&lt;=COUNTA(半紙!$B$11:$B$310)+COUNTA(条幅!$B$11:$B$310)+COUNTA(条幅4分の1!$B$11:$B$310),INDEX(条幅4分の1!$F$11:$F$310,112-COUNTA(半紙!$B$11:$B$310)-COUNTA(条幅!$B$11:$B$310)),"")))=0,"",IF(112&lt;=COUNTA(半紙!$B$11:$B$310),INDEX(半紙!$F$11:$F$310,112),IF(112&lt;=COUNTA(半紙!$B$11:$B$310)+COUNTA(条幅!$B$11:$B$310),INDEX(条幅!$F$11:$F$310,112-COUNTA(半紙!$B$11:$B$310)),IF(112&lt;=COUNTA(半紙!$B$11:$B$310)+COUNTA(条幅!$B$11:$B$310)+COUNTA(条幅4分の1!$B$11:$B$310),INDEX(条幅4分の1!$F$11:$F$310,112-COUNTA(半紙!$B$11:$B$310)-COUNTA(条幅!$B$11:$B$310)),""))))</f>
        <v/>
      </c>
      <c r="G117" s="38" t="str">
        <f>IF(IF(112&lt;=COUNTA(半紙!$B$11:$B$310),INDEX(半紙!$G$11:$G$310,112),IF(112&lt;=COUNTA(半紙!$B$11:$B$310)+COUNTA(条幅!$B$11:$B$310),INDEX(条幅!$G$11:$G$310,112-COUNTA(半紙!$B$11:$B$310)),IF(112&lt;=COUNTA(半紙!$B$11:$B$310)+COUNTA(条幅!$B$11:$B$310)+COUNTA(条幅4分の1!$B$11:$B$310),INDEX(条幅4分の1!$G$11:$G$310,112-COUNTA(半紙!$B$11:$B$310)-COUNTA(条幅!$B$11:$B$310)),"")))=0,"",IF(112&lt;=COUNTA(半紙!$B$11:$B$310),INDEX(半紙!$G$11:$G$310,112),IF(112&lt;=COUNTA(半紙!$B$11:$B$310)+COUNTA(条幅!$B$11:$B$310),INDEX(条幅!$G$11:$G$310,112-COUNTA(半紙!$B$11:$B$310)),IF(112&lt;=COUNTA(半紙!$B$11:$B$310)+COUNTA(条幅!$B$11:$B$310)+COUNTA(条幅4分の1!$B$11:$B$310),INDEX(条幅4分の1!$G$11:$G$310,112-COUNTA(半紙!$B$11:$B$310)-COUNTA(条幅!$B$11:$B$310)),""))))</f>
        <v/>
      </c>
      <c r="H117" s="38" t="str">
        <f>IF(IF(112&lt;=COUNTA(半紙!$B$11:$B$310),INDEX(半紙!$H$11:$H$310,112),IF(112&lt;=COUNTA(半紙!$B$11:$B$310)+COUNTA(条幅!$B$11:$B$310),INDEX(条幅!$H$11:$H$310,112-COUNTA(半紙!$B$11:$B$310)),IF(112&lt;=COUNTA(半紙!$B$11:$B$310)+COUNTA(条幅!$B$11:$B$310)+COUNTA(条幅4分の1!$B$11:$B$310),INDEX(条幅4分の1!$H$11:$H$310,112-COUNTA(半紙!$B$11:$B$310)-COUNTA(条幅!$B$11:$B$310)),"")))=0,"",IF(112&lt;=COUNTA(半紙!$B$11:$B$310),INDEX(半紙!$H$11:$H$310,112),IF(112&lt;=COUNTA(半紙!$B$11:$B$310)+COUNTA(条幅!$B$11:$B$310),INDEX(条幅!$H$11:$H$310,112-COUNTA(半紙!$B$11:$B$310)),IF(112&lt;=COUNTA(半紙!$B$11:$B$310)+COUNTA(条幅!$B$11:$B$310)+COUNTA(条幅4分の1!$B$11:$B$310),INDEX(条幅4分の1!$H$11:$H$310,112-COUNTA(半紙!$B$11:$B$310)-COUNTA(条幅!$B$11:$B$310)),""))))</f>
        <v/>
      </c>
      <c r="I117" s="38" t="str">
        <f>IF(IF(112&lt;=COUNTA(半紙!$B$11:$B$310),INDEX(半紙!$I$11:$I$310,112),IF(112&lt;=COUNTA(半紙!$B$11:$B$310)+COUNTA(条幅!$B$11:$B$310),INDEX(条幅!$I$11:$I$310,112-COUNTA(半紙!$B$11:$B$310)),IF(112&lt;=COUNTA(半紙!$B$11:$B$310)+COUNTA(条幅!$B$11:$B$310)+COUNTA(条幅4分の1!$B$11:$B$310),INDEX(条幅4分の1!$I$11:$I$310,112-COUNTA(半紙!$B$11:$B$310)-COUNTA(条幅!$B$11:$B$310)),"")))=0,"",IF(112&lt;=COUNTA(半紙!$B$11:$B$310),INDEX(半紙!$I$11:$I$310,112),IF(112&lt;=COUNTA(半紙!$B$11:$B$310)+COUNTA(条幅!$B$11:$B$310),INDEX(条幅!$I$11:$I$310,112-COUNTA(半紙!$B$11:$B$310)),IF(112&lt;=COUNTA(半紙!$B$11:$B$310)+COUNTA(条幅!$B$11:$B$310)+COUNTA(条幅4分の1!$B$11:$B$310),INDEX(条幅4分の1!$I$11:$I$310,112-COUNTA(半紙!$B$11:$B$310)-COUNTA(条幅!$B$11:$B$310)),""))))</f>
        <v/>
      </c>
      <c r="J117" s="38" t="str">
        <f>IF(IF(112&lt;=COUNTA(半紙!$B$11:$B$310),INDEX(半紙!$J$11:$J$310,112),IF(112&lt;=COUNTA(半紙!$B$11:$B$310)+COUNTA(条幅!$B$11:$B$310),INDEX(条幅!$J$11:$J$310,112-COUNTA(半紙!$B$11:$B$310)),IF(112&lt;=COUNTA(半紙!$B$11:$B$310)+COUNTA(条幅!$B$11:$B$310)+COUNTA(条幅4分の1!$B$11:$B$310),INDEX(条幅4分の1!$J$11:$J$310,112-COUNTA(半紙!$B$11:$B$310)-COUNTA(条幅!$B$11:$B$310)),"")))=0,"",IF(112&lt;=COUNTA(半紙!$B$11:$B$310),INDEX(半紙!$J$11:$J$310,112),IF(112&lt;=COUNTA(半紙!$B$11:$B$310)+COUNTA(条幅!$B$11:$B$310),INDEX(条幅!$J$11:$J$310,112-COUNTA(半紙!$B$11:$B$310)),IF(112&lt;=COUNTA(半紙!$B$11:$B$310)+COUNTA(条幅!$B$11:$B$310)+COUNTA(条幅4分の1!$B$11:$B$310),INDEX(条幅4分の1!$J$11:$J$310,112-COUNTA(半紙!$B$11:$B$310)-COUNTA(条幅!$B$11:$B$310)),""))))</f>
        <v/>
      </c>
      <c r="K117" s="38" t="str">
        <f>IF(IF(112&lt;=COUNTA(半紙!$B$11:$B$310),INDEX(半紙!$K$11:$K$310,112),IF(112&lt;=COUNTA(半紙!$B$11:$B$310)+COUNTA(条幅!$B$11:$B$310),INDEX(条幅!$K$11:$K$310,112-COUNTA(半紙!$B$11:$B$310)),IF(112&lt;=COUNTA(半紙!$B$11:$B$310)+COUNTA(条幅!$B$11:$B$310)+COUNTA(条幅4分の1!$B$11:$B$310),INDEX(条幅4分の1!$K$11:$K$310,112-COUNTA(半紙!$B$11:$B$310)-COUNTA(条幅!$B$11:$B$310)),"")))=0,"",IF(112&lt;=COUNTA(半紙!$B$11:$B$310),INDEX(半紙!$K$11:$K$310,112),IF(112&lt;=COUNTA(半紙!$B$11:$B$310)+COUNTA(条幅!$B$11:$B$310),INDEX(条幅!$K$11:$K$310,112-COUNTA(半紙!$B$11:$B$310)),IF(112&lt;=COUNTA(半紙!$B$11:$B$310)+COUNTA(条幅!$B$11:$B$310)+COUNTA(条幅4分の1!$B$11:$B$310),INDEX(条幅4分の1!$K$11:$K$310,112-COUNTA(半紙!$B$11:$B$310)-COUNTA(条幅!$B$11:$B$310)),""))))</f>
        <v/>
      </c>
      <c r="L117" s="48" t="str">
        <f>IF($B117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112))</f>
        <v/>
      </c>
    </row>
    <row r="118" spans="1:12" ht="15" customHeight="1">
      <c r="A118" s="37" t="str">
        <f>IF(113&lt;=COUNTA(半紙!$B$11:$B$310),"半紙",IF(113&lt;=COUNTA(半紙!$B$11:$B$310)+COUNTA(条幅!$B$11:$B$310),"条幅(半切)",IF(113&lt;=COUNTA(半紙!$B$11:$B$310)+COUNTA(条幅!$B$11:$B$310)+COUNTA(条幅4分の1!$B$11:$B$310),"条幅(1/4)","")))</f>
        <v/>
      </c>
      <c r="B118" s="38" t="str">
        <f>IF(IF(113&lt;=COUNTA(半紙!$B$11:$B$310),INDEX(半紙!$B$11:$B$310,113),IF(113&lt;=COUNTA(半紙!$B$11:$B$310)+COUNTA(条幅!$B$11:$B$310),INDEX(条幅!$B$11:$B$310,113-COUNTA(半紙!$B$11:$B$310)),IF(113&lt;=COUNTA(半紙!$B$11:$B$310)+COUNTA(条幅!$B$11:$B$310)+COUNTA(条幅4分の1!$B$11:$B$310),INDEX(条幅4分の1!$B$11:$B$310,113-COUNTA(半紙!$B$11:$B$310)-COUNTA(条幅!$B$11:$B$310)),"")))=0,"",IF(113&lt;=COUNTA(半紙!$B$11:$B$310),INDEX(半紙!$B$11:$B$310,113),IF(113&lt;=COUNTA(半紙!$B$11:$B$310)+COUNTA(条幅!$B$11:$B$310),INDEX(条幅!$B$11:$B$310,113-COUNTA(半紙!$B$11:$B$310)),IF(113&lt;=COUNTA(半紙!$B$11:$B$310)+COUNTA(条幅!$B$11:$B$310)+COUNTA(条幅4分の1!$B$11:$B$310),INDEX(条幅4分の1!$B$11:$B$310,113-COUNTA(半紙!$B$11:$B$310)-COUNTA(条幅!$B$11:$B$310)),""))))</f>
        <v/>
      </c>
      <c r="C118" s="38" t="str">
        <f>IF(IF(113&lt;=COUNTA(半紙!$B$11:$B$310),INDEX(半紙!$C$11:$C$310,113),IF(113&lt;=COUNTA(半紙!$B$11:$B$310)+COUNTA(条幅!$B$11:$B$310),INDEX(条幅!$C$11:$C$310,113-COUNTA(半紙!$B$11:$B$310)),IF(113&lt;=COUNTA(半紙!$B$11:$B$310)+COUNTA(条幅!$B$11:$B$310)+COUNTA(条幅4分の1!$B$11:$B$310),INDEX(条幅4分の1!$C$11:$C$310,113-COUNTA(半紙!$B$11:$B$310)-COUNTA(条幅!$B$11:$B$310)),"")))=0,"",IF(113&lt;=COUNTA(半紙!$B$11:$B$310),INDEX(半紙!$C$11:$C$310,113),IF(113&lt;=COUNTA(半紙!$B$11:$B$310)+COUNTA(条幅!$B$11:$B$310),INDEX(条幅!$C$11:$C$310,113-COUNTA(半紙!$B$11:$B$310)),IF(113&lt;=COUNTA(半紙!$B$11:$B$310)+COUNTA(条幅!$B$11:$B$310)+COUNTA(条幅4分の1!$B$11:$B$310),INDEX(条幅4分の1!$C$11:$C$310,113-COUNTA(半紙!$B$11:$B$310)-COUNTA(条幅!$B$11:$B$310)),""))))</f>
        <v/>
      </c>
      <c r="D118" s="38" t="str">
        <f>IF(IF(113&lt;=COUNTA(半紙!$B$11:$B$310),INDEX(半紙!$D$11:$D$310,113),IF(113&lt;=COUNTA(半紙!$B$11:$B$310)+COUNTA(条幅!$B$11:$B$310),INDEX(条幅!$D$11:$D$310,113-COUNTA(半紙!$B$11:$B$310)),IF(113&lt;=COUNTA(半紙!$B$11:$B$310)+COUNTA(条幅!$B$11:$B$310)+COUNTA(条幅4分の1!$B$11:$B$310),INDEX(条幅4分の1!$D$11:$D$310,113-COUNTA(半紙!$B$11:$B$310)-COUNTA(条幅!$B$11:$B$310)),"")))=0,"",IF(113&lt;=COUNTA(半紙!$B$11:$B$310),INDEX(半紙!$D$11:$D$310,113),IF(113&lt;=COUNTA(半紙!$B$11:$B$310)+COUNTA(条幅!$B$11:$B$310),INDEX(条幅!$D$11:$D$310,113-COUNTA(半紙!$B$11:$B$310)),IF(113&lt;=COUNTA(半紙!$B$11:$B$310)+COUNTA(条幅!$B$11:$B$310)+COUNTA(条幅4分の1!$B$11:$B$310),INDEX(条幅4分の1!$D$11:$D$310,113-COUNTA(半紙!$B$11:$B$310)-COUNTA(条幅!$B$11:$B$310)),""))))</f>
        <v/>
      </c>
      <c r="E118" s="38" t="str">
        <f>IF(IF(113&lt;=COUNTA(半紙!$B$11:$B$310),INDEX(半紙!$E$11:$E$310,113),IF(113&lt;=COUNTA(半紙!$B$11:$B$310)+COUNTA(条幅!$B$11:$B$310),INDEX(条幅!$E$11:$E$310,113-COUNTA(半紙!$B$11:$B$310)),IF(113&lt;=COUNTA(半紙!$B$11:$B$310)+COUNTA(条幅!$B$11:$B$310)+COUNTA(条幅4分の1!$B$11:$B$310),INDEX(条幅4分の1!$E$11:$E$310,113-COUNTA(半紙!$B$11:$B$310)-COUNTA(条幅!$B$11:$B$310)),"")))=0,"",IF(113&lt;=COUNTA(半紙!$B$11:$B$310),INDEX(半紙!$E$11:$E$310,113),IF(113&lt;=COUNTA(半紙!$B$11:$B$310)+COUNTA(条幅!$B$11:$B$310),INDEX(条幅!$E$11:$E$310,113-COUNTA(半紙!$B$11:$B$310)),IF(113&lt;=COUNTA(半紙!$B$11:$B$310)+COUNTA(条幅!$B$11:$B$310)+COUNTA(条幅4分の1!$B$11:$B$310),INDEX(条幅4分の1!$E$11:$E$310,113-COUNTA(半紙!$B$11:$B$310)-COUNTA(条幅!$B$11:$B$310)),""))))</f>
        <v/>
      </c>
      <c r="F118" s="38" t="str">
        <f>IF(IF(113&lt;=COUNTA(半紙!$B$11:$B$310),INDEX(半紙!$F$11:$F$310,113),IF(113&lt;=COUNTA(半紙!$B$11:$B$310)+COUNTA(条幅!$B$11:$B$310),INDEX(条幅!$F$11:$F$310,113-COUNTA(半紙!$B$11:$B$310)),IF(113&lt;=COUNTA(半紙!$B$11:$B$310)+COUNTA(条幅!$B$11:$B$310)+COUNTA(条幅4分の1!$B$11:$B$310),INDEX(条幅4分の1!$F$11:$F$310,113-COUNTA(半紙!$B$11:$B$310)-COUNTA(条幅!$B$11:$B$310)),"")))=0,"",IF(113&lt;=COUNTA(半紙!$B$11:$B$310),INDEX(半紙!$F$11:$F$310,113),IF(113&lt;=COUNTA(半紙!$B$11:$B$310)+COUNTA(条幅!$B$11:$B$310),INDEX(条幅!$F$11:$F$310,113-COUNTA(半紙!$B$11:$B$310)),IF(113&lt;=COUNTA(半紙!$B$11:$B$310)+COUNTA(条幅!$B$11:$B$310)+COUNTA(条幅4分の1!$B$11:$B$310),INDEX(条幅4分の1!$F$11:$F$310,113-COUNTA(半紙!$B$11:$B$310)-COUNTA(条幅!$B$11:$B$310)),""))))</f>
        <v/>
      </c>
      <c r="G118" s="38" t="str">
        <f>IF(IF(113&lt;=COUNTA(半紙!$B$11:$B$310),INDEX(半紙!$G$11:$G$310,113),IF(113&lt;=COUNTA(半紙!$B$11:$B$310)+COUNTA(条幅!$B$11:$B$310),INDEX(条幅!$G$11:$G$310,113-COUNTA(半紙!$B$11:$B$310)),IF(113&lt;=COUNTA(半紙!$B$11:$B$310)+COUNTA(条幅!$B$11:$B$310)+COUNTA(条幅4分の1!$B$11:$B$310),INDEX(条幅4分の1!$G$11:$G$310,113-COUNTA(半紙!$B$11:$B$310)-COUNTA(条幅!$B$11:$B$310)),"")))=0,"",IF(113&lt;=COUNTA(半紙!$B$11:$B$310),INDEX(半紙!$G$11:$G$310,113),IF(113&lt;=COUNTA(半紙!$B$11:$B$310)+COUNTA(条幅!$B$11:$B$310),INDEX(条幅!$G$11:$G$310,113-COUNTA(半紙!$B$11:$B$310)),IF(113&lt;=COUNTA(半紙!$B$11:$B$310)+COUNTA(条幅!$B$11:$B$310)+COUNTA(条幅4分の1!$B$11:$B$310),INDEX(条幅4分の1!$G$11:$G$310,113-COUNTA(半紙!$B$11:$B$310)-COUNTA(条幅!$B$11:$B$310)),""))))</f>
        <v/>
      </c>
      <c r="H118" s="38" t="str">
        <f>IF(IF(113&lt;=COUNTA(半紙!$B$11:$B$310),INDEX(半紙!$H$11:$H$310,113),IF(113&lt;=COUNTA(半紙!$B$11:$B$310)+COUNTA(条幅!$B$11:$B$310),INDEX(条幅!$H$11:$H$310,113-COUNTA(半紙!$B$11:$B$310)),IF(113&lt;=COUNTA(半紙!$B$11:$B$310)+COUNTA(条幅!$B$11:$B$310)+COUNTA(条幅4分の1!$B$11:$B$310),INDEX(条幅4分の1!$H$11:$H$310,113-COUNTA(半紙!$B$11:$B$310)-COUNTA(条幅!$B$11:$B$310)),"")))=0,"",IF(113&lt;=COUNTA(半紙!$B$11:$B$310),INDEX(半紙!$H$11:$H$310,113),IF(113&lt;=COUNTA(半紙!$B$11:$B$310)+COUNTA(条幅!$B$11:$B$310),INDEX(条幅!$H$11:$H$310,113-COUNTA(半紙!$B$11:$B$310)),IF(113&lt;=COUNTA(半紙!$B$11:$B$310)+COUNTA(条幅!$B$11:$B$310)+COUNTA(条幅4分の1!$B$11:$B$310),INDEX(条幅4分の1!$H$11:$H$310,113-COUNTA(半紙!$B$11:$B$310)-COUNTA(条幅!$B$11:$B$310)),""))))</f>
        <v/>
      </c>
      <c r="I118" s="38" t="str">
        <f>IF(IF(113&lt;=COUNTA(半紙!$B$11:$B$310),INDEX(半紙!$I$11:$I$310,113),IF(113&lt;=COUNTA(半紙!$B$11:$B$310)+COUNTA(条幅!$B$11:$B$310),INDEX(条幅!$I$11:$I$310,113-COUNTA(半紙!$B$11:$B$310)),IF(113&lt;=COUNTA(半紙!$B$11:$B$310)+COUNTA(条幅!$B$11:$B$310)+COUNTA(条幅4分の1!$B$11:$B$310),INDEX(条幅4分の1!$I$11:$I$310,113-COUNTA(半紙!$B$11:$B$310)-COUNTA(条幅!$B$11:$B$310)),"")))=0,"",IF(113&lt;=COUNTA(半紙!$B$11:$B$310),INDEX(半紙!$I$11:$I$310,113),IF(113&lt;=COUNTA(半紙!$B$11:$B$310)+COUNTA(条幅!$B$11:$B$310),INDEX(条幅!$I$11:$I$310,113-COUNTA(半紙!$B$11:$B$310)),IF(113&lt;=COUNTA(半紙!$B$11:$B$310)+COUNTA(条幅!$B$11:$B$310)+COUNTA(条幅4分の1!$B$11:$B$310),INDEX(条幅4分の1!$I$11:$I$310,113-COUNTA(半紙!$B$11:$B$310)-COUNTA(条幅!$B$11:$B$310)),""))))</f>
        <v/>
      </c>
      <c r="J118" s="38" t="str">
        <f>IF(IF(113&lt;=COUNTA(半紙!$B$11:$B$310),INDEX(半紙!$J$11:$J$310,113),IF(113&lt;=COUNTA(半紙!$B$11:$B$310)+COUNTA(条幅!$B$11:$B$310),INDEX(条幅!$J$11:$J$310,113-COUNTA(半紙!$B$11:$B$310)),IF(113&lt;=COUNTA(半紙!$B$11:$B$310)+COUNTA(条幅!$B$11:$B$310)+COUNTA(条幅4分の1!$B$11:$B$310),INDEX(条幅4分の1!$J$11:$J$310,113-COUNTA(半紙!$B$11:$B$310)-COUNTA(条幅!$B$11:$B$310)),"")))=0,"",IF(113&lt;=COUNTA(半紙!$B$11:$B$310),INDEX(半紙!$J$11:$J$310,113),IF(113&lt;=COUNTA(半紙!$B$11:$B$310)+COUNTA(条幅!$B$11:$B$310),INDEX(条幅!$J$11:$J$310,113-COUNTA(半紙!$B$11:$B$310)),IF(113&lt;=COUNTA(半紙!$B$11:$B$310)+COUNTA(条幅!$B$11:$B$310)+COUNTA(条幅4分の1!$B$11:$B$310),INDEX(条幅4分の1!$J$11:$J$310,113-COUNTA(半紙!$B$11:$B$310)-COUNTA(条幅!$B$11:$B$310)),""))))</f>
        <v/>
      </c>
      <c r="K118" s="38" t="str">
        <f>IF(IF(113&lt;=COUNTA(半紙!$B$11:$B$310),INDEX(半紙!$K$11:$K$310,113),IF(113&lt;=COUNTA(半紙!$B$11:$B$310)+COUNTA(条幅!$B$11:$B$310),INDEX(条幅!$K$11:$K$310,113-COUNTA(半紙!$B$11:$B$310)),IF(113&lt;=COUNTA(半紙!$B$11:$B$310)+COUNTA(条幅!$B$11:$B$310)+COUNTA(条幅4分の1!$B$11:$B$310),INDEX(条幅4分の1!$K$11:$K$310,113-COUNTA(半紙!$B$11:$B$310)-COUNTA(条幅!$B$11:$B$310)),"")))=0,"",IF(113&lt;=COUNTA(半紙!$B$11:$B$310),INDEX(半紙!$K$11:$K$310,113),IF(113&lt;=COUNTA(半紙!$B$11:$B$310)+COUNTA(条幅!$B$11:$B$310),INDEX(条幅!$K$11:$K$310,113-COUNTA(半紙!$B$11:$B$310)),IF(113&lt;=COUNTA(半紙!$B$11:$B$310)+COUNTA(条幅!$B$11:$B$310)+COUNTA(条幅4分の1!$B$11:$B$310),INDEX(条幅4分の1!$K$11:$K$310,113-COUNTA(半紙!$B$11:$B$310)-COUNTA(条幅!$B$11:$B$310)),""))))</f>
        <v/>
      </c>
      <c r="L118" s="48" t="str">
        <f>IF($B118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113))</f>
        <v/>
      </c>
    </row>
    <row r="119" spans="1:12" ht="15" customHeight="1">
      <c r="A119" s="37" t="str">
        <f>IF(114&lt;=COUNTA(半紙!$B$11:$B$310),"半紙",IF(114&lt;=COUNTA(半紙!$B$11:$B$310)+COUNTA(条幅!$B$11:$B$310),"条幅(半切)",IF(114&lt;=COUNTA(半紙!$B$11:$B$310)+COUNTA(条幅!$B$11:$B$310)+COUNTA(条幅4分の1!$B$11:$B$310),"条幅(1/4)","")))</f>
        <v/>
      </c>
      <c r="B119" s="38" t="str">
        <f>IF(IF(114&lt;=COUNTA(半紙!$B$11:$B$310),INDEX(半紙!$B$11:$B$310,114),IF(114&lt;=COUNTA(半紙!$B$11:$B$310)+COUNTA(条幅!$B$11:$B$310),INDEX(条幅!$B$11:$B$310,114-COUNTA(半紙!$B$11:$B$310)),IF(114&lt;=COUNTA(半紙!$B$11:$B$310)+COUNTA(条幅!$B$11:$B$310)+COUNTA(条幅4分の1!$B$11:$B$310),INDEX(条幅4分の1!$B$11:$B$310,114-COUNTA(半紙!$B$11:$B$310)-COUNTA(条幅!$B$11:$B$310)),"")))=0,"",IF(114&lt;=COUNTA(半紙!$B$11:$B$310),INDEX(半紙!$B$11:$B$310,114),IF(114&lt;=COUNTA(半紙!$B$11:$B$310)+COUNTA(条幅!$B$11:$B$310),INDEX(条幅!$B$11:$B$310,114-COUNTA(半紙!$B$11:$B$310)),IF(114&lt;=COUNTA(半紙!$B$11:$B$310)+COUNTA(条幅!$B$11:$B$310)+COUNTA(条幅4分の1!$B$11:$B$310),INDEX(条幅4分の1!$B$11:$B$310,114-COUNTA(半紙!$B$11:$B$310)-COUNTA(条幅!$B$11:$B$310)),""))))</f>
        <v/>
      </c>
      <c r="C119" s="38" t="str">
        <f>IF(IF(114&lt;=COUNTA(半紙!$B$11:$B$310),INDEX(半紙!$C$11:$C$310,114),IF(114&lt;=COUNTA(半紙!$B$11:$B$310)+COUNTA(条幅!$B$11:$B$310),INDEX(条幅!$C$11:$C$310,114-COUNTA(半紙!$B$11:$B$310)),IF(114&lt;=COUNTA(半紙!$B$11:$B$310)+COUNTA(条幅!$B$11:$B$310)+COUNTA(条幅4分の1!$B$11:$B$310),INDEX(条幅4分の1!$C$11:$C$310,114-COUNTA(半紙!$B$11:$B$310)-COUNTA(条幅!$B$11:$B$310)),"")))=0,"",IF(114&lt;=COUNTA(半紙!$B$11:$B$310),INDEX(半紙!$C$11:$C$310,114),IF(114&lt;=COUNTA(半紙!$B$11:$B$310)+COUNTA(条幅!$B$11:$B$310),INDEX(条幅!$C$11:$C$310,114-COUNTA(半紙!$B$11:$B$310)),IF(114&lt;=COUNTA(半紙!$B$11:$B$310)+COUNTA(条幅!$B$11:$B$310)+COUNTA(条幅4分の1!$B$11:$B$310),INDEX(条幅4分の1!$C$11:$C$310,114-COUNTA(半紙!$B$11:$B$310)-COUNTA(条幅!$B$11:$B$310)),""))))</f>
        <v/>
      </c>
      <c r="D119" s="38" t="str">
        <f>IF(IF(114&lt;=COUNTA(半紙!$B$11:$B$310),INDEX(半紙!$D$11:$D$310,114),IF(114&lt;=COUNTA(半紙!$B$11:$B$310)+COUNTA(条幅!$B$11:$B$310),INDEX(条幅!$D$11:$D$310,114-COUNTA(半紙!$B$11:$B$310)),IF(114&lt;=COUNTA(半紙!$B$11:$B$310)+COUNTA(条幅!$B$11:$B$310)+COUNTA(条幅4分の1!$B$11:$B$310),INDEX(条幅4分の1!$D$11:$D$310,114-COUNTA(半紙!$B$11:$B$310)-COUNTA(条幅!$B$11:$B$310)),"")))=0,"",IF(114&lt;=COUNTA(半紙!$B$11:$B$310),INDEX(半紙!$D$11:$D$310,114),IF(114&lt;=COUNTA(半紙!$B$11:$B$310)+COUNTA(条幅!$B$11:$B$310),INDEX(条幅!$D$11:$D$310,114-COUNTA(半紙!$B$11:$B$310)),IF(114&lt;=COUNTA(半紙!$B$11:$B$310)+COUNTA(条幅!$B$11:$B$310)+COUNTA(条幅4分の1!$B$11:$B$310),INDEX(条幅4分の1!$D$11:$D$310,114-COUNTA(半紙!$B$11:$B$310)-COUNTA(条幅!$B$11:$B$310)),""))))</f>
        <v/>
      </c>
      <c r="E119" s="38" t="str">
        <f>IF(IF(114&lt;=COUNTA(半紙!$B$11:$B$310),INDEX(半紙!$E$11:$E$310,114),IF(114&lt;=COUNTA(半紙!$B$11:$B$310)+COUNTA(条幅!$B$11:$B$310),INDEX(条幅!$E$11:$E$310,114-COUNTA(半紙!$B$11:$B$310)),IF(114&lt;=COUNTA(半紙!$B$11:$B$310)+COUNTA(条幅!$B$11:$B$310)+COUNTA(条幅4分の1!$B$11:$B$310),INDEX(条幅4分の1!$E$11:$E$310,114-COUNTA(半紙!$B$11:$B$310)-COUNTA(条幅!$B$11:$B$310)),"")))=0,"",IF(114&lt;=COUNTA(半紙!$B$11:$B$310),INDEX(半紙!$E$11:$E$310,114),IF(114&lt;=COUNTA(半紙!$B$11:$B$310)+COUNTA(条幅!$B$11:$B$310),INDEX(条幅!$E$11:$E$310,114-COUNTA(半紙!$B$11:$B$310)),IF(114&lt;=COUNTA(半紙!$B$11:$B$310)+COUNTA(条幅!$B$11:$B$310)+COUNTA(条幅4分の1!$B$11:$B$310),INDEX(条幅4分の1!$E$11:$E$310,114-COUNTA(半紙!$B$11:$B$310)-COUNTA(条幅!$B$11:$B$310)),""))))</f>
        <v/>
      </c>
      <c r="F119" s="38" t="str">
        <f>IF(IF(114&lt;=COUNTA(半紙!$B$11:$B$310),INDEX(半紙!$F$11:$F$310,114),IF(114&lt;=COUNTA(半紙!$B$11:$B$310)+COUNTA(条幅!$B$11:$B$310),INDEX(条幅!$F$11:$F$310,114-COUNTA(半紙!$B$11:$B$310)),IF(114&lt;=COUNTA(半紙!$B$11:$B$310)+COUNTA(条幅!$B$11:$B$310)+COUNTA(条幅4分の1!$B$11:$B$310),INDEX(条幅4分の1!$F$11:$F$310,114-COUNTA(半紙!$B$11:$B$310)-COUNTA(条幅!$B$11:$B$310)),"")))=0,"",IF(114&lt;=COUNTA(半紙!$B$11:$B$310),INDEX(半紙!$F$11:$F$310,114),IF(114&lt;=COUNTA(半紙!$B$11:$B$310)+COUNTA(条幅!$B$11:$B$310),INDEX(条幅!$F$11:$F$310,114-COUNTA(半紙!$B$11:$B$310)),IF(114&lt;=COUNTA(半紙!$B$11:$B$310)+COUNTA(条幅!$B$11:$B$310)+COUNTA(条幅4分の1!$B$11:$B$310),INDEX(条幅4分の1!$F$11:$F$310,114-COUNTA(半紙!$B$11:$B$310)-COUNTA(条幅!$B$11:$B$310)),""))))</f>
        <v/>
      </c>
      <c r="G119" s="38" t="str">
        <f>IF(IF(114&lt;=COUNTA(半紙!$B$11:$B$310),INDEX(半紙!$G$11:$G$310,114),IF(114&lt;=COUNTA(半紙!$B$11:$B$310)+COUNTA(条幅!$B$11:$B$310),INDEX(条幅!$G$11:$G$310,114-COUNTA(半紙!$B$11:$B$310)),IF(114&lt;=COUNTA(半紙!$B$11:$B$310)+COUNTA(条幅!$B$11:$B$310)+COUNTA(条幅4分の1!$B$11:$B$310),INDEX(条幅4分の1!$G$11:$G$310,114-COUNTA(半紙!$B$11:$B$310)-COUNTA(条幅!$B$11:$B$310)),"")))=0,"",IF(114&lt;=COUNTA(半紙!$B$11:$B$310),INDEX(半紙!$G$11:$G$310,114),IF(114&lt;=COUNTA(半紙!$B$11:$B$310)+COUNTA(条幅!$B$11:$B$310),INDEX(条幅!$G$11:$G$310,114-COUNTA(半紙!$B$11:$B$310)),IF(114&lt;=COUNTA(半紙!$B$11:$B$310)+COUNTA(条幅!$B$11:$B$310)+COUNTA(条幅4分の1!$B$11:$B$310),INDEX(条幅4分の1!$G$11:$G$310,114-COUNTA(半紙!$B$11:$B$310)-COUNTA(条幅!$B$11:$B$310)),""))))</f>
        <v/>
      </c>
      <c r="H119" s="38" t="str">
        <f>IF(IF(114&lt;=COUNTA(半紙!$B$11:$B$310),INDEX(半紙!$H$11:$H$310,114),IF(114&lt;=COUNTA(半紙!$B$11:$B$310)+COUNTA(条幅!$B$11:$B$310),INDEX(条幅!$H$11:$H$310,114-COUNTA(半紙!$B$11:$B$310)),IF(114&lt;=COUNTA(半紙!$B$11:$B$310)+COUNTA(条幅!$B$11:$B$310)+COUNTA(条幅4分の1!$B$11:$B$310),INDEX(条幅4分の1!$H$11:$H$310,114-COUNTA(半紙!$B$11:$B$310)-COUNTA(条幅!$B$11:$B$310)),"")))=0,"",IF(114&lt;=COUNTA(半紙!$B$11:$B$310),INDEX(半紙!$H$11:$H$310,114),IF(114&lt;=COUNTA(半紙!$B$11:$B$310)+COUNTA(条幅!$B$11:$B$310),INDEX(条幅!$H$11:$H$310,114-COUNTA(半紙!$B$11:$B$310)),IF(114&lt;=COUNTA(半紙!$B$11:$B$310)+COUNTA(条幅!$B$11:$B$310)+COUNTA(条幅4分の1!$B$11:$B$310),INDEX(条幅4分の1!$H$11:$H$310,114-COUNTA(半紙!$B$11:$B$310)-COUNTA(条幅!$B$11:$B$310)),""))))</f>
        <v/>
      </c>
      <c r="I119" s="38" t="str">
        <f>IF(IF(114&lt;=COUNTA(半紙!$B$11:$B$310),INDEX(半紙!$I$11:$I$310,114),IF(114&lt;=COUNTA(半紙!$B$11:$B$310)+COUNTA(条幅!$B$11:$B$310),INDEX(条幅!$I$11:$I$310,114-COUNTA(半紙!$B$11:$B$310)),IF(114&lt;=COUNTA(半紙!$B$11:$B$310)+COUNTA(条幅!$B$11:$B$310)+COUNTA(条幅4分の1!$B$11:$B$310),INDEX(条幅4分の1!$I$11:$I$310,114-COUNTA(半紙!$B$11:$B$310)-COUNTA(条幅!$B$11:$B$310)),"")))=0,"",IF(114&lt;=COUNTA(半紙!$B$11:$B$310),INDEX(半紙!$I$11:$I$310,114),IF(114&lt;=COUNTA(半紙!$B$11:$B$310)+COUNTA(条幅!$B$11:$B$310),INDEX(条幅!$I$11:$I$310,114-COUNTA(半紙!$B$11:$B$310)),IF(114&lt;=COUNTA(半紙!$B$11:$B$310)+COUNTA(条幅!$B$11:$B$310)+COUNTA(条幅4分の1!$B$11:$B$310),INDEX(条幅4分の1!$I$11:$I$310,114-COUNTA(半紙!$B$11:$B$310)-COUNTA(条幅!$B$11:$B$310)),""))))</f>
        <v/>
      </c>
      <c r="J119" s="38" t="str">
        <f>IF(IF(114&lt;=COUNTA(半紙!$B$11:$B$310),INDEX(半紙!$J$11:$J$310,114),IF(114&lt;=COUNTA(半紙!$B$11:$B$310)+COUNTA(条幅!$B$11:$B$310),INDEX(条幅!$J$11:$J$310,114-COUNTA(半紙!$B$11:$B$310)),IF(114&lt;=COUNTA(半紙!$B$11:$B$310)+COUNTA(条幅!$B$11:$B$310)+COUNTA(条幅4分の1!$B$11:$B$310),INDEX(条幅4分の1!$J$11:$J$310,114-COUNTA(半紙!$B$11:$B$310)-COUNTA(条幅!$B$11:$B$310)),"")))=0,"",IF(114&lt;=COUNTA(半紙!$B$11:$B$310),INDEX(半紙!$J$11:$J$310,114),IF(114&lt;=COUNTA(半紙!$B$11:$B$310)+COUNTA(条幅!$B$11:$B$310),INDEX(条幅!$J$11:$J$310,114-COUNTA(半紙!$B$11:$B$310)),IF(114&lt;=COUNTA(半紙!$B$11:$B$310)+COUNTA(条幅!$B$11:$B$310)+COUNTA(条幅4分の1!$B$11:$B$310),INDEX(条幅4分の1!$J$11:$J$310,114-COUNTA(半紙!$B$11:$B$310)-COUNTA(条幅!$B$11:$B$310)),""))))</f>
        <v/>
      </c>
      <c r="K119" s="38" t="str">
        <f>IF(IF(114&lt;=COUNTA(半紙!$B$11:$B$310),INDEX(半紙!$K$11:$K$310,114),IF(114&lt;=COUNTA(半紙!$B$11:$B$310)+COUNTA(条幅!$B$11:$B$310),INDEX(条幅!$K$11:$K$310,114-COUNTA(半紙!$B$11:$B$310)),IF(114&lt;=COUNTA(半紙!$B$11:$B$310)+COUNTA(条幅!$B$11:$B$310)+COUNTA(条幅4分の1!$B$11:$B$310),INDEX(条幅4分の1!$K$11:$K$310,114-COUNTA(半紙!$B$11:$B$310)-COUNTA(条幅!$B$11:$B$310)),"")))=0,"",IF(114&lt;=COUNTA(半紙!$B$11:$B$310),INDEX(半紙!$K$11:$K$310,114),IF(114&lt;=COUNTA(半紙!$B$11:$B$310)+COUNTA(条幅!$B$11:$B$310),INDEX(条幅!$K$11:$K$310,114-COUNTA(半紙!$B$11:$B$310)),IF(114&lt;=COUNTA(半紙!$B$11:$B$310)+COUNTA(条幅!$B$11:$B$310)+COUNTA(条幅4分の1!$B$11:$B$310),INDEX(条幅4分の1!$K$11:$K$310,114-COUNTA(半紙!$B$11:$B$310)-COUNTA(条幅!$B$11:$B$310)),""))))</f>
        <v/>
      </c>
      <c r="L119" s="48" t="str">
        <f>IF($B119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114))</f>
        <v/>
      </c>
    </row>
    <row r="120" spans="1:12" ht="15" customHeight="1">
      <c r="A120" s="37" t="str">
        <f>IF(115&lt;=COUNTA(半紙!$B$11:$B$310),"半紙",IF(115&lt;=COUNTA(半紙!$B$11:$B$310)+COUNTA(条幅!$B$11:$B$310),"条幅(半切)",IF(115&lt;=COUNTA(半紙!$B$11:$B$310)+COUNTA(条幅!$B$11:$B$310)+COUNTA(条幅4分の1!$B$11:$B$310),"条幅(1/4)","")))</f>
        <v/>
      </c>
      <c r="B120" s="38" t="str">
        <f>IF(IF(115&lt;=COUNTA(半紙!$B$11:$B$310),INDEX(半紙!$B$11:$B$310,115),IF(115&lt;=COUNTA(半紙!$B$11:$B$310)+COUNTA(条幅!$B$11:$B$310),INDEX(条幅!$B$11:$B$310,115-COUNTA(半紙!$B$11:$B$310)),IF(115&lt;=COUNTA(半紙!$B$11:$B$310)+COUNTA(条幅!$B$11:$B$310)+COUNTA(条幅4分の1!$B$11:$B$310),INDEX(条幅4分の1!$B$11:$B$310,115-COUNTA(半紙!$B$11:$B$310)-COUNTA(条幅!$B$11:$B$310)),"")))=0,"",IF(115&lt;=COUNTA(半紙!$B$11:$B$310),INDEX(半紙!$B$11:$B$310,115),IF(115&lt;=COUNTA(半紙!$B$11:$B$310)+COUNTA(条幅!$B$11:$B$310),INDEX(条幅!$B$11:$B$310,115-COUNTA(半紙!$B$11:$B$310)),IF(115&lt;=COUNTA(半紙!$B$11:$B$310)+COUNTA(条幅!$B$11:$B$310)+COUNTA(条幅4分の1!$B$11:$B$310),INDEX(条幅4分の1!$B$11:$B$310,115-COUNTA(半紙!$B$11:$B$310)-COUNTA(条幅!$B$11:$B$310)),""))))</f>
        <v/>
      </c>
      <c r="C120" s="38" t="str">
        <f>IF(IF(115&lt;=COUNTA(半紙!$B$11:$B$310),INDEX(半紙!$C$11:$C$310,115),IF(115&lt;=COUNTA(半紙!$B$11:$B$310)+COUNTA(条幅!$B$11:$B$310),INDEX(条幅!$C$11:$C$310,115-COUNTA(半紙!$B$11:$B$310)),IF(115&lt;=COUNTA(半紙!$B$11:$B$310)+COUNTA(条幅!$B$11:$B$310)+COUNTA(条幅4分の1!$B$11:$B$310),INDEX(条幅4分の1!$C$11:$C$310,115-COUNTA(半紙!$B$11:$B$310)-COUNTA(条幅!$B$11:$B$310)),"")))=0,"",IF(115&lt;=COUNTA(半紙!$B$11:$B$310),INDEX(半紙!$C$11:$C$310,115),IF(115&lt;=COUNTA(半紙!$B$11:$B$310)+COUNTA(条幅!$B$11:$B$310),INDEX(条幅!$C$11:$C$310,115-COUNTA(半紙!$B$11:$B$310)),IF(115&lt;=COUNTA(半紙!$B$11:$B$310)+COUNTA(条幅!$B$11:$B$310)+COUNTA(条幅4分の1!$B$11:$B$310),INDEX(条幅4分の1!$C$11:$C$310,115-COUNTA(半紙!$B$11:$B$310)-COUNTA(条幅!$B$11:$B$310)),""))))</f>
        <v/>
      </c>
      <c r="D120" s="38" t="str">
        <f>IF(IF(115&lt;=COUNTA(半紙!$B$11:$B$310),INDEX(半紙!$D$11:$D$310,115),IF(115&lt;=COUNTA(半紙!$B$11:$B$310)+COUNTA(条幅!$B$11:$B$310),INDEX(条幅!$D$11:$D$310,115-COUNTA(半紙!$B$11:$B$310)),IF(115&lt;=COUNTA(半紙!$B$11:$B$310)+COUNTA(条幅!$B$11:$B$310)+COUNTA(条幅4分の1!$B$11:$B$310),INDEX(条幅4分の1!$D$11:$D$310,115-COUNTA(半紙!$B$11:$B$310)-COUNTA(条幅!$B$11:$B$310)),"")))=0,"",IF(115&lt;=COUNTA(半紙!$B$11:$B$310),INDEX(半紙!$D$11:$D$310,115),IF(115&lt;=COUNTA(半紙!$B$11:$B$310)+COUNTA(条幅!$B$11:$B$310),INDEX(条幅!$D$11:$D$310,115-COUNTA(半紙!$B$11:$B$310)),IF(115&lt;=COUNTA(半紙!$B$11:$B$310)+COUNTA(条幅!$B$11:$B$310)+COUNTA(条幅4分の1!$B$11:$B$310),INDEX(条幅4分の1!$D$11:$D$310,115-COUNTA(半紙!$B$11:$B$310)-COUNTA(条幅!$B$11:$B$310)),""))))</f>
        <v/>
      </c>
      <c r="E120" s="38" t="str">
        <f>IF(IF(115&lt;=COUNTA(半紙!$B$11:$B$310),INDEX(半紙!$E$11:$E$310,115),IF(115&lt;=COUNTA(半紙!$B$11:$B$310)+COUNTA(条幅!$B$11:$B$310),INDEX(条幅!$E$11:$E$310,115-COUNTA(半紙!$B$11:$B$310)),IF(115&lt;=COUNTA(半紙!$B$11:$B$310)+COUNTA(条幅!$B$11:$B$310)+COUNTA(条幅4分の1!$B$11:$B$310),INDEX(条幅4分の1!$E$11:$E$310,115-COUNTA(半紙!$B$11:$B$310)-COUNTA(条幅!$B$11:$B$310)),"")))=0,"",IF(115&lt;=COUNTA(半紙!$B$11:$B$310),INDEX(半紙!$E$11:$E$310,115),IF(115&lt;=COUNTA(半紙!$B$11:$B$310)+COUNTA(条幅!$B$11:$B$310),INDEX(条幅!$E$11:$E$310,115-COUNTA(半紙!$B$11:$B$310)),IF(115&lt;=COUNTA(半紙!$B$11:$B$310)+COUNTA(条幅!$B$11:$B$310)+COUNTA(条幅4分の1!$B$11:$B$310),INDEX(条幅4分の1!$E$11:$E$310,115-COUNTA(半紙!$B$11:$B$310)-COUNTA(条幅!$B$11:$B$310)),""))))</f>
        <v/>
      </c>
      <c r="F120" s="38" t="str">
        <f>IF(IF(115&lt;=COUNTA(半紙!$B$11:$B$310),INDEX(半紙!$F$11:$F$310,115),IF(115&lt;=COUNTA(半紙!$B$11:$B$310)+COUNTA(条幅!$B$11:$B$310),INDEX(条幅!$F$11:$F$310,115-COUNTA(半紙!$B$11:$B$310)),IF(115&lt;=COUNTA(半紙!$B$11:$B$310)+COUNTA(条幅!$B$11:$B$310)+COUNTA(条幅4分の1!$B$11:$B$310),INDEX(条幅4分の1!$F$11:$F$310,115-COUNTA(半紙!$B$11:$B$310)-COUNTA(条幅!$B$11:$B$310)),"")))=0,"",IF(115&lt;=COUNTA(半紙!$B$11:$B$310),INDEX(半紙!$F$11:$F$310,115),IF(115&lt;=COUNTA(半紙!$B$11:$B$310)+COUNTA(条幅!$B$11:$B$310),INDEX(条幅!$F$11:$F$310,115-COUNTA(半紙!$B$11:$B$310)),IF(115&lt;=COUNTA(半紙!$B$11:$B$310)+COUNTA(条幅!$B$11:$B$310)+COUNTA(条幅4分の1!$B$11:$B$310),INDEX(条幅4分の1!$F$11:$F$310,115-COUNTA(半紙!$B$11:$B$310)-COUNTA(条幅!$B$11:$B$310)),""))))</f>
        <v/>
      </c>
      <c r="G120" s="38" t="str">
        <f>IF(IF(115&lt;=COUNTA(半紙!$B$11:$B$310),INDEX(半紙!$G$11:$G$310,115),IF(115&lt;=COUNTA(半紙!$B$11:$B$310)+COUNTA(条幅!$B$11:$B$310),INDEX(条幅!$G$11:$G$310,115-COUNTA(半紙!$B$11:$B$310)),IF(115&lt;=COUNTA(半紙!$B$11:$B$310)+COUNTA(条幅!$B$11:$B$310)+COUNTA(条幅4分の1!$B$11:$B$310),INDEX(条幅4分の1!$G$11:$G$310,115-COUNTA(半紙!$B$11:$B$310)-COUNTA(条幅!$B$11:$B$310)),"")))=0,"",IF(115&lt;=COUNTA(半紙!$B$11:$B$310),INDEX(半紙!$G$11:$G$310,115),IF(115&lt;=COUNTA(半紙!$B$11:$B$310)+COUNTA(条幅!$B$11:$B$310),INDEX(条幅!$G$11:$G$310,115-COUNTA(半紙!$B$11:$B$310)),IF(115&lt;=COUNTA(半紙!$B$11:$B$310)+COUNTA(条幅!$B$11:$B$310)+COUNTA(条幅4分の1!$B$11:$B$310),INDEX(条幅4分の1!$G$11:$G$310,115-COUNTA(半紙!$B$11:$B$310)-COUNTA(条幅!$B$11:$B$310)),""))))</f>
        <v/>
      </c>
      <c r="H120" s="38" t="str">
        <f>IF(IF(115&lt;=COUNTA(半紙!$B$11:$B$310),INDEX(半紙!$H$11:$H$310,115),IF(115&lt;=COUNTA(半紙!$B$11:$B$310)+COUNTA(条幅!$B$11:$B$310),INDEX(条幅!$H$11:$H$310,115-COUNTA(半紙!$B$11:$B$310)),IF(115&lt;=COUNTA(半紙!$B$11:$B$310)+COUNTA(条幅!$B$11:$B$310)+COUNTA(条幅4分の1!$B$11:$B$310),INDEX(条幅4分の1!$H$11:$H$310,115-COUNTA(半紙!$B$11:$B$310)-COUNTA(条幅!$B$11:$B$310)),"")))=0,"",IF(115&lt;=COUNTA(半紙!$B$11:$B$310),INDEX(半紙!$H$11:$H$310,115),IF(115&lt;=COUNTA(半紙!$B$11:$B$310)+COUNTA(条幅!$B$11:$B$310),INDEX(条幅!$H$11:$H$310,115-COUNTA(半紙!$B$11:$B$310)),IF(115&lt;=COUNTA(半紙!$B$11:$B$310)+COUNTA(条幅!$B$11:$B$310)+COUNTA(条幅4分の1!$B$11:$B$310),INDEX(条幅4分の1!$H$11:$H$310,115-COUNTA(半紙!$B$11:$B$310)-COUNTA(条幅!$B$11:$B$310)),""))))</f>
        <v/>
      </c>
      <c r="I120" s="38" t="str">
        <f>IF(IF(115&lt;=COUNTA(半紙!$B$11:$B$310),INDEX(半紙!$I$11:$I$310,115),IF(115&lt;=COUNTA(半紙!$B$11:$B$310)+COUNTA(条幅!$B$11:$B$310),INDEX(条幅!$I$11:$I$310,115-COUNTA(半紙!$B$11:$B$310)),IF(115&lt;=COUNTA(半紙!$B$11:$B$310)+COUNTA(条幅!$B$11:$B$310)+COUNTA(条幅4分の1!$B$11:$B$310),INDEX(条幅4分の1!$I$11:$I$310,115-COUNTA(半紙!$B$11:$B$310)-COUNTA(条幅!$B$11:$B$310)),"")))=0,"",IF(115&lt;=COUNTA(半紙!$B$11:$B$310),INDEX(半紙!$I$11:$I$310,115),IF(115&lt;=COUNTA(半紙!$B$11:$B$310)+COUNTA(条幅!$B$11:$B$310),INDEX(条幅!$I$11:$I$310,115-COUNTA(半紙!$B$11:$B$310)),IF(115&lt;=COUNTA(半紙!$B$11:$B$310)+COUNTA(条幅!$B$11:$B$310)+COUNTA(条幅4分の1!$B$11:$B$310),INDEX(条幅4分の1!$I$11:$I$310,115-COUNTA(半紙!$B$11:$B$310)-COUNTA(条幅!$B$11:$B$310)),""))))</f>
        <v/>
      </c>
      <c r="J120" s="38" t="str">
        <f>IF(IF(115&lt;=COUNTA(半紙!$B$11:$B$310),INDEX(半紙!$J$11:$J$310,115),IF(115&lt;=COUNTA(半紙!$B$11:$B$310)+COUNTA(条幅!$B$11:$B$310),INDEX(条幅!$J$11:$J$310,115-COUNTA(半紙!$B$11:$B$310)),IF(115&lt;=COUNTA(半紙!$B$11:$B$310)+COUNTA(条幅!$B$11:$B$310)+COUNTA(条幅4分の1!$B$11:$B$310),INDEX(条幅4分の1!$J$11:$J$310,115-COUNTA(半紙!$B$11:$B$310)-COUNTA(条幅!$B$11:$B$310)),"")))=0,"",IF(115&lt;=COUNTA(半紙!$B$11:$B$310),INDEX(半紙!$J$11:$J$310,115),IF(115&lt;=COUNTA(半紙!$B$11:$B$310)+COUNTA(条幅!$B$11:$B$310),INDEX(条幅!$J$11:$J$310,115-COUNTA(半紙!$B$11:$B$310)),IF(115&lt;=COUNTA(半紙!$B$11:$B$310)+COUNTA(条幅!$B$11:$B$310)+COUNTA(条幅4分の1!$B$11:$B$310),INDEX(条幅4分の1!$J$11:$J$310,115-COUNTA(半紙!$B$11:$B$310)-COUNTA(条幅!$B$11:$B$310)),""))))</f>
        <v/>
      </c>
      <c r="K120" s="38" t="str">
        <f>IF(IF(115&lt;=COUNTA(半紙!$B$11:$B$310),INDEX(半紙!$K$11:$K$310,115),IF(115&lt;=COUNTA(半紙!$B$11:$B$310)+COUNTA(条幅!$B$11:$B$310),INDEX(条幅!$K$11:$K$310,115-COUNTA(半紙!$B$11:$B$310)),IF(115&lt;=COUNTA(半紙!$B$11:$B$310)+COUNTA(条幅!$B$11:$B$310)+COUNTA(条幅4分の1!$B$11:$B$310),INDEX(条幅4分の1!$K$11:$K$310,115-COUNTA(半紙!$B$11:$B$310)-COUNTA(条幅!$B$11:$B$310)),"")))=0,"",IF(115&lt;=COUNTA(半紙!$B$11:$B$310),INDEX(半紙!$K$11:$K$310,115),IF(115&lt;=COUNTA(半紙!$B$11:$B$310)+COUNTA(条幅!$B$11:$B$310),INDEX(条幅!$K$11:$K$310,115-COUNTA(半紙!$B$11:$B$310)),IF(115&lt;=COUNTA(半紙!$B$11:$B$310)+COUNTA(条幅!$B$11:$B$310)+COUNTA(条幅4分の1!$B$11:$B$310),INDEX(条幅4分の1!$K$11:$K$310,115-COUNTA(半紙!$B$11:$B$310)-COUNTA(条幅!$B$11:$B$310)),""))))</f>
        <v/>
      </c>
      <c r="L120" s="48" t="str">
        <f>IF($B120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115))</f>
        <v/>
      </c>
    </row>
    <row r="121" spans="1:12" ht="15" customHeight="1">
      <c r="A121" s="37" t="str">
        <f>IF(116&lt;=COUNTA(半紙!$B$11:$B$310),"半紙",IF(116&lt;=COUNTA(半紙!$B$11:$B$310)+COUNTA(条幅!$B$11:$B$310),"条幅(半切)",IF(116&lt;=COUNTA(半紙!$B$11:$B$310)+COUNTA(条幅!$B$11:$B$310)+COUNTA(条幅4分の1!$B$11:$B$310),"条幅(1/4)","")))</f>
        <v/>
      </c>
      <c r="B121" s="38" t="str">
        <f>IF(IF(116&lt;=COUNTA(半紙!$B$11:$B$310),INDEX(半紙!$B$11:$B$310,116),IF(116&lt;=COUNTA(半紙!$B$11:$B$310)+COUNTA(条幅!$B$11:$B$310),INDEX(条幅!$B$11:$B$310,116-COUNTA(半紙!$B$11:$B$310)),IF(116&lt;=COUNTA(半紙!$B$11:$B$310)+COUNTA(条幅!$B$11:$B$310)+COUNTA(条幅4分の1!$B$11:$B$310),INDEX(条幅4分の1!$B$11:$B$310,116-COUNTA(半紙!$B$11:$B$310)-COUNTA(条幅!$B$11:$B$310)),"")))=0,"",IF(116&lt;=COUNTA(半紙!$B$11:$B$310),INDEX(半紙!$B$11:$B$310,116),IF(116&lt;=COUNTA(半紙!$B$11:$B$310)+COUNTA(条幅!$B$11:$B$310),INDEX(条幅!$B$11:$B$310,116-COUNTA(半紙!$B$11:$B$310)),IF(116&lt;=COUNTA(半紙!$B$11:$B$310)+COUNTA(条幅!$B$11:$B$310)+COUNTA(条幅4分の1!$B$11:$B$310),INDEX(条幅4分の1!$B$11:$B$310,116-COUNTA(半紙!$B$11:$B$310)-COUNTA(条幅!$B$11:$B$310)),""))))</f>
        <v/>
      </c>
      <c r="C121" s="38" t="str">
        <f>IF(IF(116&lt;=COUNTA(半紙!$B$11:$B$310),INDEX(半紙!$C$11:$C$310,116),IF(116&lt;=COUNTA(半紙!$B$11:$B$310)+COUNTA(条幅!$B$11:$B$310),INDEX(条幅!$C$11:$C$310,116-COUNTA(半紙!$B$11:$B$310)),IF(116&lt;=COUNTA(半紙!$B$11:$B$310)+COUNTA(条幅!$B$11:$B$310)+COUNTA(条幅4分の1!$B$11:$B$310),INDEX(条幅4分の1!$C$11:$C$310,116-COUNTA(半紙!$B$11:$B$310)-COUNTA(条幅!$B$11:$B$310)),"")))=0,"",IF(116&lt;=COUNTA(半紙!$B$11:$B$310),INDEX(半紙!$C$11:$C$310,116),IF(116&lt;=COUNTA(半紙!$B$11:$B$310)+COUNTA(条幅!$B$11:$B$310),INDEX(条幅!$C$11:$C$310,116-COUNTA(半紙!$B$11:$B$310)),IF(116&lt;=COUNTA(半紙!$B$11:$B$310)+COUNTA(条幅!$B$11:$B$310)+COUNTA(条幅4分の1!$B$11:$B$310),INDEX(条幅4分の1!$C$11:$C$310,116-COUNTA(半紙!$B$11:$B$310)-COUNTA(条幅!$B$11:$B$310)),""))))</f>
        <v/>
      </c>
      <c r="D121" s="38" t="str">
        <f>IF(IF(116&lt;=COUNTA(半紙!$B$11:$B$310),INDEX(半紙!$D$11:$D$310,116),IF(116&lt;=COUNTA(半紙!$B$11:$B$310)+COUNTA(条幅!$B$11:$B$310),INDEX(条幅!$D$11:$D$310,116-COUNTA(半紙!$B$11:$B$310)),IF(116&lt;=COUNTA(半紙!$B$11:$B$310)+COUNTA(条幅!$B$11:$B$310)+COUNTA(条幅4分の1!$B$11:$B$310),INDEX(条幅4分の1!$D$11:$D$310,116-COUNTA(半紙!$B$11:$B$310)-COUNTA(条幅!$B$11:$B$310)),"")))=0,"",IF(116&lt;=COUNTA(半紙!$B$11:$B$310),INDEX(半紙!$D$11:$D$310,116),IF(116&lt;=COUNTA(半紙!$B$11:$B$310)+COUNTA(条幅!$B$11:$B$310),INDEX(条幅!$D$11:$D$310,116-COUNTA(半紙!$B$11:$B$310)),IF(116&lt;=COUNTA(半紙!$B$11:$B$310)+COUNTA(条幅!$B$11:$B$310)+COUNTA(条幅4分の1!$B$11:$B$310),INDEX(条幅4分の1!$D$11:$D$310,116-COUNTA(半紙!$B$11:$B$310)-COUNTA(条幅!$B$11:$B$310)),""))))</f>
        <v/>
      </c>
      <c r="E121" s="38" t="str">
        <f>IF(IF(116&lt;=COUNTA(半紙!$B$11:$B$310),INDEX(半紙!$E$11:$E$310,116),IF(116&lt;=COUNTA(半紙!$B$11:$B$310)+COUNTA(条幅!$B$11:$B$310),INDEX(条幅!$E$11:$E$310,116-COUNTA(半紙!$B$11:$B$310)),IF(116&lt;=COUNTA(半紙!$B$11:$B$310)+COUNTA(条幅!$B$11:$B$310)+COUNTA(条幅4分の1!$B$11:$B$310),INDEX(条幅4分の1!$E$11:$E$310,116-COUNTA(半紙!$B$11:$B$310)-COUNTA(条幅!$B$11:$B$310)),"")))=0,"",IF(116&lt;=COUNTA(半紙!$B$11:$B$310),INDEX(半紙!$E$11:$E$310,116),IF(116&lt;=COUNTA(半紙!$B$11:$B$310)+COUNTA(条幅!$B$11:$B$310),INDEX(条幅!$E$11:$E$310,116-COUNTA(半紙!$B$11:$B$310)),IF(116&lt;=COUNTA(半紙!$B$11:$B$310)+COUNTA(条幅!$B$11:$B$310)+COUNTA(条幅4分の1!$B$11:$B$310),INDEX(条幅4分の1!$E$11:$E$310,116-COUNTA(半紙!$B$11:$B$310)-COUNTA(条幅!$B$11:$B$310)),""))))</f>
        <v/>
      </c>
      <c r="F121" s="38" t="str">
        <f>IF(IF(116&lt;=COUNTA(半紙!$B$11:$B$310),INDEX(半紙!$F$11:$F$310,116),IF(116&lt;=COUNTA(半紙!$B$11:$B$310)+COUNTA(条幅!$B$11:$B$310),INDEX(条幅!$F$11:$F$310,116-COUNTA(半紙!$B$11:$B$310)),IF(116&lt;=COUNTA(半紙!$B$11:$B$310)+COUNTA(条幅!$B$11:$B$310)+COUNTA(条幅4分の1!$B$11:$B$310),INDEX(条幅4分の1!$F$11:$F$310,116-COUNTA(半紙!$B$11:$B$310)-COUNTA(条幅!$B$11:$B$310)),"")))=0,"",IF(116&lt;=COUNTA(半紙!$B$11:$B$310),INDEX(半紙!$F$11:$F$310,116),IF(116&lt;=COUNTA(半紙!$B$11:$B$310)+COUNTA(条幅!$B$11:$B$310),INDEX(条幅!$F$11:$F$310,116-COUNTA(半紙!$B$11:$B$310)),IF(116&lt;=COUNTA(半紙!$B$11:$B$310)+COUNTA(条幅!$B$11:$B$310)+COUNTA(条幅4分の1!$B$11:$B$310),INDEX(条幅4分の1!$F$11:$F$310,116-COUNTA(半紙!$B$11:$B$310)-COUNTA(条幅!$B$11:$B$310)),""))))</f>
        <v/>
      </c>
      <c r="G121" s="38" t="str">
        <f>IF(IF(116&lt;=COUNTA(半紙!$B$11:$B$310),INDEX(半紙!$G$11:$G$310,116),IF(116&lt;=COUNTA(半紙!$B$11:$B$310)+COUNTA(条幅!$B$11:$B$310),INDEX(条幅!$G$11:$G$310,116-COUNTA(半紙!$B$11:$B$310)),IF(116&lt;=COUNTA(半紙!$B$11:$B$310)+COUNTA(条幅!$B$11:$B$310)+COUNTA(条幅4分の1!$B$11:$B$310),INDEX(条幅4分の1!$G$11:$G$310,116-COUNTA(半紙!$B$11:$B$310)-COUNTA(条幅!$B$11:$B$310)),"")))=0,"",IF(116&lt;=COUNTA(半紙!$B$11:$B$310),INDEX(半紙!$G$11:$G$310,116),IF(116&lt;=COUNTA(半紙!$B$11:$B$310)+COUNTA(条幅!$B$11:$B$310),INDEX(条幅!$G$11:$G$310,116-COUNTA(半紙!$B$11:$B$310)),IF(116&lt;=COUNTA(半紙!$B$11:$B$310)+COUNTA(条幅!$B$11:$B$310)+COUNTA(条幅4分の1!$B$11:$B$310),INDEX(条幅4分の1!$G$11:$G$310,116-COUNTA(半紙!$B$11:$B$310)-COUNTA(条幅!$B$11:$B$310)),""))))</f>
        <v/>
      </c>
      <c r="H121" s="38" t="str">
        <f>IF(IF(116&lt;=COUNTA(半紙!$B$11:$B$310),INDEX(半紙!$H$11:$H$310,116),IF(116&lt;=COUNTA(半紙!$B$11:$B$310)+COUNTA(条幅!$B$11:$B$310),INDEX(条幅!$H$11:$H$310,116-COUNTA(半紙!$B$11:$B$310)),IF(116&lt;=COUNTA(半紙!$B$11:$B$310)+COUNTA(条幅!$B$11:$B$310)+COUNTA(条幅4分の1!$B$11:$B$310),INDEX(条幅4分の1!$H$11:$H$310,116-COUNTA(半紙!$B$11:$B$310)-COUNTA(条幅!$B$11:$B$310)),"")))=0,"",IF(116&lt;=COUNTA(半紙!$B$11:$B$310),INDEX(半紙!$H$11:$H$310,116),IF(116&lt;=COUNTA(半紙!$B$11:$B$310)+COUNTA(条幅!$B$11:$B$310),INDEX(条幅!$H$11:$H$310,116-COUNTA(半紙!$B$11:$B$310)),IF(116&lt;=COUNTA(半紙!$B$11:$B$310)+COUNTA(条幅!$B$11:$B$310)+COUNTA(条幅4分の1!$B$11:$B$310),INDEX(条幅4分の1!$H$11:$H$310,116-COUNTA(半紙!$B$11:$B$310)-COUNTA(条幅!$B$11:$B$310)),""))))</f>
        <v/>
      </c>
      <c r="I121" s="38" t="str">
        <f>IF(IF(116&lt;=COUNTA(半紙!$B$11:$B$310),INDEX(半紙!$I$11:$I$310,116),IF(116&lt;=COUNTA(半紙!$B$11:$B$310)+COUNTA(条幅!$B$11:$B$310),INDEX(条幅!$I$11:$I$310,116-COUNTA(半紙!$B$11:$B$310)),IF(116&lt;=COUNTA(半紙!$B$11:$B$310)+COUNTA(条幅!$B$11:$B$310)+COUNTA(条幅4分の1!$B$11:$B$310),INDEX(条幅4分の1!$I$11:$I$310,116-COUNTA(半紙!$B$11:$B$310)-COUNTA(条幅!$B$11:$B$310)),"")))=0,"",IF(116&lt;=COUNTA(半紙!$B$11:$B$310),INDEX(半紙!$I$11:$I$310,116),IF(116&lt;=COUNTA(半紙!$B$11:$B$310)+COUNTA(条幅!$B$11:$B$310),INDEX(条幅!$I$11:$I$310,116-COUNTA(半紙!$B$11:$B$310)),IF(116&lt;=COUNTA(半紙!$B$11:$B$310)+COUNTA(条幅!$B$11:$B$310)+COUNTA(条幅4分の1!$B$11:$B$310),INDEX(条幅4分の1!$I$11:$I$310,116-COUNTA(半紙!$B$11:$B$310)-COUNTA(条幅!$B$11:$B$310)),""))))</f>
        <v/>
      </c>
      <c r="J121" s="38" t="str">
        <f>IF(IF(116&lt;=COUNTA(半紙!$B$11:$B$310),INDEX(半紙!$J$11:$J$310,116),IF(116&lt;=COUNTA(半紙!$B$11:$B$310)+COUNTA(条幅!$B$11:$B$310),INDEX(条幅!$J$11:$J$310,116-COUNTA(半紙!$B$11:$B$310)),IF(116&lt;=COUNTA(半紙!$B$11:$B$310)+COUNTA(条幅!$B$11:$B$310)+COUNTA(条幅4分の1!$B$11:$B$310),INDEX(条幅4分の1!$J$11:$J$310,116-COUNTA(半紙!$B$11:$B$310)-COUNTA(条幅!$B$11:$B$310)),"")))=0,"",IF(116&lt;=COUNTA(半紙!$B$11:$B$310),INDEX(半紙!$J$11:$J$310,116),IF(116&lt;=COUNTA(半紙!$B$11:$B$310)+COUNTA(条幅!$B$11:$B$310),INDEX(条幅!$J$11:$J$310,116-COUNTA(半紙!$B$11:$B$310)),IF(116&lt;=COUNTA(半紙!$B$11:$B$310)+COUNTA(条幅!$B$11:$B$310)+COUNTA(条幅4分の1!$B$11:$B$310),INDEX(条幅4分の1!$J$11:$J$310,116-COUNTA(半紙!$B$11:$B$310)-COUNTA(条幅!$B$11:$B$310)),""))))</f>
        <v/>
      </c>
      <c r="K121" s="38" t="str">
        <f>IF(IF(116&lt;=COUNTA(半紙!$B$11:$B$310),INDEX(半紙!$K$11:$K$310,116),IF(116&lt;=COUNTA(半紙!$B$11:$B$310)+COUNTA(条幅!$B$11:$B$310),INDEX(条幅!$K$11:$K$310,116-COUNTA(半紙!$B$11:$B$310)),IF(116&lt;=COUNTA(半紙!$B$11:$B$310)+COUNTA(条幅!$B$11:$B$310)+COUNTA(条幅4分の1!$B$11:$B$310),INDEX(条幅4分の1!$K$11:$K$310,116-COUNTA(半紙!$B$11:$B$310)-COUNTA(条幅!$B$11:$B$310)),"")))=0,"",IF(116&lt;=COUNTA(半紙!$B$11:$B$310),INDEX(半紙!$K$11:$K$310,116),IF(116&lt;=COUNTA(半紙!$B$11:$B$310)+COUNTA(条幅!$B$11:$B$310),INDEX(条幅!$K$11:$K$310,116-COUNTA(半紙!$B$11:$B$310)),IF(116&lt;=COUNTA(半紙!$B$11:$B$310)+COUNTA(条幅!$B$11:$B$310)+COUNTA(条幅4分の1!$B$11:$B$310),INDEX(条幅4分の1!$K$11:$K$310,116-COUNTA(半紙!$B$11:$B$310)-COUNTA(条幅!$B$11:$B$310)),""))))</f>
        <v/>
      </c>
      <c r="L121" s="48" t="str">
        <f>IF($B121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116))</f>
        <v/>
      </c>
    </row>
    <row r="122" spans="1:12" ht="15" customHeight="1">
      <c r="A122" s="37" t="str">
        <f>IF(117&lt;=COUNTA(半紙!$B$11:$B$310),"半紙",IF(117&lt;=COUNTA(半紙!$B$11:$B$310)+COUNTA(条幅!$B$11:$B$310),"条幅(半切)",IF(117&lt;=COUNTA(半紙!$B$11:$B$310)+COUNTA(条幅!$B$11:$B$310)+COUNTA(条幅4分の1!$B$11:$B$310),"条幅(1/4)","")))</f>
        <v/>
      </c>
      <c r="B122" s="38" t="str">
        <f>IF(IF(117&lt;=COUNTA(半紙!$B$11:$B$310),INDEX(半紙!$B$11:$B$310,117),IF(117&lt;=COUNTA(半紙!$B$11:$B$310)+COUNTA(条幅!$B$11:$B$310),INDEX(条幅!$B$11:$B$310,117-COUNTA(半紙!$B$11:$B$310)),IF(117&lt;=COUNTA(半紙!$B$11:$B$310)+COUNTA(条幅!$B$11:$B$310)+COUNTA(条幅4分の1!$B$11:$B$310),INDEX(条幅4分の1!$B$11:$B$310,117-COUNTA(半紙!$B$11:$B$310)-COUNTA(条幅!$B$11:$B$310)),"")))=0,"",IF(117&lt;=COUNTA(半紙!$B$11:$B$310),INDEX(半紙!$B$11:$B$310,117),IF(117&lt;=COUNTA(半紙!$B$11:$B$310)+COUNTA(条幅!$B$11:$B$310),INDEX(条幅!$B$11:$B$310,117-COUNTA(半紙!$B$11:$B$310)),IF(117&lt;=COUNTA(半紙!$B$11:$B$310)+COUNTA(条幅!$B$11:$B$310)+COUNTA(条幅4分の1!$B$11:$B$310),INDEX(条幅4分の1!$B$11:$B$310,117-COUNTA(半紙!$B$11:$B$310)-COUNTA(条幅!$B$11:$B$310)),""))))</f>
        <v/>
      </c>
      <c r="C122" s="38" t="str">
        <f>IF(IF(117&lt;=COUNTA(半紙!$B$11:$B$310),INDEX(半紙!$C$11:$C$310,117),IF(117&lt;=COUNTA(半紙!$B$11:$B$310)+COUNTA(条幅!$B$11:$B$310),INDEX(条幅!$C$11:$C$310,117-COUNTA(半紙!$B$11:$B$310)),IF(117&lt;=COUNTA(半紙!$B$11:$B$310)+COUNTA(条幅!$B$11:$B$310)+COUNTA(条幅4分の1!$B$11:$B$310),INDEX(条幅4分の1!$C$11:$C$310,117-COUNTA(半紙!$B$11:$B$310)-COUNTA(条幅!$B$11:$B$310)),"")))=0,"",IF(117&lt;=COUNTA(半紙!$B$11:$B$310),INDEX(半紙!$C$11:$C$310,117),IF(117&lt;=COUNTA(半紙!$B$11:$B$310)+COUNTA(条幅!$B$11:$B$310),INDEX(条幅!$C$11:$C$310,117-COUNTA(半紙!$B$11:$B$310)),IF(117&lt;=COUNTA(半紙!$B$11:$B$310)+COUNTA(条幅!$B$11:$B$310)+COUNTA(条幅4分の1!$B$11:$B$310),INDEX(条幅4分の1!$C$11:$C$310,117-COUNTA(半紙!$B$11:$B$310)-COUNTA(条幅!$B$11:$B$310)),""))))</f>
        <v/>
      </c>
      <c r="D122" s="38" t="str">
        <f>IF(IF(117&lt;=COUNTA(半紙!$B$11:$B$310),INDEX(半紙!$D$11:$D$310,117),IF(117&lt;=COUNTA(半紙!$B$11:$B$310)+COUNTA(条幅!$B$11:$B$310),INDEX(条幅!$D$11:$D$310,117-COUNTA(半紙!$B$11:$B$310)),IF(117&lt;=COUNTA(半紙!$B$11:$B$310)+COUNTA(条幅!$B$11:$B$310)+COUNTA(条幅4分の1!$B$11:$B$310),INDEX(条幅4分の1!$D$11:$D$310,117-COUNTA(半紙!$B$11:$B$310)-COUNTA(条幅!$B$11:$B$310)),"")))=0,"",IF(117&lt;=COUNTA(半紙!$B$11:$B$310),INDEX(半紙!$D$11:$D$310,117),IF(117&lt;=COUNTA(半紙!$B$11:$B$310)+COUNTA(条幅!$B$11:$B$310),INDEX(条幅!$D$11:$D$310,117-COUNTA(半紙!$B$11:$B$310)),IF(117&lt;=COUNTA(半紙!$B$11:$B$310)+COUNTA(条幅!$B$11:$B$310)+COUNTA(条幅4分の1!$B$11:$B$310),INDEX(条幅4分の1!$D$11:$D$310,117-COUNTA(半紙!$B$11:$B$310)-COUNTA(条幅!$B$11:$B$310)),""))))</f>
        <v/>
      </c>
      <c r="E122" s="38" t="str">
        <f>IF(IF(117&lt;=COUNTA(半紙!$B$11:$B$310),INDEX(半紙!$E$11:$E$310,117),IF(117&lt;=COUNTA(半紙!$B$11:$B$310)+COUNTA(条幅!$B$11:$B$310),INDEX(条幅!$E$11:$E$310,117-COUNTA(半紙!$B$11:$B$310)),IF(117&lt;=COUNTA(半紙!$B$11:$B$310)+COUNTA(条幅!$B$11:$B$310)+COUNTA(条幅4分の1!$B$11:$B$310),INDEX(条幅4分の1!$E$11:$E$310,117-COUNTA(半紙!$B$11:$B$310)-COUNTA(条幅!$B$11:$B$310)),"")))=0,"",IF(117&lt;=COUNTA(半紙!$B$11:$B$310),INDEX(半紙!$E$11:$E$310,117),IF(117&lt;=COUNTA(半紙!$B$11:$B$310)+COUNTA(条幅!$B$11:$B$310),INDEX(条幅!$E$11:$E$310,117-COUNTA(半紙!$B$11:$B$310)),IF(117&lt;=COUNTA(半紙!$B$11:$B$310)+COUNTA(条幅!$B$11:$B$310)+COUNTA(条幅4分の1!$B$11:$B$310),INDEX(条幅4分の1!$E$11:$E$310,117-COUNTA(半紙!$B$11:$B$310)-COUNTA(条幅!$B$11:$B$310)),""))))</f>
        <v/>
      </c>
      <c r="F122" s="38" t="str">
        <f>IF(IF(117&lt;=COUNTA(半紙!$B$11:$B$310),INDEX(半紙!$F$11:$F$310,117),IF(117&lt;=COUNTA(半紙!$B$11:$B$310)+COUNTA(条幅!$B$11:$B$310),INDEX(条幅!$F$11:$F$310,117-COUNTA(半紙!$B$11:$B$310)),IF(117&lt;=COUNTA(半紙!$B$11:$B$310)+COUNTA(条幅!$B$11:$B$310)+COUNTA(条幅4分の1!$B$11:$B$310),INDEX(条幅4分の1!$F$11:$F$310,117-COUNTA(半紙!$B$11:$B$310)-COUNTA(条幅!$B$11:$B$310)),"")))=0,"",IF(117&lt;=COUNTA(半紙!$B$11:$B$310),INDEX(半紙!$F$11:$F$310,117),IF(117&lt;=COUNTA(半紙!$B$11:$B$310)+COUNTA(条幅!$B$11:$B$310),INDEX(条幅!$F$11:$F$310,117-COUNTA(半紙!$B$11:$B$310)),IF(117&lt;=COUNTA(半紙!$B$11:$B$310)+COUNTA(条幅!$B$11:$B$310)+COUNTA(条幅4分の1!$B$11:$B$310),INDEX(条幅4分の1!$F$11:$F$310,117-COUNTA(半紙!$B$11:$B$310)-COUNTA(条幅!$B$11:$B$310)),""))))</f>
        <v/>
      </c>
      <c r="G122" s="38" t="str">
        <f>IF(IF(117&lt;=COUNTA(半紙!$B$11:$B$310),INDEX(半紙!$G$11:$G$310,117),IF(117&lt;=COUNTA(半紙!$B$11:$B$310)+COUNTA(条幅!$B$11:$B$310),INDEX(条幅!$G$11:$G$310,117-COUNTA(半紙!$B$11:$B$310)),IF(117&lt;=COUNTA(半紙!$B$11:$B$310)+COUNTA(条幅!$B$11:$B$310)+COUNTA(条幅4分の1!$B$11:$B$310),INDEX(条幅4分の1!$G$11:$G$310,117-COUNTA(半紙!$B$11:$B$310)-COUNTA(条幅!$B$11:$B$310)),"")))=0,"",IF(117&lt;=COUNTA(半紙!$B$11:$B$310),INDEX(半紙!$G$11:$G$310,117),IF(117&lt;=COUNTA(半紙!$B$11:$B$310)+COUNTA(条幅!$B$11:$B$310),INDEX(条幅!$G$11:$G$310,117-COUNTA(半紙!$B$11:$B$310)),IF(117&lt;=COUNTA(半紙!$B$11:$B$310)+COUNTA(条幅!$B$11:$B$310)+COUNTA(条幅4分の1!$B$11:$B$310),INDEX(条幅4分の1!$G$11:$G$310,117-COUNTA(半紙!$B$11:$B$310)-COUNTA(条幅!$B$11:$B$310)),""))))</f>
        <v/>
      </c>
      <c r="H122" s="38" t="str">
        <f>IF(IF(117&lt;=COUNTA(半紙!$B$11:$B$310),INDEX(半紙!$H$11:$H$310,117),IF(117&lt;=COUNTA(半紙!$B$11:$B$310)+COUNTA(条幅!$B$11:$B$310),INDEX(条幅!$H$11:$H$310,117-COUNTA(半紙!$B$11:$B$310)),IF(117&lt;=COUNTA(半紙!$B$11:$B$310)+COUNTA(条幅!$B$11:$B$310)+COUNTA(条幅4分の1!$B$11:$B$310),INDEX(条幅4分の1!$H$11:$H$310,117-COUNTA(半紙!$B$11:$B$310)-COUNTA(条幅!$B$11:$B$310)),"")))=0,"",IF(117&lt;=COUNTA(半紙!$B$11:$B$310),INDEX(半紙!$H$11:$H$310,117),IF(117&lt;=COUNTA(半紙!$B$11:$B$310)+COUNTA(条幅!$B$11:$B$310),INDEX(条幅!$H$11:$H$310,117-COUNTA(半紙!$B$11:$B$310)),IF(117&lt;=COUNTA(半紙!$B$11:$B$310)+COUNTA(条幅!$B$11:$B$310)+COUNTA(条幅4分の1!$B$11:$B$310),INDEX(条幅4分の1!$H$11:$H$310,117-COUNTA(半紙!$B$11:$B$310)-COUNTA(条幅!$B$11:$B$310)),""))))</f>
        <v/>
      </c>
      <c r="I122" s="38" t="str">
        <f>IF(IF(117&lt;=COUNTA(半紙!$B$11:$B$310),INDEX(半紙!$I$11:$I$310,117),IF(117&lt;=COUNTA(半紙!$B$11:$B$310)+COUNTA(条幅!$B$11:$B$310),INDEX(条幅!$I$11:$I$310,117-COUNTA(半紙!$B$11:$B$310)),IF(117&lt;=COUNTA(半紙!$B$11:$B$310)+COUNTA(条幅!$B$11:$B$310)+COUNTA(条幅4分の1!$B$11:$B$310),INDEX(条幅4分の1!$I$11:$I$310,117-COUNTA(半紙!$B$11:$B$310)-COUNTA(条幅!$B$11:$B$310)),"")))=0,"",IF(117&lt;=COUNTA(半紙!$B$11:$B$310),INDEX(半紙!$I$11:$I$310,117),IF(117&lt;=COUNTA(半紙!$B$11:$B$310)+COUNTA(条幅!$B$11:$B$310),INDEX(条幅!$I$11:$I$310,117-COUNTA(半紙!$B$11:$B$310)),IF(117&lt;=COUNTA(半紙!$B$11:$B$310)+COUNTA(条幅!$B$11:$B$310)+COUNTA(条幅4分の1!$B$11:$B$310),INDEX(条幅4分の1!$I$11:$I$310,117-COUNTA(半紙!$B$11:$B$310)-COUNTA(条幅!$B$11:$B$310)),""))))</f>
        <v/>
      </c>
      <c r="J122" s="38" t="str">
        <f>IF(IF(117&lt;=COUNTA(半紙!$B$11:$B$310),INDEX(半紙!$J$11:$J$310,117),IF(117&lt;=COUNTA(半紙!$B$11:$B$310)+COUNTA(条幅!$B$11:$B$310),INDEX(条幅!$J$11:$J$310,117-COUNTA(半紙!$B$11:$B$310)),IF(117&lt;=COUNTA(半紙!$B$11:$B$310)+COUNTA(条幅!$B$11:$B$310)+COUNTA(条幅4分の1!$B$11:$B$310),INDEX(条幅4分の1!$J$11:$J$310,117-COUNTA(半紙!$B$11:$B$310)-COUNTA(条幅!$B$11:$B$310)),"")))=0,"",IF(117&lt;=COUNTA(半紙!$B$11:$B$310),INDEX(半紙!$J$11:$J$310,117),IF(117&lt;=COUNTA(半紙!$B$11:$B$310)+COUNTA(条幅!$B$11:$B$310),INDEX(条幅!$J$11:$J$310,117-COUNTA(半紙!$B$11:$B$310)),IF(117&lt;=COUNTA(半紙!$B$11:$B$310)+COUNTA(条幅!$B$11:$B$310)+COUNTA(条幅4分の1!$B$11:$B$310),INDEX(条幅4分の1!$J$11:$J$310,117-COUNTA(半紙!$B$11:$B$310)-COUNTA(条幅!$B$11:$B$310)),""))))</f>
        <v/>
      </c>
      <c r="K122" s="38" t="str">
        <f>IF(IF(117&lt;=COUNTA(半紙!$B$11:$B$310),INDEX(半紙!$K$11:$K$310,117),IF(117&lt;=COUNTA(半紙!$B$11:$B$310)+COUNTA(条幅!$B$11:$B$310),INDEX(条幅!$K$11:$K$310,117-COUNTA(半紙!$B$11:$B$310)),IF(117&lt;=COUNTA(半紙!$B$11:$B$310)+COUNTA(条幅!$B$11:$B$310)+COUNTA(条幅4分の1!$B$11:$B$310),INDEX(条幅4分の1!$K$11:$K$310,117-COUNTA(半紙!$B$11:$B$310)-COUNTA(条幅!$B$11:$B$310)),"")))=0,"",IF(117&lt;=COUNTA(半紙!$B$11:$B$310),INDEX(半紙!$K$11:$K$310,117),IF(117&lt;=COUNTA(半紙!$B$11:$B$310)+COUNTA(条幅!$B$11:$B$310),INDEX(条幅!$K$11:$K$310,117-COUNTA(半紙!$B$11:$B$310)),IF(117&lt;=COUNTA(半紙!$B$11:$B$310)+COUNTA(条幅!$B$11:$B$310)+COUNTA(条幅4分の1!$B$11:$B$310),INDEX(条幅4分の1!$K$11:$K$310,117-COUNTA(半紙!$B$11:$B$310)-COUNTA(条幅!$B$11:$B$310)),""))))</f>
        <v/>
      </c>
      <c r="L122" s="48" t="str">
        <f>IF($B122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117))</f>
        <v/>
      </c>
    </row>
    <row r="123" spans="1:12" ht="15" customHeight="1">
      <c r="A123" s="37" t="str">
        <f>IF(118&lt;=COUNTA(半紙!$B$11:$B$310),"半紙",IF(118&lt;=COUNTA(半紙!$B$11:$B$310)+COUNTA(条幅!$B$11:$B$310),"条幅(半切)",IF(118&lt;=COUNTA(半紙!$B$11:$B$310)+COUNTA(条幅!$B$11:$B$310)+COUNTA(条幅4分の1!$B$11:$B$310),"条幅(1/4)","")))</f>
        <v/>
      </c>
      <c r="B123" s="38" t="str">
        <f>IF(IF(118&lt;=COUNTA(半紙!$B$11:$B$310),INDEX(半紙!$B$11:$B$310,118),IF(118&lt;=COUNTA(半紙!$B$11:$B$310)+COUNTA(条幅!$B$11:$B$310),INDEX(条幅!$B$11:$B$310,118-COUNTA(半紙!$B$11:$B$310)),IF(118&lt;=COUNTA(半紙!$B$11:$B$310)+COUNTA(条幅!$B$11:$B$310)+COUNTA(条幅4分の1!$B$11:$B$310),INDEX(条幅4分の1!$B$11:$B$310,118-COUNTA(半紙!$B$11:$B$310)-COUNTA(条幅!$B$11:$B$310)),"")))=0,"",IF(118&lt;=COUNTA(半紙!$B$11:$B$310),INDEX(半紙!$B$11:$B$310,118),IF(118&lt;=COUNTA(半紙!$B$11:$B$310)+COUNTA(条幅!$B$11:$B$310),INDEX(条幅!$B$11:$B$310,118-COUNTA(半紙!$B$11:$B$310)),IF(118&lt;=COUNTA(半紙!$B$11:$B$310)+COUNTA(条幅!$B$11:$B$310)+COUNTA(条幅4分の1!$B$11:$B$310),INDEX(条幅4分の1!$B$11:$B$310,118-COUNTA(半紙!$B$11:$B$310)-COUNTA(条幅!$B$11:$B$310)),""))))</f>
        <v/>
      </c>
      <c r="C123" s="38" t="str">
        <f>IF(IF(118&lt;=COUNTA(半紙!$B$11:$B$310),INDEX(半紙!$C$11:$C$310,118),IF(118&lt;=COUNTA(半紙!$B$11:$B$310)+COUNTA(条幅!$B$11:$B$310),INDEX(条幅!$C$11:$C$310,118-COUNTA(半紙!$B$11:$B$310)),IF(118&lt;=COUNTA(半紙!$B$11:$B$310)+COUNTA(条幅!$B$11:$B$310)+COUNTA(条幅4分の1!$B$11:$B$310),INDEX(条幅4分の1!$C$11:$C$310,118-COUNTA(半紙!$B$11:$B$310)-COUNTA(条幅!$B$11:$B$310)),"")))=0,"",IF(118&lt;=COUNTA(半紙!$B$11:$B$310),INDEX(半紙!$C$11:$C$310,118),IF(118&lt;=COUNTA(半紙!$B$11:$B$310)+COUNTA(条幅!$B$11:$B$310),INDEX(条幅!$C$11:$C$310,118-COUNTA(半紙!$B$11:$B$310)),IF(118&lt;=COUNTA(半紙!$B$11:$B$310)+COUNTA(条幅!$B$11:$B$310)+COUNTA(条幅4分の1!$B$11:$B$310),INDEX(条幅4分の1!$C$11:$C$310,118-COUNTA(半紙!$B$11:$B$310)-COUNTA(条幅!$B$11:$B$310)),""))))</f>
        <v/>
      </c>
      <c r="D123" s="38" t="str">
        <f>IF(IF(118&lt;=COUNTA(半紙!$B$11:$B$310),INDEX(半紙!$D$11:$D$310,118),IF(118&lt;=COUNTA(半紙!$B$11:$B$310)+COUNTA(条幅!$B$11:$B$310),INDEX(条幅!$D$11:$D$310,118-COUNTA(半紙!$B$11:$B$310)),IF(118&lt;=COUNTA(半紙!$B$11:$B$310)+COUNTA(条幅!$B$11:$B$310)+COUNTA(条幅4分の1!$B$11:$B$310),INDEX(条幅4分の1!$D$11:$D$310,118-COUNTA(半紙!$B$11:$B$310)-COUNTA(条幅!$B$11:$B$310)),"")))=0,"",IF(118&lt;=COUNTA(半紙!$B$11:$B$310),INDEX(半紙!$D$11:$D$310,118),IF(118&lt;=COUNTA(半紙!$B$11:$B$310)+COUNTA(条幅!$B$11:$B$310),INDEX(条幅!$D$11:$D$310,118-COUNTA(半紙!$B$11:$B$310)),IF(118&lt;=COUNTA(半紙!$B$11:$B$310)+COUNTA(条幅!$B$11:$B$310)+COUNTA(条幅4分の1!$B$11:$B$310),INDEX(条幅4分の1!$D$11:$D$310,118-COUNTA(半紙!$B$11:$B$310)-COUNTA(条幅!$B$11:$B$310)),""))))</f>
        <v/>
      </c>
      <c r="E123" s="38" t="str">
        <f>IF(IF(118&lt;=COUNTA(半紙!$B$11:$B$310),INDEX(半紙!$E$11:$E$310,118),IF(118&lt;=COUNTA(半紙!$B$11:$B$310)+COUNTA(条幅!$B$11:$B$310),INDEX(条幅!$E$11:$E$310,118-COUNTA(半紙!$B$11:$B$310)),IF(118&lt;=COUNTA(半紙!$B$11:$B$310)+COUNTA(条幅!$B$11:$B$310)+COUNTA(条幅4分の1!$B$11:$B$310),INDEX(条幅4分の1!$E$11:$E$310,118-COUNTA(半紙!$B$11:$B$310)-COUNTA(条幅!$B$11:$B$310)),"")))=0,"",IF(118&lt;=COUNTA(半紙!$B$11:$B$310),INDEX(半紙!$E$11:$E$310,118),IF(118&lt;=COUNTA(半紙!$B$11:$B$310)+COUNTA(条幅!$B$11:$B$310),INDEX(条幅!$E$11:$E$310,118-COUNTA(半紙!$B$11:$B$310)),IF(118&lt;=COUNTA(半紙!$B$11:$B$310)+COUNTA(条幅!$B$11:$B$310)+COUNTA(条幅4分の1!$B$11:$B$310),INDEX(条幅4分の1!$E$11:$E$310,118-COUNTA(半紙!$B$11:$B$310)-COUNTA(条幅!$B$11:$B$310)),""))))</f>
        <v/>
      </c>
      <c r="F123" s="38" t="str">
        <f>IF(IF(118&lt;=COUNTA(半紙!$B$11:$B$310),INDEX(半紙!$F$11:$F$310,118),IF(118&lt;=COUNTA(半紙!$B$11:$B$310)+COUNTA(条幅!$B$11:$B$310),INDEX(条幅!$F$11:$F$310,118-COUNTA(半紙!$B$11:$B$310)),IF(118&lt;=COUNTA(半紙!$B$11:$B$310)+COUNTA(条幅!$B$11:$B$310)+COUNTA(条幅4分の1!$B$11:$B$310),INDEX(条幅4分の1!$F$11:$F$310,118-COUNTA(半紙!$B$11:$B$310)-COUNTA(条幅!$B$11:$B$310)),"")))=0,"",IF(118&lt;=COUNTA(半紙!$B$11:$B$310),INDEX(半紙!$F$11:$F$310,118),IF(118&lt;=COUNTA(半紙!$B$11:$B$310)+COUNTA(条幅!$B$11:$B$310),INDEX(条幅!$F$11:$F$310,118-COUNTA(半紙!$B$11:$B$310)),IF(118&lt;=COUNTA(半紙!$B$11:$B$310)+COUNTA(条幅!$B$11:$B$310)+COUNTA(条幅4分の1!$B$11:$B$310),INDEX(条幅4分の1!$F$11:$F$310,118-COUNTA(半紙!$B$11:$B$310)-COUNTA(条幅!$B$11:$B$310)),""))))</f>
        <v/>
      </c>
      <c r="G123" s="38" t="str">
        <f>IF(IF(118&lt;=COUNTA(半紙!$B$11:$B$310),INDEX(半紙!$G$11:$G$310,118),IF(118&lt;=COUNTA(半紙!$B$11:$B$310)+COUNTA(条幅!$B$11:$B$310),INDEX(条幅!$G$11:$G$310,118-COUNTA(半紙!$B$11:$B$310)),IF(118&lt;=COUNTA(半紙!$B$11:$B$310)+COUNTA(条幅!$B$11:$B$310)+COUNTA(条幅4分の1!$B$11:$B$310),INDEX(条幅4分の1!$G$11:$G$310,118-COUNTA(半紙!$B$11:$B$310)-COUNTA(条幅!$B$11:$B$310)),"")))=0,"",IF(118&lt;=COUNTA(半紙!$B$11:$B$310),INDEX(半紙!$G$11:$G$310,118),IF(118&lt;=COUNTA(半紙!$B$11:$B$310)+COUNTA(条幅!$B$11:$B$310),INDEX(条幅!$G$11:$G$310,118-COUNTA(半紙!$B$11:$B$310)),IF(118&lt;=COUNTA(半紙!$B$11:$B$310)+COUNTA(条幅!$B$11:$B$310)+COUNTA(条幅4分の1!$B$11:$B$310),INDEX(条幅4分の1!$G$11:$G$310,118-COUNTA(半紙!$B$11:$B$310)-COUNTA(条幅!$B$11:$B$310)),""))))</f>
        <v/>
      </c>
      <c r="H123" s="38" t="str">
        <f>IF(IF(118&lt;=COUNTA(半紙!$B$11:$B$310),INDEX(半紙!$H$11:$H$310,118),IF(118&lt;=COUNTA(半紙!$B$11:$B$310)+COUNTA(条幅!$B$11:$B$310),INDEX(条幅!$H$11:$H$310,118-COUNTA(半紙!$B$11:$B$310)),IF(118&lt;=COUNTA(半紙!$B$11:$B$310)+COUNTA(条幅!$B$11:$B$310)+COUNTA(条幅4分の1!$B$11:$B$310),INDEX(条幅4分の1!$H$11:$H$310,118-COUNTA(半紙!$B$11:$B$310)-COUNTA(条幅!$B$11:$B$310)),"")))=0,"",IF(118&lt;=COUNTA(半紙!$B$11:$B$310),INDEX(半紙!$H$11:$H$310,118),IF(118&lt;=COUNTA(半紙!$B$11:$B$310)+COUNTA(条幅!$B$11:$B$310),INDEX(条幅!$H$11:$H$310,118-COUNTA(半紙!$B$11:$B$310)),IF(118&lt;=COUNTA(半紙!$B$11:$B$310)+COUNTA(条幅!$B$11:$B$310)+COUNTA(条幅4分の1!$B$11:$B$310),INDEX(条幅4分の1!$H$11:$H$310,118-COUNTA(半紙!$B$11:$B$310)-COUNTA(条幅!$B$11:$B$310)),""))))</f>
        <v/>
      </c>
      <c r="I123" s="38" t="str">
        <f>IF(IF(118&lt;=COUNTA(半紙!$B$11:$B$310),INDEX(半紙!$I$11:$I$310,118),IF(118&lt;=COUNTA(半紙!$B$11:$B$310)+COUNTA(条幅!$B$11:$B$310),INDEX(条幅!$I$11:$I$310,118-COUNTA(半紙!$B$11:$B$310)),IF(118&lt;=COUNTA(半紙!$B$11:$B$310)+COUNTA(条幅!$B$11:$B$310)+COUNTA(条幅4分の1!$B$11:$B$310),INDEX(条幅4分の1!$I$11:$I$310,118-COUNTA(半紙!$B$11:$B$310)-COUNTA(条幅!$B$11:$B$310)),"")))=0,"",IF(118&lt;=COUNTA(半紙!$B$11:$B$310),INDEX(半紙!$I$11:$I$310,118),IF(118&lt;=COUNTA(半紙!$B$11:$B$310)+COUNTA(条幅!$B$11:$B$310),INDEX(条幅!$I$11:$I$310,118-COUNTA(半紙!$B$11:$B$310)),IF(118&lt;=COUNTA(半紙!$B$11:$B$310)+COUNTA(条幅!$B$11:$B$310)+COUNTA(条幅4分の1!$B$11:$B$310),INDEX(条幅4分の1!$I$11:$I$310,118-COUNTA(半紙!$B$11:$B$310)-COUNTA(条幅!$B$11:$B$310)),""))))</f>
        <v/>
      </c>
      <c r="J123" s="38" t="str">
        <f>IF(IF(118&lt;=COUNTA(半紙!$B$11:$B$310),INDEX(半紙!$J$11:$J$310,118),IF(118&lt;=COUNTA(半紙!$B$11:$B$310)+COUNTA(条幅!$B$11:$B$310),INDEX(条幅!$J$11:$J$310,118-COUNTA(半紙!$B$11:$B$310)),IF(118&lt;=COUNTA(半紙!$B$11:$B$310)+COUNTA(条幅!$B$11:$B$310)+COUNTA(条幅4分の1!$B$11:$B$310),INDEX(条幅4分の1!$J$11:$J$310,118-COUNTA(半紙!$B$11:$B$310)-COUNTA(条幅!$B$11:$B$310)),"")))=0,"",IF(118&lt;=COUNTA(半紙!$B$11:$B$310),INDEX(半紙!$J$11:$J$310,118),IF(118&lt;=COUNTA(半紙!$B$11:$B$310)+COUNTA(条幅!$B$11:$B$310),INDEX(条幅!$J$11:$J$310,118-COUNTA(半紙!$B$11:$B$310)),IF(118&lt;=COUNTA(半紙!$B$11:$B$310)+COUNTA(条幅!$B$11:$B$310)+COUNTA(条幅4分の1!$B$11:$B$310),INDEX(条幅4分の1!$J$11:$J$310,118-COUNTA(半紙!$B$11:$B$310)-COUNTA(条幅!$B$11:$B$310)),""))))</f>
        <v/>
      </c>
      <c r="K123" s="38" t="str">
        <f>IF(IF(118&lt;=COUNTA(半紙!$B$11:$B$310),INDEX(半紙!$K$11:$K$310,118),IF(118&lt;=COUNTA(半紙!$B$11:$B$310)+COUNTA(条幅!$B$11:$B$310),INDEX(条幅!$K$11:$K$310,118-COUNTA(半紙!$B$11:$B$310)),IF(118&lt;=COUNTA(半紙!$B$11:$B$310)+COUNTA(条幅!$B$11:$B$310)+COUNTA(条幅4分の1!$B$11:$B$310),INDEX(条幅4分の1!$K$11:$K$310,118-COUNTA(半紙!$B$11:$B$310)-COUNTA(条幅!$B$11:$B$310)),"")))=0,"",IF(118&lt;=COUNTA(半紙!$B$11:$B$310),INDEX(半紙!$K$11:$K$310,118),IF(118&lt;=COUNTA(半紙!$B$11:$B$310)+COUNTA(条幅!$B$11:$B$310),INDEX(条幅!$K$11:$K$310,118-COUNTA(半紙!$B$11:$B$310)),IF(118&lt;=COUNTA(半紙!$B$11:$B$310)+COUNTA(条幅!$B$11:$B$310)+COUNTA(条幅4分の1!$B$11:$B$310),INDEX(条幅4分の1!$K$11:$K$310,118-COUNTA(半紙!$B$11:$B$310)-COUNTA(条幅!$B$11:$B$310)),""))))</f>
        <v/>
      </c>
      <c r="L123" s="48" t="str">
        <f>IF($B123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118))</f>
        <v/>
      </c>
    </row>
    <row r="124" spans="1:12" ht="15" customHeight="1">
      <c r="A124" s="37" t="str">
        <f>IF(119&lt;=COUNTA(半紙!$B$11:$B$310),"半紙",IF(119&lt;=COUNTA(半紙!$B$11:$B$310)+COUNTA(条幅!$B$11:$B$310),"条幅(半切)",IF(119&lt;=COUNTA(半紙!$B$11:$B$310)+COUNTA(条幅!$B$11:$B$310)+COUNTA(条幅4分の1!$B$11:$B$310),"条幅(1/4)","")))</f>
        <v/>
      </c>
      <c r="B124" s="38" t="str">
        <f>IF(IF(119&lt;=COUNTA(半紙!$B$11:$B$310),INDEX(半紙!$B$11:$B$310,119),IF(119&lt;=COUNTA(半紙!$B$11:$B$310)+COUNTA(条幅!$B$11:$B$310),INDEX(条幅!$B$11:$B$310,119-COUNTA(半紙!$B$11:$B$310)),IF(119&lt;=COUNTA(半紙!$B$11:$B$310)+COUNTA(条幅!$B$11:$B$310)+COUNTA(条幅4分の1!$B$11:$B$310),INDEX(条幅4分の1!$B$11:$B$310,119-COUNTA(半紙!$B$11:$B$310)-COUNTA(条幅!$B$11:$B$310)),"")))=0,"",IF(119&lt;=COUNTA(半紙!$B$11:$B$310),INDEX(半紙!$B$11:$B$310,119),IF(119&lt;=COUNTA(半紙!$B$11:$B$310)+COUNTA(条幅!$B$11:$B$310),INDEX(条幅!$B$11:$B$310,119-COUNTA(半紙!$B$11:$B$310)),IF(119&lt;=COUNTA(半紙!$B$11:$B$310)+COUNTA(条幅!$B$11:$B$310)+COUNTA(条幅4分の1!$B$11:$B$310),INDEX(条幅4分の1!$B$11:$B$310,119-COUNTA(半紙!$B$11:$B$310)-COUNTA(条幅!$B$11:$B$310)),""))))</f>
        <v/>
      </c>
      <c r="C124" s="38" t="str">
        <f>IF(IF(119&lt;=COUNTA(半紙!$B$11:$B$310),INDEX(半紙!$C$11:$C$310,119),IF(119&lt;=COUNTA(半紙!$B$11:$B$310)+COUNTA(条幅!$B$11:$B$310),INDEX(条幅!$C$11:$C$310,119-COUNTA(半紙!$B$11:$B$310)),IF(119&lt;=COUNTA(半紙!$B$11:$B$310)+COUNTA(条幅!$B$11:$B$310)+COUNTA(条幅4分の1!$B$11:$B$310),INDEX(条幅4分の1!$C$11:$C$310,119-COUNTA(半紙!$B$11:$B$310)-COUNTA(条幅!$B$11:$B$310)),"")))=0,"",IF(119&lt;=COUNTA(半紙!$B$11:$B$310),INDEX(半紙!$C$11:$C$310,119),IF(119&lt;=COUNTA(半紙!$B$11:$B$310)+COUNTA(条幅!$B$11:$B$310),INDEX(条幅!$C$11:$C$310,119-COUNTA(半紙!$B$11:$B$310)),IF(119&lt;=COUNTA(半紙!$B$11:$B$310)+COUNTA(条幅!$B$11:$B$310)+COUNTA(条幅4分の1!$B$11:$B$310),INDEX(条幅4分の1!$C$11:$C$310,119-COUNTA(半紙!$B$11:$B$310)-COUNTA(条幅!$B$11:$B$310)),""))))</f>
        <v/>
      </c>
      <c r="D124" s="38" t="str">
        <f>IF(IF(119&lt;=COUNTA(半紙!$B$11:$B$310),INDEX(半紙!$D$11:$D$310,119),IF(119&lt;=COUNTA(半紙!$B$11:$B$310)+COUNTA(条幅!$B$11:$B$310),INDEX(条幅!$D$11:$D$310,119-COUNTA(半紙!$B$11:$B$310)),IF(119&lt;=COUNTA(半紙!$B$11:$B$310)+COUNTA(条幅!$B$11:$B$310)+COUNTA(条幅4分の1!$B$11:$B$310),INDEX(条幅4分の1!$D$11:$D$310,119-COUNTA(半紙!$B$11:$B$310)-COUNTA(条幅!$B$11:$B$310)),"")))=0,"",IF(119&lt;=COUNTA(半紙!$B$11:$B$310),INDEX(半紙!$D$11:$D$310,119),IF(119&lt;=COUNTA(半紙!$B$11:$B$310)+COUNTA(条幅!$B$11:$B$310),INDEX(条幅!$D$11:$D$310,119-COUNTA(半紙!$B$11:$B$310)),IF(119&lt;=COUNTA(半紙!$B$11:$B$310)+COUNTA(条幅!$B$11:$B$310)+COUNTA(条幅4分の1!$B$11:$B$310),INDEX(条幅4分の1!$D$11:$D$310,119-COUNTA(半紙!$B$11:$B$310)-COUNTA(条幅!$B$11:$B$310)),""))))</f>
        <v/>
      </c>
      <c r="E124" s="38" t="str">
        <f>IF(IF(119&lt;=COUNTA(半紙!$B$11:$B$310),INDEX(半紙!$E$11:$E$310,119),IF(119&lt;=COUNTA(半紙!$B$11:$B$310)+COUNTA(条幅!$B$11:$B$310),INDEX(条幅!$E$11:$E$310,119-COUNTA(半紙!$B$11:$B$310)),IF(119&lt;=COUNTA(半紙!$B$11:$B$310)+COUNTA(条幅!$B$11:$B$310)+COUNTA(条幅4分の1!$B$11:$B$310),INDEX(条幅4分の1!$E$11:$E$310,119-COUNTA(半紙!$B$11:$B$310)-COUNTA(条幅!$B$11:$B$310)),"")))=0,"",IF(119&lt;=COUNTA(半紙!$B$11:$B$310),INDEX(半紙!$E$11:$E$310,119),IF(119&lt;=COUNTA(半紙!$B$11:$B$310)+COUNTA(条幅!$B$11:$B$310),INDEX(条幅!$E$11:$E$310,119-COUNTA(半紙!$B$11:$B$310)),IF(119&lt;=COUNTA(半紙!$B$11:$B$310)+COUNTA(条幅!$B$11:$B$310)+COUNTA(条幅4分の1!$B$11:$B$310),INDEX(条幅4分の1!$E$11:$E$310,119-COUNTA(半紙!$B$11:$B$310)-COUNTA(条幅!$B$11:$B$310)),""))))</f>
        <v/>
      </c>
      <c r="F124" s="38" t="str">
        <f>IF(IF(119&lt;=COUNTA(半紙!$B$11:$B$310),INDEX(半紙!$F$11:$F$310,119),IF(119&lt;=COUNTA(半紙!$B$11:$B$310)+COUNTA(条幅!$B$11:$B$310),INDEX(条幅!$F$11:$F$310,119-COUNTA(半紙!$B$11:$B$310)),IF(119&lt;=COUNTA(半紙!$B$11:$B$310)+COUNTA(条幅!$B$11:$B$310)+COUNTA(条幅4分の1!$B$11:$B$310),INDEX(条幅4分の1!$F$11:$F$310,119-COUNTA(半紙!$B$11:$B$310)-COUNTA(条幅!$B$11:$B$310)),"")))=0,"",IF(119&lt;=COUNTA(半紙!$B$11:$B$310),INDEX(半紙!$F$11:$F$310,119),IF(119&lt;=COUNTA(半紙!$B$11:$B$310)+COUNTA(条幅!$B$11:$B$310),INDEX(条幅!$F$11:$F$310,119-COUNTA(半紙!$B$11:$B$310)),IF(119&lt;=COUNTA(半紙!$B$11:$B$310)+COUNTA(条幅!$B$11:$B$310)+COUNTA(条幅4分の1!$B$11:$B$310),INDEX(条幅4分の1!$F$11:$F$310,119-COUNTA(半紙!$B$11:$B$310)-COUNTA(条幅!$B$11:$B$310)),""))))</f>
        <v/>
      </c>
      <c r="G124" s="38" t="str">
        <f>IF(IF(119&lt;=COUNTA(半紙!$B$11:$B$310),INDEX(半紙!$G$11:$G$310,119),IF(119&lt;=COUNTA(半紙!$B$11:$B$310)+COUNTA(条幅!$B$11:$B$310),INDEX(条幅!$G$11:$G$310,119-COUNTA(半紙!$B$11:$B$310)),IF(119&lt;=COUNTA(半紙!$B$11:$B$310)+COUNTA(条幅!$B$11:$B$310)+COUNTA(条幅4分の1!$B$11:$B$310),INDEX(条幅4分の1!$G$11:$G$310,119-COUNTA(半紙!$B$11:$B$310)-COUNTA(条幅!$B$11:$B$310)),"")))=0,"",IF(119&lt;=COUNTA(半紙!$B$11:$B$310),INDEX(半紙!$G$11:$G$310,119),IF(119&lt;=COUNTA(半紙!$B$11:$B$310)+COUNTA(条幅!$B$11:$B$310),INDEX(条幅!$G$11:$G$310,119-COUNTA(半紙!$B$11:$B$310)),IF(119&lt;=COUNTA(半紙!$B$11:$B$310)+COUNTA(条幅!$B$11:$B$310)+COUNTA(条幅4分の1!$B$11:$B$310),INDEX(条幅4分の1!$G$11:$G$310,119-COUNTA(半紙!$B$11:$B$310)-COUNTA(条幅!$B$11:$B$310)),""))))</f>
        <v/>
      </c>
      <c r="H124" s="38" t="str">
        <f>IF(IF(119&lt;=COUNTA(半紙!$B$11:$B$310),INDEX(半紙!$H$11:$H$310,119),IF(119&lt;=COUNTA(半紙!$B$11:$B$310)+COUNTA(条幅!$B$11:$B$310),INDEX(条幅!$H$11:$H$310,119-COUNTA(半紙!$B$11:$B$310)),IF(119&lt;=COUNTA(半紙!$B$11:$B$310)+COUNTA(条幅!$B$11:$B$310)+COUNTA(条幅4分の1!$B$11:$B$310),INDEX(条幅4分の1!$H$11:$H$310,119-COUNTA(半紙!$B$11:$B$310)-COUNTA(条幅!$B$11:$B$310)),"")))=0,"",IF(119&lt;=COUNTA(半紙!$B$11:$B$310),INDEX(半紙!$H$11:$H$310,119),IF(119&lt;=COUNTA(半紙!$B$11:$B$310)+COUNTA(条幅!$B$11:$B$310),INDEX(条幅!$H$11:$H$310,119-COUNTA(半紙!$B$11:$B$310)),IF(119&lt;=COUNTA(半紙!$B$11:$B$310)+COUNTA(条幅!$B$11:$B$310)+COUNTA(条幅4分の1!$B$11:$B$310),INDEX(条幅4分の1!$H$11:$H$310,119-COUNTA(半紙!$B$11:$B$310)-COUNTA(条幅!$B$11:$B$310)),""))))</f>
        <v/>
      </c>
      <c r="I124" s="38" t="str">
        <f>IF(IF(119&lt;=COUNTA(半紙!$B$11:$B$310),INDEX(半紙!$I$11:$I$310,119),IF(119&lt;=COUNTA(半紙!$B$11:$B$310)+COUNTA(条幅!$B$11:$B$310),INDEX(条幅!$I$11:$I$310,119-COUNTA(半紙!$B$11:$B$310)),IF(119&lt;=COUNTA(半紙!$B$11:$B$310)+COUNTA(条幅!$B$11:$B$310)+COUNTA(条幅4分の1!$B$11:$B$310),INDEX(条幅4分の1!$I$11:$I$310,119-COUNTA(半紙!$B$11:$B$310)-COUNTA(条幅!$B$11:$B$310)),"")))=0,"",IF(119&lt;=COUNTA(半紙!$B$11:$B$310),INDEX(半紙!$I$11:$I$310,119),IF(119&lt;=COUNTA(半紙!$B$11:$B$310)+COUNTA(条幅!$B$11:$B$310),INDEX(条幅!$I$11:$I$310,119-COUNTA(半紙!$B$11:$B$310)),IF(119&lt;=COUNTA(半紙!$B$11:$B$310)+COUNTA(条幅!$B$11:$B$310)+COUNTA(条幅4分の1!$B$11:$B$310),INDEX(条幅4分の1!$I$11:$I$310,119-COUNTA(半紙!$B$11:$B$310)-COUNTA(条幅!$B$11:$B$310)),""))))</f>
        <v/>
      </c>
      <c r="J124" s="38" t="str">
        <f>IF(IF(119&lt;=COUNTA(半紙!$B$11:$B$310),INDEX(半紙!$J$11:$J$310,119),IF(119&lt;=COUNTA(半紙!$B$11:$B$310)+COUNTA(条幅!$B$11:$B$310),INDEX(条幅!$J$11:$J$310,119-COUNTA(半紙!$B$11:$B$310)),IF(119&lt;=COUNTA(半紙!$B$11:$B$310)+COUNTA(条幅!$B$11:$B$310)+COUNTA(条幅4分の1!$B$11:$B$310),INDEX(条幅4分の1!$J$11:$J$310,119-COUNTA(半紙!$B$11:$B$310)-COUNTA(条幅!$B$11:$B$310)),"")))=0,"",IF(119&lt;=COUNTA(半紙!$B$11:$B$310),INDEX(半紙!$J$11:$J$310,119),IF(119&lt;=COUNTA(半紙!$B$11:$B$310)+COUNTA(条幅!$B$11:$B$310),INDEX(条幅!$J$11:$J$310,119-COUNTA(半紙!$B$11:$B$310)),IF(119&lt;=COUNTA(半紙!$B$11:$B$310)+COUNTA(条幅!$B$11:$B$310)+COUNTA(条幅4分の1!$B$11:$B$310),INDEX(条幅4分の1!$J$11:$J$310,119-COUNTA(半紙!$B$11:$B$310)-COUNTA(条幅!$B$11:$B$310)),""))))</f>
        <v/>
      </c>
      <c r="K124" s="38" t="str">
        <f>IF(IF(119&lt;=COUNTA(半紙!$B$11:$B$310),INDEX(半紙!$K$11:$K$310,119),IF(119&lt;=COUNTA(半紙!$B$11:$B$310)+COUNTA(条幅!$B$11:$B$310),INDEX(条幅!$K$11:$K$310,119-COUNTA(半紙!$B$11:$B$310)),IF(119&lt;=COUNTA(半紙!$B$11:$B$310)+COUNTA(条幅!$B$11:$B$310)+COUNTA(条幅4分の1!$B$11:$B$310),INDEX(条幅4分の1!$K$11:$K$310,119-COUNTA(半紙!$B$11:$B$310)-COUNTA(条幅!$B$11:$B$310)),"")))=0,"",IF(119&lt;=COUNTA(半紙!$B$11:$B$310),INDEX(半紙!$K$11:$K$310,119),IF(119&lt;=COUNTA(半紙!$B$11:$B$310)+COUNTA(条幅!$B$11:$B$310),INDEX(条幅!$K$11:$K$310,119-COUNTA(半紙!$B$11:$B$310)),IF(119&lt;=COUNTA(半紙!$B$11:$B$310)+COUNTA(条幅!$B$11:$B$310)+COUNTA(条幅4分の1!$B$11:$B$310),INDEX(条幅4分の1!$K$11:$K$310,119-COUNTA(半紙!$B$11:$B$310)-COUNTA(条幅!$B$11:$B$310)),""))))</f>
        <v/>
      </c>
      <c r="L124" s="48" t="str">
        <f>IF($B124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119))</f>
        <v/>
      </c>
    </row>
    <row r="125" spans="1:12" ht="15" customHeight="1">
      <c r="A125" s="37" t="str">
        <f>IF(120&lt;=COUNTA(半紙!$B$11:$B$310),"半紙",IF(120&lt;=COUNTA(半紙!$B$11:$B$310)+COUNTA(条幅!$B$11:$B$310),"条幅(半切)",IF(120&lt;=COUNTA(半紙!$B$11:$B$310)+COUNTA(条幅!$B$11:$B$310)+COUNTA(条幅4分の1!$B$11:$B$310),"条幅(1/4)","")))</f>
        <v/>
      </c>
      <c r="B125" s="38" t="str">
        <f>IF(IF(120&lt;=COUNTA(半紙!$B$11:$B$310),INDEX(半紙!$B$11:$B$310,120),IF(120&lt;=COUNTA(半紙!$B$11:$B$310)+COUNTA(条幅!$B$11:$B$310),INDEX(条幅!$B$11:$B$310,120-COUNTA(半紙!$B$11:$B$310)),IF(120&lt;=COUNTA(半紙!$B$11:$B$310)+COUNTA(条幅!$B$11:$B$310)+COUNTA(条幅4分の1!$B$11:$B$310),INDEX(条幅4分の1!$B$11:$B$310,120-COUNTA(半紙!$B$11:$B$310)-COUNTA(条幅!$B$11:$B$310)),"")))=0,"",IF(120&lt;=COUNTA(半紙!$B$11:$B$310),INDEX(半紙!$B$11:$B$310,120),IF(120&lt;=COUNTA(半紙!$B$11:$B$310)+COUNTA(条幅!$B$11:$B$310),INDEX(条幅!$B$11:$B$310,120-COUNTA(半紙!$B$11:$B$310)),IF(120&lt;=COUNTA(半紙!$B$11:$B$310)+COUNTA(条幅!$B$11:$B$310)+COUNTA(条幅4分の1!$B$11:$B$310),INDEX(条幅4分の1!$B$11:$B$310,120-COUNTA(半紙!$B$11:$B$310)-COUNTA(条幅!$B$11:$B$310)),""))))</f>
        <v/>
      </c>
      <c r="C125" s="38" t="str">
        <f>IF(IF(120&lt;=COUNTA(半紙!$B$11:$B$310),INDEX(半紙!$C$11:$C$310,120),IF(120&lt;=COUNTA(半紙!$B$11:$B$310)+COUNTA(条幅!$B$11:$B$310),INDEX(条幅!$C$11:$C$310,120-COUNTA(半紙!$B$11:$B$310)),IF(120&lt;=COUNTA(半紙!$B$11:$B$310)+COUNTA(条幅!$B$11:$B$310)+COUNTA(条幅4分の1!$B$11:$B$310),INDEX(条幅4分の1!$C$11:$C$310,120-COUNTA(半紙!$B$11:$B$310)-COUNTA(条幅!$B$11:$B$310)),"")))=0,"",IF(120&lt;=COUNTA(半紙!$B$11:$B$310),INDEX(半紙!$C$11:$C$310,120),IF(120&lt;=COUNTA(半紙!$B$11:$B$310)+COUNTA(条幅!$B$11:$B$310),INDEX(条幅!$C$11:$C$310,120-COUNTA(半紙!$B$11:$B$310)),IF(120&lt;=COUNTA(半紙!$B$11:$B$310)+COUNTA(条幅!$B$11:$B$310)+COUNTA(条幅4分の1!$B$11:$B$310),INDEX(条幅4分の1!$C$11:$C$310,120-COUNTA(半紙!$B$11:$B$310)-COUNTA(条幅!$B$11:$B$310)),""))))</f>
        <v/>
      </c>
      <c r="D125" s="38" t="str">
        <f>IF(IF(120&lt;=COUNTA(半紙!$B$11:$B$310),INDEX(半紙!$D$11:$D$310,120),IF(120&lt;=COUNTA(半紙!$B$11:$B$310)+COUNTA(条幅!$B$11:$B$310),INDEX(条幅!$D$11:$D$310,120-COUNTA(半紙!$B$11:$B$310)),IF(120&lt;=COUNTA(半紙!$B$11:$B$310)+COUNTA(条幅!$B$11:$B$310)+COUNTA(条幅4分の1!$B$11:$B$310),INDEX(条幅4分の1!$D$11:$D$310,120-COUNTA(半紙!$B$11:$B$310)-COUNTA(条幅!$B$11:$B$310)),"")))=0,"",IF(120&lt;=COUNTA(半紙!$B$11:$B$310),INDEX(半紙!$D$11:$D$310,120),IF(120&lt;=COUNTA(半紙!$B$11:$B$310)+COUNTA(条幅!$B$11:$B$310),INDEX(条幅!$D$11:$D$310,120-COUNTA(半紙!$B$11:$B$310)),IF(120&lt;=COUNTA(半紙!$B$11:$B$310)+COUNTA(条幅!$B$11:$B$310)+COUNTA(条幅4分の1!$B$11:$B$310),INDEX(条幅4分の1!$D$11:$D$310,120-COUNTA(半紙!$B$11:$B$310)-COUNTA(条幅!$B$11:$B$310)),""))))</f>
        <v/>
      </c>
      <c r="E125" s="38" t="str">
        <f>IF(IF(120&lt;=COUNTA(半紙!$B$11:$B$310),INDEX(半紙!$E$11:$E$310,120),IF(120&lt;=COUNTA(半紙!$B$11:$B$310)+COUNTA(条幅!$B$11:$B$310),INDEX(条幅!$E$11:$E$310,120-COUNTA(半紙!$B$11:$B$310)),IF(120&lt;=COUNTA(半紙!$B$11:$B$310)+COUNTA(条幅!$B$11:$B$310)+COUNTA(条幅4分の1!$B$11:$B$310),INDEX(条幅4分の1!$E$11:$E$310,120-COUNTA(半紙!$B$11:$B$310)-COUNTA(条幅!$B$11:$B$310)),"")))=0,"",IF(120&lt;=COUNTA(半紙!$B$11:$B$310),INDEX(半紙!$E$11:$E$310,120),IF(120&lt;=COUNTA(半紙!$B$11:$B$310)+COUNTA(条幅!$B$11:$B$310),INDEX(条幅!$E$11:$E$310,120-COUNTA(半紙!$B$11:$B$310)),IF(120&lt;=COUNTA(半紙!$B$11:$B$310)+COUNTA(条幅!$B$11:$B$310)+COUNTA(条幅4分の1!$B$11:$B$310),INDEX(条幅4分の1!$E$11:$E$310,120-COUNTA(半紙!$B$11:$B$310)-COUNTA(条幅!$B$11:$B$310)),""))))</f>
        <v/>
      </c>
      <c r="F125" s="38" t="str">
        <f>IF(IF(120&lt;=COUNTA(半紙!$B$11:$B$310),INDEX(半紙!$F$11:$F$310,120),IF(120&lt;=COUNTA(半紙!$B$11:$B$310)+COUNTA(条幅!$B$11:$B$310),INDEX(条幅!$F$11:$F$310,120-COUNTA(半紙!$B$11:$B$310)),IF(120&lt;=COUNTA(半紙!$B$11:$B$310)+COUNTA(条幅!$B$11:$B$310)+COUNTA(条幅4分の1!$B$11:$B$310),INDEX(条幅4分の1!$F$11:$F$310,120-COUNTA(半紙!$B$11:$B$310)-COUNTA(条幅!$B$11:$B$310)),"")))=0,"",IF(120&lt;=COUNTA(半紙!$B$11:$B$310),INDEX(半紙!$F$11:$F$310,120),IF(120&lt;=COUNTA(半紙!$B$11:$B$310)+COUNTA(条幅!$B$11:$B$310),INDEX(条幅!$F$11:$F$310,120-COUNTA(半紙!$B$11:$B$310)),IF(120&lt;=COUNTA(半紙!$B$11:$B$310)+COUNTA(条幅!$B$11:$B$310)+COUNTA(条幅4分の1!$B$11:$B$310),INDEX(条幅4分の1!$F$11:$F$310,120-COUNTA(半紙!$B$11:$B$310)-COUNTA(条幅!$B$11:$B$310)),""))))</f>
        <v/>
      </c>
      <c r="G125" s="38" t="str">
        <f>IF(IF(120&lt;=COUNTA(半紙!$B$11:$B$310),INDEX(半紙!$G$11:$G$310,120),IF(120&lt;=COUNTA(半紙!$B$11:$B$310)+COUNTA(条幅!$B$11:$B$310),INDEX(条幅!$G$11:$G$310,120-COUNTA(半紙!$B$11:$B$310)),IF(120&lt;=COUNTA(半紙!$B$11:$B$310)+COUNTA(条幅!$B$11:$B$310)+COUNTA(条幅4分の1!$B$11:$B$310),INDEX(条幅4分の1!$G$11:$G$310,120-COUNTA(半紙!$B$11:$B$310)-COUNTA(条幅!$B$11:$B$310)),"")))=0,"",IF(120&lt;=COUNTA(半紙!$B$11:$B$310),INDEX(半紙!$G$11:$G$310,120),IF(120&lt;=COUNTA(半紙!$B$11:$B$310)+COUNTA(条幅!$B$11:$B$310),INDEX(条幅!$G$11:$G$310,120-COUNTA(半紙!$B$11:$B$310)),IF(120&lt;=COUNTA(半紙!$B$11:$B$310)+COUNTA(条幅!$B$11:$B$310)+COUNTA(条幅4分の1!$B$11:$B$310),INDEX(条幅4分の1!$G$11:$G$310,120-COUNTA(半紙!$B$11:$B$310)-COUNTA(条幅!$B$11:$B$310)),""))))</f>
        <v/>
      </c>
      <c r="H125" s="38" t="str">
        <f>IF(IF(120&lt;=COUNTA(半紙!$B$11:$B$310),INDEX(半紙!$H$11:$H$310,120),IF(120&lt;=COUNTA(半紙!$B$11:$B$310)+COUNTA(条幅!$B$11:$B$310),INDEX(条幅!$H$11:$H$310,120-COUNTA(半紙!$B$11:$B$310)),IF(120&lt;=COUNTA(半紙!$B$11:$B$310)+COUNTA(条幅!$B$11:$B$310)+COUNTA(条幅4分の1!$B$11:$B$310),INDEX(条幅4分の1!$H$11:$H$310,120-COUNTA(半紙!$B$11:$B$310)-COUNTA(条幅!$B$11:$B$310)),"")))=0,"",IF(120&lt;=COUNTA(半紙!$B$11:$B$310),INDEX(半紙!$H$11:$H$310,120),IF(120&lt;=COUNTA(半紙!$B$11:$B$310)+COUNTA(条幅!$B$11:$B$310),INDEX(条幅!$H$11:$H$310,120-COUNTA(半紙!$B$11:$B$310)),IF(120&lt;=COUNTA(半紙!$B$11:$B$310)+COUNTA(条幅!$B$11:$B$310)+COUNTA(条幅4分の1!$B$11:$B$310),INDEX(条幅4分の1!$H$11:$H$310,120-COUNTA(半紙!$B$11:$B$310)-COUNTA(条幅!$B$11:$B$310)),""))))</f>
        <v/>
      </c>
      <c r="I125" s="38" t="str">
        <f>IF(IF(120&lt;=COUNTA(半紙!$B$11:$B$310),INDEX(半紙!$I$11:$I$310,120),IF(120&lt;=COUNTA(半紙!$B$11:$B$310)+COUNTA(条幅!$B$11:$B$310),INDEX(条幅!$I$11:$I$310,120-COUNTA(半紙!$B$11:$B$310)),IF(120&lt;=COUNTA(半紙!$B$11:$B$310)+COUNTA(条幅!$B$11:$B$310)+COUNTA(条幅4分の1!$B$11:$B$310),INDEX(条幅4分の1!$I$11:$I$310,120-COUNTA(半紙!$B$11:$B$310)-COUNTA(条幅!$B$11:$B$310)),"")))=0,"",IF(120&lt;=COUNTA(半紙!$B$11:$B$310),INDEX(半紙!$I$11:$I$310,120),IF(120&lt;=COUNTA(半紙!$B$11:$B$310)+COUNTA(条幅!$B$11:$B$310),INDEX(条幅!$I$11:$I$310,120-COUNTA(半紙!$B$11:$B$310)),IF(120&lt;=COUNTA(半紙!$B$11:$B$310)+COUNTA(条幅!$B$11:$B$310)+COUNTA(条幅4分の1!$B$11:$B$310),INDEX(条幅4分の1!$I$11:$I$310,120-COUNTA(半紙!$B$11:$B$310)-COUNTA(条幅!$B$11:$B$310)),""))))</f>
        <v/>
      </c>
      <c r="J125" s="38" t="str">
        <f>IF(IF(120&lt;=COUNTA(半紙!$B$11:$B$310),INDEX(半紙!$J$11:$J$310,120),IF(120&lt;=COUNTA(半紙!$B$11:$B$310)+COUNTA(条幅!$B$11:$B$310),INDEX(条幅!$J$11:$J$310,120-COUNTA(半紙!$B$11:$B$310)),IF(120&lt;=COUNTA(半紙!$B$11:$B$310)+COUNTA(条幅!$B$11:$B$310)+COUNTA(条幅4分の1!$B$11:$B$310),INDEX(条幅4分の1!$J$11:$J$310,120-COUNTA(半紙!$B$11:$B$310)-COUNTA(条幅!$B$11:$B$310)),"")))=0,"",IF(120&lt;=COUNTA(半紙!$B$11:$B$310),INDEX(半紙!$J$11:$J$310,120),IF(120&lt;=COUNTA(半紙!$B$11:$B$310)+COUNTA(条幅!$B$11:$B$310),INDEX(条幅!$J$11:$J$310,120-COUNTA(半紙!$B$11:$B$310)),IF(120&lt;=COUNTA(半紙!$B$11:$B$310)+COUNTA(条幅!$B$11:$B$310)+COUNTA(条幅4分の1!$B$11:$B$310),INDEX(条幅4分の1!$J$11:$J$310,120-COUNTA(半紙!$B$11:$B$310)-COUNTA(条幅!$B$11:$B$310)),""))))</f>
        <v/>
      </c>
      <c r="K125" s="38" t="str">
        <f>IF(IF(120&lt;=COUNTA(半紙!$B$11:$B$310),INDEX(半紙!$K$11:$K$310,120),IF(120&lt;=COUNTA(半紙!$B$11:$B$310)+COUNTA(条幅!$B$11:$B$310),INDEX(条幅!$K$11:$K$310,120-COUNTA(半紙!$B$11:$B$310)),IF(120&lt;=COUNTA(半紙!$B$11:$B$310)+COUNTA(条幅!$B$11:$B$310)+COUNTA(条幅4分の1!$B$11:$B$310),INDEX(条幅4分の1!$K$11:$K$310,120-COUNTA(半紙!$B$11:$B$310)-COUNTA(条幅!$B$11:$B$310)),"")))=0,"",IF(120&lt;=COUNTA(半紙!$B$11:$B$310),INDEX(半紙!$K$11:$K$310,120),IF(120&lt;=COUNTA(半紙!$B$11:$B$310)+COUNTA(条幅!$B$11:$B$310),INDEX(条幅!$K$11:$K$310,120-COUNTA(半紙!$B$11:$B$310)),IF(120&lt;=COUNTA(半紙!$B$11:$B$310)+COUNTA(条幅!$B$11:$B$310)+COUNTA(条幅4分の1!$B$11:$B$310),INDEX(条幅4分の1!$K$11:$K$310,120-COUNTA(半紙!$B$11:$B$310)-COUNTA(条幅!$B$11:$B$310)),""))))</f>
        <v/>
      </c>
      <c r="L125" s="48" t="str">
        <f>IF($B125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120))</f>
        <v/>
      </c>
    </row>
    <row r="126" spans="1:12" ht="15" customHeight="1">
      <c r="A126" s="37" t="str">
        <f>IF(121&lt;=COUNTA(半紙!$B$11:$B$310),"半紙",IF(121&lt;=COUNTA(半紙!$B$11:$B$310)+COUNTA(条幅!$B$11:$B$310),"条幅(半切)",IF(121&lt;=COUNTA(半紙!$B$11:$B$310)+COUNTA(条幅!$B$11:$B$310)+COUNTA(条幅4分の1!$B$11:$B$310),"条幅(1/4)","")))</f>
        <v/>
      </c>
      <c r="B126" s="38" t="str">
        <f>IF(IF(121&lt;=COUNTA(半紙!$B$11:$B$310),INDEX(半紙!$B$11:$B$310,121),IF(121&lt;=COUNTA(半紙!$B$11:$B$310)+COUNTA(条幅!$B$11:$B$310),INDEX(条幅!$B$11:$B$310,121-COUNTA(半紙!$B$11:$B$310)),IF(121&lt;=COUNTA(半紙!$B$11:$B$310)+COUNTA(条幅!$B$11:$B$310)+COUNTA(条幅4分の1!$B$11:$B$310),INDEX(条幅4分の1!$B$11:$B$310,121-COUNTA(半紙!$B$11:$B$310)-COUNTA(条幅!$B$11:$B$310)),"")))=0,"",IF(121&lt;=COUNTA(半紙!$B$11:$B$310),INDEX(半紙!$B$11:$B$310,121),IF(121&lt;=COUNTA(半紙!$B$11:$B$310)+COUNTA(条幅!$B$11:$B$310),INDEX(条幅!$B$11:$B$310,121-COUNTA(半紙!$B$11:$B$310)),IF(121&lt;=COUNTA(半紙!$B$11:$B$310)+COUNTA(条幅!$B$11:$B$310)+COUNTA(条幅4分の1!$B$11:$B$310),INDEX(条幅4分の1!$B$11:$B$310,121-COUNTA(半紙!$B$11:$B$310)-COUNTA(条幅!$B$11:$B$310)),""))))</f>
        <v/>
      </c>
      <c r="C126" s="38" t="str">
        <f>IF(IF(121&lt;=COUNTA(半紙!$B$11:$B$310),INDEX(半紙!$C$11:$C$310,121),IF(121&lt;=COUNTA(半紙!$B$11:$B$310)+COUNTA(条幅!$B$11:$B$310),INDEX(条幅!$C$11:$C$310,121-COUNTA(半紙!$B$11:$B$310)),IF(121&lt;=COUNTA(半紙!$B$11:$B$310)+COUNTA(条幅!$B$11:$B$310)+COUNTA(条幅4分の1!$B$11:$B$310),INDEX(条幅4分の1!$C$11:$C$310,121-COUNTA(半紙!$B$11:$B$310)-COUNTA(条幅!$B$11:$B$310)),"")))=0,"",IF(121&lt;=COUNTA(半紙!$B$11:$B$310),INDEX(半紙!$C$11:$C$310,121),IF(121&lt;=COUNTA(半紙!$B$11:$B$310)+COUNTA(条幅!$B$11:$B$310),INDEX(条幅!$C$11:$C$310,121-COUNTA(半紙!$B$11:$B$310)),IF(121&lt;=COUNTA(半紙!$B$11:$B$310)+COUNTA(条幅!$B$11:$B$310)+COUNTA(条幅4分の1!$B$11:$B$310),INDEX(条幅4分の1!$C$11:$C$310,121-COUNTA(半紙!$B$11:$B$310)-COUNTA(条幅!$B$11:$B$310)),""))))</f>
        <v/>
      </c>
      <c r="D126" s="38" t="str">
        <f>IF(IF(121&lt;=COUNTA(半紙!$B$11:$B$310),INDEX(半紙!$D$11:$D$310,121),IF(121&lt;=COUNTA(半紙!$B$11:$B$310)+COUNTA(条幅!$B$11:$B$310),INDEX(条幅!$D$11:$D$310,121-COUNTA(半紙!$B$11:$B$310)),IF(121&lt;=COUNTA(半紙!$B$11:$B$310)+COUNTA(条幅!$B$11:$B$310)+COUNTA(条幅4分の1!$B$11:$B$310),INDEX(条幅4分の1!$D$11:$D$310,121-COUNTA(半紙!$B$11:$B$310)-COUNTA(条幅!$B$11:$B$310)),"")))=0,"",IF(121&lt;=COUNTA(半紙!$B$11:$B$310),INDEX(半紙!$D$11:$D$310,121),IF(121&lt;=COUNTA(半紙!$B$11:$B$310)+COUNTA(条幅!$B$11:$B$310),INDEX(条幅!$D$11:$D$310,121-COUNTA(半紙!$B$11:$B$310)),IF(121&lt;=COUNTA(半紙!$B$11:$B$310)+COUNTA(条幅!$B$11:$B$310)+COUNTA(条幅4分の1!$B$11:$B$310),INDEX(条幅4分の1!$D$11:$D$310,121-COUNTA(半紙!$B$11:$B$310)-COUNTA(条幅!$B$11:$B$310)),""))))</f>
        <v/>
      </c>
      <c r="E126" s="38" t="str">
        <f>IF(IF(121&lt;=COUNTA(半紙!$B$11:$B$310),INDEX(半紙!$E$11:$E$310,121),IF(121&lt;=COUNTA(半紙!$B$11:$B$310)+COUNTA(条幅!$B$11:$B$310),INDEX(条幅!$E$11:$E$310,121-COUNTA(半紙!$B$11:$B$310)),IF(121&lt;=COUNTA(半紙!$B$11:$B$310)+COUNTA(条幅!$B$11:$B$310)+COUNTA(条幅4分の1!$B$11:$B$310),INDEX(条幅4分の1!$E$11:$E$310,121-COUNTA(半紙!$B$11:$B$310)-COUNTA(条幅!$B$11:$B$310)),"")))=0,"",IF(121&lt;=COUNTA(半紙!$B$11:$B$310),INDEX(半紙!$E$11:$E$310,121),IF(121&lt;=COUNTA(半紙!$B$11:$B$310)+COUNTA(条幅!$B$11:$B$310),INDEX(条幅!$E$11:$E$310,121-COUNTA(半紙!$B$11:$B$310)),IF(121&lt;=COUNTA(半紙!$B$11:$B$310)+COUNTA(条幅!$B$11:$B$310)+COUNTA(条幅4分の1!$B$11:$B$310),INDEX(条幅4分の1!$E$11:$E$310,121-COUNTA(半紙!$B$11:$B$310)-COUNTA(条幅!$B$11:$B$310)),""))))</f>
        <v/>
      </c>
      <c r="F126" s="38" t="str">
        <f>IF(IF(121&lt;=COUNTA(半紙!$B$11:$B$310),INDEX(半紙!$F$11:$F$310,121),IF(121&lt;=COUNTA(半紙!$B$11:$B$310)+COUNTA(条幅!$B$11:$B$310),INDEX(条幅!$F$11:$F$310,121-COUNTA(半紙!$B$11:$B$310)),IF(121&lt;=COUNTA(半紙!$B$11:$B$310)+COUNTA(条幅!$B$11:$B$310)+COUNTA(条幅4分の1!$B$11:$B$310),INDEX(条幅4分の1!$F$11:$F$310,121-COUNTA(半紙!$B$11:$B$310)-COUNTA(条幅!$B$11:$B$310)),"")))=0,"",IF(121&lt;=COUNTA(半紙!$B$11:$B$310),INDEX(半紙!$F$11:$F$310,121),IF(121&lt;=COUNTA(半紙!$B$11:$B$310)+COUNTA(条幅!$B$11:$B$310),INDEX(条幅!$F$11:$F$310,121-COUNTA(半紙!$B$11:$B$310)),IF(121&lt;=COUNTA(半紙!$B$11:$B$310)+COUNTA(条幅!$B$11:$B$310)+COUNTA(条幅4分の1!$B$11:$B$310),INDEX(条幅4分の1!$F$11:$F$310,121-COUNTA(半紙!$B$11:$B$310)-COUNTA(条幅!$B$11:$B$310)),""))))</f>
        <v/>
      </c>
      <c r="G126" s="38" t="str">
        <f>IF(IF(121&lt;=COUNTA(半紙!$B$11:$B$310),INDEX(半紙!$G$11:$G$310,121),IF(121&lt;=COUNTA(半紙!$B$11:$B$310)+COUNTA(条幅!$B$11:$B$310),INDEX(条幅!$G$11:$G$310,121-COUNTA(半紙!$B$11:$B$310)),IF(121&lt;=COUNTA(半紙!$B$11:$B$310)+COUNTA(条幅!$B$11:$B$310)+COUNTA(条幅4分の1!$B$11:$B$310),INDEX(条幅4分の1!$G$11:$G$310,121-COUNTA(半紙!$B$11:$B$310)-COUNTA(条幅!$B$11:$B$310)),"")))=0,"",IF(121&lt;=COUNTA(半紙!$B$11:$B$310),INDEX(半紙!$G$11:$G$310,121),IF(121&lt;=COUNTA(半紙!$B$11:$B$310)+COUNTA(条幅!$B$11:$B$310),INDEX(条幅!$G$11:$G$310,121-COUNTA(半紙!$B$11:$B$310)),IF(121&lt;=COUNTA(半紙!$B$11:$B$310)+COUNTA(条幅!$B$11:$B$310)+COUNTA(条幅4分の1!$B$11:$B$310),INDEX(条幅4分の1!$G$11:$G$310,121-COUNTA(半紙!$B$11:$B$310)-COUNTA(条幅!$B$11:$B$310)),""))))</f>
        <v/>
      </c>
      <c r="H126" s="38" t="str">
        <f>IF(IF(121&lt;=COUNTA(半紙!$B$11:$B$310),INDEX(半紙!$H$11:$H$310,121),IF(121&lt;=COUNTA(半紙!$B$11:$B$310)+COUNTA(条幅!$B$11:$B$310),INDEX(条幅!$H$11:$H$310,121-COUNTA(半紙!$B$11:$B$310)),IF(121&lt;=COUNTA(半紙!$B$11:$B$310)+COUNTA(条幅!$B$11:$B$310)+COUNTA(条幅4分の1!$B$11:$B$310),INDEX(条幅4分の1!$H$11:$H$310,121-COUNTA(半紙!$B$11:$B$310)-COUNTA(条幅!$B$11:$B$310)),"")))=0,"",IF(121&lt;=COUNTA(半紙!$B$11:$B$310),INDEX(半紙!$H$11:$H$310,121),IF(121&lt;=COUNTA(半紙!$B$11:$B$310)+COUNTA(条幅!$B$11:$B$310),INDEX(条幅!$H$11:$H$310,121-COUNTA(半紙!$B$11:$B$310)),IF(121&lt;=COUNTA(半紙!$B$11:$B$310)+COUNTA(条幅!$B$11:$B$310)+COUNTA(条幅4分の1!$B$11:$B$310),INDEX(条幅4分の1!$H$11:$H$310,121-COUNTA(半紙!$B$11:$B$310)-COUNTA(条幅!$B$11:$B$310)),""))))</f>
        <v/>
      </c>
      <c r="I126" s="38" t="str">
        <f>IF(IF(121&lt;=COUNTA(半紙!$B$11:$B$310),INDEX(半紙!$I$11:$I$310,121),IF(121&lt;=COUNTA(半紙!$B$11:$B$310)+COUNTA(条幅!$B$11:$B$310),INDEX(条幅!$I$11:$I$310,121-COUNTA(半紙!$B$11:$B$310)),IF(121&lt;=COUNTA(半紙!$B$11:$B$310)+COUNTA(条幅!$B$11:$B$310)+COUNTA(条幅4分の1!$B$11:$B$310),INDEX(条幅4分の1!$I$11:$I$310,121-COUNTA(半紙!$B$11:$B$310)-COUNTA(条幅!$B$11:$B$310)),"")))=0,"",IF(121&lt;=COUNTA(半紙!$B$11:$B$310),INDEX(半紙!$I$11:$I$310,121),IF(121&lt;=COUNTA(半紙!$B$11:$B$310)+COUNTA(条幅!$B$11:$B$310),INDEX(条幅!$I$11:$I$310,121-COUNTA(半紙!$B$11:$B$310)),IF(121&lt;=COUNTA(半紙!$B$11:$B$310)+COUNTA(条幅!$B$11:$B$310)+COUNTA(条幅4分の1!$B$11:$B$310),INDEX(条幅4分の1!$I$11:$I$310,121-COUNTA(半紙!$B$11:$B$310)-COUNTA(条幅!$B$11:$B$310)),""))))</f>
        <v/>
      </c>
      <c r="J126" s="38" t="str">
        <f>IF(IF(121&lt;=COUNTA(半紙!$B$11:$B$310),INDEX(半紙!$J$11:$J$310,121),IF(121&lt;=COUNTA(半紙!$B$11:$B$310)+COUNTA(条幅!$B$11:$B$310),INDEX(条幅!$J$11:$J$310,121-COUNTA(半紙!$B$11:$B$310)),IF(121&lt;=COUNTA(半紙!$B$11:$B$310)+COUNTA(条幅!$B$11:$B$310)+COUNTA(条幅4分の1!$B$11:$B$310),INDEX(条幅4分の1!$J$11:$J$310,121-COUNTA(半紙!$B$11:$B$310)-COUNTA(条幅!$B$11:$B$310)),"")))=0,"",IF(121&lt;=COUNTA(半紙!$B$11:$B$310),INDEX(半紙!$J$11:$J$310,121),IF(121&lt;=COUNTA(半紙!$B$11:$B$310)+COUNTA(条幅!$B$11:$B$310),INDEX(条幅!$J$11:$J$310,121-COUNTA(半紙!$B$11:$B$310)),IF(121&lt;=COUNTA(半紙!$B$11:$B$310)+COUNTA(条幅!$B$11:$B$310)+COUNTA(条幅4分の1!$B$11:$B$310),INDEX(条幅4分の1!$J$11:$J$310,121-COUNTA(半紙!$B$11:$B$310)-COUNTA(条幅!$B$11:$B$310)),""))))</f>
        <v/>
      </c>
      <c r="K126" s="38" t="str">
        <f>IF(IF(121&lt;=COUNTA(半紙!$B$11:$B$310),INDEX(半紙!$K$11:$K$310,121),IF(121&lt;=COUNTA(半紙!$B$11:$B$310)+COUNTA(条幅!$B$11:$B$310),INDEX(条幅!$K$11:$K$310,121-COUNTA(半紙!$B$11:$B$310)),IF(121&lt;=COUNTA(半紙!$B$11:$B$310)+COUNTA(条幅!$B$11:$B$310)+COUNTA(条幅4分の1!$B$11:$B$310),INDEX(条幅4分の1!$K$11:$K$310,121-COUNTA(半紙!$B$11:$B$310)-COUNTA(条幅!$B$11:$B$310)),"")))=0,"",IF(121&lt;=COUNTA(半紙!$B$11:$B$310),INDEX(半紙!$K$11:$K$310,121),IF(121&lt;=COUNTA(半紙!$B$11:$B$310)+COUNTA(条幅!$B$11:$B$310),INDEX(条幅!$K$11:$K$310,121-COUNTA(半紙!$B$11:$B$310)),IF(121&lt;=COUNTA(半紙!$B$11:$B$310)+COUNTA(条幅!$B$11:$B$310)+COUNTA(条幅4分の1!$B$11:$B$310),INDEX(条幅4分の1!$K$11:$K$310,121-COUNTA(半紙!$B$11:$B$310)-COUNTA(条幅!$B$11:$B$310)),""))))</f>
        <v/>
      </c>
      <c r="L126" s="48" t="str">
        <f>IF($B126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121))</f>
        <v/>
      </c>
    </row>
    <row r="127" spans="1:12" ht="15" customHeight="1">
      <c r="A127" s="37" t="str">
        <f>IF(122&lt;=COUNTA(半紙!$B$11:$B$310),"半紙",IF(122&lt;=COUNTA(半紙!$B$11:$B$310)+COUNTA(条幅!$B$11:$B$310),"条幅(半切)",IF(122&lt;=COUNTA(半紙!$B$11:$B$310)+COUNTA(条幅!$B$11:$B$310)+COUNTA(条幅4分の1!$B$11:$B$310),"条幅(1/4)","")))</f>
        <v/>
      </c>
      <c r="B127" s="38" t="str">
        <f>IF(IF(122&lt;=COUNTA(半紙!$B$11:$B$310),INDEX(半紙!$B$11:$B$310,122),IF(122&lt;=COUNTA(半紙!$B$11:$B$310)+COUNTA(条幅!$B$11:$B$310),INDEX(条幅!$B$11:$B$310,122-COUNTA(半紙!$B$11:$B$310)),IF(122&lt;=COUNTA(半紙!$B$11:$B$310)+COUNTA(条幅!$B$11:$B$310)+COUNTA(条幅4分の1!$B$11:$B$310),INDEX(条幅4分の1!$B$11:$B$310,122-COUNTA(半紙!$B$11:$B$310)-COUNTA(条幅!$B$11:$B$310)),"")))=0,"",IF(122&lt;=COUNTA(半紙!$B$11:$B$310),INDEX(半紙!$B$11:$B$310,122),IF(122&lt;=COUNTA(半紙!$B$11:$B$310)+COUNTA(条幅!$B$11:$B$310),INDEX(条幅!$B$11:$B$310,122-COUNTA(半紙!$B$11:$B$310)),IF(122&lt;=COUNTA(半紙!$B$11:$B$310)+COUNTA(条幅!$B$11:$B$310)+COUNTA(条幅4分の1!$B$11:$B$310),INDEX(条幅4分の1!$B$11:$B$310,122-COUNTA(半紙!$B$11:$B$310)-COUNTA(条幅!$B$11:$B$310)),""))))</f>
        <v/>
      </c>
      <c r="C127" s="38" t="str">
        <f>IF(IF(122&lt;=COUNTA(半紙!$B$11:$B$310),INDEX(半紙!$C$11:$C$310,122),IF(122&lt;=COUNTA(半紙!$B$11:$B$310)+COUNTA(条幅!$B$11:$B$310),INDEX(条幅!$C$11:$C$310,122-COUNTA(半紙!$B$11:$B$310)),IF(122&lt;=COUNTA(半紙!$B$11:$B$310)+COUNTA(条幅!$B$11:$B$310)+COUNTA(条幅4分の1!$B$11:$B$310),INDEX(条幅4分の1!$C$11:$C$310,122-COUNTA(半紙!$B$11:$B$310)-COUNTA(条幅!$B$11:$B$310)),"")))=0,"",IF(122&lt;=COUNTA(半紙!$B$11:$B$310),INDEX(半紙!$C$11:$C$310,122),IF(122&lt;=COUNTA(半紙!$B$11:$B$310)+COUNTA(条幅!$B$11:$B$310),INDEX(条幅!$C$11:$C$310,122-COUNTA(半紙!$B$11:$B$310)),IF(122&lt;=COUNTA(半紙!$B$11:$B$310)+COUNTA(条幅!$B$11:$B$310)+COUNTA(条幅4分の1!$B$11:$B$310),INDEX(条幅4分の1!$C$11:$C$310,122-COUNTA(半紙!$B$11:$B$310)-COUNTA(条幅!$B$11:$B$310)),""))))</f>
        <v/>
      </c>
      <c r="D127" s="38" t="str">
        <f>IF(IF(122&lt;=COUNTA(半紙!$B$11:$B$310),INDEX(半紙!$D$11:$D$310,122),IF(122&lt;=COUNTA(半紙!$B$11:$B$310)+COUNTA(条幅!$B$11:$B$310),INDEX(条幅!$D$11:$D$310,122-COUNTA(半紙!$B$11:$B$310)),IF(122&lt;=COUNTA(半紙!$B$11:$B$310)+COUNTA(条幅!$B$11:$B$310)+COUNTA(条幅4分の1!$B$11:$B$310),INDEX(条幅4分の1!$D$11:$D$310,122-COUNTA(半紙!$B$11:$B$310)-COUNTA(条幅!$B$11:$B$310)),"")))=0,"",IF(122&lt;=COUNTA(半紙!$B$11:$B$310),INDEX(半紙!$D$11:$D$310,122),IF(122&lt;=COUNTA(半紙!$B$11:$B$310)+COUNTA(条幅!$B$11:$B$310),INDEX(条幅!$D$11:$D$310,122-COUNTA(半紙!$B$11:$B$310)),IF(122&lt;=COUNTA(半紙!$B$11:$B$310)+COUNTA(条幅!$B$11:$B$310)+COUNTA(条幅4分の1!$B$11:$B$310),INDEX(条幅4分の1!$D$11:$D$310,122-COUNTA(半紙!$B$11:$B$310)-COUNTA(条幅!$B$11:$B$310)),""))))</f>
        <v/>
      </c>
      <c r="E127" s="38" t="str">
        <f>IF(IF(122&lt;=COUNTA(半紙!$B$11:$B$310),INDEX(半紙!$E$11:$E$310,122),IF(122&lt;=COUNTA(半紙!$B$11:$B$310)+COUNTA(条幅!$B$11:$B$310),INDEX(条幅!$E$11:$E$310,122-COUNTA(半紙!$B$11:$B$310)),IF(122&lt;=COUNTA(半紙!$B$11:$B$310)+COUNTA(条幅!$B$11:$B$310)+COUNTA(条幅4分の1!$B$11:$B$310),INDEX(条幅4分の1!$E$11:$E$310,122-COUNTA(半紙!$B$11:$B$310)-COUNTA(条幅!$B$11:$B$310)),"")))=0,"",IF(122&lt;=COUNTA(半紙!$B$11:$B$310),INDEX(半紙!$E$11:$E$310,122),IF(122&lt;=COUNTA(半紙!$B$11:$B$310)+COUNTA(条幅!$B$11:$B$310),INDEX(条幅!$E$11:$E$310,122-COUNTA(半紙!$B$11:$B$310)),IF(122&lt;=COUNTA(半紙!$B$11:$B$310)+COUNTA(条幅!$B$11:$B$310)+COUNTA(条幅4分の1!$B$11:$B$310),INDEX(条幅4分の1!$E$11:$E$310,122-COUNTA(半紙!$B$11:$B$310)-COUNTA(条幅!$B$11:$B$310)),""))))</f>
        <v/>
      </c>
      <c r="F127" s="38" t="str">
        <f>IF(IF(122&lt;=COUNTA(半紙!$B$11:$B$310),INDEX(半紙!$F$11:$F$310,122),IF(122&lt;=COUNTA(半紙!$B$11:$B$310)+COUNTA(条幅!$B$11:$B$310),INDEX(条幅!$F$11:$F$310,122-COUNTA(半紙!$B$11:$B$310)),IF(122&lt;=COUNTA(半紙!$B$11:$B$310)+COUNTA(条幅!$B$11:$B$310)+COUNTA(条幅4分の1!$B$11:$B$310),INDEX(条幅4分の1!$F$11:$F$310,122-COUNTA(半紙!$B$11:$B$310)-COUNTA(条幅!$B$11:$B$310)),"")))=0,"",IF(122&lt;=COUNTA(半紙!$B$11:$B$310),INDEX(半紙!$F$11:$F$310,122),IF(122&lt;=COUNTA(半紙!$B$11:$B$310)+COUNTA(条幅!$B$11:$B$310),INDEX(条幅!$F$11:$F$310,122-COUNTA(半紙!$B$11:$B$310)),IF(122&lt;=COUNTA(半紙!$B$11:$B$310)+COUNTA(条幅!$B$11:$B$310)+COUNTA(条幅4分の1!$B$11:$B$310),INDEX(条幅4分の1!$F$11:$F$310,122-COUNTA(半紙!$B$11:$B$310)-COUNTA(条幅!$B$11:$B$310)),""))))</f>
        <v/>
      </c>
      <c r="G127" s="38" t="str">
        <f>IF(IF(122&lt;=COUNTA(半紙!$B$11:$B$310),INDEX(半紙!$G$11:$G$310,122),IF(122&lt;=COUNTA(半紙!$B$11:$B$310)+COUNTA(条幅!$B$11:$B$310),INDEX(条幅!$G$11:$G$310,122-COUNTA(半紙!$B$11:$B$310)),IF(122&lt;=COUNTA(半紙!$B$11:$B$310)+COUNTA(条幅!$B$11:$B$310)+COUNTA(条幅4分の1!$B$11:$B$310),INDEX(条幅4分の1!$G$11:$G$310,122-COUNTA(半紙!$B$11:$B$310)-COUNTA(条幅!$B$11:$B$310)),"")))=0,"",IF(122&lt;=COUNTA(半紙!$B$11:$B$310),INDEX(半紙!$G$11:$G$310,122),IF(122&lt;=COUNTA(半紙!$B$11:$B$310)+COUNTA(条幅!$B$11:$B$310),INDEX(条幅!$G$11:$G$310,122-COUNTA(半紙!$B$11:$B$310)),IF(122&lt;=COUNTA(半紙!$B$11:$B$310)+COUNTA(条幅!$B$11:$B$310)+COUNTA(条幅4分の1!$B$11:$B$310),INDEX(条幅4分の1!$G$11:$G$310,122-COUNTA(半紙!$B$11:$B$310)-COUNTA(条幅!$B$11:$B$310)),""))))</f>
        <v/>
      </c>
      <c r="H127" s="38" t="str">
        <f>IF(IF(122&lt;=COUNTA(半紙!$B$11:$B$310),INDEX(半紙!$H$11:$H$310,122),IF(122&lt;=COUNTA(半紙!$B$11:$B$310)+COUNTA(条幅!$B$11:$B$310),INDEX(条幅!$H$11:$H$310,122-COUNTA(半紙!$B$11:$B$310)),IF(122&lt;=COUNTA(半紙!$B$11:$B$310)+COUNTA(条幅!$B$11:$B$310)+COUNTA(条幅4分の1!$B$11:$B$310),INDEX(条幅4分の1!$H$11:$H$310,122-COUNTA(半紙!$B$11:$B$310)-COUNTA(条幅!$B$11:$B$310)),"")))=0,"",IF(122&lt;=COUNTA(半紙!$B$11:$B$310),INDEX(半紙!$H$11:$H$310,122),IF(122&lt;=COUNTA(半紙!$B$11:$B$310)+COUNTA(条幅!$B$11:$B$310),INDEX(条幅!$H$11:$H$310,122-COUNTA(半紙!$B$11:$B$310)),IF(122&lt;=COUNTA(半紙!$B$11:$B$310)+COUNTA(条幅!$B$11:$B$310)+COUNTA(条幅4分の1!$B$11:$B$310),INDEX(条幅4分の1!$H$11:$H$310,122-COUNTA(半紙!$B$11:$B$310)-COUNTA(条幅!$B$11:$B$310)),""))))</f>
        <v/>
      </c>
      <c r="I127" s="38" t="str">
        <f>IF(IF(122&lt;=COUNTA(半紙!$B$11:$B$310),INDEX(半紙!$I$11:$I$310,122),IF(122&lt;=COUNTA(半紙!$B$11:$B$310)+COUNTA(条幅!$B$11:$B$310),INDEX(条幅!$I$11:$I$310,122-COUNTA(半紙!$B$11:$B$310)),IF(122&lt;=COUNTA(半紙!$B$11:$B$310)+COUNTA(条幅!$B$11:$B$310)+COUNTA(条幅4分の1!$B$11:$B$310),INDEX(条幅4分の1!$I$11:$I$310,122-COUNTA(半紙!$B$11:$B$310)-COUNTA(条幅!$B$11:$B$310)),"")))=0,"",IF(122&lt;=COUNTA(半紙!$B$11:$B$310),INDEX(半紙!$I$11:$I$310,122),IF(122&lt;=COUNTA(半紙!$B$11:$B$310)+COUNTA(条幅!$B$11:$B$310),INDEX(条幅!$I$11:$I$310,122-COUNTA(半紙!$B$11:$B$310)),IF(122&lt;=COUNTA(半紙!$B$11:$B$310)+COUNTA(条幅!$B$11:$B$310)+COUNTA(条幅4分の1!$B$11:$B$310),INDEX(条幅4分の1!$I$11:$I$310,122-COUNTA(半紙!$B$11:$B$310)-COUNTA(条幅!$B$11:$B$310)),""))))</f>
        <v/>
      </c>
      <c r="J127" s="38" t="str">
        <f>IF(IF(122&lt;=COUNTA(半紙!$B$11:$B$310),INDEX(半紙!$J$11:$J$310,122),IF(122&lt;=COUNTA(半紙!$B$11:$B$310)+COUNTA(条幅!$B$11:$B$310),INDEX(条幅!$J$11:$J$310,122-COUNTA(半紙!$B$11:$B$310)),IF(122&lt;=COUNTA(半紙!$B$11:$B$310)+COUNTA(条幅!$B$11:$B$310)+COUNTA(条幅4分の1!$B$11:$B$310),INDEX(条幅4分の1!$J$11:$J$310,122-COUNTA(半紙!$B$11:$B$310)-COUNTA(条幅!$B$11:$B$310)),"")))=0,"",IF(122&lt;=COUNTA(半紙!$B$11:$B$310),INDEX(半紙!$J$11:$J$310,122),IF(122&lt;=COUNTA(半紙!$B$11:$B$310)+COUNTA(条幅!$B$11:$B$310),INDEX(条幅!$J$11:$J$310,122-COUNTA(半紙!$B$11:$B$310)),IF(122&lt;=COUNTA(半紙!$B$11:$B$310)+COUNTA(条幅!$B$11:$B$310)+COUNTA(条幅4分の1!$B$11:$B$310),INDEX(条幅4分の1!$J$11:$J$310,122-COUNTA(半紙!$B$11:$B$310)-COUNTA(条幅!$B$11:$B$310)),""))))</f>
        <v/>
      </c>
      <c r="K127" s="38" t="str">
        <f>IF(IF(122&lt;=COUNTA(半紙!$B$11:$B$310),INDEX(半紙!$K$11:$K$310,122),IF(122&lt;=COUNTA(半紙!$B$11:$B$310)+COUNTA(条幅!$B$11:$B$310),INDEX(条幅!$K$11:$K$310,122-COUNTA(半紙!$B$11:$B$310)),IF(122&lt;=COUNTA(半紙!$B$11:$B$310)+COUNTA(条幅!$B$11:$B$310)+COUNTA(条幅4分の1!$B$11:$B$310),INDEX(条幅4分の1!$K$11:$K$310,122-COUNTA(半紙!$B$11:$B$310)-COUNTA(条幅!$B$11:$B$310)),"")))=0,"",IF(122&lt;=COUNTA(半紙!$B$11:$B$310),INDEX(半紙!$K$11:$K$310,122),IF(122&lt;=COUNTA(半紙!$B$11:$B$310)+COUNTA(条幅!$B$11:$B$310),INDEX(条幅!$K$11:$K$310,122-COUNTA(半紙!$B$11:$B$310)),IF(122&lt;=COUNTA(半紙!$B$11:$B$310)+COUNTA(条幅!$B$11:$B$310)+COUNTA(条幅4分の1!$B$11:$B$310),INDEX(条幅4分の1!$K$11:$K$310,122-COUNTA(半紙!$B$11:$B$310)-COUNTA(条幅!$B$11:$B$310)),""))))</f>
        <v/>
      </c>
      <c r="L127" s="48" t="str">
        <f>IF($B127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122))</f>
        <v/>
      </c>
    </row>
    <row r="128" spans="1:12" ht="15" customHeight="1">
      <c r="A128" s="37" t="str">
        <f>IF(123&lt;=COUNTA(半紙!$B$11:$B$310),"半紙",IF(123&lt;=COUNTA(半紙!$B$11:$B$310)+COUNTA(条幅!$B$11:$B$310),"条幅(半切)",IF(123&lt;=COUNTA(半紙!$B$11:$B$310)+COUNTA(条幅!$B$11:$B$310)+COUNTA(条幅4分の1!$B$11:$B$310),"条幅(1/4)","")))</f>
        <v/>
      </c>
      <c r="B128" s="38" t="str">
        <f>IF(IF(123&lt;=COUNTA(半紙!$B$11:$B$310),INDEX(半紙!$B$11:$B$310,123),IF(123&lt;=COUNTA(半紙!$B$11:$B$310)+COUNTA(条幅!$B$11:$B$310),INDEX(条幅!$B$11:$B$310,123-COUNTA(半紙!$B$11:$B$310)),IF(123&lt;=COUNTA(半紙!$B$11:$B$310)+COUNTA(条幅!$B$11:$B$310)+COUNTA(条幅4分の1!$B$11:$B$310),INDEX(条幅4分の1!$B$11:$B$310,123-COUNTA(半紙!$B$11:$B$310)-COUNTA(条幅!$B$11:$B$310)),"")))=0,"",IF(123&lt;=COUNTA(半紙!$B$11:$B$310),INDEX(半紙!$B$11:$B$310,123),IF(123&lt;=COUNTA(半紙!$B$11:$B$310)+COUNTA(条幅!$B$11:$B$310),INDEX(条幅!$B$11:$B$310,123-COUNTA(半紙!$B$11:$B$310)),IF(123&lt;=COUNTA(半紙!$B$11:$B$310)+COUNTA(条幅!$B$11:$B$310)+COUNTA(条幅4分の1!$B$11:$B$310),INDEX(条幅4分の1!$B$11:$B$310,123-COUNTA(半紙!$B$11:$B$310)-COUNTA(条幅!$B$11:$B$310)),""))))</f>
        <v/>
      </c>
      <c r="C128" s="38" t="str">
        <f>IF(IF(123&lt;=COUNTA(半紙!$B$11:$B$310),INDEX(半紙!$C$11:$C$310,123),IF(123&lt;=COUNTA(半紙!$B$11:$B$310)+COUNTA(条幅!$B$11:$B$310),INDEX(条幅!$C$11:$C$310,123-COUNTA(半紙!$B$11:$B$310)),IF(123&lt;=COUNTA(半紙!$B$11:$B$310)+COUNTA(条幅!$B$11:$B$310)+COUNTA(条幅4分の1!$B$11:$B$310),INDEX(条幅4分の1!$C$11:$C$310,123-COUNTA(半紙!$B$11:$B$310)-COUNTA(条幅!$B$11:$B$310)),"")))=0,"",IF(123&lt;=COUNTA(半紙!$B$11:$B$310),INDEX(半紙!$C$11:$C$310,123),IF(123&lt;=COUNTA(半紙!$B$11:$B$310)+COUNTA(条幅!$B$11:$B$310),INDEX(条幅!$C$11:$C$310,123-COUNTA(半紙!$B$11:$B$310)),IF(123&lt;=COUNTA(半紙!$B$11:$B$310)+COUNTA(条幅!$B$11:$B$310)+COUNTA(条幅4分の1!$B$11:$B$310),INDEX(条幅4分の1!$C$11:$C$310,123-COUNTA(半紙!$B$11:$B$310)-COUNTA(条幅!$B$11:$B$310)),""))))</f>
        <v/>
      </c>
      <c r="D128" s="38" t="str">
        <f>IF(IF(123&lt;=COUNTA(半紙!$B$11:$B$310),INDEX(半紙!$D$11:$D$310,123),IF(123&lt;=COUNTA(半紙!$B$11:$B$310)+COUNTA(条幅!$B$11:$B$310),INDEX(条幅!$D$11:$D$310,123-COUNTA(半紙!$B$11:$B$310)),IF(123&lt;=COUNTA(半紙!$B$11:$B$310)+COUNTA(条幅!$B$11:$B$310)+COUNTA(条幅4分の1!$B$11:$B$310),INDEX(条幅4分の1!$D$11:$D$310,123-COUNTA(半紙!$B$11:$B$310)-COUNTA(条幅!$B$11:$B$310)),"")))=0,"",IF(123&lt;=COUNTA(半紙!$B$11:$B$310),INDEX(半紙!$D$11:$D$310,123),IF(123&lt;=COUNTA(半紙!$B$11:$B$310)+COUNTA(条幅!$B$11:$B$310),INDEX(条幅!$D$11:$D$310,123-COUNTA(半紙!$B$11:$B$310)),IF(123&lt;=COUNTA(半紙!$B$11:$B$310)+COUNTA(条幅!$B$11:$B$310)+COUNTA(条幅4分の1!$B$11:$B$310),INDEX(条幅4分の1!$D$11:$D$310,123-COUNTA(半紙!$B$11:$B$310)-COUNTA(条幅!$B$11:$B$310)),""))))</f>
        <v/>
      </c>
      <c r="E128" s="38" t="str">
        <f>IF(IF(123&lt;=COUNTA(半紙!$B$11:$B$310),INDEX(半紙!$E$11:$E$310,123),IF(123&lt;=COUNTA(半紙!$B$11:$B$310)+COUNTA(条幅!$B$11:$B$310),INDEX(条幅!$E$11:$E$310,123-COUNTA(半紙!$B$11:$B$310)),IF(123&lt;=COUNTA(半紙!$B$11:$B$310)+COUNTA(条幅!$B$11:$B$310)+COUNTA(条幅4分の1!$B$11:$B$310),INDEX(条幅4分の1!$E$11:$E$310,123-COUNTA(半紙!$B$11:$B$310)-COUNTA(条幅!$B$11:$B$310)),"")))=0,"",IF(123&lt;=COUNTA(半紙!$B$11:$B$310),INDEX(半紙!$E$11:$E$310,123),IF(123&lt;=COUNTA(半紙!$B$11:$B$310)+COUNTA(条幅!$B$11:$B$310),INDEX(条幅!$E$11:$E$310,123-COUNTA(半紙!$B$11:$B$310)),IF(123&lt;=COUNTA(半紙!$B$11:$B$310)+COUNTA(条幅!$B$11:$B$310)+COUNTA(条幅4分の1!$B$11:$B$310),INDEX(条幅4分の1!$E$11:$E$310,123-COUNTA(半紙!$B$11:$B$310)-COUNTA(条幅!$B$11:$B$310)),""))))</f>
        <v/>
      </c>
      <c r="F128" s="38" t="str">
        <f>IF(IF(123&lt;=COUNTA(半紙!$B$11:$B$310),INDEX(半紙!$F$11:$F$310,123),IF(123&lt;=COUNTA(半紙!$B$11:$B$310)+COUNTA(条幅!$B$11:$B$310),INDEX(条幅!$F$11:$F$310,123-COUNTA(半紙!$B$11:$B$310)),IF(123&lt;=COUNTA(半紙!$B$11:$B$310)+COUNTA(条幅!$B$11:$B$310)+COUNTA(条幅4分の1!$B$11:$B$310),INDEX(条幅4分の1!$F$11:$F$310,123-COUNTA(半紙!$B$11:$B$310)-COUNTA(条幅!$B$11:$B$310)),"")))=0,"",IF(123&lt;=COUNTA(半紙!$B$11:$B$310),INDEX(半紙!$F$11:$F$310,123),IF(123&lt;=COUNTA(半紙!$B$11:$B$310)+COUNTA(条幅!$B$11:$B$310),INDEX(条幅!$F$11:$F$310,123-COUNTA(半紙!$B$11:$B$310)),IF(123&lt;=COUNTA(半紙!$B$11:$B$310)+COUNTA(条幅!$B$11:$B$310)+COUNTA(条幅4分の1!$B$11:$B$310),INDEX(条幅4分の1!$F$11:$F$310,123-COUNTA(半紙!$B$11:$B$310)-COUNTA(条幅!$B$11:$B$310)),""))))</f>
        <v/>
      </c>
      <c r="G128" s="38" t="str">
        <f>IF(IF(123&lt;=COUNTA(半紙!$B$11:$B$310),INDEX(半紙!$G$11:$G$310,123),IF(123&lt;=COUNTA(半紙!$B$11:$B$310)+COUNTA(条幅!$B$11:$B$310),INDEX(条幅!$G$11:$G$310,123-COUNTA(半紙!$B$11:$B$310)),IF(123&lt;=COUNTA(半紙!$B$11:$B$310)+COUNTA(条幅!$B$11:$B$310)+COUNTA(条幅4分の1!$B$11:$B$310),INDEX(条幅4分の1!$G$11:$G$310,123-COUNTA(半紙!$B$11:$B$310)-COUNTA(条幅!$B$11:$B$310)),"")))=0,"",IF(123&lt;=COUNTA(半紙!$B$11:$B$310),INDEX(半紙!$G$11:$G$310,123),IF(123&lt;=COUNTA(半紙!$B$11:$B$310)+COUNTA(条幅!$B$11:$B$310),INDEX(条幅!$G$11:$G$310,123-COUNTA(半紙!$B$11:$B$310)),IF(123&lt;=COUNTA(半紙!$B$11:$B$310)+COUNTA(条幅!$B$11:$B$310)+COUNTA(条幅4分の1!$B$11:$B$310),INDEX(条幅4分の1!$G$11:$G$310,123-COUNTA(半紙!$B$11:$B$310)-COUNTA(条幅!$B$11:$B$310)),""))))</f>
        <v/>
      </c>
      <c r="H128" s="38" t="str">
        <f>IF(IF(123&lt;=COUNTA(半紙!$B$11:$B$310),INDEX(半紙!$H$11:$H$310,123),IF(123&lt;=COUNTA(半紙!$B$11:$B$310)+COUNTA(条幅!$B$11:$B$310),INDEX(条幅!$H$11:$H$310,123-COUNTA(半紙!$B$11:$B$310)),IF(123&lt;=COUNTA(半紙!$B$11:$B$310)+COUNTA(条幅!$B$11:$B$310)+COUNTA(条幅4分の1!$B$11:$B$310),INDEX(条幅4分の1!$H$11:$H$310,123-COUNTA(半紙!$B$11:$B$310)-COUNTA(条幅!$B$11:$B$310)),"")))=0,"",IF(123&lt;=COUNTA(半紙!$B$11:$B$310),INDEX(半紙!$H$11:$H$310,123),IF(123&lt;=COUNTA(半紙!$B$11:$B$310)+COUNTA(条幅!$B$11:$B$310),INDEX(条幅!$H$11:$H$310,123-COUNTA(半紙!$B$11:$B$310)),IF(123&lt;=COUNTA(半紙!$B$11:$B$310)+COUNTA(条幅!$B$11:$B$310)+COUNTA(条幅4分の1!$B$11:$B$310),INDEX(条幅4分の1!$H$11:$H$310,123-COUNTA(半紙!$B$11:$B$310)-COUNTA(条幅!$B$11:$B$310)),""))))</f>
        <v/>
      </c>
      <c r="I128" s="38" t="str">
        <f>IF(IF(123&lt;=COUNTA(半紙!$B$11:$B$310),INDEX(半紙!$I$11:$I$310,123),IF(123&lt;=COUNTA(半紙!$B$11:$B$310)+COUNTA(条幅!$B$11:$B$310),INDEX(条幅!$I$11:$I$310,123-COUNTA(半紙!$B$11:$B$310)),IF(123&lt;=COUNTA(半紙!$B$11:$B$310)+COUNTA(条幅!$B$11:$B$310)+COUNTA(条幅4分の1!$B$11:$B$310),INDEX(条幅4分の1!$I$11:$I$310,123-COUNTA(半紙!$B$11:$B$310)-COUNTA(条幅!$B$11:$B$310)),"")))=0,"",IF(123&lt;=COUNTA(半紙!$B$11:$B$310),INDEX(半紙!$I$11:$I$310,123),IF(123&lt;=COUNTA(半紙!$B$11:$B$310)+COUNTA(条幅!$B$11:$B$310),INDEX(条幅!$I$11:$I$310,123-COUNTA(半紙!$B$11:$B$310)),IF(123&lt;=COUNTA(半紙!$B$11:$B$310)+COUNTA(条幅!$B$11:$B$310)+COUNTA(条幅4分の1!$B$11:$B$310),INDEX(条幅4分の1!$I$11:$I$310,123-COUNTA(半紙!$B$11:$B$310)-COUNTA(条幅!$B$11:$B$310)),""))))</f>
        <v/>
      </c>
      <c r="J128" s="38" t="str">
        <f>IF(IF(123&lt;=COUNTA(半紙!$B$11:$B$310),INDEX(半紙!$J$11:$J$310,123),IF(123&lt;=COUNTA(半紙!$B$11:$B$310)+COUNTA(条幅!$B$11:$B$310),INDEX(条幅!$J$11:$J$310,123-COUNTA(半紙!$B$11:$B$310)),IF(123&lt;=COUNTA(半紙!$B$11:$B$310)+COUNTA(条幅!$B$11:$B$310)+COUNTA(条幅4分の1!$B$11:$B$310),INDEX(条幅4分の1!$J$11:$J$310,123-COUNTA(半紙!$B$11:$B$310)-COUNTA(条幅!$B$11:$B$310)),"")))=0,"",IF(123&lt;=COUNTA(半紙!$B$11:$B$310),INDEX(半紙!$J$11:$J$310,123),IF(123&lt;=COUNTA(半紙!$B$11:$B$310)+COUNTA(条幅!$B$11:$B$310),INDEX(条幅!$J$11:$J$310,123-COUNTA(半紙!$B$11:$B$310)),IF(123&lt;=COUNTA(半紙!$B$11:$B$310)+COUNTA(条幅!$B$11:$B$310)+COUNTA(条幅4分の1!$B$11:$B$310),INDEX(条幅4分の1!$J$11:$J$310,123-COUNTA(半紙!$B$11:$B$310)-COUNTA(条幅!$B$11:$B$310)),""))))</f>
        <v/>
      </c>
      <c r="K128" s="38" t="str">
        <f>IF(IF(123&lt;=COUNTA(半紙!$B$11:$B$310),INDEX(半紙!$K$11:$K$310,123),IF(123&lt;=COUNTA(半紙!$B$11:$B$310)+COUNTA(条幅!$B$11:$B$310),INDEX(条幅!$K$11:$K$310,123-COUNTA(半紙!$B$11:$B$310)),IF(123&lt;=COUNTA(半紙!$B$11:$B$310)+COUNTA(条幅!$B$11:$B$310)+COUNTA(条幅4分の1!$B$11:$B$310),INDEX(条幅4分の1!$K$11:$K$310,123-COUNTA(半紙!$B$11:$B$310)-COUNTA(条幅!$B$11:$B$310)),"")))=0,"",IF(123&lt;=COUNTA(半紙!$B$11:$B$310),INDEX(半紙!$K$11:$K$310,123),IF(123&lt;=COUNTA(半紙!$B$11:$B$310)+COUNTA(条幅!$B$11:$B$310),INDEX(条幅!$K$11:$K$310,123-COUNTA(半紙!$B$11:$B$310)),IF(123&lt;=COUNTA(半紙!$B$11:$B$310)+COUNTA(条幅!$B$11:$B$310)+COUNTA(条幅4分の1!$B$11:$B$310),INDEX(条幅4分の1!$K$11:$K$310,123-COUNTA(半紙!$B$11:$B$310)-COUNTA(条幅!$B$11:$B$310)),""))))</f>
        <v/>
      </c>
      <c r="L128" s="48" t="str">
        <f>IF($B128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123))</f>
        <v/>
      </c>
    </row>
    <row r="129" spans="1:12" ht="15" customHeight="1">
      <c r="A129" s="37" t="str">
        <f>IF(124&lt;=COUNTA(半紙!$B$11:$B$310),"半紙",IF(124&lt;=COUNTA(半紙!$B$11:$B$310)+COUNTA(条幅!$B$11:$B$310),"条幅(半切)",IF(124&lt;=COUNTA(半紙!$B$11:$B$310)+COUNTA(条幅!$B$11:$B$310)+COUNTA(条幅4分の1!$B$11:$B$310),"条幅(1/4)","")))</f>
        <v/>
      </c>
      <c r="B129" s="38" t="str">
        <f>IF(IF(124&lt;=COUNTA(半紙!$B$11:$B$310),INDEX(半紙!$B$11:$B$310,124),IF(124&lt;=COUNTA(半紙!$B$11:$B$310)+COUNTA(条幅!$B$11:$B$310),INDEX(条幅!$B$11:$B$310,124-COUNTA(半紙!$B$11:$B$310)),IF(124&lt;=COUNTA(半紙!$B$11:$B$310)+COUNTA(条幅!$B$11:$B$310)+COUNTA(条幅4分の1!$B$11:$B$310),INDEX(条幅4分の1!$B$11:$B$310,124-COUNTA(半紙!$B$11:$B$310)-COUNTA(条幅!$B$11:$B$310)),"")))=0,"",IF(124&lt;=COUNTA(半紙!$B$11:$B$310),INDEX(半紙!$B$11:$B$310,124),IF(124&lt;=COUNTA(半紙!$B$11:$B$310)+COUNTA(条幅!$B$11:$B$310),INDEX(条幅!$B$11:$B$310,124-COUNTA(半紙!$B$11:$B$310)),IF(124&lt;=COUNTA(半紙!$B$11:$B$310)+COUNTA(条幅!$B$11:$B$310)+COUNTA(条幅4分の1!$B$11:$B$310),INDEX(条幅4分の1!$B$11:$B$310,124-COUNTA(半紙!$B$11:$B$310)-COUNTA(条幅!$B$11:$B$310)),""))))</f>
        <v/>
      </c>
      <c r="C129" s="38" t="str">
        <f>IF(IF(124&lt;=COUNTA(半紙!$B$11:$B$310),INDEX(半紙!$C$11:$C$310,124),IF(124&lt;=COUNTA(半紙!$B$11:$B$310)+COUNTA(条幅!$B$11:$B$310),INDEX(条幅!$C$11:$C$310,124-COUNTA(半紙!$B$11:$B$310)),IF(124&lt;=COUNTA(半紙!$B$11:$B$310)+COUNTA(条幅!$B$11:$B$310)+COUNTA(条幅4分の1!$B$11:$B$310),INDEX(条幅4分の1!$C$11:$C$310,124-COUNTA(半紙!$B$11:$B$310)-COUNTA(条幅!$B$11:$B$310)),"")))=0,"",IF(124&lt;=COUNTA(半紙!$B$11:$B$310),INDEX(半紙!$C$11:$C$310,124),IF(124&lt;=COUNTA(半紙!$B$11:$B$310)+COUNTA(条幅!$B$11:$B$310),INDEX(条幅!$C$11:$C$310,124-COUNTA(半紙!$B$11:$B$310)),IF(124&lt;=COUNTA(半紙!$B$11:$B$310)+COUNTA(条幅!$B$11:$B$310)+COUNTA(条幅4分の1!$B$11:$B$310),INDEX(条幅4分の1!$C$11:$C$310,124-COUNTA(半紙!$B$11:$B$310)-COUNTA(条幅!$B$11:$B$310)),""))))</f>
        <v/>
      </c>
      <c r="D129" s="38" t="str">
        <f>IF(IF(124&lt;=COUNTA(半紙!$B$11:$B$310),INDEX(半紙!$D$11:$D$310,124),IF(124&lt;=COUNTA(半紙!$B$11:$B$310)+COUNTA(条幅!$B$11:$B$310),INDEX(条幅!$D$11:$D$310,124-COUNTA(半紙!$B$11:$B$310)),IF(124&lt;=COUNTA(半紙!$B$11:$B$310)+COUNTA(条幅!$B$11:$B$310)+COUNTA(条幅4分の1!$B$11:$B$310),INDEX(条幅4分の1!$D$11:$D$310,124-COUNTA(半紙!$B$11:$B$310)-COUNTA(条幅!$B$11:$B$310)),"")))=0,"",IF(124&lt;=COUNTA(半紙!$B$11:$B$310),INDEX(半紙!$D$11:$D$310,124),IF(124&lt;=COUNTA(半紙!$B$11:$B$310)+COUNTA(条幅!$B$11:$B$310),INDEX(条幅!$D$11:$D$310,124-COUNTA(半紙!$B$11:$B$310)),IF(124&lt;=COUNTA(半紙!$B$11:$B$310)+COUNTA(条幅!$B$11:$B$310)+COUNTA(条幅4分の1!$B$11:$B$310),INDEX(条幅4分の1!$D$11:$D$310,124-COUNTA(半紙!$B$11:$B$310)-COUNTA(条幅!$B$11:$B$310)),""))))</f>
        <v/>
      </c>
      <c r="E129" s="38" t="str">
        <f>IF(IF(124&lt;=COUNTA(半紙!$B$11:$B$310),INDEX(半紙!$E$11:$E$310,124),IF(124&lt;=COUNTA(半紙!$B$11:$B$310)+COUNTA(条幅!$B$11:$B$310),INDEX(条幅!$E$11:$E$310,124-COUNTA(半紙!$B$11:$B$310)),IF(124&lt;=COUNTA(半紙!$B$11:$B$310)+COUNTA(条幅!$B$11:$B$310)+COUNTA(条幅4分の1!$B$11:$B$310),INDEX(条幅4分の1!$E$11:$E$310,124-COUNTA(半紙!$B$11:$B$310)-COUNTA(条幅!$B$11:$B$310)),"")))=0,"",IF(124&lt;=COUNTA(半紙!$B$11:$B$310),INDEX(半紙!$E$11:$E$310,124),IF(124&lt;=COUNTA(半紙!$B$11:$B$310)+COUNTA(条幅!$B$11:$B$310),INDEX(条幅!$E$11:$E$310,124-COUNTA(半紙!$B$11:$B$310)),IF(124&lt;=COUNTA(半紙!$B$11:$B$310)+COUNTA(条幅!$B$11:$B$310)+COUNTA(条幅4分の1!$B$11:$B$310),INDEX(条幅4分の1!$E$11:$E$310,124-COUNTA(半紙!$B$11:$B$310)-COUNTA(条幅!$B$11:$B$310)),""))))</f>
        <v/>
      </c>
      <c r="F129" s="38" t="str">
        <f>IF(IF(124&lt;=COUNTA(半紙!$B$11:$B$310),INDEX(半紙!$F$11:$F$310,124),IF(124&lt;=COUNTA(半紙!$B$11:$B$310)+COUNTA(条幅!$B$11:$B$310),INDEX(条幅!$F$11:$F$310,124-COUNTA(半紙!$B$11:$B$310)),IF(124&lt;=COUNTA(半紙!$B$11:$B$310)+COUNTA(条幅!$B$11:$B$310)+COUNTA(条幅4分の1!$B$11:$B$310),INDEX(条幅4分の1!$F$11:$F$310,124-COUNTA(半紙!$B$11:$B$310)-COUNTA(条幅!$B$11:$B$310)),"")))=0,"",IF(124&lt;=COUNTA(半紙!$B$11:$B$310),INDEX(半紙!$F$11:$F$310,124),IF(124&lt;=COUNTA(半紙!$B$11:$B$310)+COUNTA(条幅!$B$11:$B$310),INDEX(条幅!$F$11:$F$310,124-COUNTA(半紙!$B$11:$B$310)),IF(124&lt;=COUNTA(半紙!$B$11:$B$310)+COUNTA(条幅!$B$11:$B$310)+COUNTA(条幅4分の1!$B$11:$B$310),INDEX(条幅4分の1!$F$11:$F$310,124-COUNTA(半紙!$B$11:$B$310)-COUNTA(条幅!$B$11:$B$310)),""))))</f>
        <v/>
      </c>
      <c r="G129" s="38" t="str">
        <f>IF(IF(124&lt;=COUNTA(半紙!$B$11:$B$310),INDEX(半紙!$G$11:$G$310,124),IF(124&lt;=COUNTA(半紙!$B$11:$B$310)+COUNTA(条幅!$B$11:$B$310),INDEX(条幅!$G$11:$G$310,124-COUNTA(半紙!$B$11:$B$310)),IF(124&lt;=COUNTA(半紙!$B$11:$B$310)+COUNTA(条幅!$B$11:$B$310)+COUNTA(条幅4分の1!$B$11:$B$310),INDEX(条幅4分の1!$G$11:$G$310,124-COUNTA(半紙!$B$11:$B$310)-COUNTA(条幅!$B$11:$B$310)),"")))=0,"",IF(124&lt;=COUNTA(半紙!$B$11:$B$310),INDEX(半紙!$G$11:$G$310,124),IF(124&lt;=COUNTA(半紙!$B$11:$B$310)+COUNTA(条幅!$B$11:$B$310),INDEX(条幅!$G$11:$G$310,124-COUNTA(半紙!$B$11:$B$310)),IF(124&lt;=COUNTA(半紙!$B$11:$B$310)+COUNTA(条幅!$B$11:$B$310)+COUNTA(条幅4分の1!$B$11:$B$310),INDEX(条幅4分の1!$G$11:$G$310,124-COUNTA(半紙!$B$11:$B$310)-COUNTA(条幅!$B$11:$B$310)),""))))</f>
        <v/>
      </c>
      <c r="H129" s="38" t="str">
        <f>IF(IF(124&lt;=COUNTA(半紙!$B$11:$B$310),INDEX(半紙!$H$11:$H$310,124),IF(124&lt;=COUNTA(半紙!$B$11:$B$310)+COUNTA(条幅!$B$11:$B$310),INDEX(条幅!$H$11:$H$310,124-COUNTA(半紙!$B$11:$B$310)),IF(124&lt;=COUNTA(半紙!$B$11:$B$310)+COUNTA(条幅!$B$11:$B$310)+COUNTA(条幅4分の1!$B$11:$B$310),INDEX(条幅4分の1!$H$11:$H$310,124-COUNTA(半紙!$B$11:$B$310)-COUNTA(条幅!$B$11:$B$310)),"")))=0,"",IF(124&lt;=COUNTA(半紙!$B$11:$B$310),INDEX(半紙!$H$11:$H$310,124),IF(124&lt;=COUNTA(半紙!$B$11:$B$310)+COUNTA(条幅!$B$11:$B$310),INDEX(条幅!$H$11:$H$310,124-COUNTA(半紙!$B$11:$B$310)),IF(124&lt;=COUNTA(半紙!$B$11:$B$310)+COUNTA(条幅!$B$11:$B$310)+COUNTA(条幅4分の1!$B$11:$B$310),INDEX(条幅4分の1!$H$11:$H$310,124-COUNTA(半紙!$B$11:$B$310)-COUNTA(条幅!$B$11:$B$310)),""))))</f>
        <v/>
      </c>
      <c r="I129" s="38" t="str">
        <f>IF(IF(124&lt;=COUNTA(半紙!$B$11:$B$310),INDEX(半紙!$I$11:$I$310,124),IF(124&lt;=COUNTA(半紙!$B$11:$B$310)+COUNTA(条幅!$B$11:$B$310),INDEX(条幅!$I$11:$I$310,124-COUNTA(半紙!$B$11:$B$310)),IF(124&lt;=COUNTA(半紙!$B$11:$B$310)+COUNTA(条幅!$B$11:$B$310)+COUNTA(条幅4分の1!$B$11:$B$310),INDEX(条幅4分の1!$I$11:$I$310,124-COUNTA(半紙!$B$11:$B$310)-COUNTA(条幅!$B$11:$B$310)),"")))=0,"",IF(124&lt;=COUNTA(半紙!$B$11:$B$310),INDEX(半紙!$I$11:$I$310,124),IF(124&lt;=COUNTA(半紙!$B$11:$B$310)+COUNTA(条幅!$B$11:$B$310),INDEX(条幅!$I$11:$I$310,124-COUNTA(半紙!$B$11:$B$310)),IF(124&lt;=COUNTA(半紙!$B$11:$B$310)+COUNTA(条幅!$B$11:$B$310)+COUNTA(条幅4分の1!$B$11:$B$310),INDEX(条幅4分の1!$I$11:$I$310,124-COUNTA(半紙!$B$11:$B$310)-COUNTA(条幅!$B$11:$B$310)),""))))</f>
        <v/>
      </c>
      <c r="J129" s="38" t="str">
        <f>IF(IF(124&lt;=COUNTA(半紙!$B$11:$B$310),INDEX(半紙!$J$11:$J$310,124),IF(124&lt;=COUNTA(半紙!$B$11:$B$310)+COUNTA(条幅!$B$11:$B$310),INDEX(条幅!$J$11:$J$310,124-COUNTA(半紙!$B$11:$B$310)),IF(124&lt;=COUNTA(半紙!$B$11:$B$310)+COUNTA(条幅!$B$11:$B$310)+COUNTA(条幅4分の1!$B$11:$B$310),INDEX(条幅4分の1!$J$11:$J$310,124-COUNTA(半紙!$B$11:$B$310)-COUNTA(条幅!$B$11:$B$310)),"")))=0,"",IF(124&lt;=COUNTA(半紙!$B$11:$B$310),INDEX(半紙!$J$11:$J$310,124),IF(124&lt;=COUNTA(半紙!$B$11:$B$310)+COUNTA(条幅!$B$11:$B$310),INDEX(条幅!$J$11:$J$310,124-COUNTA(半紙!$B$11:$B$310)),IF(124&lt;=COUNTA(半紙!$B$11:$B$310)+COUNTA(条幅!$B$11:$B$310)+COUNTA(条幅4分の1!$B$11:$B$310),INDEX(条幅4分の1!$J$11:$J$310,124-COUNTA(半紙!$B$11:$B$310)-COUNTA(条幅!$B$11:$B$310)),""))))</f>
        <v/>
      </c>
      <c r="K129" s="38" t="str">
        <f>IF(IF(124&lt;=COUNTA(半紙!$B$11:$B$310),INDEX(半紙!$K$11:$K$310,124),IF(124&lt;=COUNTA(半紙!$B$11:$B$310)+COUNTA(条幅!$B$11:$B$310),INDEX(条幅!$K$11:$K$310,124-COUNTA(半紙!$B$11:$B$310)),IF(124&lt;=COUNTA(半紙!$B$11:$B$310)+COUNTA(条幅!$B$11:$B$310)+COUNTA(条幅4分の1!$B$11:$B$310),INDEX(条幅4分の1!$K$11:$K$310,124-COUNTA(半紙!$B$11:$B$310)-COUNTA(条幅!$B$11:$B$310)),"")))=0,"",IF(124&lt;=COUNTA(半紙!$B$11:$B$310),INDEX(半紙!$K$11:$K$310,124),IF(124&lt;=COUNTA(半紙!$B$11:$B$310)+COUNTA(条幅!$B$11:$B$310),INDEX(条幅!$K$11:$K$310,124-COUNTA(半紙!$B$11:$B$310)),IF(124&lt;=COUNTA(半紙!$B$11:$B$310)+COUNTA(条幅!$B$11:$B$310)+COUNTA(条幅4分の1!$B$11:$B$310),INDEX(条幅4分の1!$K$11:$K$310,124-COUNTA(半紙!$B$11:$B$310)-COUNTA(条幅!$B$11:$B$310)),""))))</f>
        <v/>
      </c>
      <c r="L129" s="48" t="str">
        <f>IF($B129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124))</f>
        <v/>
      </c>
    </row>
    <row r="130" spans="1:12" ht="15" customHeight="1">
      <c r="A130" s="37" t="str">
        <f>IF(125&lt;=COUNTA(半紙!$B$11:$B$310),"半紙",IF(125&lt;=COUNTA(半紙!$B$11:$B$310)+COUNTA(条幅!$B$11:$B$310),"条幅(半切)",IF(125&lt;=COUNTA(半紙!$B$11:$B$310)+COUNTA(条幅!$B$11:$B$310)+COUNTA(条幅4分の1!$B$11:$B$310),"条幅(1/4)","")))</f>
        <v/>
      </c>
      <c r="B130" s="38" t="str">
        <f>IF(IF(125&lt;=COUNTA(半紙!$B$11:$B$310),INDEX(半紙!$B$11:$B$310,125),IF(125&lt;=COUNTA(半紙!$B$11:$B$310)+COUNTA(条幅!$B$11:$B$310),INDEX(条幅!$B$11:$B$310,125-COUNTA(半紙!$B$11:$B$310)),IF(125&lt;=COUNTA(半紙!$B$11:$B$310)+COUNTA(条幅!$B$11:$B$310)+COUNTA(条幅4分の1!$B$11:$B$310),INDEX(条幅4分の1!$B$11:$B$310,125-COUNTA(半紙!$B$11:$B$310)-COUNTA(条幅!$B$11:$B$310)),"")))=0,"",IF(125&lt;=COUNTA(半紙!$B$11:$B$310),INDEX(半紙!$B$11:$B$310,125),IF(125&lt;=COUNTA(半紙!$B$11:$B$310)+COUNTA(条幅!$B$11:$B$310),INDEX(条幅!$B$11:$B$310,125-COUNTA(半紙!$B$11:$B$310)),IF(125&lt;=COUNTA(半紙!$B$11:$B$310)+COUNTA(条幅!$B$11:$B$310)+COUNTA(条幅4分の1!$B$11:$B$310),INDEX(条幅4分の1!$B$11:$B$310,125-COUNTA(半紙!$B$11:$B$310)-COUNTA(条幅!$B$11:$B$310)),""))))</f>
        <v/>
      </c>
      <c r="C130" s="38" t="str">
        <f>IF(IF(125&lt;=COUNTA(半紙!$B$11:$B$310),INDEX(半紙!$C$11:$C$310,125),IF(125&lt;=COUNTA(半紙!$B$11:$B$310)+COUNTA(条幅!$B$11:$B$310),INDEX(条幅!$C$11:$C$310,125-COUNTA(半紙!$B$11:$B$310)),IF(125&lt;=COUNTA(半紙!$B$11:$B$310)+COUNTA(条幅!$B$11:$B$310)+COUNTA(条幅4分の1!$B$11:$B$310),INDEX(条幅4分の1!$C$11:$C$310,125-COUNTA(半紙!$B$11:$B$310)-COUNTA(条幅!$B$11:$B$310)),"")))=0,"",IF(125&lt;=COUNTA(半紙!$B$11:$B$310),INDEX(半紙!$C$11:$C$310,125),IF(125&lt;=COUNTA(半紙!$B$11:$B$310)+COUNTA(条幅!$B$11:$B$310),INDEX(条幅!$C$11:$C$310,125-COUNTA(半紙!$B$11:$B$310)),IF(125&lt;=COUNTA(半紙!$B$11:$B$310)+COUNTA(条幅!$B$11:$B$310)+COUNTA(条幅4分の1!$B$11:$B$310),INDEX(条幅4分の1!$C$11:$C$310,125-COUNTA(半紙!$B$11:$B$310)-COUNTA(条幅!$B$11:$B$310)),""))))</f>
        <v/>
      </c>
      <c r="D130" s="38" t="str">
        <f>IF(IF(125&lt;=COUNTA(半紙!$B$11:$B$310),INDEX(半紙!$D$11:$D$310,125),IF(125&lt;=COUNTA(半紙!$B$11:$B$310)+COUNTA(条幅!$B$11:$B$310),INDEX(条幅!$D$11:$D$310,125-COUNTA(半紙!$B$11:$B$310)),IF(125&lt;=COUNTA(半紙!$B$11:$B$310)+COUNTA(条幅!$B$11:$B$310)+COUNTA(条幅4分の1!$B$11:$B$310),INDEX(条幅4分の1!$D$11:$D$310,125-COUNTA(半紙!$B$11:$B$310)-COUNTA(条幅!$B$11:$B$310)),"")))=0,"",IF(125&lt;=COUNTA(半紙!$B$11:$B$310),INDEX(半紙!$D$11:$D$310,125),IF(125&lt;=COUNTA(半紙!$B$11:$B$310)+COUNTA(条幅!$B$11:$B$310),INDEX(条幅!$D$11:$D$310,125-COUNTA(半紙!$B$11:$B$310)),IF(125&lt;=COUNTA(半紙!$B$11:$B$310)+COUNTA(条幅!$B$11:$B$310)+COUNTA(条幅4分の1!$B$11:$B$310),INDEX(条幅4分の1!$D$11:$D$310,125-COUNTA(半紙!$B$11:$B$310)-COUNTA(条幅!$B$11:$B$310)),""))))</f>
        <v/>
      </c>
      <c r="E130" s="38" t="str">
        <f>IF(IF(125&lt;=COUNTA(半紙!$B$11:$B$310),INDEX(半紙!$E$11:$E$310,125),IF(125&lt;=COUNTA(半紙!$B$11:$B$310)+COUNTA(条幅!$B$11:$B$310),INDEX(条幅!$E$11:$E$310,125-COUNTA(半紙!$B$11:$B$310)),IF(125&lt;=COUNTA(半紙!$B$11:$B$310)+COUNTA(条幅!$B$11:$B$310)+COUNTA(条幅4分の1!$B$11:$B$310),INDEX(条幅4分の1!$E$11:$E$310,125-COUNTA(半紙!$B$11:$B$310)-COUNTA(条幅!$B$11:$B$310)),"")))=0,"",IF(125&lt;=COUNTA(半紙!$B$11:$B$310),INDEX(半紙!$E$11:$E$310,125),IF(125&lt;=COUNTA(半紙!$B$11:$B$310)+COUNTA(条幅!$B$11:$B$310),INDEX(条幅!$E$11:$E$310,125-COUNTA(半紙!$B$11:$B$310)),IF(125&lt;=COUNTA(半紙!$B$11:$B$310)+COUNTA(条幅!$B$11:$B$310)+COUNTA(条幅4分の1!$B$11:$B$310),INDEX(条幅4分の1!$E$11:$E$310,125-COUNTA(半紙!$B$11:$B$310)-COUNTA(条幅!$B$11:$B$310)),""))))</f>
        <v/>
      </c>
      <c r="F130" s="38" t="str">
        <f>IF(IF(125&lt;=COUNTA(半紙!$B$11:$B$310),INDEX(半紙!$F$11:$F$310,125),IF(125&lt;=COUNTA(半紙!$B$11:$B$310)+COUNTA(条幅!$B$11:$B$310),INDEX(条幅!$F$11:$F$310,125-COUNTA(半紙!$B$11:$B$310)),IF(125&lt;=COUNTA(半紙!$B$11:$B$310)+COUNTA(条幅!$B$11:$B$310)+COUNTA(条幅4分の1!$B$11:$B$310),INDEX(条幅4分の1!$F$11:$F$310,125-COUNTA(半紙!$B$11:$B$310)-COUNTA(条幅!$B$11:$B$310)),"")))=0,"",IF(125&lt;=COUNTA(半紙!$B$11:$B$310),INDEX(半紙!$F$11:$F$310,125),IF(125&lt;=COUNTA(半紙!$B$11:$B$310)+COUNTA(条幅!$B$11:$B$310),INDEX(条幅!$F$11:$F$310,125-COUNTA(半紙!$B$11:$B$310)),IF(125&lt;=COUNTA(半紙!$B$11:$B$310)+COUNTA(条幅!$B$11:$B$310)+COUNTA(条幅4分の1!$B$11:$B$310),INDEX(条幅4分の1!$F$11:$F$310,125-COUNTA(半紙!$B$11:$B$310)-COUNTA(条幅!$B$11:$B$310)),""))))</f>
        <v/>
      </c>
      <c r="G130" s="38" t="str">
        <f>IF(IF(125&lt;=COUNTA(半紙!$B$11:$B$310),INDEX(半紙!$G$11:$G$310,125),IF(125&lt;=COUNTA(半紙!$B$11:$B$310)+COUNTA(条幅!$B$11:$B$310),INDEX(条幅!$G$11:$G$310,125-COUNTA(半紙!$B$11:$B$310)),IF(125&lt;=COUNTA(半紙!$B$11:$B$310)+COUNTA(条幅!$B$11:$B$310)+COUNTA(条幅4分の1!$B$11:$B$310),INDEX(条幅4分の1!$G$11:$G$310,125-COUNTA(半紙!$B$11:$B$310)-COUNTA(条幅!$B$11:$B$310)),"")))=0,"",IF(125&lt;=COUNTA(半紙!$B$11:$B$310),INDEX(半紙!$G$11:$G$310,125),IF(125&lt;=COUNTA(半紙!$B$11:$B$310)+COUNTA(条幅!$B$11:$B$310),INDEX(条幅!$G$11:$G$310,125-COUNTA(半紙!$B$11:$B$310)),IF(125&lt;=COUNTA(半紙!$B$11:$B$310)+COUNTA(条幅!$B$11:$B$310)+COUNTA(条幅4分の1!$B$11:$B$310),INDEX(条幅4分の1!$G$11:$G$310,125-COUNTA(半紙!$B$11:$B$310)-COUNTA(条幅!$B$11:$B$310)),""))))</f>
        <v/>
      </c>
      <c r="H130" s="38" t="str">
        <f>IF(IF(125&lt;=COUNTA(半紙!$B$11:$B$310),INDEX(半紙!$H$11:$H$310,125),IF(125&lt;=COUNTA(半紙!$B$11:$B$310)+COUNTA(条幅!$B$11:$B$310),INDEX(条幅!$H$11:$H$310,125-COUNTA(半紙!$B$11:$B$310)),IF(125&lt;=COUNTA(半紙!$B$11:$B$310)+COUNTA(条幅!$B$11:$B$310)+COUNTA(条幅4分の1!$B$11:$B$310),INDEX(条幅4分の1!$H$11:$H$310,125-COUNTA(半紙!$B$11:$B$310)-COUNTA(条幅!$B$11:$B$310)),"")))=0,"",IF(125&lt;=COUNTA(半紙!$B$11:$B$310),INDEX(半紙!$H$11:$H$310,125),IF(125&lt;=COUNTA(半紙!$B$11:$B$310)+COUNTA(条幅!$B$11:$B$310),INDEX(条幅!$H$11:$H$310,125-COUNTA(半紙!$B$11:$B$310)),IF(125&lt;=COUNTA(半紙!$B$11:$B$310)+COUNTA(条幅!$B$11:$B$310)+COUNTA(条幅4分の1!$B$11:$B$310),INDEX(条幅4分の1!$H$11:$H$310,125-COUNTA(半紙!$B$11:$B$310)-COUNTA(条幅!$B$11:$B$310)),""))))</f>
        <v/>
      </c>
      <c r="I130" s="38" t="str">
        <f>IF(IF(125&lt;=COUNTA(半紙!$B$11:$B$310),INDEX(半紙!$I$11:$I$310,125),IF(125&lt;=COUNTA(半紙!$B$11:$B$310)+COUNTA(条幅!$B$11:$B$310),INDEX(条幅!$I$11:$I$310,125-COUNTA(半紙!$B$11:$B$310)),IF(125&lt;=COUNTA(半紙!$B$11:$B$310)+COUNTA(条幅!$B$11:$B$310)+COUNTA(条幅4分の1!$B$11:$B$310),INDEX(条幅4分の1!$I$11:$I$310,125-COUNTA(半紙!$B$11:$B$310)-COUNTA(条幅!$B$11:$B$310)),"")))=0,"",IF(125&lt;=COUNTA(半紙!$B$11:$B$310),INDEX(半紙!$I$11:$I$310,125),IF(125&lt;=COUNTA(半紙!$B$11:$B$310)+COUNTA(条幅!$B$11:$B$310),INDEX(条幅!$I$11:$I$310,125-COUNTA(半紙!$B$11:$B$310)),IF(125&lt;=COUNTA(半紙!$B$11:$B$310)+COUNTA(条幅!$B$11:$B$310)+COUNTA(条幅4分の1!$B$11:$B$310),INDEX(条幅4分の1!$I$11:$I$310,125-COUNTA(半紙!$B$11:$B$310)-COUNTA(条幅!$B$11:$B$310)),""))))</f>
        <v/>
      </c>
      <c r="J130" s="38" t="str">
        <f>IF(IF(125&lt;=COUNTA(半紙!$B$11:$B$310),INDEX(半紙!$J$11:$J$310,125),IF(125&lt;=COUNTA(半紙!$B$11:$B$310)+COUNTA(条幅!$B$11:$B$310),INDEX(条幅!$J$11:$J$310,125-COUNTA(半紙!$B$11:$B$310)),IF(125&lt;=COUNTA(半紙!$B$11:$B$310)+COUNTA(条幅!$B$11:$B$310)+COUNTA(条幅4分の1!$B$11:$B$310),INDEX(条幅4分の1!$J$11:$J$310,125-COUNTA(半紙!$B$11:$B$310)-COUNTA(条幅!$B$11:$B$310)),"")))=0,"",IF(125&lt;=COUNTA(半紙!$B$11:$B$310),INDEX(半紙!$J$11:$J$310,125),IF(125&lt;=COUNTA(半紙!$B$11:$B$310)+COUNTA(条幅!$B$11:$B$310),INDEX(条幅!$J$11:$J$310,125-COUNTA(半紙!$B$11:$B$310)),IF(125&lt;=COUNTA(半紙!$B$11:$B$310)+COUNTA(条幅!$B$11:$B$310)+COUNTA(条幅4分の1!$B$11:$B$310),INDEX(条幅4分の1!$J$11:$J$310,125-COUNTA(半紙!$B$11:$B$310)-COUNTA(条幅!$B$11:$B$310)),""))))</f>
        <v/>
      </c>
      <c r="K130" s="38" t="str">
        <f>IF(IF(125&lt;=COUNTA(半紙!$B$11:$B$310),INDEX(半紙!$K$11:$K$310,125),IF(125&lt;=COUNTA(半紙!$B$11:$B$310)+COUNTA(条幅!$B$11:$B$310),INDEX(条幅!$K$11:$K$310,125-COUNTA(半紙!$B$11:$B$310)),IF(125&lt;=COUNTA(半紙!$B$11:$B$310)+COUNTA(条幅!$B$11:$B$310)+COUNTA(条幅4分の1!$B$11:$B$310),INDEX(条幅4分の1!$K$11:$K$310,125-COUNTA(半紙!$B$11:$B$310)-COUNTA(条幅!$B$11:$B$310)),"")))=0,"",IF(125&lt;=COUNTA(半紙!$B$11:$B$310),INDEX(半紙!$K$11:$K$310,125),IF(125&lt;=COUNTA(半紙!$B$11:$B$310)+COUNTA(条幅!$B$11:$B$310),INDEX(条幅!$K$11:$K$310,125-COUNTA(半紙!$B$11:$B$310)),IF(125&lt;=COUNTA(半紙!$B$11:$B$310)+COUNTA(条幅!$B$11:$B$310)+COUNTA(条幅4分の1!$B$11:$B$310),INDEX(条幅4分の1!$K$11:$K$310,125-COUNTA(半紙!$B$11:$B$310)-COUNTA(条幅!$B$11:$B$310)),""))))</f>
        <v/>
      </c>
      <c r="L130" s="48" t="str">
        <f>IF($B130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125))</f>
        <v/>
      </c>
    </row>
    <row r="131" spans="1:12" ht="15" customHeight="1">
      <c r="A131" s="37" t="str">
        <f>IF(126&lt;=COUNTA(半紙!$B$11:$B$310),"半紙",IF(126&lt;=COUNTA(半紙!$B$11:$B$310)+COUNTA(条幅!$B$11:$B$310),"条幅(半切)",IF(126&lt;=COUNTA(半紙!$B$11:$B$310)+COUNTA(条幅!$B$11:$B$310)+COUNTA(条幅4分の1!$B$11:$B$310),"条幅(1/4)","")))</f>
        <v/>
      </c>
      <c r="B131" s="38" t="str">
        <f>IF(IF(126&lt;=COUNTA(半紙!$B$11:$B$310),INDEX(半紙!$B$11:$B$310,126),IF(126&lt;=COUNTA(半紙!$B$11:$B$310)+COUNTA(条幅!$B$11:$B$310),INDEX(条幅!$B$11:$B$310,126-COUNTA(半紙!$B$11:$B$310)),IF(126&lt;=COUNTA(半紙!$B$11:$B$310)+COUNTA(条幅!$B$11:$B$310)+COUNTA(条幅4分の1!$B$11:$B$310),INDEX(条幅4分の1!$B$11:$B$310,126-COUNTA(半紙!$B$11:$B$310)-COUNTA(条幅!$B$11:$B$310)),"")))=0,"",IF(126&lt;=COUNTA(半紙!$B$11:$B$310),INDEX(半紙!$B$11:$B$310,126),IF(126&lt;=COUNTA(半紙!$B$11:$B$310)+COUNTA(条幅!$B$11:$B$310),INDEX(条幅!$B$11:$B$310,126-COUNTA(半紙!$B$11:$B$310)),IF(126&lt;=COUNTA(半紙!$B$11:$B$310)+COUNTA(条幅!$B$11:$B$310)+COUNTA(条幅4分の1!$B$11:$B$310),INDEX(条幅4分の1!$B$11:$B$310,126-COUNTA(半紙!$B$11:$B$310)-COUNTA(条幅!$B$11:$B$310)),""))))</f>
        <v/>
      </c>
      <c r="C131" s="38" t="str">
        <f>IF(IF(126&lt;=COUNTA(半紙!$B$11:$B$310),INDEX(半紙!$C$11:$C$310,126),IF(126&lt;=COUNTA(半紙!$B$11:$B$310)+COUNTA(条幅!$B$11:$B$310),INDEX(条幅!$C$11:$C$310,126-COUNTA(半紙!$B$11:$B$310)),IF(126&lt;=COUNTA(半紙!$B$11:$B$310)+COUNTA(条幅!$B$11:$B$310)+COUNTA(条幅4分の1!$B$11:$B$310),INDEX(条幅4分の1!$C$11:$C$310,126-COUNTA(半紙!$B$11:$B$310)-COUNTA(条幅!$B$11:$B$310)),"")))=0,"",IF(126&lt;=COUNTA(半紙!$B$11:$B$310),INDEX(半紙!$C$11:$C$310,126),IF(126&lt;=COUNTA(半紙!$B$11:$B$310)+COUNTA(条幅!$B$11:$B$310),INDEX(条幅!$C$11:$C$310,126-COUNTA(半紙!$B$11:$B$310)),IF(126&lt;=COUNTA(半紙!$B$11:$B$310)+COUNTA(条幅!$B$11:$B$310)+COUNTA(条幅4分の1!$B$11:$B$310),INDEX(条幅4分の1!$C$11:$C$310,126-COUNTA(半紙!$B$11:$B$310)-COUNTA(条幅!$B$11:$B$310)),""))))</f>
        <v/>
      </c>
      <c r="D131" s="38" t="str">
        <f>IF(IF(126&lt;=COUNTA(半紙!$B$11:$B$310),INDEX(半紙!$D$11:$D$310,126),IF(126&lt;=COUNTA(半紙!$B$11:$B$310)+COUNTA(条幅!$B$11:$B$310),INDEX(条幅!$D$11:$D$310,126-COUNTA(半紙!$B$11:$B$310)),IF(126&lt;=COUNTA(半紙!$B$11:$B$310)+COUNTA(条幅!$B$11:$B$310)+COUNTA(条幅4分の1!$B$11:$B$310),INDEX(条幅4分の1!$D$11:$D$310,126-COUNTA(半紙!$B$11:$B$310)-COUNTA(条幅!$B$11:$B$310)),"")))=0,"",IF(126&lt;=COUNTA(半紙!$B$11:$B$310),INDEX(半紙!$D$11:$D$310,126),IF(126&lt;=COUNTA(半紙!$B$11:$B$310)+COUNTA(条幅!$B$11:$B$310),INDEX(条幅!$D$11:$D$310,126-COUNTA(半紙!$B$11:$B$310)),IF(126&lt;=COUNTA(半紙!$B$11:$B$310)+COUNTA(条幅!$B$11:$B$310)+COUNTA(条幅4分の1!$B$11:$B$310),INDEX(条幅4分の1!$D$11:$D$310,126-COUNTA(半紙!$B$11:$B$310)-COUNTA(条幅!$B$11:$B$310)),""))))</f>
        <v/>
      </c>
      <c r="E131" s="38" t="str">
        <f>IF(IF(126&lt;=COUNTA(半紙!$B$11:$B$310),INDEX(半紙!$E$11:$E$310,126),IF(126&lt;=COUNTA(半紙!$B$11:$B$310)+COUNTA(条幅!$B$11:$B$310),INDEX(条幅!$E$11:$E$310,126-COUNTA(半紙!$B$11:$B$310)),IF(126&lt;=COUNTA(半紙!$B$11:$B$310)+COUNTA(条幅!$B$11:$B$310)+COUNTA(条幅4分の1!$B$11:$B$310),INDEX(条幅4分の1!$E$11:$E$310,126-COUNTA(半紙!$B$11:$B$310)-COUNTA(条幅!$B$11:$B$310)),"")))=0,"",IF(126&lt;=COUNTA(半紙!$B$11:$B$310),INDEX(半紙!$E$11:$E$310,126),IF(126&lt;=COUNTA(半紙!$B$11:$B$310)+COUNTA(条幅!$B$11:$B$310),INDEX(条幅!$E$11:$E$310,126-COUNTA(半紙!$B$11:$B$310)),IF(126&lt;=COUNTA(半紙!$B$11:$B$310)+COUNTA(条幅!$B$11:$B$310)+COUNTA(条幅4分の1!$B$11:$B$310),INDEX(条幅4分の1!$E$11:$E$310,126-COUNTA(半紙!$B$11:$B$310)-COUNTA(条幅!$B$11:$B$310)),""))))</f>
        <v/>
      </c>
      <c r="F131" s="38" t="str">
        <f>IF(IF(126&lt;=COUNTA(半紙!$B$11:$B$310),INDEX(半紙!$F$11:$F$310,126),IF(126&lt;=COUNTA(半紙!$B$11:$B$310)+COUNTA(条幅!$B$11:$B$310),INDEX(条幅!$F$11:$F$310,126-COUNTA(半紙!$B$11:$B$310)),IF(126&lt;=COUNTA(半紙!$B$11:$B$310)+COUNTA(条幅!$B$11:$B$310)+COUNTA(条幅4分の1!$B$11:$B$310),INDEX(条幅4分の1!$F$11:$F$310,126-COUNTA(半紙!$B$11:$B$310)-COUNTA(条幅!$B$11:$B$310)),"")))=0,"",IF(126&lt;=COUNTA(半紙!$B$11:$B$310),INDEX(半紙!$F$11:$F$310,126),IF(126&lt;=COUNTA(半紙!$B$11:$B$310)+COUNTA(条幅!$B$11:$B$310),INDEX(条幅!$F$11:$F$310,126-COUNTA(半紙!$B$11:$B$310)),IF(126&lt;=COUNTA(半紙!$B$11:$B$310)+COUNTA(条幅!$B$11:$B$310)+COUNTA(条幅4分の1!$B$11:$B$310),INDEX(条幅4分の1!$F$11:$F$310,126-COUNTA(半紙!$B$11:$B$310)-COUNTA(条幅!$B$11:$B$310)),""))))</f>
        <v/>
      </c>
      <c r="G131" s="38" t="str">
        <f>IF(IF(126&lt;=COUNTA(半紙!$B$11:$B$310),INDEX(半紙!$G$11:$G$310,126),IF(126&lt;=COUNTA(半紙!$B$11:$B$310)+COUNTA(条幅!$B$11:$B$310),INDEX(条幅!$G$11:$G$310,126-COUNTA(半紙!$B$11:$B$310)),IF(126&lt;=COUNTA(半紙!$B$11:$B$310)+COUNTA(条幅!$B$11:$B$310)+COUNTA(条幅4分の1!$B$11:$B$310),INDEX(条幅4分の1!$G$11:$G$310,126-COUNTA(半紙!$B$11:$B$310)-COUNTA(条幅!$B$11:$B$310)),"")))=0,"",IF(126&lt;=COUNTA(半紙!$B$11:$B$310),INDEX(半紙!$G$11:$G$310,126),IF(126&lt;=COUNTA(半紙!$B$11:$B$310)+COUNTA(条幅!$B$11:$B$310),INDEX(条幅!$G$11:$G$310,126-COUNTA(半紙!$B$11:$B$310)),IF(126&lt;=COUNTA(半紙!$B$11:$B$310)+COUNTA(条幅!$B$11:$B$310)+COUNTA(条幅4分の1!$B$11:$B$310),INDEX(条幅4分の1!$G$11:$G$310,126-COUNTA(半紙!$B$11:$B$310)-COUNTA(条幅!$B$11:$B$310)),""))))</f>
        <v/>
      </c>
      <c r="H131" s="38" t="str">
        <f>IF(IF(126&lt;=COUNTA(半紙!$B$11:$B$310),INDEX(半紙!$H$11:$H$310,126),IF(126&lt;=COUNTA(半紙!$B$11:$B$310)+COUNTA(条幅!$B$11:$B$310),INDEX(条幅!$H$11:$H$310,126-COUNTA(半紙!$B$11:$B$310)),IF(126&lt;=COUNTA(半紙!$B$11:$B$310)+COUNTA(条幅!$B$11:$B$310)+COUNTA(条幅4分の1!$B$11:$B$310),INDEX(条幅4分の1!$H$11:$H$310,126-COUNTA(半紙!$B$11:$B$310)-COUNTA(条幅!$B$11:$B$310)),"")))=0,"",IF(126&lt;=COUNTA(半紙!$B$11:$B$310),INDEX(半紙!$H$11:$H$310,126),IF(126&lt;=COUNTA(半紙!$B$11:$B$310)+COUNTA(条幅!$B$11:$B$310),INDEX(条幅!$H$11:$H$310,126-COUNTA(半紙!$B$11:$B$310)),IF(126&lt;=COUNTA(半紙!$B$11:$B$310)+COUNTA(条幅!$B$11:$B$310)+COUNTA(条幅4分の1!$B$11:$B$310),INDEX(条幅4分の1!$H$11:$H$310,126-COUNTA(半紙!$B$11:$B$310)-COUNTA(条幅!$B$11:$B$310)),""))))</f>
        <v/>
      </c>
      <c r="I131" s="38" t="str">
        <f>IF(IF(126&lt;=COUNTA(半紙!$B$11:$B$310),INDEX(半紙!$I$11:$I$310,126),IF(126&lt;=COUNTA(半紙!$B$11:$B$310)+COUNTA(条幅!$B$11:$B$310),INDEX(条幅!$I$11:$I$310,126-COUNTA(半紙!$B$11:$B$310)),IF(126&lt;=COUNTA(半紙!$B$11:$B$310)+COUNTA(条幅!$B$11:$B$310)+COUNTA(条幅4分の1!$B$11:$B$310),INDEX(条幅4分の1!$I$11:$I$310,126-COUNTA(半紙!$B$11:$B$310)-COUNTA(条幅!$B$11:$B$310)),"")))=0,"",IF(126&lt;=COUNTA(半紙!$B$11:$B$310),INDEX(半紙!$I$11:$I$310,126),IF(126&lt;=COUNTA(半紙!$B$11:$B$310)+COUNTA(条幅!$B$11:$B$310),INDEX(条幅!$I$11:$I$310,126-COUNTA(半紙!$B$11:$B$310)),IF(126&lt;=COUNTA(半紙!$B$11:$B$310)+COUNTA(条幅!$B$11:$B$310)+COUNTA(条幅4分の1!$B$11:$B$310),INDEX(条幅4分の1!$I$11:$I$310,126-COUNTA(半紙!$B$11:$B$310)-COUNTA(条幅!$B$11:$B$310)),""))))</f>
        <v/>
      </c>
      <c r="J131" s="38" t="str">
        <f>IF(IF(126&lt;=COUNTA(半紙!$B$11:$B$310),INDEX(半紙!$J$11:$J$310,126),IF(126&lt;=COUNTA(半紙!$B$11:$B$310)+COUNTA(条幅!$B$11:$B$310),INDEX(条幅!$J$11:$J$310,126-COUNTA(半紙!$B$11:$B$310)),IF(126&lt;=COUNTA(半紙!$B$11:$B$310)+COUNTA(条幅!$B$11:$B$310)+COUNTA(条幅4分の1!$B$11:$B$310),INDEX(条幅4分の1!$J$11:$J$310,126-COUNTA(半紙!$B$11:$B$310)-COUNTA(条幅!$B$11:$B$310)),"")))=0,"",IF(126&lt;=COUNTA(半紙!$B$11:$B$310),INDEX(半紙!$J$11:$J$310,126),IF(126&lt;=COUNTA(半紙!$B$11:$B$310)+COUNTA(条幅!$B$11:$B$310),INDEX(条幅!$J$11:$J$310,126-COUNTA(半紙!$B$11:$B$310)),IF(126&lt;=COUNTA(半紙!$B$11:$B$310)+COUNTA(条幅!$B$11:$B$310)+COUNTA(条幅4分の1!$B$11:$B$310),INDEX(条幅4分の1!$J$11:$J$310,126-COUNTA(半紙!$B$11:$B$310)-COUNTA(条幅!$B$11:$B$310)),""))))</f>
        <v/>
      </c>
      <c r="K131" s="38" t="str">
        <f>IF(IF(126&lt;=COUNTA(半紙!$B$11:$B$310),INDEX(半紙!$K$11:$K$310,126),IF(126&lt;=COUNTA(半紙!$B$11:$B$310)+COUNTA(条幅!$B$11:$B$310),INDEX(条幅!$K$11:$K$310,126-COUNTA(半紙!$B$11:$B$310)),IF(126&lt;=COUNTA(半紙!$B$11:$B$310)+COUNTA(条幅!$B$11:$B$310)+COUNTA(条幅4分の1!$B$11:$B$310),INDEX(条幅4分の1!$K$11:$K$310,126-COUNTA(半紙!$B$11:$B$310)-COUNTA(条幅!$B$11:$B$310)),"")))=0,"",IF(126&lt;=COUNTA(半紙!$B$11:$B$310),INDEX(半紙!$K$11:$K$310,126),IF(126&lt;=COUNTA(半紙!$B$11:$B$310)+COUNTA(条幅!$B$11:$B$310),INDEX(条幅!$K$11:$K$310,126-COUNTA(半紙!$B$11:$B$310)),IF(126&lt;=COUNTA(半紙!$B$11:$B$310)+COUNTA(条幅!$B$11:$B$310)+COUNTA(条幅4分の1!$B$11:$B$310),INDEX(条幅4分の1!$K$11:$K$310,126-COUNTA(半紙!$B$11:$B$310)-COUNTA(条幅!$B$11:$B$310)),""))))</f>
        <v/>
      </c>
      <c r="L131" s="48" t="str">
        <f>IF($B131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126))</f>
        <v/>
      </c>
    </row>
    <row r="132" spans="1:12" ht="15" customHeight="1">
      <c r="A132" s="37" t="str">
        <f>IF(127&lt;=COUNTA(半紙!$B$11:$B$310),"半紙",IF(127&lt;=COUNTA(半紙!$B$11:$B$310)+COUNTA(条幅!$B$11:$B$310),"条幅(半切)",IF(127&lt;=COUNTA(半紙!$B$11:$B$310)+COUNTA(条幅!$B$11:$B$310)+COUNTA(条幅4分の1!$B$11:$B$310),"条幅(1/4)","")))</f>
        <v/>
      </c>
      <c r="B132" s="38" t="str">
        <f>IF(IF(127&lt;=COUNTA(半紙!$B$11:$B$310),INDEX(半紙!$B$11:$B$310,127),IF(127&lt;=COUNTA(半紙!$B$11:$B$310)+COUNTA(条幅!$B$11:$B$310),INDEX(条幅!$B$11:$B$310,127-COUNTA(半紙!$B$11:$B$310)),IF(127&lt;=COUNTA(半紙!$B$11:$B$310)+COUNTA(条幅!$B$11:$B$310)+COUNTA(条幅4分の1!$B$11:$B$310),INDEX(条幅4分の1!$B$11:$B$310,127-COUNTA(半紙!$B$11:$B$310)-COUNTA(条幅!$B$11:$B$310)),"")))=0,"",IF(127&lt;=COUNTA(半紙!$B$11:$B$310),INDEX(半紙!$B$11:$B$310,127),IF(127&lt;=COUNTA(半紙!$B$11:$B$310)+COUNTA(条幅!$B$11:$B$310),INDEX(条幅!$B$11:$B$310,127-COUNTA(半紙!$B$11:$B$310)),IF(127&lt;=COUNTA(半紙!$B$11:$B$310)+COUNTA(条幅!$B$11:$B$310)+COUNTA(条幅4分の1!$B$11:$B$310),INDEX(条幅4分の1!$B$11:$B$310,127-COUNTA(半紙!$B$11:$B$310)-COUNTA(条幅!$B$11:$B$310)),""))))</f>
        <v/>
      </c>
      <c r="C132" s="38" t="str">
        <f>IF(IF(127&lt;=COUNTA(半紙!$B$11:$B$310),INDEX(半紙!$C$11:$C$310,127),IF(127&lt;=COUNTA(半紙!$B$11:$B$310)+COUNTA(条幅!$B$11:$B$310),INDEX(条幅!$C$11:$C$310,127-COUNTA(半紙!$B$11:$B$310)),IF(127&lt;=COUNTA(半紙!$B$11:$B$310)+COUNTA(条幅!$B$11:$B$310)+COUNTA(条幅4分の1!$B$11:$B$310),INDEX(条幅4分の1!$C$11:$C$310,127-COUNTA(半紙!$B$11:$B$310)-COUNTA(条幅!$B$11:$B$310)),"")))=0,"",IF(127&lt;=COUNTA(半紙!$B$11:$B$310),INDEX(半紙!$C$11:$C$310,127),IF(127&lt;=COUNTA(半紙!$B$11:$B$310)+COUNTA(条幅!$B$11:$B$310),INDEX(条幅!$C$11:$C$310,127-COUNTA(半紙!$B$11:$B$310)),IF(127&lt;=COUNTA(半紙!$B$11:$B$310)+COUNTA(条幅!$B$11:$B$310)+COUNTA(条幅4分の1!$B$11:$B$310),INDEX(条幅4分の1!$C$11:$C$310,127-COUNTA(半紙!$B$11:$B$310)-COUNTA(条幅!$B$11:$B$310)),""))))</f>
        <v/>
      </c>
      <c r="D132" s="38" t="str">
        <f>IF(IF(127&lt;=COUNTA(半紙!$B$11:$B$310),INDEX(半紙!$D$11:$D$310,127),IF(127&lt;=COUNTA(半紙!$B$11:$B$310)+COUNTA(条幅!$B$11:$B$310),INDEX(条幅!$D$11:$D$310,127-COUNTA(半紙!$B$11:$B$310)),IF(127&lt;=COUNTA(半紙!$B$11:$B$310)+COUNTA(条幅!$B$11:$B$310)+COUNTA(条幅4分の1!$B$11:$B$310),INDEX(条幅4分の1!$D$11:$D$310,127-COUNTA(半紙!$B$11:$B$310)-COUNTA(条幅!$B$11:$B$310)),"")))=0,"",IF(127&lt;=COUNTA(半紙!$B$11:$B$310),INDEX(半紙!$D$11:$D$310,127),IF(127&lt;=COUNTA(半紙!$B$11:$B$310)+COUNTA(条幅!$B$11:$B$310),INDEX(条幅!$D$11:$D$310,127-COUNTA(半紙!$B$11:$B$310)),IF(127&lt;=COUNTA(半紙!$B$11:$B$310)+COUNTA(条幅!$B$11:$B$310)+COUNTA(条幅4分の1!$B$11:$B$310),INDEX(条幅4分の1!$D$11:$D$310,127-COUNTA(半紙!$B$11:$B$310)-COUNTA(条幅!$B$11:$B$310)),""))))</f>
        <v/>
      </c>
      <c r="E132" s="38" t="str">
        <f>IF(IF(127&lt;=COUNTA(半紙!$B$11:$B$310),INDEX(半紙!$E$11:$E$310,127),IF(127&lt;=COUNTA(半紙!$B$11:$B$310)+COUNTA(条幅!$B$11:$B$310),INDEX(条幅!$E$11:$E$310,127-COUNTA(半紙!$B$11:$B$310)),IF(127&lt;=COUNTA(半紙!$B$11:$B$310)+COUNTA(条幅!$B$11:$B$310)+COUNTA(条幅4分の1!$B$11:$B$310),INDEX(条幅4分の1!$E$11:$E$310,127-COUNTA(半紙!$B$11:$B$310)-COUNTA(条幅!$B$11:$B$310)),"")))=0,"",IF(127&lt;=COUNTA(半紙!$B$11:$B$310),INDEX(半紙!$E$11:$E$310,127),IF(127&lt;=COUNTA(半紙!$B$11:$B$310)+COUNTA(条幅!$B$11:$B$310),INDEX(条幅!$E$11:$E$310,127-COUNTA(半紙!$B$11:$B$310)),IF(127&lt;=COUNTA(半紙!$B$11:$B$310)+COUNTA(条幅!$B$11:$B$310)+COUNTA(条幅4分の1!$B$11:$B$310),INDEX(条幅4分の1!$E$11:$E$310,127-COUNTA(半紙!$B$11:$B$310)-COUNTA(条幅!$B$11:$B$310)),""))))</f>
        <v/>
      </c>
      <c r="F132" s="38" t="str">
        <f>IF(IF(127&lt;=COUNTA(半紙!$B$11:$B$310),INDEX(半紙!$F$11:$F$310,127),IF(127&lt;=COUNTA(半紙!$B$11:$B$310)+COUNTA(条幅!$B$11:$B$310),INDEX(条幅!$F$11:$F$310,127-COUNTA(半紙!$B$11:$B$310)),IF(127&lt;=COUNTA(半紙!$B$11:$B$310)+COUNTA(条幅!$B$11:$B$310)+COUNTA(条幅4分の1!$B$11:$B$310),INDEX(条幅4分の1!$F$11:$F$310,127-COUNTA(半紙!$B$11:$B$310)-COUNTA(条幅!$B$11:$B$310)),"")))=0,"",IF(127&lt;=COUNTA(半紙!$B$11:$B$310),INDEX(半紙!$F$11:$F$310,127),IF(127&lt;=COUNTA(半紙!$B$11:$B$310)+COUNTA(条幅!$B$11:$B$310),INDEX(条幅!$F$11:$F$310,127-COUNTA(半紙!$B$11:$B$310)),IF(127&lt;=COUNTA(半紙!$B$11:$B$310)+COUNTA(条幅!$B$11:$B$310)+COUNTA(条幅4分の1!$B$11:$B$310),INDEX(条幅4分の1!$F$11:$F$310,127-COUNTA(半紙!$B$11:$B$310)-COUNTA(条幅!$B$11:$B$310)),""))))</f>
        <v/>
      </c>
      <c r="G132" s="38" t="str">
        <f>IF(IF(127&lt;=COUNTA(半紙!$B$11:$B$310),INDEX(半紙!$G$11:$G$310,127),IF(127&lt;=COUNTA(半紙!$B$11:$B$310)+COUNTA(条幅!$B$11:$B$310),INDEX(条幅!$G$11:$G$310,127-COUNTA(半紙!$B$11:$B$310)),IF(127&lt;=COUNTA(半紙!$B$11:$B$310)+COUNTA(条幅!$B$11:$B$310)+COUNTA(条幅4分の1!$B$11:$B$310),INDEX(条幅4分の1!$G$11:$G$310,127-COUNTA(半紙!$B$11:$B$310)-COUNTA(条幅!$B$11:$B$310)),"")))=0,"",IF(127&lt;=COUNTA(半紙!$B$11:$B$310),INDEX(半紙!$G$11:$G$310,127),IF(127&lt;=COUNTA(半紙!$B$11:$B$310)+COUNTA(条幅!$B$11:$B$310),INDEX(条幅!$G$11:$G$310,127-COUNTA(半紙!$B$11:$B$310)),IF(127&lt;=COUNTA(半紙!$B$11:$B$310)+COUNTA(条幅!$B$11:$B$310)+COUNTA(条幅4分の1!$B$11:$B$310),INDEX(条幅4分の1!$G$11:$G$310,127-COUNTA(半紙!$B$11:$B$310)-COUNTA(条幅!$B$11:$B$310)),""))))</f>
        <v/>
      </c>
      <c r="H132" s="38" t="str">
        <f>IF(IF(127&lt;=COUNTA(半紙!$B$11:$B$310),INDEX(半紙!$H$11:$H$310,127),IF(127&lt;=COUNTA(半紙!$B$11:$B$310)+COUNTA(条幅!$B$11:$B$310),INDEX(条幅!$H$11:$H$310,127-COUNTA(半紙!$B$11:$B$310)),IF(127&lt;=COUNTA(半紙!$B$11:$B$310)+COUNTA(条幅!$B$11:$B$310)+COUNTA(条幅4分の1!$B$11:$B$310),INDEX(条幅4分の1!$H$11:$H$310,127-COUNTA(半紙!$B$11:$B$310)-COUNTA(条幅!$B$11:$B$310)),"")))=0,"",IF(127&lt;=COUNTA(半紙!$B$11:$B$310),INDEX(半紙!$H$11:$H$310,127),IF(127&lt;=COUNTA(半紙!$B$11:$B$310)+COUNTA(条幅!$B$11:$B$310),INDEX(条幅!$H$11:$H$310,127-COUNTA(半紙!$B$11:$B$310)),IF(127&lt;=COUNTA(半紙!$B$11:$B$310)+COUNTA(条幅!$B$11:$B$310)+COUNTA(条幅4分の1!$B$11:$B$310),INDEX(条幅4分の1!$H$11:$H$310,127-COUNTA(半紙!$B$11:$B$310)-COUNTA(条幅!$B$11:$B$310)),""))))</f>
        <v/>
      </c>
      <c r="I132" s="38" t="str">
        <f>IF(IF(127&lt;=COUNTA(半紙!$B$11:$B$310),INDEX(半紙!$I$11:$I$310,127),IF(127&lt;=COUNTA(半紙!$B$11:$B$310)+COUNTA(条幅!$B$11:$B$310),INDEX(条幅!$I$11:$I$310,127-COUNTA(半紙!$B$11:$B$310)),IF(127&lt;=COUNTA(半紙!$B$11:$B$310)+COUNTA(条幅!$B$11:$B$310)+COUNTA(条幅4分の1!$B$11:$B$310),INDEX(条幅4分の1!$I$11:$I$310,127-COUNTA(半紙!$B$11:$B$310)-COUNTA(条幅!$B$11:$B$310)),"")))=0,"",IF(127&lt;=COUNTA(半紙!$B$11:$B$310),INDEX(半紙!$I$11:$I$310,127),IF(127&lt;=COUNTA(半紙!$B$11:$B$310)+COUNTA(条幅!$B$11:$B$310),INDEX(条幅!$I$11:$I$310,127-COUNTA(半紙!$B$11:$B$310)),IF(127&lt;=COUNTA(半紙!$B$11:$B$310)+COUNTA(条幅!$B$11:$B$310)+COUNTA(条幅4分の1!$B$11:$B$310),INDEX(条幅4分の1!$I$11:$I$310,127-COUNTA(半紙!$B$11:$B$310)-COUNTA(条幅!$B$11:$B$310)),""))))</f>
        <v/>
      </c>
      <c r="J132" s="38" t="str">
        <f>IF(IF(127&lt;=COUNTA(半紙!$B$11:$B$310),INDEX(半紙!$J$11:$J$310,127),IF(127&lt;=COUNTA(半紙!$B$11:$B$310)+COUNTA(条幅!$B$11:$B$310),INDEX(条幅!$J$11:$J$310,127-COUNTA(半紙!$B$11:$B$310)),IF(127&lt;=COUNTA(半紙!$B$11:$B$310)+COUNTA(条幅!$B$11:$B$310)+COUNTA(条幅4分の1!$B$11:$B$310),INDEX(条幅4分の1!$J$11:$J$310,127-COUNTA(半紙!$B$11:$B$310)-COUNTA(条幅!$B$11:$B$310)),"")))=0,"",IF(127&lt;=COUNTA(半紙!$B$11:$B$310),INDEX(半紙!$J$11:$J$310,127),IF(127&lt;=COUNTA(半紙!$B$11:$B$310)+COUNTA(条幅!$B$11:$B$310),INDEX(条幅!$J$11:$J$310,127-COUNTA(半紙!$B$11:$B$310)),IF(127&lt;=COUNTA(半紙!$B$11:$B$310)+COUNTA(条幅!$B$11:$B$310)+COUNTA(条幅4分の1!$B$11:$B$310),INDEX(条幅4分の1!$J$11:$J$310,127-COUNTA(半紙!$B$11:$B$310)-COUNTA(条幅!$B$11:$B$310)),""))))</f>
        <v/>
      </c>
      <c r="K132" s="38" t="str">
        <f>IF(IF(127&lt;=COUNTA(半紙!$B$11:$B$310),INDEX(半紙!$K$11:$K$310,127),IF(127&lt;=COUNTA(半紙!$B$11:$B$310)+COUNTA(条幅!$B$11:$B$310),INDEX(条幅!$K$11:$K$310,127-COUNTA(半紙!$B$11:$B$310)),IF(127&lt;=COUNTA(半紙!$B$11:$B$310)+COUNTA(条幅!$B$11:$B$310)+COUNTA(条幅4分の1!$B$11:$B$310),INDEX(条幅4分の1!$K$11:$K$310,127-COUNTA(半紙!$B$11:$B$310)-COUNTA(条幅!$B$11:$B$310)),"")))=0,"",IF(127&lt;=COUNTA(半紙!$B$11:$B$310),INDEX(半紙!$K$11:$K$310,127),IF(127&lt;=COUNTA(半紙!$B$11:$B$310)+COUNTA(条幅!$B$11:$B$310),INDEX(条幅!$K$11:$K$310,127-COUNTA(半紙!$B$11:$B$310)),IF(127&lt;=COUNTA(半紙!$B$11:$B$310)+COUNTA(条幅!$B$11:$B$310)+COUNTA(条幅4分の1!$B$11:$B$310),INDEX(条幅4分の1!$K$11:$K$310,127-COUNTA(半紙!$B$11:$B$310)-COUNTA(条幅!$B$11:$B$310)),""))))</f>
        <v/>
      </c>
      <c r="L132" s="48" t="str">
        <f>IF($B132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127))</f>
        <v/>
      </c>
    </row>
    <row r="133" spans="1:12" ht="15" customHeight="1">
      <c r="A133" s="37" t="str">
        <f>IF(128&lt;=COUNTA(半紙!$B$11:$B$310),"半紙",IF(128&lt;=COUNTA(半紙!$B$11:$B$310)+COUNTA(条幅!$B$11:$B$310),"条幅(半切)",IF(128&lt;=COUNTA(半紙!$B$11:$B$310)+COUNTA(条幅!$B$11:$B$310)+COUNTA(条幅4分の1!$B$11:$B$310),"条幅(1/4)","")))</f>
        <v/>
      </c>
      <c r="B133" s="38" t="str">
        <f>IF(IF(128&lt;=COUNTA(半紙!$B$11:$B$310),INDEX(半紙!$B$11:$B$310,128),IF(128&lt;=COUNTA(半紙!$B$11:$B$310)+COUNTA(条幅!$B$11:$B$310),INDEX(条幅!$B$11:$B$310,128-COUNTA(半紙!$B$11:$B$310)),IF(128&lt;=COUNTA(半紙!$B$11:$B$310)+COUNTA(条幅!$B$11:$B$310)+COUNTA(条幅4分の1!$B$11:$B$310),INDEX(条幅4分の1!$B$11:$B$310,128-COUNTA(半紙!$B$11:$B$310)-COUNTA(条幅!$B$11:$B$310)),"")))=0,"",IF(128&lt;=COUNTA(半紙!$B$11:$B$310),INDEX(半紙!$B$11:$B$310,128),IF(128&lt;=COUNTA(半紙!$B$11:$B$310)+COUNTA(条幅!$B$11:$B$310),INDEX(条幅!$B$11:$B$310,128-COUNTA(半紙!$B$11:$B$310)),IF(128&lt;=COUNTA(半紙!$B$11:$B$310)+COUNTA(条幅!$B$11:$B$310)+COUNTA(条幅4分の1!$B$11:$B$310),INDEX(条幅4分の1!$B$11:$B$310,128-COUNTA(半紙!$B$11:$B$310)-COUNTA(条幅!$B$11:$B$310)),""))))</f>
        <v/>
      </c>
      <c r="C133" s="38" t="str">
        <f>IF(IF(128&lt;=COUNTA(半紙!$B$11:$B$310),INDEX(半紙!$C$11:$C$310,128),IF(128&lt;=COUNTA(半紙!$B$11:$B$310)+COUNTA(条幅!$B$11:$B$310),INDEX(条幅!$C$11:$C$310,128-COUNTA(半紙!$B$11:$B$310)),IF(128&lt;=COUNTA(半紙!$B$11:$B$310)+COUNTA(条幅!$B$11:$B$310)+COUNTA(条幅4分の1!$B$11:$B$310),INDEX(条幅4分の1!$C$11:$C$310,128-COUNTA(半紙!$B$11:$B$310)-COUNTA(条幅!$B$11:$B$310)),"")))=0,"",IF(128&lt;=COUNTA(半紙!$B$11:$B$310),INDEX(半紙!$C$11:$C$310,128),IF(128&lt;=COUNTA(半紙!$B$11:$B$310)+COUNTA(条幅!$B$11:$B$310),INDEX(条幅!$C$11:$C$310,128-COUNTA(半紙!$B$11:$B$310)),IF(128&lt;=COUNTA(半紙!$B$11:$B$310)+COUNTA(条幅!$B$11:$B$310)+COUNTA(条幅4分の1!$B$11:$B$310),INDEX(条幅4分の1!$C$11:$C$310,128-COUNTA(半紙!$B$11:$B$310)-COUNTA(条幅!$B$11:$B$310)),""))))</f>
        <v/>
      </c>
      <c r="D133" s="38" t="str">
        <f>IF(IF(128&lt;=COUNTA(半紙!$B$11:$B$310),INDEX(半紙!$D$11:$D$310,128),IF(128&lt;=COUNTA(半紙!$B$11:$B$310)+COUNTA(条幅!$B$11:$B$310),INDEX(条幅!$D$11:$D$310,128-COUNTA(半紙!$B$11:$B$310)),IF(128&lt;=COUNTA(半紙!$B$11:$B$310)+COUNTA(条幅!$B$11:$B$310)+COUNTA(条幅4分の1!$B$11:$B$310),INDEX(条幅4分の1!$D$11:$D$310,128-COUNTA(半紙!$B$11:$B$310)-COUNTA(条幅!$B$11:$B$310)),"")))=0,"",IF(128&lt;=COUNTA(半紙!$B$11:$B$310),INDEX(半紙!$D$11:$D$310,128),IF(128&lt;=COUNTA(半紙!$B$11:$B$310)+COUNTA(条幅!$B$11:$B$310),INDEX(条幅!$D$11:$D$310,128-COUNTA(半紙!$B$11:$B$310)),IF(128&lt;=COUNTA(半紙!$B$11:$B$310)+COUNTA(条幅!$B$11:$B$310)+COUNTA(条幅4分の1!$B$11:$B$310),INDEX(条幅4分の1!$D$11:$D$310,128-COUNTA(半紙!$B$11:$B$310)-COUNTA(条幅!$B$11:$B$310)),""))))</f>
        <v/>
      </c>
      <c r="E133" s="38" t="str">
        <f>IF(IF(128&lt;=COUNTA(半紙!$B$11:$B$310),INDEX(半紙!$E$11:$E$310,128),IF(128&lt;=COUNTA(半紙!$B$11:$B$310)+COUNTA(条幅!$B$11:$B$310),INDEX(条幅!$E$11:$E$310,128-COUNTA(半紙!$B$11:$B$310)),IF(128&lt;=COUNTA(半紙!$B$11:$B$310)+COUNTA(条幅!$B$11:$B$310)+COUNTA(条幅4分の1!$B$11:$B$310),INDEX(条幅4分の1!$E$11:$E$310,128-COUNTA(半紙!$B$11:$B$310)-COUNTA(条幅!$B$11:$B$310)),"")))=0,"",IF(128&lt;=COUNTA(半紙!$B$11:$B$310),INDEX(半紙!$E$11:$E$310,128),IF(128&lt;=COUNTA(半紙!$B$11:$B$310)+COUNTA(条幅!$B$11:$B$310),INDEX(条幅!$E$11:$E$310,128-COUNTA(半紙!$B$11:$B$310)),IF(128&lt;=COUNTA(半紙!$B$11:$B$310)+COUNTA(条幅!$B$11:$B$310)+COUNTA(条幅4分の1!$B$11:$B$310),INDEX(条幅4分の1!$E$11:$E$310,128-COUNTA(半紙!$B$11:$B$310)-COUNTA(条幅!$B$11:$B$310)),""))))</f>
        <v/>
      </c>
      <c r="F133" s="38" t="str">
        <f>IF(IF(128&lt;=COUNTA(半紙!$B$11:$B$310),INDEX(半紙!$F$11:$F$310,128),IF(128&lt;=COUNTA(半紙!$B$11:$B$310)+COUNTA(条幅!$B$11:$B$310),INDEX(条幅!$F$11:$F$310,128-COUNTA(半紙!$B$11:$B$310)),IF(128&lt;=COUNTA(半紙!$B$11:$B$310)+COUNTA(条幅!$B$11:$B$310)+COUNTA(条幅4分の1!$B$11:$B$310),INDEX(条幅4分の1!$F$11:$F$310,128-COUNTA(半紙!$B$11:$B$310)-COUNTA(条幅!$B$11:$B$310)),"")))=0,"",IF(128&lt;=COUNTA(半紙!$B$11:$B$310),INDEX(半紙!$F$11:$F$310,128),IF(128&lt;=COUNTA(半紙!$B$11:$B$310)+COUNTA(条幅!$B$11:$B$310),INDEX(条幅!$F$11:$F$310,128-COUNTA(半紙!$B$11:$B$310)),IF(128&lt;=COUNTA(半紙!$B$11:$B$310)+COUNTA(条幅!$B$11:$B$310)+COUNTA(条幅4分の1!$B$11:$B$310),INDEX(条幅4分の1!$F$11:$F$310,128-COUNTA(半紙!$B$11:$B$310)-COUNTA(条幅!$B$11:$B$310)),""))))</f>
        <v/>
      </c>
      <c r="G133" s="38" t="str">
        <f>IF(IF(128&lt;=COUNTA(半紙!$B$11:$B$310),INDEX(半紙!$G$11:$G$310,128),IF(128&lt;=COUNTA(半紙!$B$11:$B$310)+COUNTA(条幅!$B$11:$B$310),INDEX(条幅!$G$11:$G$310,128-COUNTA(半紙!$B$11:$B$310)),IF(128&lt;=COUNTA(半紙!$B$11:$B$310)+COUNTA(条幅!$B$11:$B$310)+COUNTA(条幅4分の1!$B$11:$B$310),INDEX(条幅4分の1!$G$11:$G$310,128-COUNTA(半紙!$B$11:$B$310)-COUNTA(条幅!$B$11:$B$310)),"")))=0,"",IF(128&lt;=COUNTA(半紙!$B$11:$B$310),INDEX(半紙!$G$11:$G$310,128),IF(128&lt;=COUNTA(半紙!$B$11:$B$310)+COUNTA(条幅!$B$11:$B$310),INDEX(条幅!$G$11:$G$310,128-COUNTA(半紙!$B$11:$B$310)),IF(128&lt;=COUNTA(半紙!$B$11:$B$310)+COUNTA(条幅!$B$11:$B$310)+COUNTA(条幅4分の1!$B$11:$B$310),INDEX(条幅4分の1!$G$11:$G$310,128-COUNTA(半紙!$B$11:$B$310)-COUNTA(条幅!$B$11:$B$310)),""))))</f>
        <v/>
      </c>
      <c r="H133" s="38" t="str">
        <f>IF(IF(128&lt;=COUNTA(半紙!$B$11:$B$310),INDEX(半紙!$H$11:$H$310,128),IF(128&lt;=COUNTA(半紙!$B$11:$B$310)+COUNTA(条幅!$B$11:$B$310),INDEX(条幅!$H$11:$H$310,128-COUNTA(半紙!$B$11:$B$310)),IF(128&lt;=COUNTA(半紙!$B$11:$B$310)+COUNTA(条幅!$B$11:$B$310)+COUNTA(条幅4分の1!$B$11:$B$310),INDEX(条幅4分の1!$H$11:$H$310,128-COUNTA(半紙!$B$11:$B$310)-COUNTA(条幅!$B$11:$B$310)),"")))=0,"",IF(128&lt;=COUNTA(半紙!$B$11:$B$310),INDEX(半紙!$H$11:$H$310,128),IF(128&lt;=COUNTA(半紙!$B$11:$B$310)+COUNTA(条幅!$B$11:$B$310),INDEX(条幅!$H$11:$H$310,128-COUNTA(半紙!$B$11:$B$310)),IF(128&lt;=COUNTA(半紙!$B$11:$B$310)+COUNTA(条幅!$B$11:$B$310)+COUNTA(条幅4分の1!$B$11:$B$310),INDEX(条幅4分の1!$H$11:$H$310,128-COUNTA(半紙!$B$11:$B$310)-COUNTA(条幅!$B$11:$B$310)),""))))</f>
        <v/>
      </c>
      <c r="I133" s="38" t="str">
        <f>IF(IF(128&lt;=COUNTA(半紙!$B$11:$B$310),INDEX(半紙!$I$11:$I$310,128),IF(128&lt;=COUNTA(半紙!$B$11:$B$310)+COUNTA(条幅!$B$11:$B$310),INDEX(条幅!$I$11:$I$310,128-COUNTA(半紙!$B$11:$B$310)),IF(128&lt;=COUNTA(半紙!$B$11:$B$310)+COUNTA(条幅!$B$11:$B$310)+COUNTA(条幅4分の1!$B$11:$B$310),INDEX(条幅4分の1!$I$11:$I$310,128-COUNTA(半紙!$B$11:$B$310)-COUNTA(条幅!$B$11:$B$310)),"")))=0,"",IF(128&lt;=COUNTA(半紙!$B$11:$B$310),INDEX(半紙!$I$11:$I$310,128),IF(128&lt;=COUNTA(半紙!$B$11:$B$310)+COUNTA(条幅!$B$11:$B$310),INDEX(条幅!$I$11:$I$310,128-COUNTA(半紙!$B$11:$B$310)),IF(128&lt;=COUNTA(半紙!$B$11:$B$310)+COUNTA(条幅!$B$11:$B$310)+COUNTA(条幅4分の1!$B$11:$B$310),INDEX(条幅4分の1!$I$11:$I$310,128-COUNTA(半紙!$B$11:$B$310)-COUNTA(条幅!$B$11:$B$310)),""))))</f>
        <v/>
      </c>
      <c r="J133" s="38" t="str">
        <f>IF(IF(128&lt;=COUNTA(半紙!$B$11:$B$310),INDEX(半紙!$J$11:$J$310,128),IF(128&lt;=COUNTA(半紙!$B$11:$B$310)+COUNTA(条幅!$B$11:$B$310),INDEX(条幅!$J$11:$J$310,128-COUNTA(半紙!$B$11:$B$310)),IF(128&lt;=COUNTA(半紙!$B$11:$B$310)+COUNTA(条幅!$B$11:$B$310)+COUNTA(条幅4分の1!$B$11:$B$310),INDEX(条幅4分の1!$J$11:$J$310,128-COUNTA(半紙!$B$11:$B$310)-COUNTA(条幅!$B$11:$B$310)),"")))=0,"",IF(128&lt;=COUNTA(半紙!$B$11:$B$310),INDEX(半紙!$J$11:$J$310,128),IF(128&lt;=COUNTA(半紙!$B$11:$B$310)+COUNTA(条幅!$B$11:$B$310),INDEX(条幅!$J$11:$J$310,128-COUNTA(半紙!$B$11:$B$310)),IF(128&lt;=COUNTA(半紙!$B$11:$B$310)+COUNTA(条幅!$B$11:$B$310)+COUNTA(条幅4分の1!$B$11:$B$310),INDEX(条幅4分の1!$J$11:$J$310,128-COUNTA(半紙!$B$11:$B$310)-COUNTA(条幅!$B$11:$B$310)),""))))</f>
        <v/>
      </c>
      <c r="K133" s="38" t="str">
        <f>IF(IF(128&lt;=COUNTA(半紙!$B$11:$B$310),INDEX(半紙!$K$11:$K$310,128),IF(128&lt;=COUNTA(半紙!$B$11:$B$310)+COUNTA(条幅!$B$11:$B$310),INDEX(条幅!$K$11:$K$310,128-COUNTA(半紙!$B$11:$B$310)),IF(128&lt;=COUNTA(半紙!$B$11:$B$310)+COUNTA(条幅!$B$11:$B$310)+COUNTA(条幅4分の1!$B$11:$B$310),INDEX(条幅4分の1!$K$11:$K$310,128-COUNTA(半紙!$B$11:$B$310)-COUNTA(条幅!$B$11:$B$310)),"")))=0,"",IF(128&lt;=COUNTA(半紙!$B$11:$B$310),INDEX(半紙!$K$11:$K$310,128),IF(128&lt;=COUNTA(半紙!$B$11:$B$310)+COUNTA(条幅!$B$11:$B$310),INDEX(条幅!$K$11:$K$310,128-COUNTA(半紙!$B$11:$B$310)),IF(128&lt;=COUNTA(半紙!$B$11:$B$310)+COUNTA(条幅!$B$11:$B$310)+COUNTA(条幅4分の1!$B$11:$B$310),INDEX(条幅4分の1!$K$11:$K$310,128-COUNTA(半紙!$B$11:$B$310)-COUNTA(条幅!$B$11:$B$310)),""))))</f>
        <v/>
      </c>
      <c r="L133" s="48" t="str">
        <f>IF($B133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128))</f>
        <v/>
      </c>
    </row>
    <row r="134" spans="1:12" ht="15" customHeight="1">
      <c r="A134" s="37" t="str">
        <f>IF(129&lt;=COUNTA(半紙!$B$11:$B$310),"半紙",IF(129&lt;=COUNTA(半紙!$B$11:$B$310)+COUNTA(条幅!$B$11:$B$310),"条幅(半切)",IF(129&lt;=COUNTA(半紙!$B$11:$B$310)+COUNTA(条幅!$B$11:$B$310)+COUNTA(条幅4分の1!$B$11:$B$310),"条幅(1/4)","")))</f>
        <v/>
      </c>
      <c r="B134" s="38" t="str">
        <f>IF(IF(129&lt;=COUNTA(半紙!$B$11:$B$310),INDEX(半紙!$B$11:$B$310,129),IF(129&lt;=COUNTA(半紙!$B$11:$B$310)+COUNTA(条幅!$B$11:$B$310),INDEX(条幅!$B$11:$B$310,129-COUNTA(半紙!$B$11:$B$310)),IF(129&lt;=COUNTA(半紙!$B$11:$B$310)+COUNTA(条幅!$B$11:$B$310)+COUNTA(条幅4分の1!$B$11:$B$310),INDEX(条幅4分の1!$B$11:$B$310,129-COUNTA(半紙!$B$11:$B$310)-COUNTA(条幅!$B$11:$B$310)),"")))=0,"",IF(129&lt;=COUNTA(半紙!$B$11:$B$310),INDEX(半紙!$B$11:$B$310,129),IF(129&lt;=COUNTA(半紙!$B$11:$B$310)+COUNTA(条幅!$B$11:$B$310),INDEX(条幅!$B$11:$B$310,129-COUNTA(半紙!$B$11:$B$310)),IF(129&lt;=COUNTA(半紙!$B$11:$B$310)+COUNTA(条幅!$B$11:$B$310)+COUNTA(条幅4分の1!$B$11:$B$310),INDEX(条幅4分の1!$B$11:$B$310,129-COUNTA(半紙!$B$11:$B$310)-COUNTA(条幅!$B$11:$B$310)),""))))</f>
        <v/>
      </c>
      <c r="C134" s="38" t="str">
        <f>IF(IF(129&lt;=COUNTA(半紙!$B$11:$B$310),INDEX(半紙!$C$11:$C$310,129),IF(129&lt;=COUNTA(半紙!$B$11:$B$310)+COUNTA(条幅!$B$11:$B$310),INDEX(条幅!$C$11:$C$310,129-COUNTA(半紙!$B$11:$B$310)),IF(129&lt;=COUNTA(半紙!$B$11:$B$310)+COUNTA(条幅!$B$11:$B$310)+COUNTA(条幅4分の1!$B$11:$B$310),INDEX(条幅4分の1!$C$11:$C$310,129-COUNTA(半紙!$B$11:$B$310)-COUNTA(条幅!$B$11:$B$310)),"")))=0,"",IF(129&lt;=COUNTA(半紙!$B$11:$B$310),INDEX(半紙!$C$11:$C$310,129),IF(129&lt;=COUNTA(半紙!$B$11:$B$310)+COUNTA(条幅!$B$11:$B$310),INDEX(条幅!$C$11:$C$310,129-COUNTA(半紙!$B$11:$B$310)),IF(129&lt;=COUNTA(半紙!$B$11:$B$310)+COUNTA(条幅!$B$11:$B$310)+COUNTA(条幅4分の1!$B$11:$B$310),INDEX(条幅4分の1!$C$11:$C$310,129-COUNTA(半紙!$B$11:$B$310)-COUNTA(条幅!$B$11:$B$310)),""))))</f>
        <v/>
      </c>
      <c r="D134" s="38" t="str">
        <f>IF(IF(129&lt;=COUNTA(半紙!$B$11:$B$310),INDEX(半紙!$D$11:$D$310,129),IF(129&lt;=COUNTA(半紙!$B$11:$B$310)+COUNTA(条幅!$B$11:$B$310),INDEX(条幅!$D$11:$D$310,129-COUNTA(半紙!$B$11:$B$310)),IF(129&lt;=COUNTA(半紙!$B$11:$B$310)+COUNTA(条幅!$B$11:$B$310)+COUNTA(条幅4分の1!$B$11:$B$310),INDEX(条幅4分の1!$D$11:$D$310,129-COUNTA(半紙!$B$11:$B$310)-COUNTA(条幅!$B$11:$B$310)),"")))=0,"",IF(129&lt;=COUNTA(半紙!$B$11:$B$310),INDEX(半紙!$D$11:$D$310,129),IF(129&lt;=COUNTA(半紙!$B$11:$B$310)+COUNTA(条幅!$B$11:$B$310),INDEX(条幅!$D$11:$D$310,129-COUNTA(半紙!$B$11:$B$310)),IF(129&lt;=COUNTA(半紙!$B$11:$B$310)+COUNTA(条幅!$B$11:$B$310)+COUNTA(条幅4分の1!$B$11:$B$310),INDEX(条幅4分の1!$D$11:$D$310,129-COUNTA(半紙!$B$11:$B$310)-COUNTA(条幅!$B$11:$B$310)),""))))</f>
        <v/>
      </c>
      <c r="E134" s="38" t="str">
        <f>IF(IF(129&lt;=COUNTA(半紙!$B$11:$B$310),INDEX(半紙!$E$11:$E$310,129),IF(129&lt;=COUNTA(半紙!$B$11:$B$310)+COUNTA(条幅!$B$11:$B$310),INDEX(条幅!$E$11:$E$310,129-COUNTA(半紙!$B$11:$B$310)),IF(129&lt;=COUNTA(半紙!$B$11:$B$310)+COUNTA(条幅!$B$11:$B$310)+COUNTA(条幅4分の1!$B$11:$B$310),INDEX(条幅4分の1!$E$11:$E$310,129-COUNTA(半紙!$B$11:$B$310)-COUNTA(条幅!$B$11:$B$310)),"")))=0,"",IF(129&lt;=COUNTA(半紙!$B$11:$B$310),INDEX(半紙!$E$11:$E$310,129),IF(129&lt;=COUNTA(半紙!$B$11:$B$310)+COUNTA(条幅!$B$11:$B$310),INDEX(条幅!$E$11:$E$310,129-COUNTA(半紙!$B$11:$B$310)),IF(129&lt;=COUNTA(半紙!$B$11:$B$310)+COUNTA(条幅!$B$11:$B$310)+COUNTA(条幅4分の1!$B$11:$B$310),INDEX(条幅4分の1!$E$11:$E$310,129-COUNTA(半紙!$B$11:$B$310)-COUNTA(条幅!$B$11:$B$310)),""))))</f>
        <v/>
      </c>
      <c r="F134" s="38" t="str">
        <f>IF(IF(129&lt;=COUNTA(半紙!$B$11:$B$310),INDEX(半紙!$F$11:$F$310,129),IF(129&lt;=COUNTA(半紙!$B$11:$B$310)+COUNTA(条幅!$B$11:$B$310),INDEX(条幅!$F$11:$F$310,129-COUNTA(半紙!$B$11:$B$310)),IF(129&lt;=COUNTA(半紙!$B$11:$B$310)+COUNTA(条幅!$B$11:$B$310)+COUNTA(条幅4分の1!$B$11:$B$310),INDEX(条幅4分の1!$F$11:$F$310,129-COUNTA(半紙!$B$11:$B$310)-COUNTA(条幅!$B$11:$B$310)),"")))=0,"",IF(129&lt;=COUNTA(半紙!$B$11:$B$310),INDEX(半紙!$F$11:$F$310,129),IF(129&lt;=COUNTA(半紙!$B$11:$B$310)+COUNTA(条幅!$B$11:$B$310),INDEX(条幅!$F$11:$F$310,129-COUNTA(半紙!$B$11:$B$310)),IF(129&lt;=COUNTA(半紙!$B$11:$B$310)+COUNTA(条幅!$B$11:$B$310)+COUNTA(条幅4分の1!$B$11:$B$310),INDEX(条幅4分の1!$F$11:$F$310,129-COUNTA(半紙!$B$11:$B$310)-COUNTA(条幅!$B$11:$B$310)),""))))</f>
        <v/>
      </c>
      <c r="G134" s="38" t="str">
        <f>IF(IF(129&lt;=COUNTA(半紙!$B$11:$B$310),INDEX(半紙!$G$11:$G$310,129),IF(129&lt;=COUNTA(半紙!$B$11:$B$310)+COUNTA(条幅!$B$11:$B$310),INDEX(条幅!$G$11:$G$310,129-COUNTA(半紙!$B$11:$B$310)),IF(129&lt;=COUNTA(半紙!$B$11:$B$310)+COUNTA(条幅!$B$11:$B$310)+COUNTA(条幅4分の1!$B$11:$B$310),INDEX(条幅4分の1!$G$11:$G$310,129-COUNTA(半紙!$B$11:$B$310)-COUNTA(条幅!$B$11:$B$310)),"")))=0,"",IF(129&lt;=COUNTA(半紙!$B$11:$B$310),INDEX(半紙!$G$11:$G$310,129),IF(129&lt;=COUNTA(半紙!$B$11:$B$310)+COUNTA(条幅!$B$11:$B$310),INDEX(条幅!$G$11:$G$310,129-COUNTA(半紙!$B$11:$B$310)),IF(129&lt;=COUNTA(半紙!$B$11:$B$310)+COUNTA(条幅!$B$11:$B$310)+COUNTA(条幅4分の1!$B$11:$B$310),INDEX(条幅4分の1!$G$11:$G$310,129-COUNTA(半紙!$B$11:$B$310)-COUNTA(条幅!$B$11:$B$310)),""))))</f>
        <v/>
      </c>
      <c r="H134" s="38" t="str">
        <f>IF(IF(129&lt;=COUNTA(半紙!$B$11:$B$310),INDEX(半紙!$H$11:$H$310,129),IF(129&lt;=COUNTA(半紙!$B$11:$B$310)+COUNTA(条幅!$B$11:$B$310),INDEX(条幅!$H$11:$H$310,129-COUNTA(半紙!$B$11:$B$310)),IF(129&lt;=COUNTA(半紙!$B$11:$B$310)+COUNTA(条幅!$B$11:$B$310)+COUNTA(条幅4分の1!$B$11:$B$310),INDEX(条幅4分の1!$H$11:$H$310,129-COUNTA(半紙!$B$11:$B$310)-COUNTA(条幅!$B$11:$B$310)),"")))=0,"",IF(129&lt;=COUNTA(半紙!$B$11:$B$310),INDEX(半紙!$H$11:$H$310,129),IF(129&lt;=COUNTA(半紙!$B$11:$B$310)+COUNTA(条幅!$B$11:$B$310),INDEX(条幅!$H$11:$H$310,129-COUNTA(半紙!$B$11:$B$310)),IF(129&lt;=COUNTA(半紙!$B$11:$B$310)+COUNTA(条幅!$B$11:$B$310)+COUNTA(条幅4分の1!$B$11:$B$310),INDEX(条幅4分の1!$H$11:$H$310,129-COUNTA(半紙!$B$11:$B$310)-COUNTA(条幅!$B$11:$B$310)),""))))</f>
        <v/>
      </c>
      <c r="I134" s="38" t="str">
        <f>IF(IF(129&lt;=COUNTA(半紙!$B$11:$B$310),INDEX(半紙!$I$11:$I$310,129),IF(129&lt;=COUNTA(半紙!$B$11:$B$310)+COUNTA(条幅!$B$11:$B$310),INDEX(条幅!$I$11:$I$310,129-COUNTA(半紙!$B$11:$B$310)),IF(129&lt;=COUNTA(半紙!$B$11:$B$310)+COUNTA(条幅!$B$11:$B$310)+COUNTA(条幅4分の1!$B$11:$B$310),INDEX(条幅4分の1!$I$11:$I$310,129-COUNTA(半紙!$B$11:$B$310)-COUNTA(条幅!$B$11:$B$310)),"")))=0,"",IF(129&lt;=COUNTA(半紙!$B$11:$B$310),INDEX(半紙!$I$11:$I$310,129),IF(129&lt;=COUNTA(半紙!$B$11:$B$310)+COUNTA(条幅!$B$11:$B$310),INDEX(条幅!$I$11:$I$310,129-COUNTA(半紙!$B$11:$B$310)),IF(129&lt;=COUNTA(半紙!$B$11:$B$310)+COUNTA(条幅!$B$11:$B$310)+COUNTA(条幅4分の1!$B$11:$B$310),INDEX(条幅4分の1!$I$11:$I$310,129-COUNTA(半紙!$B$11:$B$310)-COUNTA(条幅!$B$11:$B$310)),""))))</f>
        <v/>
      </c>
      <c r="J134" s="38" t="str">
        <f>IF(IF(129&lt;=COUNTA(半紙!$B$11:$B$310),INDEX(半紙!$J$11:$J$310,129),IF(129&lt;=COUNTA(半紙!$B$11:$B$310)+COUNTA(条幅!$B$11:$B$310),INDEX(条幅!$J$11:$J$310,129-COUNTA(半紙!$B$11:$B$310)),IF(129&lt;=COUNTA(半紙!$B$11:$B$310)+COUNTA(条幅!$B$11:$B$310)+COUNTA(条幅4分の1!$B$11:$B$310),INDEX(条幅4分の1!$J$11:$J$310,129-COUNTA(半紙!$B$11:$B$310)-COUNTA(条幅!$B$11:$B$310)),"")))=0,"",IF(129&lt;=COUNTA(半紙!$B$11:$B$310),INDEX(半紙!$J$11:$J$310,129),IF(129&lt;=COUNTA(半紙!$B$11:$B$310)+COUNTA(条幅!$B$11:$B$310),INDEX(条幅!$J$11:$J$310,129-COUNTA(半紙!$B$11:$B$310)),IF(129&lt;=COUNTA(半紙!$B$11:$B$310)+COUNTA(条幅!$B$11:$B$310)+COUNTA(条幅4分の1!$B$11:$B$310),INDEX(条幅4分の1!$J$11:$J$310,129-COUNTA(半紙!$B$11:$B$310)-COUNTA(条幅!$B$11:$B$310)),""))))</f>
        <v/>
      </c>
      <c r="K134" s="38" t="str">
        <f>IF(IF(129&lt;=COUNTA(半紙!$B$11:$B$310),INDEX(半紙!$K$11:$K$310,129),IF(129&lt;=COUNTA(半紙!$B$11:$B$310)+COUNTA(条幅!$B$11:$B$310),INDEX(条幅!$K$11:$K$310,129-COUNTA(半紙!$B$11:$B$310)),IF(129&lt;=COUNTA(半紙!$B$11:$B$310)+COUNTA(条幅!$B$11:$B$310)+COUNTA(条幅4分の1!$B$11:$B$310),INDEX(条幅4分の1!$K$11:$K$310,129-COUNTA(半紙!$B$11:$B$310)-COUNTA(条幅!$B$11:$B$310)),"")))=0,"",IF(129&lt;=COUNTA(半紙!$B$11:$B$310),INDEX(半紙!$K$11:$K$310,129),IF(129&lt;=COUNTA(半紙!$B$11:$B$310)+COUNTA(条幅!$B$11:$B$310),INDEX(条幅!$K$11:$K$310,129-COUNTA(半紙!$B$11:$B$310)),IF(129&lt;=COUNTA(半紙!$B$11:$B$310)+COUNTA(条幅!$B$11:$B$310)+COUNTA(条幅4分の1!$B$11:$B$310),INDEX(条幅4分の1!$K$11:$K$310,129-COUNTA(半紙!$B$11:$B$310)-COUNTA(条幅!$B$11:$B$310)),""))))</f>
        <v/>
      </c>
      <c r="L134" s="48" t="str">
        <f>IF($B134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129))</f>
        <v/>
      </c>
    </row>
    <row r="135" spans="1:12" ht="15" customHeight="1">
      <c r="A135" s="37" t="str">
        <f>IF(130&lt;=COUNTA(半紙!$B$11:$B$310),"半紙",IF(130&lt;=COUNTA(半紙!$B$11:$B$310)+COUNTA(条幅!$B$11:$B$310),"条幅(半切)",IF(130&lt;=COUNTA(半紙!$B$11:$B$310)+COUNTA(条幅!$B$11:$B$310)+COUNTA(条幅4分の1!$B$11:$B$310),"条幅(1/4)","")))</f>
        <v/>
      </c>
      <c r="B135" s="38" t="str">
        <f>IF(IF(130&lt;=COUNTA(半紙!$B$11:$B$310),INDEX(半紙!$B$11:$B$310,130),IF(130&lt;=COUNTA(半紙!$B$11:$B$310)+COUNTA(条幅!$B$11:$B$310),INDEX(条幅!$B$11:$B$310,130-COUNTA(半紙!$B$11:$B$310)),IF(130&lt;=COUNTA(半紙!$B$11:$B$310)+COUNTA(条幅!$B$11:$B$310)+COUNTA(条幅4分の1!$B$11:$B$310),INDEX(条幅4分の1!$B$11:$B$310,130-COUNTA(半紙!$B$11:$B$310)-COUNTA(条幅!$B$11:$B$310)),"")))=0,"",IF(130&lt;=COUNTA(半紙!$B$11:$B$310),INDEX(半紙!$B$11:$B$310,130),IF(130&lt;=COUNTA(半紙!$B$11:$B$310)+COUNTA(条幅!$B$11:$B$310),INDEX(条幅!$B$11:$B$310,130-COUNTA(半紙!$B$11:$B$310)),IF(130&lt;=COUNTA(半紙!$B$11:$B$310)+COUNTA(条幅!$B$11:$B$310)+COUNTA(条幅4分の1!$B$11:$B$310),INDEX(条幅4分の1!$B$11:$B$310,130-COUNTA(半紙!$B$11:$B$310)-COUNTA(条幅!$B$11:$B$310)),""))))</f>
        <v/>
      </c>
      <c r="C135" s="38" t="str">
        <f>IF(IF(130&lt;=COUNTA(半紙!$B$11:$B$310),INDEX(半紙!$C$11:$C$310,130),IF(130&lt;=COUNTA(半紙!$B$11:$B$310)+COUNTA(条幅!$B$11:$B$310),INDEX(条幅!$C$11:$C$310,130-COUNTA(半紙!$B$11:$B$310)),IF(130&lt;=COUNTA(半紙!$B$11:$B$310)+COUNTA(条幅!$B$11:$B$310)+COUNTA(条幅4分の1!$B$11:$B$310),INDEX(条幅4分の1!$C$11:$C$310,130-COUNTA(半紙!$B$11:$B$310)-COUNTA(条幅!$B$11:$B$310)),"")))=0,"",IF(130&lt;=COUNTA(半紙!$B$11:$B$310),INDEX(半紙!$C$11:$C$310,130),IF(130&lt;=COUNTA(半紙!$B$11:$B$310)+COUNTA(条幅!$B$11:$B$310),INDEX(条幅!$C$11:$C$310,130-COUNTA(半紙!$B$11:$B$310)),IF(130&lt;=COUNTA(半紙!$B$11:$B$310)+COUNTA(条幅!$B$11:$B$310)+COUNTA(条幅4分の1!$B$11:$B$310),INDEX(条幅4分の1!$C$11:$C$310,130-COUNTA(半紙!$B$11:$B$310)-COUNTA(条幅!$B$11:$B$310)),""))))</f>
        <v/>
      </c>
      <c r="D135" s="38" t="str">
        <f>IF(IF(130&lt;=COUNTA(半紙!$B$11:$B$310),INDEX(半紙!$D$11:$D$310,130),IF(130&lt;=COUNTA(半紙!$B$11:$B$310)+COUNTA(条幅!$B$11:$B$310),INDEX(条幅!$D$11:$D$310,130-COUNTA(半紙!$B$11:$B$310)),IF(130&lt;=COUNTA(半紙!$B$11:$B$310)+COUNTA(条幅!$B$11:$B$310)+COUNTA(条幅4分の1!$B$11:$B$310),INDEX(条幅4分の1!$D$11:$D$310,130-COUNTA(半紙!$B$11:$B$310)-COUNTA(条幅!$B$11:$B$310)),"")))=0,"",IF(130&lt;=COUNTA(半紙!$B$11:$B$310),INDEX(半紙!$D$11:$D$310,130),IF(130&lt;=COUNTA(半紙!$B$11:$B$310)+COUNTA(条幅!$B$11:$B$310),INDEX(条幅!$D$11:$D$310,130-COUNTA(半紙!$B$11:$B$310)),IF(130&lt;=COUNTA(半紙!$B$11:$B$310)+COUNTA(条幅!$B$11:$B$310)+COUNTA(条幅4分の1!$B$11:$B$310),INDEX(条幅4分の1!$D$11:$D$310,130-COUNTA(半紙!$B$11:$B$310)-COUNTA(条幅!$B$11:$B$310)),""))))</f>
        <v/>
      </c>
      <c r="E135" s="38" t="str">
        <f>IF(IF(130&lt;=COUNTA(半紙!$B$11:$B$310),INDEX(半紙!$E$11:$E$310,130),IF(130&lt;=COUNTA(半紙!$B$11:$B$310)+COUNTA(条幅!$B$11:$B$310),INDEX(条幅!$E$11:$E$310,130-COUNTA(半紙!$B$11:$B$310)),IF(130&lt;=COUNTA(半紙!$B$11:$B$310)+COUNTA(条幅!$B$11:$B$310)+COUNTA(条幅4分の1!$B$11:$B$310),INDEX(条幅4分の1!$E$11:$E$310,130-COUNTA(半紙!$B$11:$B$310)-COUNTA(条幅!$B$11:$B$310)),"")))=0,"",IF(130&lt;=COUNTA(半紙!$B$11:$B$310),INDEX(半紙!$E$11:$E$310,130),IF(130&lt;=COUNTA(半紙!$B$11:$B$310)+COUNTA(条幅!$B$11:$B$310),INDEX(条幅!$E$11:$E$310,130-COUNTA(半紙!$B$11:$B$310)),IF(130&lt;=COUNTA(半紙!$B$11:$B$310)+COUNTA(条幅!$B$11:$B$310)+COUNTA(条幅4分の1!$B$11:$B$310),INDEX(条幅4分の1!$E$11:$E$310,130-COUNTA(半紙!$B$11:$B$310)-COUNTA(条幅!$B$11:$B$310)),""))))</f>
        <v/>
      </c>
      <c r="F135" s="38" t="str">
        <f>IF(IF(130&lt;=COUNTA(半紙!$B$11:$B$310),INDEX(半紙!$F$11:$F$310,130),IF(130&lt;=COUNTA(半紙!$B$11:$B$310)+COUNTA(条幅!$B$11:$B$310),INDEX(条幅!$F$11:$F$310,130-COUNTA(半紙!$B$11:$B$310)),IF(130&lt;=COUNTA(半紙!$B$11:$B$310)+COUNTA(条幅!$B$11:$B$310)+COUNTA(条幅4分の1!$B$11:$B$310),INDEX(条幅4分の1!$F$11:$F$310,130-COUNTA(半紙!$B$11:$B$310)-COUNTA(条幅!$B$11:$B$310)),"")))=0,"",IF(130&lt;=COUNTA(半紙!$B$11:$B$310),INDEX(半紙!$F$11:$F$310,130),IF(130&lt;=COUNTA(半紙!$B$11:$B$310)+COUNTA(条幅!$B$11:$B$310),INDEX(条幅!$F$11:$F$310,130-COUNTA(半紙!$B$11:$B$310)),IF(130&lt;=COUNTA(半紙!$B$11:$B$310)+COUNTA(条幅!$B$11:$B$310)+COUNTA(条幅4分の1!$B$11:$B$310),INDEX(条幅4分の1!$F$11:$F$310,130-COUNTA(半紙!$B$11:$B$310)-COUNTA(条幅!$B$11:$B$310)),""))))</f>
        <v/>
      </c>
      <c r="G135" s="38" t="str">
        <f>IF(IF(130&lt;=COUNTA(半紙!$B$11:$B$310),INDEX(半紙!$G$11:$G$310,130),IF(130&lt;=COUNTA(半紙!$B$11:$B$310)+COUNTA(条幅!$B$11:$B$310),INDEX(条幅!$G$11:$G$310,130-COUNTA(半紙!$B$11:$B$310)),IF(130&lt;=COUNTA(半紙!$B$11:$B$310)+COUNTA(条幅!$B$11:$B$310)+COUNTA(条幅4分の1!$B$11:$B$310),INDEX(条幅4分の1!$G$11:$G$310,130-COUNTA(半紙!$B$11:$B$310)-COUNTA(条幅!$B$11:$B$310)),"")))=0,"",IF(130&lt;=COUNTA(半紙!$B$11:$B$310),INDEX(半紙!$G$11:$G$310,130),IF(130&lt;=COUNTA(半紙!$B$11:$B$310)+COUNTA(条幅!$B$11:$B$310),INDEX(条幅!$G$11:$G$310,130-COUNTA(半紙!$B$11:$B$310)),IF(130&lt;=COUNTA(半紙!$B$11:$B$310)+COUNTA(条幅!$B$11:$B$310)+COUNTA(条幅4分の1!$B$11:$B$310),INDEX(条幅4分の1!$G$11:$G$310,130-COUNTA(半紙!$B$11:$B$310)-COUNTA(条幅!$B$11:$B$310)),""))))</f>
        <v/>
      </c>
      <c r="H135" s="38" t="str">
        <f>IF(IF(130&lt;=COUNTA(半紙!$B$11:$B$310),INDEX(半紙!$H$11:$H$310,130),IF(130&lt;=COUNTA(半紙!$B$11:$B$310)+COUNTA(条幅!$B$11:$B$310),INDEX(条幅!$H$11:$H$310,130-COUNTA(半紙!$B$11:$B$310)),IF(130&lt;=COUNTA(半紙!$B$11:$B$310)+COUNTA(条幅!$B$11:$B$310)+COUNTA(条幅4分の1!$B$11:$B$310),INDEX(条幅4分の1!$H$11:$H$310,130-COUNTA(半紙!$B$11:$B$310)-COUNTA(条幅!$B$11:$B$310)),"")))=0,"",IF(130&lt;=COUNTA(半紙!$B$11:$B$310),INDEX(半紙!$H$11:$H$310,130),IF(130&lt;=COUNTA(半紙!$B$11:$B$310)+COUNTA(条幅!$B$11:$B$310),INDEX(条幅!$H$11:$H$310,130-COUNTA(半紙!$B$11:$B$310)),IF(130&lt;=COUNTA(半紙!$B$11:$B$310)+COUNTA(条幅!$B$11:$B$310)+COUNTA(条幅4分の1!$B$11:$B$310),INDEX(条幅4分の1!$H$11:$H$310,130-COUNTA(半紙!$B$11:$B$310)-COUNTA(条幅!$B$11:$B$310)),""))))</f>
        <v/>
      </c>
      <c r="I135" s="38" t="str">
        <f>IF(IF(130&lt;=COUNTA(半紙!$B$11:$B$310),INDEX(半紙!$I$11:$I$310,130),IF(130&lt;=COUNTA(半紙!$B$11:$B$310)+COUNTA(条幅!$B$11:$B$310),INDEX(条幅!$I$11:$I$310,130-COUNTA(半紙!$B$11:$B$310)),IF(130&lt;=COUNTA(半紙!$B$11:$B$310)+COUNTA(条幅!$B$11:$B$310)+COUNTA(条幅4分の1!$B$11:$B$310),INDEX(条幅4分の1!$I$11:$I$310,130-COUNTA(半紙!$B$11:$B$310)-COUNTA(条幅!$B$11:$B$310)),"")))=0,"",IF(130&lt;=COUNTA(半紙!$B$11:$B$310),INDEX(半紙!$I$11:$I$310,130),IF(130&lt;=COUNTA(半紙!$B$11:$B$310)+COUNTA(条幅!$B$11:$B$310),INDEX(条幅!$I$11:$I$310,130-COUNTA(半紙!$B$11:$B$310)),IF(130&lt;=COUNTA(半紙!$B$11:$B$310)+COUNTA(条幅!$B$11:$B$310)+COUNTA(条幅4分の1!$B$11:$B$310),INDEX(条幅4分の1!$I$11:$I$310,130-COUNTA(半紙!$B$11:$B$310)-COUNTA(条幅!$B$11:$B$310)),""))))</f>
        <v/>
      </c>
      <c r="J135" s="38" t="str">
        <f>IF(IF(130&lt;=COUNTA(半紙!$B$11:$B$310),INDEX(半紙!$J$11:$J$310,130),IF(130&lt;=COUNTA(半紙!$B$11:$B$310)+COUNTA(条幅!$B$11:$B$310),INDEX(条幅!$J$11:$J$310,130-COUNTA(半紙!$B$11:$B$310)),IF(130&lt;=COUNTA(半紙!$B$11:$B$310)+COUNTA(条幅!$B$11:$B$310)+COUNTA(条幅4分の1!$B$11:$B$310),INDEX(条幅4分の1!$J$11:$J$310,130-COUNTA(半紙!$B$11:$B$310)-COUNTA(条幅!$B$11:$B$310)),"")))=0,"",IF(130&lt;=COUNTA(半紙!$B$11:$B$310),INDEX(半紙!$J$11:$J$310,130),IF(130&lt;=COUNTA(半紙!$B$11:$B$310)+COUNTA(条幅!$B$11:$B$310),INDEX(条幅!$J$11:$J$310,130-COUNTA(半紙!$B$11:$B$310)),IF(130&lt;=COUNTA(半紙!$B$11:$B$310)+COUNTA(条幅!$B$11:$B$310)+COUNTA(条幅4分の1!$B$11:$B$310),INDEX(条幅4分の1!$J$11:$J$310,130-COUNTA(半紙!$B$11:$B$310)-COUNTA(条幅!$B$11:$B$310)),""))))</f>
        <v/>
      </c>
      <c r="K135" s="38" t="str">
        <f>IF(IF(130&lt;=COUNTA(半紙!$B$11:$B$310),INDEX(半紙!$K$11:$K$310,130),IF(130&lt;=COUNTA(半紙!$B$11:$B$310)+COUNTA(条幅!$B$11:$B$310),INDEX(条幅!$K$11:$K$310,130-COUNTA(半紙!$B$11:$B$310)),IF(130&lt;=COUNTA(半紙!$B$11:$B$310)+COUNTA(条幅!$B$11:$B$310)+COUNTA(条幅4分の1!$B$11:$B$310),INDEX(条幅4分の1!$K$11:$K$310,130-COUNTA(半紙!$B$11:$B$310)-COUNTA(条幅!$B$11:$B$310)),"")))=0,"",IF(130&lt;=COUNTA(半紙!$B$11:$B$310),INDEX(半紙!$K$11:$K$310,130),IF(130&lt;=COUNTA(半紙!$B$11:$B$310)+COUNTA(条幅!$B$11:$B$310),INDEX(条幅!$K$11:$K$310,130-COUNTA(半紙!$B$11:$B$310)),IF(130&lt;=COUNTA(半紙!$B$11:$B$310)+COUNTA(条幅!$B$11:$B$310)+COUNTA(条幅4分の1!$B$11:$B$310),INDEX(条幅4分の1!$K$11:$K$310,130-COUNTA(半紙!$B$11:$B$310)-COUNTA(条幅!$B$11:$B$310)),""))))</f>
        <v/>
      </c>
      <c r="L135" s="48" t="str">
        <f>IF($B135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130))</f>
        <v/>
      </c>
    </row>
    <row r="136" spans="1:12" ht="15" customHeight="1">
      <c r="A136" s="37" t="str">
        <f>IF(131&lt;=COUNTA(半紙!$B$11:$B$310),"半紙",IF(131&lt;=COUNTA(半紙!$B$11:$B$310)+COUNTA(条幅!$B$11:$B$310),"条幅(半切)",IF(131&lt;=COUNTA(半紙!$B$11:$B$310)+COUNTA(条幅!$B$11:$B$310)+COUNTA(条幅4分の1!$B$11:$B$310),"条幅(1/4)","")))</f>
        <v/>
      </c>
      <c r="B136" s="38" t="str">
        <f>IF(IF(131&lt;=COUNTA(半紙!$B$11:$B$310),INDEX(半紙!$B$11:$B$310,131),IF(131&lt;=COUNTA(半紙!$B$11:$B$310)+COUNTA(条幅!$B$11:$B$310),INDEX(条幅!$B$11:$B$310,131-COUNTA(半紙!$B$11:$B$310)),IF(131&lt;=COUNTA(半紙!$B$11:$B$310)+COUNTA(条幅!$B$11:$B$310)+COUNTA(条幅4分の1!$B$11:$B$310),INDEX(条幅4分の1!$B$11:$B$310,131-COUNTA(半紙!$B$11:$B$310)-COUNTA(条幅!$B$11:$B$310)),"")))=0,"",IF(131&lt;=COUNTA(半紙!$B$11:$B$310),INDEX(半紙!$B$11:$B$310,131),IF(131&lt;=COUNTA(半紙!$B$11:$B$310)+COUNTA(条幅!$B$11:$B$310),INDEX(条幅!$B$11:$B$310,131-COUNTA(半紙!$B$11:$B$310)),IF(131&lt;=COUNTA(半紙!$B$11:$B$310)+COUNTA(条幅!$B$11:$B$310)+COUNTA(条幅4分の1!$B$11:$B$310),INDEX(条幅4分の1!$B$11:$B$310,131-COUNTA(半紙!$B$11:$B$310)-COUNTA(条幅!$B$11:$B$310)),""))))</f>
        <v/>
      </c>
      <c r="C136" s="38" t="str">
        <f>IF(IF(131&lt;=COUNTA(半紙!$B$11:$B$310),INDEX(半紙!$C$11:$C$310,131),IF(131&lt;=COUNTA(半紙!$B$11:$B$310)+COUNTA(条幅!$B$11:$B$310),INDEX(条幅!$C$11:$C$310,131-COUNTA(半紙!$B$11:$B$310)),IF(131&lt;=COUNTA(半紙!$B$11:$B$310)+COUNTA(条幅!$B$11:$B$310)+COUNTA(条幅4分の1!$B$11:$B$310),INDEX(条幅4分の1!$C$11:$C$310,131-COUNTA(半紙!$B$11:$B$310)-COUNTA(条幅!$B$11:$B$310)),"")))=0,"",IF(131&lt;=COUNTA(半紙!$B$11:$B$310),INDEX(半紙!$C$11:$C$310,131),IF(131&lt;=COUNTA(半紙!$B$11:$B$310)+COUNTA(条幅!$B$11:$B$310),INDEX(条幅!$C$11:$C$310,131-COUNTA(半紙!$B$11:$B$310)),IF(131&lt;=COUNTA(半紙!$B$11:$B$310)+COUNTA(条幅!$B$11:$B$310)+COUNTA(条幅4分の1!$B$11:$B$310),INDEX(条幅4分の1!$C$11:$C$310,131-COUNTA(半紙!$B$11:$B$310)-COUNTA(条幅!$B$11:$B$310)),""))))</f>
        <v/>
      </c>
      <c r="D136" s="38" t="str">
        <f>IF(IF(131&lt;=COUNTA(半紙!$B$11:$B$310),INDEX(半紙!$D$11:$D$310,131),IF(131&lt;=COUNTA(半紙!$B$11:$B$310)+COUNTA(条幅!$B$11:$B$310),INDEX(条幅!$D$11:$D$310,131-COUNTA(半紙!$B$11:$B$310)),IF(131&lt;=COUNTA(半紙!$B$11:$B$310)+COUNTA(条幅!$B$11:$B$310)+COUNTA(条幅4分の1!$B$11:$B$310),INDEX(条幅4分の1!$D$11:$D$310,131-COUNTA(半紙!$B$11:$B$310)-COUNTA(条幅!$B$11:$B$310)),"")))=0,"",IF(131&lt;=COUNTA(半紙!$B$11:$B$310),INDEX(半紙!$D$11:$D$310,131),IF(131&lt;=COUNTA(半紙!$B$11:$B$310)+COUNTA(条幅!$B$11:$B$310),INDEX(条幅!$D$11:$D$310,131-COUNTA(半紙!$B$11:$B$310)),IF(131&lt;=COUNTA(半紙!$B$11:$B$310)+COUNTA(条幅!$B$11:$B$310)+COUNTA(条幅4分の1!$B$11:$B$310),INDEX(条幅4分の1!$D$11:$D$310,131-COUNTA(半紙!$B$11:$B$310)-COUNTA(条幅!$B$11:$B$310)),""))))</f>
        <v/>
      </c>
      <c r="E136" s="38" t="str">
        <f>IF(IF(131&lt;=COUNTA(半紙!$B$11:$B$310),INDEX(半紙!$E$11:$E$310,131),IF(131&lt;=COUNTA(半紙!$B$11:$B$310)+COUNTA(条幅!$B$11:$B$310),INDEX(条幅!$E$11:$E$310,131-COUNTA(半紙!$B$11:$B$310)),IF(131&lt;=COUNTA(半紙!$B$11:$B$310)+COUNTA(条幅!$B$11:$B$310)+COUNTA(条幅4分の1!$B$11:$B$310),INDEX(条幅4分の1!$E$11:$E$310,131-COUNTA(半紙!$B$11:$B$310)-COUNTA(条幅!$B$11:$B$310)),"")))=0,"",IF(131&lt;=COUNTA(半紙!$B$11:$B$310),INDEX(半紙!$E$11:$E$310,131),IF(131&lt;=COUNTA(半紙!$B$11:$B$310)+COUNTA(条幅!$B$11:$B$310),INDEX(条幅!$E$11:$E$310,131-COUNTA(半紙!$B$11:$B$310)),IF(131&lt;=COUNTA(半紙!$B$11:$B$310)+COUNTA(条幅!$B$11:$B$310)+COUNTA(条幅4分の1!$B$11:$B$310),INDEX(条幅4分の1!$E$11:$E$310,131-COUNTA(半紙!$B$11:$B$310)-COUNTA(条幅!$B$11:$B$310)),""))))</f>
        <v/>
      </c>
      <c r="F136" s="38" t="str">
        <f>IF(IF(131&lt;=COUNTA(半紙!$B$11:$B$310),INDEX(半紙!$F$11:$F$310,131),IF(131&lt;=COUNTA(半紙!$B$11:$B$310)+COUNTA(条幅!$B$11:$B$310),INDEX(条幅!$F$11:$F$310,131-COUNTA(半紙!$B$11:$B$310)),IF(131&lt;=COUNTA(半紙!$B$11:$B$310)+COUNTA(条幅!$B$11:$B$310)+COUNTA(条幅4分の1!$B$11:$B$310),INDEX(条幅4分の1!$F$11:$F$310,131-COUNTA(半紙!$B$11:$B$310)-COUNTA(条幅!$B$11:$B$310)),"")))=0,"",IF(131&lt;=COUNTA(半紙!$B$11:$B$310),INDEX(半紙!$F$11:$F$310,131),IF(131&lt;=COUNTA(半紙!$B$11:$B$310)+COUNTA(条幅!$B$11:$B$310),INDEX(条幅!$F$11:$F$310,131-COUNTA(半紙!$B$11:$B$310)),IF(131&lt;=COUNTA(半紙!$B$11:$B$310)+COUNTA(条幅!$B$11:$B$310)+COUNTA(条幅4分の1!$B$11:$B$310),INDEX(条幅4分の1!$F$11:$F$310,131-COUNTA(半紙!$B$11:$B$310)-COUNTA(条幅!$B$11:$B$310)),""))))</f>
        <v/>
      </c>
      <c r="G136" s="38" t="str">
        <f>IF(IF(131&lt;=COUNTA(半紙!$B$11:$B$310),INDEX(半紙!$G$11:$G$310,131),IF(131&lt;=COUNTA(半紙!$B$11:$B$310)+COUNTA(条幅!$B$11:$B$310),INDEX(条幅!$G$11:$G$310,131-COUNTA(半紙!$B$11:$B$310)),IF(131&lt;=COUNTA(半紙!$B$11:$B$310)+COUNTA(条幅!$B$11:$B$310)+COUNTA(条幅4分の1!$B$11:$B$310),INDEX(条幅4分の1!$G$11:$G$310,131-COUNTA(半紙!$B$11:$B$310)-COUNTA(条幅!$B$11:$B$310)),"")))=0,"",IF(131&lt;=COUNTA(半紙!$B$11:$B$310),INDEX(半紙!$G$11:$G$310,131),IF(131&lt;=COUNTA(半紙!$B$11:$B$310)+COUNTA(条幅!$B$11:$B$310),INDEX(条幅!$G$11:$G$310,131-COUNTA(半紙!$B$11:$B$310)),IF(131&lt;=COUNTA(半紙!$B$11:$B$310)+COUNTA(条幅!$B$11:$B$310)+COUNTA(条幅4分の1!$B$11:$B$310),INDEX(条幅4分の1!$G$11:$G$310,131-COUNTA(半紙!$B$11:$B$310)-COUNTA(条幅!$B$11:$B$310)),""))))</f>
        <v/>
      </c>
      <c r="H136" s="38" t="str">
        <f>IF(IF(131&lt;=COUNTA(半紙!$B$11:$B$310),INDEX(半紙!$H$11:$H$310,131),IF(131&lt;=COUNTA(半紙!$B$11:$B$310)+COUNTA(条幅!$B$11:$B$310),INDEX(条幅!$H$11:$H$310,131-COUNTA(半紙!$B$11:$B$310)),IF(131&lt;=COUNTA(半紙!$B$11:$B$310)+COUNTA(条幅!$B$11:$B$310)+COUNTA(条幅4分の1!$B$11:$B$310),INDEX(条幅4分の1!$H$11:$H$310,131-COUNTA(半紙!$B$11:$B$310)-COUNTA(条幅!$B$11:$B$310)),"")))=0,"",IF(131&lt;=COUNTA(半紙!$B$11:$B$310),INDEX(半紙!$H$11:$H$310,131),IF(131&lt;=COUNTA(半紙!$B$11:$B$310)+COUNTA(条幅!$B$11:$B$310),INDEX(条幅!$H$11:$H$310,131-COUNTA(半紙!$B$11:$B$310)),IF(131&lt;=COUNTA(半紙!$B$11:$B$310)+COUNTA(条幅!$B$11:$B$310)+COUNTA(条幅4分の1!$B$11:$B$310),INDEX(条幅4分の1!$H$11:$H$310,131-COUNTA(半紙!$B$11:$B$310)-COUNTA(条幅!$B$11:$B$310)),""))))</f>
        <v/>
      </c>
      <c r="I136" s="38" t="str">
        <f>IF(IF(131&lt;=COUNTA(半紙!$B$11:$B$310),INDEX(半紙!$I$11:$I$310,131),IF(131&lt;=COUNTA(半紙!$B$11:$B$310)+COUNTA(条幅!$B$11:$B$310),INDEX(条幅!$I$11:$I$310,131-COUNTA(半紙!$B$11:$B$310)),IF(131&lt;=COUNTA(半紙!$B$11:$B$310)+COUNTA(条幅!$B$11:$B$310)+COUNTA(条幅4分の1!$B$11:$B$310),INDEX(条幅4分の1!$I$11:$I$310,131-COUNTA(半紙!$B$11:$B$310)-COUNTA(条幅!$B$11:$B$310)),"")))=0,"",IF(131&lt;=COUNTA(半紙!$B$11:$B$310),INDEX(半紙!$I$11:$I$310,131),IF(131&lt;=COUNTA(半紙!$B$11:$B$310)+COUNTA(条幅!$B$11:$B$310),INDEX(条幅!$I$11:$I$310,131-COUNTA(半紙!$B$11:$B$310)),IF(131&lt;=COUNTA(半紙!$B$11:$B$310)+COUNTA(条幅!$B$11:$B$310)+COUNTA(条幅4分の1!$B$11:$B$310),INDEX(条幅4分の1!$I$11:$I$310,131-COUNTA(半紙!$B$11:$B$310)-COUNTA(条幅!$B$11:$B$310)),""))))</f>
        <v/>
      </c>
      <c r="J136" s="38" t="str">
        <f>IF(IF(131&lt;=COUNTA(半紙!$B$11:$B$310),INDEX(半紙!$J$11:$J$310,131),IF(131&lt;=COUNTA(半紙!$B$11:$B$310)+COUNTA(条幅!$B$11:$B$310),INDEX(条幅!$J$11:$J$310,131-COUNTA(半紙!$B$11:$B$310)),IF(131&lt;=COUNTA(半紙!$B$11:$B$310)+COUNTA(条幅!$B$11:$B$310)+COUNTA(条幅4分の1!$B$11:$B$310),INDEX(条幅4分の1!$J$11:$J$310,131-COUNTA(半紙!$B$11:$B$310)-COUNTA(条幅!$B$11:$B$310)),"")))=0,"",IF(131&lt;=COUNTA(半紙!$B$11:$B$310),INDEX(半紙!$J$11:$J$310,131),IF(131&lt;=COUNTA(半紙!$B$11:$B$310)+COUNTA(条幅!$B$11:$B$310),INDEX(条幅!$J$11:$J$310,131-COUNTA(半紙!$B$11:$B$310)),IF(131&lt;=COUNTA(半紙!$B$11:$B$310)+COUNTA(条幅!$B$11:$B$310)+COUNTA(条幅4分の1!$B$11:$B$310),INDEX(条幅4分の1!$J$11:$J$310,131-COUNTA(半紙!$B$11:$B$310)-COUNTA(条幅!$B$11:$B$310)),""))))</f>
        <v/>
      </c>
      <c r="K136" s="38" t="str">
        <f>IF(IF(131&lt;=COUNTA(半紙!$B$11:$B$310),INDEX(半紙!$K$11:$K$310,131),IF(131&lt;=COUNTA(半紙!$B$11:$B$310)+COUNTA(条幅!$B$11:$B$310),INDEX(条幅!$K$11:$K$310,131-COUNTA(半紙!$B$11:$B$310)),IF(131&lt;=COUNTA(半紙!$B$11:$B$310)+COUNTA(条幅!$B$11:$B$310)+COUNTA(条幅4分の1!$B$11:$B$310),INDEX(条幅4分の1!$K$11:$K$310,131-COUNTA(半紙!$B$11:$B$310)-COUNTA(条幅!$B$11:$B$310)),"")))=0,"",IF(131&lt;=COUNTA(半紙!$B$11:$B$310),INDEX(半紙!$K$11:$K$310,131),IF(131&lt;=COUNTA(半紙!$B$11:$B$310)+COUNTA(条幅!$B$11:$B$310),INDEX(条幅!$K$11:$K$310,131-COUNTA(半紙!$B$11:$B$310)),IF(131&lt;=COUNTA(半紙!$B$11:$B$310)+COUNTA(条幅!$B$11:$B$310)+COUNTA(条幅4分の1!$B$11:$B$310),INDEX(条幅4分の1!$K$11:$K$310,131-COUNTA(半紙!$B$11:$B$310)-COUNTA(条幅!$B$11:$B$310)),""))))</f>
        <v/>
      </c>
      <c r="L136" s="48" t="str">
        <f>IF($B136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131))</f>
        <v/>
      </c>
    </row>
    <row r="137" spans="1:12" ht="15" customHeight="1">
      <c r="A137" s="37" t="str">
        <f>IF(132&lt;=COUNTA(半紙!$B$11:$B$310),"半紙",IF(132&lt;=COUNTA(半紙!$B$11:$B$310)+COUNTA(条幅!$B$11:$B$310),"条幅(半切)",IF(132&lt;=COUNTA(半紙!$B$11:$B$310)+COUNTA(条幅!$B$11:$B$310)+COUNTA(条幅4分の1!$B$11:$B$310),"条幅(1/4)","")))</f>
        <v/>
      </c>
      <c r="B137" s="38" t="str">
        <f>IF(IF(132&lt;=COUNTA(半紙!$B$11:$B$310),INDEX(半紙!$B$11:$B$310,132),IF(132&lt;=COUNTA(半紙!$B$11:$B$310)+COUNTA(条幅!$B$11:$B$310),INDEX(条幅!$B$11:$B$310,132-COUNTA(半紙!$B$11:$B$310)),IF(132&lt;=COUNTA(半紙!$B$11:$B$310)+COUNTA(条幅!$B$11:$B$310)+COUNTA(条幅4分の1!$B$11:$B$310),INDEX(条幅4分の1!$B$11:$B$310,132-COUNTA(半紙!$B$11:$B$310)-COUNTA(条幅!$B$11:$B$310)),"")))=0,"",IF(132&lt;=COUNTA(半紙!$B$11:$B$310),INDEX(半紙!$B$11:$B$310,132),IF(132&lt;=COUNTA(半紙!$B$11:$B$310)+COUNTA(条幅!$B$11:$B$310),INDEX(条幅!$B$11:$B$310,132-COUNTA(半紙!$B$11:$B$310)),IF(132&lt;=COUNTA(半紙!$B$11:$B$310)+COUNTA(条幅!$B$11:$B$310)+COUNTA(条幅4分の1!$B$11:$B$310),INDEX(条幅4分の1!$B$11:$B$310,132-COUNTA(半紙!$B$11:$B$310)-COUNTA(条幅!$B$11:$B$310)),""))))</f>
        <v/>
      </c>
      <c r="C137" s="38" t="str">
        <f>IF(IF(132&lt;=COUNTA(半紙!$B$11:$B$310),INDEX(半紙!$C$11:$C$310,132),IF(132&lt;=COUNTA(半紙!$B$11:$B$310)+COUNTA(条幅!$B$11:$B$310),INDEX(条幅!$C$11:$C$310,132-COUNTA(半紙!$B$11:$B$310)),IF(132&lt;=COUNTA(半紙!$B$11:$B$310)+COUNTA(条幅!$B$11:$B$310)+COUNTA(条幅4分の1!$B$11:$B$310),INDEX(条幅4分の1!$C$11:$C$310,132-COUNTA(半紙!$B$11:$B$310)-COUNTA(条幅!$B$11:$B$310)),"")))=0,"",IF(132&lt;=COUNTA(半紙!$B$11:$B$310),INDEX(半紙!$C$11:$C$310,132),IF(132&lt;=COUNTA(半紙!$B$11:$B$310)+COUNTA(条幅!$B$11:$B$310),INDEX(条幅!$C$11:$C$310,132-COUNTA(半紙!$B$11:$B$310)),IF(132&lt;=COUNTA(半紙!$B$11:$B$310)+COUNTA(条幅!$B$11:$B$310)+COUNTA(条幅4分の1!$B$11:$B$310),INDEX(条幅4分の1!$C$11:$C$310,132-COUNTA(半紙!$B$11:$B$310)-COUNTA(条幅!$B$11:$B$310)),""))))</f>
        <v/>
      </c>
      <c r="D137" s="38" t="str">
        <f>IF(IF(132&lt;=COUNTA(半紙!$B$11:$B$310),INDEX(半紙!$D$11:$D$310,132),IF(132&lt;=COUNTA(半紙!$B$11:$B$310)+COUNTA(条幅!$B$11:$B$310),INDEX(条幅!$D$11:$D$310,132-COUNTA(半紙!$B$11:$B$310)),IF(132&lt;=COUNTA(半紙!$B$11:$B$310)+COUNTA(条幅!$B$11:$B$310)+COUNTA(条幅4分の1!$B$11:$B$310),INDEX(条幅4分の1!$D$11:$D$310,132-COUNTA(半紙!$B$11:$B$310)-COUNTA(条幅!$B$11:$B$310)),"")))=0,"",IF(132&lt;=COUNTA(半紙!$B$11:$B$310),INDEX(半紙!$D$11:$D$310,132),IF(132&lt;=COUNTA(半紙!$B$11:$B$310)+COUNTA(条幅!$B$11:$B$310),INDEX(条幅!$D$11:$D$310,132-COUNTA(半紙!$B$11:$B$310)),IF(132&lt;=COUNTA(半紙!$B$11:$B$310)+COUNTA(条幅!$B$11:$B$310)+COUNTA(条幅4分の1!$B$11:$B$310),INDEX(条幅4分の1!$D$11:$D$310,132-COUNTA(半紙!$B$11:$B$310)-COUNTA(条幅!$B$11:$B$310)),""))))</f>
        <v/>
      </c>
      <c r="E137" s="38" t="str">
        <f>IF(IF(132&lt;=COUNTA(半紙!$B$11:$B$310),INDEX(半紙!$E$11:$E$310,132),IF(132&lt;=COUNTA(半紙!$B$11:$B$310)+COUNTA(条幅!$B$11:$B$310),INDEX(条幅!$E$11:$E$310,132-COUNTA(半紙!$B$11:$B$310)),IF(132&lt;=COUNTA(半紙!$B$11:$B$310)+COUNTA(条幅!$B$11:$B$310)+COUNTA(条幅4分の1!$B$11:$B$310),INDEX(条幅4分の1!$E$11:$E$310,132-COUNTA(半紙!$B$11:$B$310)-COUNTA(条幅!$B$11:$B$310)),"")))=0,"",IF(132&lt;=COUNTA(半紙!$B$11:$B$310),INDEX(半紙!$E$11:$E$310,132),IF(132&lt;=COUNTA(半紙!$B$11:$B$310)+COUNTA(条幅!$B$11:$B$310),INDEX(条幅!$E$11:$E$310,132-COUNTA(半紙!$B$11:$B$310)),IF(132&lt;=COUNTA(半紙!$B$11:$B$310)+COUNTA(条幅!$B$11:$B$310)+COUNTA(条幅4分の1!$B$11:$B$310),INDEX(条幅4分の1!$E$11:$E$310,132-COUNTA(半紙!$B$11:$B$310)-COUNTA(条幅!$B$11:$B$310)),""))))</f>
        <v/>
      </c>
      <c r="F137" s="38" t="str">
        <f>IF(IF(132&lt;=COUNTA(半紙!$B$11:$B$310),INDEX(半紙!$F$11:$F$310,132),IF(132&lt;=COUNTA(半紙!$B$11:$B$310)+COUNTA(条幅!$B$11:$B$310),INDEX(条幅!$F$11:$F$310,132-COUNTA(半紙!$B$11:$B$310)),IF(132&lt;=COUNTA(半紙!$B$11:$B$310)+COUNTA(条幅!$B$11:$B$310)+COUNTA(条幅4分の1!$B$11:$B$310),INDEX(条幅4分の1!$F$11:$F$310,132-COUNTA(半紙!$B$11:$B$310)-COUNTA(条幅!$B$11:$B$310)),"")))=0,"",IF(132&lt;=COUNTA(半紙!$B$11:$B$310),INDEX(半紙!$F$11:$F$310,132),IF(132&lt;=COUNTA(半紙!$B$11:$B$310)+COUNTA(条幅!$B$11:$B$310),INDEX(条幅!$F$11:$F$310,132-COUNTA(半紙!$B$11:$B$310)),IF(132&lt;=COUNTA(半紙!$B$11:$B$310)+COUNTA(条幅!$B$11:$B$310)+COUNTA(条幅4分の1!$B$11:$B$310),INDEX(条幅4分の1!$F$11:$F$310,132-COUNTA(半紙!$B$11:$B$310)-COUNTA(条幅!$B$11:$B$310)),""))))</f>
        <v/>
      </c>
      <c r="G137" s="38" t="str">
        <f>IF(IF(132&lt;=COUNTA(半紙!$B$11:$B$310),INDEX(半紙!$G$11:$G$310,132),IF(132&lt;=COUNTA(半紙!$B$11:$B$310)+COUNTA(条幅!$B$11:$B$310),INDEX(条幅!$G$11:$G$310,132-COUNTA(半紙!$B$11:$B$310)),IF(132&lt;=COUNTA(半紙!$B$11:$B$310)+COUNTA(条幅!$B$11:$B$310)+COUNTA(条幅4分の1!$B$11:$B$310),INDEX(条幅4分の1!$G$11:$G$310,132-COUNTA(半紙!$B$11:$B$310)-COUNTA(条幅!$B$11:$B$310)),"")))=0,"",IF(132&lt;=COUNTA(半紙!$B$11:$B$310),INDEX(半紙!$G$11:$G$310,132),IF(132&lt;=COUNTA(半紙!$B$11:$B$310)+COUNTA(条幅!$B$11:$B$310),INDEX(条幅!$G$11:$G$310,132-COUNTA(半紙!$B$11:$B$310)),IF(132&lt;=COUNTA(半紙!$B$11:$B$310)+COUNTA(条幅!$B$11:$B$310)+COUNTA(条幅4分の1!$B$11:$B$310),INDEX(条幅4分の1!$G$11:$G$310,132-COUNTA(半紙!$B$11:$B$310)-COUNTA(条幅!$B$11:$B$310)),""))))</f>
        <v/>
      </c>
      <c r="H137" s="38" t="str">
        <f>IF(IF(132&lt;=COUNTA(半紙!$B$11:$B$310),INDEX(半紙!$H$11:$H$310,132),IF(132&lt;=COUNTA(半紙!$B$11:$B$310)+COUNTA(条幅!$B$11:$B$310),INDEX(条幅!$H$11:$H$310,132-COUNTA(半紙!$B$11:$B$310)),IF(132&lt;=COUNTA(半紙!$B$11:$B$310)+COUNTA(条幅!$B$11:$B$310)+COUNTA(条幅4分の1!$B$11:$B$310),INDEX(条幅4分の1!$H$11:$H$310,132-COUNTA(半紙!$B$11:$B$310)-COUNTA(条幅!$B$11:$B$310)),"")))=0,"",IF(132&lt;=COUNTA(半紙!$B$11:$B$310),INDEX(半紙!$H$11:$H$310,132),IF(132&lt;=COUNTA(半紙!$B$11:$B$310)+COUNTA(条幅!$B$11:$B$310),INDEX(条幅!$H$11:$H$310,132-COUNTA(半紙!$B$11:$B$310)),IF(132&lt;=COUNTA(半紙!$B$11:$B$310)+COUNTA(条幅!$B$11:$B$310)+COUNTA(条幅4分の1!$B$11:$B$310),INDEX(条幅4分の1!$H$11:$H$310,132-COUNTA(半紙!$B$11:$B$310)-COUNTA(条幅!$B$11:$B$310)),""))))</f>
        <v/>
      </c>
      <c r="I137" s="38" t="str">
        <f>IF(IF(132&lt;=COUNTA(半紙!$B$11:$B$310),INDEX(半紙!$I$11:$I$310,132),IF(132&lt;=COUNTA(半紙!$B$11:$B$310)+COUNTA(条幅!$B$11:$B$310),INDEX(条幅!$I$11:$I$310,132-COUNTA(半紙!$B$11:$B$310)),IF(132&lt;=COUNTA(半紙!$B$11:$B$310)+COUNTA(条幅!$B$11:$B$310)+COUNTA(条幅4分の1!$B$11:$B$310),INDEX(条幅4分の1!$I$11:$I$310,132-COUNTA(半紙!$B$11:$B$310)-COUNTA(条幅!$B$11:$B$310)),"")))=0,"",IF(132&lt;=COUNTA(半紙!$B$11:$B$310),INDEX(半紙!$I$11:$I$310,132),IF(132&lt;=COUNTA(半紙!$B$11:$B$310)+COUNTA(条幅!$B$11:$B$310),INDEX(条幅!$I$11:$I$310,132-COUNTA(半紙!$B$11:$B$310)),IF(132&lt;=COUNTA(半紙!$B$11:$B$310)+COUNTA(条幅!$B$11:$B$310)+COUNTA(条幅4分の1!$B$11:$B$310),INDEX(条幅4分の1!$I$11:$I$310,132-COUNTA(半紙!$B$11:$B$310)-COUNTA(条幅!$B$11:$B$310)),""))))</f>
        <v/>
      </c>
      <c r="J137" s="38" t="str">
        <f>IF(IF(132&lt;=COUNTA(半紙!$B$11:$B$310),INDEX(半紙!$J$11:$J$310,132),IF(132&lt;=COUNTA(半紙!$B$11:$B$310)+COUNTA(条幅!$B$11:$B$310),INDEX(条幅!$J$11:$J$310,132-COUNTA(半紙!$B$11:$B$310)),IF(132&lt;=COUNTA(半紙!$B$11:$B$310)+COUNTA(条幅!$B$11:$B$310)+COUNTA(条幅4分の1!$B$11:$B$310),INDEX(条幅4分の1!$J$11:$J$310,132-COUNTA(半紙!$B$11:$B$310)-COUNTA(条幅!$B$11:$B$310)),"")))=0,"",IF(132&lt;=COUNTA(半紙!$B$11:$B$310),INDEX(半紙!$J$11:$J$310,132),IF(132&lt;=COUNTA(半紙!$B$11:$B$310)+COUNTA(条幅!$B$11:$B$310),INDEX(条幅!$J$11:$J$310,132-COUNTA(半紙!$B$11:$B$310)),IF(132&lt;=COUNTA(半紙!$B$11:$B$310)+COUNTA(条幅!$B$11:$B$310)+COUNTA(条幅4分の1!$B$11:$B$310),INDEX(条幅4分の1!$J$11:$J$310,132-COUNTA(半紙!$B$11:$B$310)-COUNTA(条幅!$B$11:$B$310)),""))))</f>
        <v/>
      </c>
      <c r="K137" s="38" t="str">
        <f>IF(IF(132&lt;=COUNTA(半紙!$B$11:$B$310),INDEX(半紙!$K$11:$K$310,132),IF(132&lt;=COUNTA(半紙!$B$11:$B$310)+COUNTA(条幅!$B$11:$B$310),INDEX(条幅!$K$11:$K$310,132-COUNTA(半紙!$B$11:$B$310)),IF(132&lt;=COUNTA(半紙!$B$11:$B$310)+COUNTA(条幅!$B$11:$B$310)+COUNTA(条幅4分の1!$B$11:$B$310),INDEX(条幅4分の1!$K$11:$K$310,132-COUNTA(半紙!$B$11:$B$310)-COUNTA(条幅!$B$11:$B$310)),"")))=0,"",IF(132&lt;=COUNTA(半紙!$B$11:$B$310),INDEX(半紙!$K$11:$K$310,132),IF(132&lt;=COUNTA(半紙!$B$11:$B$310)+COUNTA(条幅!$B$11:$B$310),INDEX(条幅!$K$11:$K$310,132-COUNTA(半紙!$B$11:$B$310)),IF(132&lt;=COUNTA(半紙!$B$11:$B$310)+COUNTA(条幅!$B$11:$B$310)+COUNTA(条幅4分の1!$B$11:$B$310),INDEX(条幅4分の1!$K$11:$K$310,132-COUNTA(半紙!$B$11:$B$310)-COUNTA(条幅!$B$11:$B$310)),""))))</f>
        <v/>
      </c>
      <c r="L137" s="48" t="str">
        <f>IF($B137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132))</f>
        <v/>
      </c>
    </row>
    <row r="138" spans="1:12" ht="15" customHeight="1">
      <c r="A138" s="37" t="str">
        <f>IF(133&lt;=COUNTA(半紙!$B$11:$B$310),"半紙",IF(133&lt;=COUNTA(半紙!$B$11:$B$310)+COUNTA(条幅!$B$11:$B$310),"条幅(半切)",IF(133&lt;=COUNTA(半紙!$B$11:$B$310)+COUNTA(条幅!$B$11:$B$310)+COUNTA(条幅4分の1!$B$11:$B$310),"条幅(1/4)","")))</f>
        <v/>
      </c>
      <c r="B138" s="38" t="str">
        <f>IF(IF(133&lt;=COUNTA(半紙!$B$11:$B$310),INDEX(半紙!$B$11:$B$310,133),IF(133&lt;=COUNTA(半紙!$B$11:$B$310)+COUNTA(条幅!$B$11:$B$310),INDEX(条幅!$B$11:$B$310,133-COUNTA(半紙!$B$11:$B$310)),IF(133&lt;=COUNTA(半紙!$B$11:$B$310)+COUNTA(条幅!$B$11:$B$310)+COUNTA(条幅4分の1!$B$11:$B$310),INDEX(条幅4分の1!$B$11:$B$310,133-COUNTA(半紙!$B$11:$B$310)-COUNTA(条幅!$B$11:$B$310)),"")))=0,"",IF(133&lt;=COUNTA(半紙!$B$11:$B$310),INDEX(半紙!$B$11:$B$310,133),IF(133&lt;=COUNTA(半紙!$B$11:$B$310)+COUNTA(条幅!$B$11:$B$310),INDEX(条幅!$B$11:$B$310,133-COUNTA(半紙!$B$11:$B$310)),IF(133&lt;=COUNTA(半紙!$B$11:$B$310)+COUNTA(条幅!$B$11:$B$310)+COUNTA(条幅4分の1!$B$11:$B$310),INDEX(条幅4分の1!$B$11:$B$310,133-COUNTA(半紙!$B$11:$B$310)-COUNTA(条幅!$B$11:$B$310)),""))))</f>
        <v/>
      </c>
      <c r="C138" s="38" t="str">
        <f>IF(IF(133&lt;=COUNTA(半紙!$B$11:$B$310),INDEX(半紙!$C$11:$C$310,133),IF(133&lt;=COUNTA(半紙!$B$11:$B$310)+COUNTA(条幅!$B$11:$B$310),INDEX(条幅!$C$11:$C$310,133-COUNTA(半紙!$B$11:$B$310)),IF(133&lt;=COUNTA(半紙!$B$11:$B$310)+COUNTA(条幅!$B$11:$B$310)+COUNTA(条幅4分の1!$B$11:$B$310),INDEX(条幅4分の1!$C$11:$C$310,133-COUNTA(半紙!$B$11:$B$310)-COUNTA(条幅!$B$11:$B$310)),"")))=0,"",IF(133&lt;=COUNTA(半紙!$B$11:$B$310),INDEX(半紙!$C$11:$C$310,133),IF(133&lt;=COUNTA(半紙!$B$11:$B$310)+COUNTA(条幅!$B$11:$B$310),INDEX(条幅!$C$11:$C$310,133-COUNTA(半紙!$B$11:$B$310)),IF(133&lt;=COUNTA(半紙!$B$11:$B$310)+COUNTA(条幅!$B$11:$B$310)+COUNTA(条幅4分の1!$B$11:$B$310),INDEX(条幅4分の1!$C$11:$C$310,133-COUNTA(半紙!$B$11:$B$310)-COUNTA(条幅!$B$11:$B$310)),""))))</f>
        <v/>
      </c>
      <c r="D138" s="38" t="str">
        <f>IF(IF(133&lt;=COUNTA(半紙!$B$11:$B$310),INDEX(半紙!$D$11:$D$310,133),IF(133&lt;=COUNTA(半紙!$B$11:$B$310)+COUNTA(条幅!$B$11:$B$310),INDEX(条幅!$D$11:$D$310,133-COUNTA(半紙!$B$11:$B$310)),IF(133&lt;=COUNTA(半紙!$B$11:$B$310)+COUNTA(条幅!$B$11:$B$310)+COUNTA(条幅4分の1!$B$11:$B$310),INDEX(条幅4分の1!$D$11:$D$310,133-COUNTA(半紙!$B$11:$B$310)-COUNTA(条幅!$B$11:$B$310)),"")))=0,"",IF(133&lt;=COUNTA(半紙!$B$11:$B$310),INDEX(半紙!$D$11:$D$310,133),IF(133&lt;=COUNTA(半紙!$B$11:$B$310)+COUNTA(条幅!$B$11:$B$310),INDEX(条幅!$D$11:$D$310,133-COUNTA(半紙!$B$11:$B$310)),IF(133&lt;=COUNTA(半紙!$B$11:$B$310)+COUNTA(条幅!$B$11:$B$310)+COUNTA(条幅4分の1!$B$11:$B$310),INDEX(条幅4分の1!$D$11:$D$310,133-COUNTA(半紙!$B$11:$B$310)-COUNTA(条幅!$B$11:$B$310)),""))))</f>
        <v/>
      </c>
      <c r="E138" s="38" t="str">
        <f>IF(IF(133&lt;=COUNTA(半紙!$B$11:$B$310),INDEX(半紙!$E$11:$E$310,133),IF(133&lt;=COUNTA(半紙!$B$11:$B$310)+COUNTA(条幅!$B$11:$B$310),INDEX(条幅!$E$11:$E$310,133-COUNTA(半紙!$B$11:$B$310)),IF(133&lt;=COUNTA(半紙!$B$11:$B$310)+COUNTA(条幅!$B$11:$B$310)+COUNTA(条幅4分の1!$B$11:$B$310),INDEX(条幅4分の1!$E$11:$E$310,133-COUNTA(半紙!$B$11:$B$310)-COUNTA(条幅!$B$11:$B$310)),"")))=0,"",IF(133&lt;=COUNTA(半紙!$B$11:$B$310),INDEX(半紙!$E$11:$E$310,133),IF(133&lt;=COUNTA(半紙!$B$11:$B$310)+COUNTA(条幅!$B$11:$B$310),INDEX(条幅!$E$11:$E$310,133-COUNTA(半紙!$B$11:$B$310)),IF(133&lt;=COUNTA(半紙!$B$11:$B$310)+COUNTA(条幅!$B$11:$B$310)+COUNTA(条幅4分の1!$B$11:$B$310),INDEX(条幅4分の1!$E$11:$E$310,133-COUNTA(半紙!$B$11:$B$310)-COUNTA(条幅!$B$11:$B$310)),""))))</f>
        <v/>
      </c>
      <c r="F138" s="38" t="str">
        <f>IF(IF(133&lt;=COUNTA(半紙!$B$11:$B$310),INDEX(半紙!$F$11:$F$310,133),IF(133&lt;=COUNTA(半紙!$B$11:$B$310)+COUNTA(条幅!$B$11:$B$310),INDEX(条幅!$F$11:$F$310,133-COUNTA(半紙!$B$11:$B$310)),IF(133&lt;=COUNTA(半紙!$B$11:$B$310)+COUNTA(条幅!$B$11:$B$310)+COUNTA(条幅4分の1!$B$11:$B$310),INDEX(条幅4分の1!$F$11:$F$310,133-COUNTA(半紙!$B$11:$B$310)-COUNTA(条幅!$B$11:$B$310)),"")))=0,"",IF(133&lt;=COUNTA(半紙!$B$11:$B$310),INDEX(半紙!$F$11:$F$310,133),IF(133&lt;=COUNTA(半紙!$B$11:$B$310)+COUNTA(条幅!$B$11:$B$310),INDEX(条幅!$F$11:$F$310,133-COUNTA(半紙!$B$11:$B$310)),IF(133&lt;=COUNTA(半紙!$B$11:$B$310)+COUNTA(条幅!$B$11:$B$310)+COUNTA(条幅4分の1!$B$11:$B$310),INDEX(条幅4分の1!$F$11:$F$310,133-COUNTA(半紙!$B$11:$B$310)-COUNTA(条幅!$B$11:$B$310)),""))))</f>
        <v/>
      </c>
      <c r="G138" s="38" t="str">
        <f>IF(IF(133&lt;=COUNTA(半紙!$B$11:$B$310),INDEX(半紙!$G$11:$G$310,133),IF(133&lt;=COUNTA(半紙!$B$11:$B$310)+COUNTA(条幅!$B$11:$B$310),INDEX(条幅!$G$11:$G$310,133-COUNTA(半紙!$B$11:$B$310)),IF(133&lt;=COUNTA(半紙!$B$11:$B$310)+COUNTA(条幅!$B$11:$B$310)+COUNTA(条幅4分の1!$B$11:$B$310),INDEX(条幅4分の1!$G$11:$G$310,133-COUNTA(半紙!$B$11:$B$310)-COUNTA(条幅!$B$11:$B$310)),"")))=0,"",IF(133&lt;=COUNTA(半紙!$B$11:$B$310),INDEX(半紙!$G$11:$G$310,133),IF(133&lt;=COUNTA(半紙!$B$11:$B$310)+COUNTA(条幅!$B$11:$B$310),INDEX(条幅!$G$11:$G$310,133-COUNTA(半紙!$B$11:$B$310)),IF(133&lt;=COUNTA(半紙!$B$11:$B$310)+COUNTA(条幅!$B$11:$B$310)+COUNTA(条幅4分の1!$B$11:$B$310),INDEX(条幅4分の1!$G$11:$G$310,133-COUNTA(半紙!$B$11:$B$310)-COUNTA(条幅!$B$11:$B$310)),""))))</f>
        <v/>
      </c>
      <c r="H138" s="38" t="str">
        <f>IF(IF(133&lt;=COUNTA(半紙!$B$11:$B$310),INDEX(半紙!$H$11:$H$310,133),IF(133&lt;=COUNTA(半紙!$B$11:$B$310)+COUNTA(条幅!$B$11:$B$310),INDEX(条幅!$H$11:$H$310,133-COUNTA(半紙!$B$11:$B$310)),IF(133&lt;=COUNTA(半紙!$B$11:$B$310)+COUNTA(条幅!$B$11:$B$310)+COUNTA(条幅4分の1!$B$11:$B$310),INDEX(条幅4分の1!$H$11:$H$310,133-COUNTA(半紙!$B$11:$B$310)-COUNTA(条幅!$B$11:$B$310)),"")))=0,"",IF(133&lt;=COUNTA(半紙!$B$11:$B$310),INDEX(半紙!$H$11:$H$310,133),IF(133&lt;=COUNTA(半紙!$B$11:$B$310)+COUNTA(条幅!$B$11:$B$310),INDEX(条幅!$H$11:$H$310,133-COUNTA(半紙!$B$11:$B$310)),IF(133&lt;=COUNTA(半紙!$B$11:$B$310)+COUNTA(条幅!$B$11:$B$310)+COUNTA(条幅4分の1!$B$11:$B$310),INDEX(条幅4分の1!$H$11:$H$310,133-COUNTA(半紙!$B$11:$B$310)-COUNTA(条幅!$B$11:$B$310)),""))))</f>
        <v/>
      </c>
      <c r="I138" s="38" t="str">
        <f>IF(IF(133&lt;=COUNTA(半紙!$B$11:$B$310),INDEX(半紙!$I$11:$I$310,133),IF(133&lt;=COUNTA(半紙!$B$11:$B$310)+COUNTA(条幅!$B$11:$B$310),INDEX(条幅!$I$11:$I$310,133-COUNTA(半紙!$B$11:$B$310)),IF(133&lt;=COUNTA(半紙!$B$11:$B$310)+COUNTA(条幅!$B$11:$B$310)+COUNTA(条幅4分の1!$B$11:$B$310),INDEX(条幅4分の1!$I$11:$I$310,133-COUNTA(半紙!$B$11:$B$310)-COUNTA(条幅!$B$11:$B$310)),"")))=0,"",IF(133&lt;=COUNTA(半紙!$B$11:$B$310),INDEX(半紙!$I$11:$I$310,133),IF(133&lt;=COUNTA(半紙!$B$11:$B$310)+COUNTA(条幅!$B$11:$B$310),INDEX(条幅!$I$11:$I$310,133-COUNTA(半紙!$B$11:$B$310)),IF(133&lt;=COUNTA(半紙!$B$11:$B$310)+COUNTA(条幅!$B$11:$B$310)+COUNTA(条幅4分の1!$B$11:$B$310),INDEX(条幅4分の1!$I$11:$I$310,133-COUNTA(半紙!$B$11:$B$310)-COUNTA(条幅!$B$11:$B$310)),""))))</f>
        <v/>
      </c>
      <c r="J138" s="38" t="str">
        <f>IF(IF(133&lt;=COUNTA(半紙!$B$11:$B$310),INDEX(半紙!$J$11:$J$310,133),IF(133&lt;=COUNTA(半紙!$B$11:$B$310)+COUNTA(条幅!$B$11:$B$310),INDEX(条幅!$J$11:$J$310,133-COUNTA(半紙!$B$11:$B$310)),IF(133&lt;=COUNTA(半紙!$B$11:$B$310)+COUNTA(条幅!$B$11:$B$310)+COUNTA(条幅4分の1!$B$11:$B$310),INDEX(条幅4分の1!$J$11:$J$310,133-COUNTA(半紙!$B$11:$B$310)-COUNTA(条幅!$B$11:$B$310)),"")))=0,"",IF(133&lt;=COUNTA(半紙!$B$11:$B$310),INDEX(半紙!$J$11:$J$310,133),IF(133&lt;=COUNTA(半紙!$B$11:$B$310)+COUNTA(条幅!$B$11:$B$310),INDEX(条幅!$J$11:$J$310,133-COUNTA(半紙!$B$11:$B$310)),IF(133&lt;=COUNTA(半紙!$B$11:$B$310)+COUNTA(条幅!$B$11:$B$310)+COUNTA(条幅4分の1!$B$11:$B$310),INDEX(条幅4分の1!$J$11:$J$310,133-COUNTA(半紙!$B$11:$B$310)-COUNTA(条幅!$B$11:$B$310)),""))))</f>
        <v/>
      </c>
      <c r="K138" s="38" t="str">
        <f>IF(IF(133&lt;=COUNTA(半紙!$B$11:$B$310),INDEX(半紙!$K$11:$K$310,133),IF(133&lt;=COUNTA(半紙!$B$11:$B$310)+COUNTA(条幅!$B$11:$B$310),INDEX(条幅!$K$11:$K$310,133-COUNTA(半紙!$B$11:$B$310)),IF(133&lt;=COUNTA(半紙!$B$11:$B$310)+COUNTA(条幅!$B$11:$B$310)+COUNTA(条幅4分の1!$B$11:$B$310),INDEX(条幅4分の1!$K$11:$K$310,133-COUNTA(半紙!$B$11:$B$310)-COUNTA(条幅!$B$11:$B$310)),"")))=0,"",IF(133&lt;=COUNTA(半紙!$B$11:$B$310),INDEX(半紙!$K$11:$K$310,133),IF(133&lt;=COUNTA(半紙!$B$11:$B$310)+COUNTA(条幅!$B$11:$B$310),INDEX(条幅!$K$11:$K$310,133-COUNTA(半紙!$B$11:$B$310)),IF(133&lt;=COUNTA(半紙!$B$11:$B$310)+COUNTA(条幅!$B$11:$B$310)+COUNTA(条幅4分の1!$B$11:$B$310),INDEX(条幅4分の1!$K$11:$K$310,133-COUNTA(半紙!$B$11:$B$310)-COUNTA(条幅!$B$11:$B$310)),""))))</f>
        <v/>
      </c>
      <c r="L138" s="48" t="str">
        <f>IF($B138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133))</f>
        <v/>
      </c>
    </row>
    <row r="139" spans="1:12" ht="15" customHeight="1">
      <c r="A139" s="37" t="str">
        <f>IF(134&lt;=COUNTA(半紙!$B$11:$B$310),"半紙",IF(134&lt;=COUNTA(半紙!$B$11:$B$310)+COUNTA(条幅!$B$11:$B$310),"条幅(半切)",IF(134&lt;=COUNTA(半紙!$B$11:$B$310)+COUNTA(条幅!$B$11:$B$310)+COUNTA(条幅4分の1!$B$11:$B$310),"条幅(1/4)","")))</f>
        <v/>
      </c>
      <c r="B139" s="38" t="str">
        <f>IF(IF(134&lt;=COUNTA(半紙!$B$11:$B$310),INDEX(半紙!$B$11:$B$310,134),IF(134&lt;=COUNTA(半紙!$B$11:$B$310)+COUNTA(条幅!$B$11:$B$310),INDEX(条幅!$B$11:$B$310,134-COUNTA(半紙!$B$11:$B$310)),IF(134&lt;=COUNTA(半紙!$B$11:$B$310)+COUNTA(条幅!$B$11:$B$310)+COUNTA(条幅4分の1!$B$11:$B$310),INDEX(条幅4分の1!$B$11:$B$310,134-COUNTA(半紙!$B$11:$B$310)-COUNTA(条幅!$B$11:$B$310)),"")))=0,"",IF(134&lt;=COUNTA(半紙!$B$11:$B$310),INDEX(半紙!$B$11:$B$310,134),IF(134&lt;=COUNTA(半紙!$B$11:$B$310)+COUNTA(条幅!$B$11:$B$310),INDEX(条幅!$B$11:$B$310,134-COUNTA(半紙!$B$11:$B$310)),IF(134&lt;=COUNTA(半紙!$B$11:$B$310)+COUNTA(条幅!$B$11:$B$310)+COUNTA(条幅4分の1!$B$11:$B$310),INDEX(条幅4分の1!$B$11:$B$310,134-COUNTA(半紙!$B$11:$B$310)-COUNTA(条幅!$B$11:$B$310)),""))))</f>
        <v/>
      </c>
      <c r="C139" s="38" t="str">
        <f>IF(IF(134&lt;=COUNTA(半紙!$B$11:$B$310),INDEX(半紙!$C$11:$C$310,134),IF(134&lt;=COUNTA(半紙!$B$11:$B$310)+COUNTA(条幅!$B$11:$B$310),INDEX(条幅!$C$11:$C$310,134-COUNTA(半紙!$B$11:$B$310)),IF(134&lt;=COUNTA(半紙!$B$11:$B$310)+COUNTA(条幅!$B$11:$B$310)+COUNTA(条幅4分の1!$B$11:$B$310),INDEX(条幅4分の1!$C$11:$C$310,134-COUNTA(半紙!$B$11:$B$310)-COUNTA(条幅!$B$11:$B$310)),"")))=0,"",IF(134&lt;=COUNTA(半紙!$B$11:$B$310),INDEX(半紙!$C$11:$C$310,134),IF(134&lt;=COUNTA(半紙!$B$11:$B$310)+COUNTA(条幅!$B$11:$B$310),INDEX(条幅!$C$11:$C$310,134-COUNTA(半紙!$B$11:$B$310)),IF(134&lt;=COUNTA(半紙!$B$11:$B$310)+COUNTA(条幅!$B$11:$B$310)+COUNTA(条幅4分の1!$B$11:$B$310),INDEX(条幅4分の1!$C$11:$C$310,134-COUNTA(半紙!$B$11:$B$310)-COUNTA(条幅!$B$11:$B$310)),""))))</f>
        <v/>
      </c>
      <c r="D139" s="38" t="str">
        <f>IF(IF(134&lt;=COUNTA(半紙!$B$11:$B$310),INDEX(半紙!$D$11:$D$310,134),IF(134&lt;=COUNTA(半紙!$B$11:$B$310)+COUNTA(条幅!$B$11:$B$310),INDEX(条幅!$D$11:$D$310,134-COUNTA(半紙!$B$11:$B$310)),IF(134&lt;=COUNTA(半紙!$B$11:$B$310)+COUNTA(条幅!$B$11:$B$310)+COUNTA(条幅4分の1!$B$11:$B$310),INDEX(条幅4分の1!$D$11:$D$310,134-COUNTA(半紙!$B$11:$B$310)-COUNTA(条幅!$B$11:$B$310)),"")))=0,"",IF(134&lt;=COUNTA(半紙!$B$11:$B$310),INDEX(半紙!$D$11:$D$310,134),IF(134&lt;=COUNTA(半紙!$B$11:$B$310)+COUNTA(条幅!$B$11:$B$310),INDEX(条幅!$D$11:$D$310,134-COUNTA(半紙!$B$11:$B$310)),IF(134&lt;=COUNTA(半紙!$B$11:$B$310)+COUNTA(条幅!$B$11:$B$310)+COUNTA(条幅4分の1!$B$11:$B$310),INDEX(条幅4分の1!$D$11:$D$310,134-COUNTA(半紙!$B$11:$B$310)-COUNTA(条幅!$B$11:$B$310)),""))))</f>
        <v/>
      </c>
      <c r="E139" s="38" t="str">
        <f>IF(IF(134&lt;=COUNTA(半紙!$B$11:$B$310),INDEX(半紙!$E$11:$E$310,134),IF(134&lt;=COUNTA(半紙!$B$11:$B$310)+COUNTA(条幅!$B$11:$B$310),INDEX(条幅!$E$11:$E$310,134-COUNTA(半紙!$B$11:$B$310)),IF(134&lt;=COUNTA(半紙!$B$11:$B$310)+COUNTA(条幅!$B$11:$B$310)+COUNTA(条幅4分の1!$B$11:$B$310),INDEX(条幅4分の1!$E$11:$E$310,134-COUNTA(半紙!$B$11:$B$310)-COUNTA(条幅!$B$11:$B$310)),"")))=0,"",IF(134&lt;=COUNTA(半紙!$B$11:$B$310),INDEX(半紙!$E$11:$E$310,134),IF(134&lt;=COUNTA(半紙!$B$11:$B$310)+COUNTA(条幅!$B$11:$B$310),INDEX(条幅!$E$11:$E$310,134-COUNTA(半紙!$B$11:$B$310)),IF(134&lt;=COUNTA(半紙!$B$11:$B$310)+COUNTA(条幅!$B$11:$B$310)+COUNTA(条幅4分の1!$B$11:$B$310),INDEX(条幅4分の1!$E$11:$E$310,134-COUNTA(半紙!$B$11:$B$310)-COUNTA(条幅!$B$11:$B$310)),""))))</f>
        <v/>
      </c>
      <c r="F139" s="38" t="str">
        <f>IF(IF(134&lt;=COUNTA(半紙!$B$11:$B$310),INDEX(半紙!$F$11:$F$310,134),IF(134&lt;=COUNTA(半紙!$B$11:$B$310)+COUNTA(条幅!$B$11:$B$310),INDEX(条幅!$F$11:$F$310,134-COUNTA(半紙!$B$11:$B$310)),IF(134&lt;=COUNTA(半紙!$B$11:$B$310)+COUNTA(条幅!$B$11:$B$310)+COUNTA(条幅4分の1!$B$11:$B$310),INDEX(条幅4分の1!$F$11:$F$310,134-COUNTA(半紙!$B$11:$B$310)-COUNTA(条幅!$B$11:$B$310)),"")))=0,"",IF(134&lt;=COUNTA(半紙!$B$11:$B$310),INDEX(半紙!$F$11:$F$310,134),IF(134&lt;=COUNTA(半紙!$B$11:$B$310)+COUNTA(条幅!$B$11:$B$310),INDEX(条幅!$F$11:$F$310,134-COUNTA(半紙!$B$11:$B$310)),IF(134&lt;=COUNTA(半紙!$B$11:$B$310)+COUNTA(条幅!$B$11:$B$310)+COUNTA(条幅4分の1!$B$11:$B$310),INDEX(条幅4分の1!$F$11:$F$310,134-COUNTA(半紙!$B$11:$B$310)-COUNTA(条幅!$B$11:$B$310)),""))))</f>
        <v/>
      </c>
      <c r="G139" s="38" t="str">
        <f>IF(IF(134&lt;=COUNTA(半紙!$B$11:$B$310),INDEX(半紙!$G$11:$G$310,134),IF(134&lt;=COUNTA(半紙!$B$11:$B$310)+COUNTA(条幅!$B$11:$B$310),INDEX(条幅!$G$11:$G$310,134-COUNTA(半紙!$B$11:$B$310)),IF(134&lt;=COUNTA(半紙!$B$11:$B$310)+COUNTA(条幅!$B$11:$B$310)+COUNTA(条幅4分の1!$B$11:$B$310),INDEX(条幅4分の1!$G$11:$G$310,134-COUNTA(半紙!$B$11:$B$310)-COUNTA(条幅!$B$11:$B$310)),"")))=0,"",IF(134&lt;=COUNTA(半紙!$B$11:$B$310),INDEX(半紙!$G$11:$G$310,134),IF(134&lt;=COUNTA(半紙!$B$11:$B$310)+COUNTA(条幅!$B$11:$B$310),INDEX(条幅!$G$11:$G$310,134-COUNTA(半紙!$B$11:$B$310)),IF(134&lt;=COUNTA(半紙!$B$11:$B$310)+COUNTA(条幅!$B$11:$B$310)+COUNTA(条幅4分の1!$B$11:$B$310),INDEX(条幅4分の1!$G$11:$G$310,134-COUNTA(半紙!$B$11:$B$310)-COUNTA(条幅!$B$11:$B$310)),""))))</f>
        <v/>
      </c>
      <c r="H139" s="38" t="str">
        <f>IF(IF(134&lt;=COUNTA(半紙!$B$11:$B$310),INDEX(半紙!$H$11:$H$310,134),IF(134&lt;=COUNTA(半紙!$B$11:$B$310)+COUNTA(条幅!$B$11:$B$310),INDEX(条幅!$H$11:$H$310,134-COUNTA(半紙!$B$11:$B$310)),IF(134&lt;=COUNTA(半紙!$B$11:$B$310)+COUNTA(条幅!$B$11:$B$310)+COUNTA(条幅4分の1!$B$11:$B$310),INDEX(条幅4分の1!$H$11:$H$310,134-COUNTA(半紙!$B$11:$B$310)-COUNTA(条幅!$B$11:$B$310)),"")))=0,"",IF(134&lt;=COUNTA(半紙!$B$11:$B$310),INDEX(半紙!$H$11:$H$310,134),IF(134&lt;=COUNTA(半紙!$B$11:$B$310)+COUNTA(条幅!$B$11:$B$310),INDEX(条幅!$H$11:$H$310,134-COUNTA(半紙!$B$11:$B$310)),IF(134&lt;=COUNTA(半紙!$B$11:$B$310)+COUNTA(条幅!$B$11:$B$310)+COUNTA(条幅4分の1!$B$11:$B$310),INDEX(条幅4分の1!$H$11:$H$310,134-COUNTA(半紙!$B$11:$B$310)-COUNTA(条幅!$B$11:$B$310)),""))))</f>
        <v/>
      </c>
      <c r="I139" s="38" t="str">
        <f>IF(IF(134&lt;=COUNTA(半紙!$B$11:$B$310),INDEX(半紙!$I$11:$I$310,134),IF(134&lt;=COUNTA(半紙!$B$11:$B$310)+COUNTA(条幅!$B$11:$B$310),INDEX(条幅!$I$11:$I$310,134-COUNTA(半紙!$B$11:$B$310)),IF(134&lt;=COUNTA(半紙!$B$11:$B$310)+COUNTA(条幅!$B$11:$B$310)+COUNTA(条幅4分の1!$B$11:$B$310),INDEX(条幅4分の1!$I$11:$I$310,134-COUNTA(半紙!$B$11:$B$310)-COUNTA(条幅!$B$11:$B$310)),"")))=0,"",IF(134&lt;=COUNTA(半紙!$B$11:$B$310),INDEX(半紙!$I$11:$I$310,134),IF(134&lt;=COUNTA(半紙!$B$11:$B$310)+COUNTA(条幅!$B$11:$B$310),INDEX(条幅!$I$11:$I$310,134-COUNTA(半紙!$B$11:$B$310)),IF(134&lt;=COUNTA(半紙!$B$11:$B$310)+COUNTA(条幅!$B$11:$B$310)+COUNTA(条幅4分の1!$B$11:$B$310),INDEX(条幅4分の1!$I$11:$I$310,134-COUNTA(半紙!$B$11:$B$310)-COUNTA(条幅!$B$11:$B$310)),""))))</f>
        <v/>
      </c>
      <c r="J139" s="38" t="str">
        <f>IF(IF(134&lt;=COUNTA(半紙!$B$11:$B$310),INDEX(半紙!$J$11:$J$310,134),IF(134&lt;=COUNTA(半紙!$B$11:$B$310)+COUNTA(条幅!$B$11:$B$310),INDEX(条幅!$J$11:$J$310,134-COUNTA(半紙!$B$11:$B$310)),IF(134&lt;=COUNTA(半紙!$B$11:$B$310)+COUNTA(条幅!$B$11:$B$310)+COUNTA(条幅4分の1!$B$11:$B$310),INDEX(条幅4分の1!$J$11:$J$310,134-COUNTA(半紙!$B$11:$B$310)-COUNTA(条幅!$B$11:$B$310)),"")))=0,"",IF(134&lt;=COUNTA(半紙!$B$11:$B$310),INDEX(半紙!$J$11:$J$310,134),IF(134&lt;=COUNTA(半紙!$B$11:$B$310)+COUNTA(条幅!$B$11:$B$310),INDEX(条幅!$J$11:$J$310,134-COUNTA(半紙!$B$11:$B$310)),IF(134&lt;=COUNTA(半紙!$B$11:$B$310)+COUNTA(条幅!$B$11:$B$310)+COUNTA(条幅4分の1!$B$11:$B$310),INDEX(条幅4分の1!$J$11:$J$310,134-COUNTA(半紙!$B$11:$B$310)-COUNTA(条幅!$B$11:$B$310)),""))))</f>
        <v/>
      </c>
      <c r="K139" s="38" t="str">
        <f>IF(IF(134&lt;=COUNTA(半紙!$B$11:$B$310),INDEX(半紙!$K$11:$K$310,134),IF(134&lt;=COUNTA(半紙!$B$11:$B$310)+COUNTA(条幅!$B$11:$B$310),INDEX(条幅!$K$11:$K$310,134-COUNTA(半紙!$B$11:$B$310)),IF(134&lt;=COUNTA(半紙!$B$11:$B$310)+COUNTA(条幅!$B$11:$B$310)+COUNTA(条幅4分の1!$B$11:$B$310),INDEX(条幅4分の1!$K$11:$K$310,134-COUNTA(半紙!$B$11:$B$310)-COUNTA(条幅!$B$11:$B$310)),"")))=0,"",IF(134&lt;=COUNTA(半紙!$B$11:$B$310),INDEX(半紙!$K$11:$K$310,134),IF(134&lt;=COUNTA(半紙!$B$11:$B$310)+COUNTA(条幅!$B$11:$B$310),INDEX(条幅!$K$11:$K$310,134-COUNTA(半紙!$B$11:$B$310)),IF(134&lt;=COUNTA(半紙!$B$11:$B$310)+COUNTA(条幅!$B$11:$B$310)+COUNTA(条幅4分の1!$B$11:$B$310),INDEX(条幅4分の1!$K$11:$K$310,134-COUNTA(半紙!$B$11:$B$310)-COUNTA(条幅!$B$11:$B$310)),""))))</f>
        <v/>
      </c>
      <c r="L139" s="48" t="str">
        <f>IF($B139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134))</f>
        <v/>
      </c>
    </row>
    <row r="140" spans="1:12" ht="15" customHeight="1">
      <c r="A140" s="37" t="str">
        <f>IF(135&lt;=COUNTA(半紙!$B$11:$B$310),"半紙",IF(135&lt;=COUNTA(半紙!$B$11:$B$310)+COUNTA(条幅!$B$11:$B$310),"条幅(半切)",IF(135&lt;=COUNTA(半紙!$B$11:$B$310)+COUNTA(条幅!$B$11:$B$310)+COUNTA(条幅4分の1!$B$11:$B$310),"条幅(1/4)","")))</f>
        <v/>
      </c>
      <c r="B140" s="38" t="str">
        <f>IF(IF(135&lt;=COUNTA(半紙!$B$11:$B$310),INDEX(半紙!$B$11:$B$310,135),IF(135&lt;=COUNTA(半紙!$B$11:$B$310)+COUNTA(条幅!$B$11:$B$310),INDEX(条幅!$B$11:$B$310,135-COUNTA(半紙!$B$11:$B$310)),IF(135&lt;=COUNTA(半紙!$B$11:$B$310)+COUNTA(条幅!$B$11:$B$310)+COUNTA(条幅4分の1!$B$11:$B$310),INDEX(条幅4分の1!$B$11:$B$310,135-COUNTA(半紙!$B$11:$B$310)-COUNTA(条幅!$B$11:$B$310)),"")))=0,"",IF(135&lt;=COUNTA(半紙!$B$11:$B$310),INDEX(半紙!$B$11:$B$310,135),IF(135&lt;=COUNTA(半紙!$B$11:$B$310)+COUNTA(条幅!$B$11:$B$310),INDEX(条幅!$B$11:$B$310,135-COUNTA(半紙!$B$11:$B$310)),IF(135&lt;=COUNTA(半紙!$B$11:$B$310)+COUNTA(条幅!$B$11:$B$310)+COUNTA(条幅4分の1!$B$11:$B$310),INDEX(条幅4分の1!$B$11:$B$310,135-COUNTA(半紙!$B$11:$B$310)-COUNTA(条幅!$B$11:$B$310)),""))))</f>
        <v/>
      </c>
      <c r="C140" s="38" t="str">
        <f>IF(IF(135&lt;=COUNTA(半紙!$B$11:$B$310),INDEX(半紙!$C$11:$C$310,135),IF(135&lt;=COUNTA(半紙!$B$11:$B$310)+COUNTA(条幅!$B$11:$B$310),INDEX(条幅!$C$11:$C$310,135-COUNTA(半紙!$B$11:$B$310)),IF(135&lt;=COUNTA(半紙!$B$11:$B$310)+COUNTA(条幅!$B$11:$B$310)+COUNTA(条幅4分の1!$B$11:$B$310),INDEX(条幅4分の1!$C$11:$C$310,135-COUNTA(半紙!$B$11:$B$310)-COUNTA(条幅!$B$11:$B$310)),"")))=0,"",IF(135&lt;=COUNTA(半紙!$B$11:$B$310),INDEX(半紙!$C$11:$C$310,135),IF(135&lt;=COUNTA(半紙!$B$11:$B$310)+COUNTA(条幅!$B$11:$B$310),INDEX(条幅!$C$11:$C$310,135-COUNTA(半紙!$B$11:$B$310)),IF(135&lt;=COUNTA(半紙!$B$11:$B$310)+COUNTA(条幅!$B$11:$B$310)+COUNTA(条幅4分の1!$B$11:$B$310),INDEX(条幅4分の1!$C$11:$C$310,135-COUNTA(半紙!$B$11:$B$310)-COUNTA(条幅!$B$11:$B$310)),""))))</f>
        <v/>
      </c>
      <c r="D140" s="38" t="str">
        <f>IF(IF(135&lt;=COUNTA(半紙!$B$11:$B$310),INDEX(半紙!$D$11:$D$310,135),IF(135&lt;=COUNTA(半紙!$B$11:$B$310)+COUNTA(条幅!$B$11:$B$310),INDEX(条幅!$D$11:$D$310,135-COUNTA(半紙!$B$11:$B$310)),IF(135&lt;=COUNTA(半紙!$B$11:$B$310)+COUNTA(条幅!$B$11:$B$310)+COUNTA(条幅4分の1!$B$11:$B$310),INDEX(条幅4分の1!$D$11:$D$310,135-COUNTA(半紙!$B$11:$B$310)-COUNTA(条幅!$B$11:$B$310)),"")))=0,"",IF(135&lt;=COUNTA(半紙!$B$11:$B$310),INDEX(半紙!$D$11:$D$310,135),IF(135&lt;=COUNTA(半紙!$B$11:$B$310)+COUNTA(条幅!$B$11:$B$310),INDEX(条幅!$D$11:$D$310,135-COUNTA(半紙!$B$11:$B$310)),IF(135&lt;=COUNTA(半紙!$B$11:$B$310)+COUNTA(条幅!$B$11:$B$310)+COUNTA(条幅4分の1!$B$11:$B$310),INDEX(条幅4分の1!$D$11:$D$310,135-COUNTA(半紙!$B$11:$B$310)-COUNTA(条幅!$B$11:$B$310)),""))))</f>
        <v/>
      </c>
      <c r="E140" s="38" t="str">
        <f>IF(IF(135&lt;=COUNTA(半紙!$B$11:$B$310),INDEX(半紙!$E$11:$E$310,135),IF(135&lt;=COUNTA(半紙!$B$11:$B$310)+COUNTA(条幅!$B$11:$B$310),INDEX(条幅!$E$11:$E$310,135-COUNTA(半紙!$B$11:$B$310)),IF(135&lt;=COUNTA(半紙!$B$11:$B$310)+COUNTA(条幅!$B$11:$B$310)+COUNTA(条幅4分の1!$B$11:$B$310),INDEX(条幅4分の1!$E$11:$E$310,135-COUNTA(半紙!$B$11:$B$310)-COUNTA(条幅!$B$11:$B$310)),"")))=0,"",IF(135&lt;=COUNTA(半紙!$B$11:$B$310),INDEX(半紙!$E$11:$E$310,135),IF(135&lt;=COUNTA(半紙!$B$11:$B$310)+COUNTA(条幅!$B$11:$B$310),INDEX(条幅!$E$11:$E$310,135-COUNTA(半紙!$B$11:$B$310)),IF(135&lt;=COUNTA(半紙!$B$11:$B$310)+COUNTA(条幅!$B$11:$B$310)+COUNTA(条幅4分の1!$B$11:$B$310),INDEX(条幅4分の1!$E$11:$E$310,135-COUNTA(半紙!$B$11:$B$310)-COUNTA(条幅!$B$11:$B$310)),""))))</f>
        <v/>
      </c>
      <c r="F140" s="38" t="str">
        <f>IF(IF(135&lt;=COUNTA(半紙!$B$11:$B$310),INDEX(半紙!$F$11:$F$310,135),IF(135&lt;=COUNTA(半紙!$B$11:$B$310)+COUNTA(条幅!$B$11:$B$310),INDEX(条幅!$F$11:$F$310,135-COUNTA(半紙!$B$11:$B$310)),IF(135&lt;=COUNTA(半紙!$B$11:$B$310)+COUNTA(条幅!$B$11:$B$310)+COUNTA(条幅4分の1!$B$11:$B$310),INDEX(条幅4分の1!$F$11:$F$310,135-COUNTA(半紙!$B$11:$B$310)-COUNTA(条幅!$B$11:$B$310)),"")))=0,"",IF(135&lt;=COUNTA(半紙!$B$11:$B$310),INDEX(半紙!$F$11:$F$310,135),IF(135&lt;=COUNTA(半紙!$B$11:$B$310)+COUNTA(条幅!$B$11:$B$310),INDEX(条幅!$F$11:$F$310,135-COUNTA(半紙!$B$11:$B$310)),IF(135&lt;=COUNTA(半紙!$B$11:$B$310)+COUNTA(条幅!$B$11:$B$310)+COUNTA(条幅4分の1!$B$11:$B$310),INDEX(条幅4分の1!$F$11:$F$310,135-COUNTA(半紙!$B$11:$B$310)-COUNTA(条幅!$B$11:$B$310)),""))))</f>
        <v/>
      </c>
      <c r="G140" s="38" t="str">
        <f>IF(IF(135&lt;=COUNTA(半紙!$B$11:$B$310),INDEX(半紙!$G$11:$G$310,135),IF(135&lt;=COUNTA(半紙!$B$11:$B$310)+COUNTA(条幅!$B$11:$B$310),INDEX(条幅!$G$11:$G$310,135-COUNTA(半紙!$B$11:$B$310)),IF(135&lt;=COUNTA(半紙!$B$11:$B$310)+COUNTA(条幅!$B$11:$B$310)+COUNTA(条幅4分の1!$B$11:$B$310),INDEX(条幅4分の1!$G$11:$G$310,135-COUNTA(半紙!$B$11:$B$310)-COUNTA(条幅!$B$11:$B$310)),"")))=0,"",IF(135&lt;=COUNTA(半紙!$B$11:$B$310),INDEX(半紙!$G$11:$G$310,135),IF(135&lt;=COUNTA(半紙!$B$11:$B$310)+COUNTA(条幅!$B$11:$B$310),INDEX(条幅!$G$11:$G$310,135-COUNTA(半紙!$B$11:$B$310)),IF(135&lt;=COUNTA(半紙!$B$11:$B$310)+COUNTA(条幅!$B$11:$B$310)+COUNTA(条幅4分の1!$B$11:$B$310),INDEX(条幅4分の1!$G$11:$G$310,135-COUNTA(半紙!$B$11:$B$310)-COUNTA(条幅!$B$11:$B$310)),""))))</f>
        <v/>
      </c>
      <c r="H140" s="38" t="str">
        <f>IF(IF(135&lt;=COUNTA(半紙!$B$11:$B$310),INDEX(半紙!$H$11:$H$310,135),IF(135&lt;=COUNTA(半紙!$B$11:$B$310)+COUNTA(条幅!$B$11:$B$310),INDEX(条幅!$H$11:$H$310,135-COUNTA(半紙!$B$11:$B$310)),IF(135&lt;=COUNTA(半紙!$B$11:$B$310)+COUNTA(条幅!$B$11:$B$310)+COUNTA(条幅4分の1!$B$11:$B$310),INDEX(条幅4分の1!$H$11:$H$310,135-COUNTA(半紙!$B$11:$B$310)-COUNTA(条幅!$B$11:$B$310)),"")))=0,"",IF(135&lt;=COUNTA(半紙!$B$11:$B$310),INDEX(半紙!$H$11:$H$310,135),IF(135&lt;=COUNTA(半紙!$B$11:$B$310)+COUNTA(条幅!$B$11:$B$310),INDEX(条幅!$H$11:$H$310,135-COUNTA(半紙!$B$11:$B$310)),IF(135&lt;=COUNTA(半紙!$B$11:$B$310)+COUNTA(条幅!$B$11:$B$310)+COUNTA(条幅4分の1!$B$11:$B$310),INDEX(条幅4分の1!$H$11:$H$310,135-COUNTA(半紙!$B$11:$B$310)-COUNTA(条幅!$B$11:$B$310)),""))))</f>
        <v/>
      </c>
      <c r="I140" s="38" t="str">
        <f>IF(IF(135&lt;=COUNTA(半紙!$B$11:$B$310),INDEX(半紙!$I$11:$I$310,135),IF(135&lt;=COUNTA(半紙!$B$11:$B$310)+COUNTA(条幅!$B$11:$B$310),INDEX(条幅!$I$11:$I$310,135-COUNTA(半紙!$B$11:$B$310)),IF(135&lt;=COUNTA(半紙!$B$11:$B$310)+COUNTA(条幅!$B$11:$B$310)+COUNTA(条幅4分の1!$B$11:$B$310),INDEX(条幅4分の1!$I$11:$I$310,135-COUNTA(半紙!$B$11:$B$310)-COUNTA(条幅!$B$11:$B$310)),"")))=0,"",IF(135&lt;=COUNTA(半紙!$B$11:$B$310),INDEX(半紙!$I$11:$I$310,135),IF(135&lt;=COUNTA(半紙!$B$11:$B$310)+COUNTA(条幅!$B$11:$B$310),INDEX(条幅!$I$11:$I$310,135-COUNTA(半紙!$B$11:$B$310)),IF(135&lt;=COUNTA(半紙!$B$11:$B$310)+COUNTA(条幅!$B$11:$B$310)+COUNTA(条幅4分の1!$B$11:$B$310),INDEX(条幅4分の1!$I$11:$I$310,135-COUNTA(半紙!$B$11:$B$310)-COUNTA(条幅!$B$11:$B$310)),""))))</f>
        <v/>
      </c>
      <c r="J140" s="38" t="str">
        <f>IF(IF(135&lt;=COUNTA(半紙!$B$11:$B$310),INDEX(半紙!$J$11:$J$310,135),IF(135&lt;=COUNTA(半紙!$B$11:$B$310)+COUNTA(条幅!$B$11:$B$310),INDEX(条幅!$J$11:$J$310,135-COUNTA(半紙!$B$11:$B$310)),IF(135&lt;=COUNTA(半紙!$B$11:$B$310)+COUNTA(条幅!$B$11:$B$310)+COUNTA(条幅4分の1!$B$11:$B$310),INDEX(条幅4分の1!$J$11:$J$310,135-COUNTA(半紙!$B$11:$B$310)-COUNTA(条幅!$B$11:$B$310)),"")))=0,"",IF(135&lt;=COUNTA(半紙!$B$11:$B$310),INDEX(半紙!$J$11:$J$310,135),IF(135&lt;=COUNTA(半紙!$B$11:$B$310)+COUNTA(条幅!$B$11:$B$310),INDEX(条幅!$J$11:$J$310,135-COUNTA(半紙!$B$11:$B$310)),IF(135&lt;=COUNTA(半紙!$B$11:$B$310)+COUNTA(条幅!$B$11:$B$310)+COUNTA(条幅4分の1!$B$11:$B$310),INDEX(条幅4分の1!$J$11:$J$310,135-COUNTA(半紙!$B$11:$B$310)-COUNTA(条幅!$B$11:$B$310)),""))))</f>
        <v/>
      </c>
      <c r="K140" s="38" t="str">
        <f>IF(IF(135&lt;=COUNTA(半紙!$B$11:$B$310),INDEX(半紙!$K$11:$K$310,135),IF(135&lt;=COUNTA(半紙!$B$11:$B$310)+COUNTA(条幅!$B$11:$B$310),INDEX(条幅!$K$11:$K$310,135-COUNTA(半紙!$B$11:$B$310)),IF(135&lt;=COUNTA(半紙!$B$11:$B$310)+COUNTA(条幅!$B$11:$B$310)+COUNTA(条幅4分の1!$B$11:$B$310),INDEX(条幅4分の1!$K$11:$K$310,135-COUNTA(半紙!$B$11:$B$310)-COUNTA(条幅!$B$11:$B$310)),"")))=0,"",IF(135&lt;=COUNTA(半紙!$B$11:$B$310),INDEX(半紙!$K$11:$K$310,135),IF(135&lt;=COUNTA(半紙!$B$11:$B$310)+COUNTA(条幅!$B$11:$B$310),INDEX(条幅!$K$11:$K$310,135-COUNTA(半紙!$B$11:$B$310)),IF(135&lt;=COUNTA(半紙!$B$11:$B$310)+COUNTA(条幅!$B$11:$B$310)+COUNTA(条幅4分の1!$B$11:$B$310),INDEX(条幅4分の1!$K$11:$K$310,135-COUNTA(半紙!$B$11:$B$310)-COUNTA(条幅!$B$11:$B$310)),""))))</f>
        <v/>
      </c>
      <c r="L140" s="48" t="str">
        <f>IF($B140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135))</f>
        <v/>
      </c>
    </row>
    <row r="141" spans="1:12" ht="15" customHeight="1">
      <c r="A141" s="37" t="str">
        <f>IF(136&lt;=COUNTA(半紙!$B$11:$B$310),"半紙",IF(136&lt;=COUNTA(半紙!$B$11:$B$310)+COUNTA(条幅!$B$11:$B$310),"条幅(半切)",IF(136&lt;=COUNTA(半紙!$B$11:$B$310)+COUNTA(条幅!$B$11:$B$310)+COUNTA(条幅4分の1!$B$11:$B$310),"条幅(1/4)","")))</f>
        <v/>
      </c>
      <c r="B141" s="38" t="str">
        <f>IF(IF(136&lt;=COUNTA(半紙!$B$11:$B$310),INDEX(半紙!$B$11:$B$310,136),IF(136&lt;=COUNTA(半紙!$B$11:$B$310)+COUNTA(条幅!$B$11:$B$310),INDEX(条幅!$B$11:$B$310,136-COUNTA(半紙!$B$11:$B$310)),IF(136&lt;=COUNTA(半紙!$B$11:$B$310)+COUNTA(条幅!$B$11:$B$310)+COUNTA(条幅4分の1!$B$11:$B$310),INDEX(条幅4分の1!$B$11:$B$310,136-COUNTA(半紙!$B$11:$B$310)-COUNTA(条幅!$B$11:$B$310)),"")))=0,"",IF(136&lt;=COUNTA(半紙!$B$11:$B$310),INDEX(半紙!$B$11:$B$310,136),IF(136&lt;=COUNTA(半紙!$B$11:$B$310)+COUNTA(条幅!$B$11:$B$310),INDEX(条幅!$B$11:$B$310,136-COUNTA(半紙!$B$11:$B$310)),IF(136&lt;=COUNTA(半紙!$B$11:$B$310)+COUNTA(条幅!$B$11:$B$310)+COUNTA(条幅4分の1!$B$11:$B$310),INDEX(条幅4分の1!$B$11:$B$310,136-COUNTA(半紙!$B$11:$B$310)-COUNTA(条幅!$B$11:$B$310)),""))))</f>
        <v/>
      </c>
      <c r="C141" s="38" t="str">
        <f>IF(IF(136&lt;=COUNTA(半紙!$B$11:$B$310),INDEX(半紙!$C$11:$C$310,136),IF(136&lt;=COUNTA(半紙!$B$11:$B$310)+COUNTA(条幅!$B$11:$B$310),INDEX(条幅!$C$11:$C$310,136-COUNTA(半紙!$B$11:$B$310)),IF(136&lt;=COUNTA(半紙!$B$11:$B$310)+COUNTA(条幅!$B$11:$B$310)+COUNTA(条幅4分の1!$B$11:$B$310),INDEX(条幅4分の1!$C$11:$C$310,136-COUNTA(半紙!$B$11:$B$310)-COUNTA(条幅!$B$11:$B$310)),"")))=0,"",IF(136&lt;=COUNTA(半紙!$B$11:$B$310),INDEX(半紙!$C$11:$C$310,136),IF(136&lt;=COUNTA(半紙!$B$11:$B$310)+COUNTA(条幅!$B$11:$B$310),INDEX(条幅!$C$11:$C$310,136-COUNTA(半紙!$B$11:$B$310)),IF(136&lt;=COUNTA(半紙!$B$11:$B$310)+COUNTA(条幅!$B$11:$B$310)+COUNTA(条幅4分の1!$B$11:$B$310),INDEX(条幅4分の1!$C$11:$C$310,136-COUNTA(半紙!$B$11:$B$310)-COUNTA(条幅!$B$11:$B$310)),""))))</f>
        <v/>
      </c>
      <c r="D141" s="38" t="str">
        <f>IF(IF(136&lt;=COUNTA(半紙!$B$11:$B$310),INDEX(半紙!$D$11:$D$310,136),IF(136&lt;=COUNTA(半紙!$B$11:$B$310)+COUNTA(条幅!$B$11:$B$310),INDEX(条幅!$D$11:$D$310,136-COUNTA(半紙!$B$11:$B$310)),IF(136&lt;=COUNTA(半紙!$B$11:$B$310)+COUNTA(条幅!$B$11:$B$310)+COUNTA(条幅4分の1!$B$11:$B$310),INDEX(条幅4分の1!$D$11:$D$310,136-COUNTA(半紙!$B$11:$B$310)-COUNTA(条幅!$B$11:$B$310)),"")))=0,"",IF(136&lt;=COUNTA(半紙!$B$11:$B$310),INDEX(半紙!$D$11:$D$310,136),IF(136&lt;=COUNTA(半紙!$B$11:$B$310)+COUNTA(条幅!$B$11:$B$310),INDEX(条幅!$D$11:$D$310,136-COUNTA(半紙!$B$11:$B$310)),IF(136&lt;=COUNTA(半紙!$B$11:$B$310)+COUNTA(条幅!$B$11:$B$310)+COUNTA(条幅4分の1!$B$11:$B$310),INDEX(条幅4分の1!$D$11:$D$310,136-COUNTA(半紙!$B$11:$B$310)-COUNTA(条幅!$B$11:$B$310)),""))))</f>
        <v/>
      </c>
      <c r="E141" s="38" t="str">
        <f>IF(IF(136&lt;=COUNTA(半紙!$B$11:$B$310),INDEX(半紙!$E$11:$E$310,136),IF(136&lt;=COUNTA(半紙!$B$11:$B$310)+COUNTA(条幅!$B$11:$B$310),INDEX(条幅!$E$11:$E$310,136-COUNTA(半紙!$B$11:$B$310)),IF(136&lt;=COUNTA(半紙!$B$11:$B$310)+COUNTA(条幅!$B$11:$B$310)+COUNTA(条幅4分の1!$B$11:$B$310),INDEX(条幅4分の1!$E$11:$E$310,136-COUNTA(半紙!$B$11:$B$310)-COUNTA(条幅!$B$11:$B$310)),"")))=0,"",IF(136&lt;=COUNTA(半紙!$B$11:$B$310),INDEX(半紙!$E$11:$E$310,136),IF(136&lt;=COUNTA(半紙!$B$11:$B$310)+COUNTA(条幅!$B$11:$B$310),INDEX(条幅!$E$11:$E$310,136-COUNTA(半紙!$B$11:$B$310)),IF(136&lt;=COUNTA(半紙!$B$11:$B$310)+COUNTA(条幅!$B$11:$B$310)+COUNTA(条幅4分の1!$B$11:$B$310),INDEX(条幅4分の1!$E$11:$E$310,136-COUNTA(半紙!$B$11:$B$310)-COUNTA(条幅!$B$11:$B$310)),""))))</f>
        <v/>
      </c>
      <c r="F141" s="38" t="str">
        <f>IF(IF(136&lt;=COUNTA(半紙!$B$11:$B$310),INDEX(半紙!$F$11:$F$310,136),IF(136&lt;=COUNTA(半紙!$B$11:$B$310)+COUNTA(条幅!$B$11:$B$310),INDEX(条幅!$F$11:$F$310,136-COUNTA(半紙!$B$11:$B$310)),IF(136&lt;=COUNTA(半紙!$B$11:$B$310)+COUNTA(条幅!$B$11:$B$310)+COUNTA(条幅4分の1!$B$11:$B$310),INDEX(条幅4分の1!$F$11:$F$310,136-COUNTA(半紙!$B$11:$B$310)-COUNTA(条幅!$B$11:$B$310)),"")))=0,"",IF(136&lt;=COUNTA(半紙!$B$11:$B$310),INDEX(半紙!$F$11:$F$310,136),IF(136&lt;=COUNTA(半紙!$B$11:$B$310)+COUNTA(条幅!$B$11:$B$310),INDEX(条幅!$F$11:$F$310,136-COUNTA(半紙!$B$11:$B$310)),IF(136&lt;=COUNTA(半紙!$B$11:$B$310)+COUNTA(条幅!$B$11:$B$310)+COUNTA(条幅4分の1!$B$11:$B$310),INDEX(条幅4分の1!$F$11:$F$310,136-COUNTA(半紙!$B$11:$B$310)-COUNTA(条幅!$B$11:$B$310)),""))))</f>
        <v/>
      </c>
      <c r="G141" s="38" t="str">
        <f>IF(IF(136&lt;=COUNTA(半紙!$B$11:$B$310),INDEX(半紙!$G$11:$G$310,136),IF(136&lt;=COUNTA(半紙!$B$11:$B$310)+COUNTA(条幅!$B$11:$B$310),INDEX(条幅!$G$11:$G$310,136-COUNTA(半紙!$B$11:$B$310)),IF(136&lt;=COUNTA(半紙!$B$11:$B$310)+COUNTA(条幅!$B$11:$B$310)+COUNTA(条幅4分の1!$B$11:$B$310),INDEX(条幅4分の1!$G$11:$G$310,136-COUNTA(半紙!$B$11:$B$310)-COUNTA(条幅!$B$11:$B$310)),"")))=0,"",IF(136&lt;=COUNTA(半紙!$B$11:$B$310),INDEX(半紙!$G$11:$G$310,136),IF(136&lt;=COUNTA(半紙!$B$11:$B$310)+COUNTA(条幅!$B$11:$B$310),INDEX(条幅!$G$11:$G$310,136-COUNTA(半紙!$B$11:$B$310)),IF(136&lt;=COUNTA(半紙!$B$11:$B$310)+COUNTA(条幅!$B$11:$B$310)+COUNTA(条幅4分の1!$B$11:$B$310),INDEX(条幅4分の1!$G$11:$G$310,136-COUNTA(半紙!$B$11:$B$310)-COUNTA(条幅!$B$11:$B$310)),""))))</f>
        <v/>
      </c>
      <c r="H141" s="38" t="str">
        <f>IF(IF(136&lt;=COUNTA(半紙!$B$11:$B$310),INDEX(半紙!$H$11:$H$310,136),IF(136&lt;=COUNTA(半紙!$B$11:$B$310)+COUNTA(条幅!$B$11:$B$310),INDEX(条幅!$H$11:$H$310,136-COUNTA(半紙!$B$11:$B$310)),IF(136&lt;=COUNTA(半紙!$B$11:$B$310)+COUNTA(条幅!$B$11:$B$310)+COUNTA(条幅4分の1!$B$11:$B$310),INDEX(条幅4分の1!$H$11:$H$310,136-COUNTA(半紙!$B$11:$B$310)-COUNTA(条幅!$B$11:$B$310)),"")))=0,"",IF(136&lt;=COUNTA(半紙!$B$11:$B$310),INDEX(半紙!$H$11:$H$310,136),IF(136&lt;=COUNTA(半紙!$B$11:$B$310)+COUNTA(条幅!$B$11:$B$310),INDEX(条幅!$H$11:$H$310,136-COUNTA(半紙!$B$11:$B$310)),IF(136&lt;=COUNTA(半紙!$B$11:$B$310)+COUNTA(条幅!$B$11:$B$310)+COUNTA(条幅4分の1!$B$11:$B$310),INDEX(条幅4分の1!$H$11:$H$310,136-COUNTA(半紙!$B$11:$B$310)-COUNTA(条幅!$B$11:$B$310)),""))))</f>
        <v/>
      </c>
      <c r="I141" s="38" t="str">
        <f>IF(IF(136&lt;=COUNTA(半紙!$B$11:$B$310),INDEX(半紙!$I$11:$I$310,136),IF(136&lt;=COUNTA(半紙!$B$11:$B$310)+COUNTA(条幅!$B$11:$B$310),INDEX(条幅!$I$11:$I$310,136-COUNTA(半紙!$B$11:$B$310)),IF(136&lt;=COUNTA(半紙!$B$11:$B$310)+COUNTA(条幅!$B$11:$B$310)+COUNTA(条幅4分の1!$B$11:$B$310),INDEX(条幅4分の1!$I$11:$I$310,136-COUNTA(半紙!$B$11:$B$310)-COUNTA(条幅!$B$11:$B$310)),"")))=0,"",IF(136&lt;=COUNTA(半紙!$B$11:$B$310),INDEX(半紙!$I$11:$I$310,136),IF(136&lt;=COUNTA(半紙!$B$11:$B$310)+COUNTA(条幅!$B$11:$B$310),INDEX(条幅!$I$11:$I$310,136-COUNTA(半紙!$B$11:$B$310)),IF(136&lt;=COUNTA(半紙!$B$11:$B$310)+COUNTA(条幅!$B$11:$B$310)+COUNTA(条幅4分の1!$B$11:$B$310),INDEX(条幅4分の1!$I$11:$I$310,136-COUNTA(半紙!$B$11:$B$310)-COUNTA(条幅!$B$11:$B$310)),""))))</f>
        <v/>
      </c>
      <c r="J141" s="38" t="str">
        <f>IF(IF(136&lt;=COUNTA(半紙!$B$11:$B$310),INDEX(半紙!$J$11:$J$310,136),IF(136&lt;=COUNTA(半紙!$B$11:$B$310)+COUNTA(条幅!$B$11:$B$310),INDEX(条幅!$J$11:$J$310,136-COUNTA(半紙!$B$11:$B$310)),IF(136&lt;=COUNTA(半紙!$B$11:$B$310)+COUNTA(条幅!$B$11:$B$310)+COUNTA(条幅4分の1!$B$11:$B$310),INDEX(条幅4分の1!$J$11:$J$310,136-COUNTA(半紙!$B$11:$B$310)-COUNTA(条幅!$B$11:$B$310)),"")))=0,"",IF(136&lt;=COUNTA(半紙!$B$11:$B$310),INDEX(半紙!$J$11:$J$310,136),IF(136&lt;=COUNTA(半紙!$B$11:$B$310)+COUNTA(条幅!$B$11:$B$310),INDEX(条幅!$J$11:$J$310,136-COUNTA(半紙!$B$11:$B$310)),IF(136&lt;=COUNTA(半紙!$B$11:$B$310)+COUNTA(条幅!$B$11:$B$310)+COUNTA(条幅4分の1!$B$11:$B$310),INDEX(条幅4分の1!$J$11:$J$310,136-COUNTA(半紙!$B$11:$B$310)-COUNTA(条幅!$B$11:$B$310)),""))))</f>
        <v/>
      </c>
      <c r="K141" s="38" t="str">
        <f>IF(IF(136&lt;=COUNTA(半紙!$B$11:$B$310),INDEX(半紙!$K$11:$K$310,136),IF(136&lt;=COUNTA(半紙!$B$11:$B$310)+COUNTA(条幅!$B$11:$B$310),INDEX(条幅!$K$11:$K$310,136-COUNTA(半紙!$B$11:$B$310)),IF(136&lt;=COUNTA(半紙!$B$11:$B$310)+COUNTA(条幅!$B$11:$B$310)+COUNTA(条幅4分の1!$B$11:$B$310),INDEX(条幅4分の1!$K$11:$K$310,136-COUNTA(半紙!$B$11:$B$310)-COUNTA(条幅!$B$11:$B$310)),"")))=0,"",IF(136&lt;=COUNTA(半紙!$B$11:$B$310),INDEX(半紙!$K$11:$K$310,136),IF(136&lt;=COUNTA(半紙!$B$11:$B$310)+COUNTA(条幅!$B$11:$B$310),INDEX(条幅!$K$11:$K$310,136-COUNTA(半紙!$B$11:$B$310)),IF(136&lt;=COUNTA(半紙!$B$11:$B$310)+COUNTA(条幅!$B$11:$B$310)+COUNTA(条幅4分の1!$B$11:$B$310),INDEX(条幅4分の1!$K$11:$K$310,136-COUNTA(半紙!$B$11:$B$310)-COUNTA(条幅!$B$11:$B$310)),""))))</f>
        <v/>
      </c>
      <c r="L141" s="48" t="str">
        <f>IF($B141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136))</f>
        <v/>
      </c>
    </row>
    <row r="142" spans="1:12" ht="15" customHeight="1">
      <c r="A142" s="37" t="str">
        <f>IF(137&lt;=COUNTA(半紙!$B$11:$B$310),"半紙",IF(137&lt;=COUNTA(半紙!$B$11:$B$310)+COUNTA(条幅!$B$11:$B$310),"条幅(半切)",IF(137&lt;=COUNTA(半紙!$B$11:$B$310)+COUNTA(条幅!$B$11:$B$310)+COUNTA(条幅4分の1!$B$11:$B$310),"条幅(1/4)","")))</f>
        <v/>
      </c>
      <c r="B142" s="38" t="str">
        <f>IF(IF(137&lt;=COUNTA(半紙!$B$11:$B$310),INDEX(半紙!$B$11:$B$310,137),IF(137&lt;=COUNTA(半紙!$B$11:$B$310)+COUNTA(条幅!$B$11:$B$310),INDEX(条幅!$B$11:$B$310,137-COUNTA(半紙!$B$11:$B$310)),IF(137&lt;=COUNTA(半紙!$B$11:$B$310)+COUNTA(条幅!$B$11:$B$310)+COUNTA(条幅4分の1!$B$11:$B$310),INDEX(条幅4分の1!$B$11:$B$310,137-COUNTA(半紙!$B$11:$B$310)-COUNTA(条幅!$B$11:$B$310)),"")))=0,"",IF(137&lt;=COUNTA(半紙!$B$11:$B$310),INDEX(半紙!$B$11:$B$310,137),IF(137&lt;=COUNTA(半紙!$B$11:$B$310)+COUNTA(条幅!$B$11:$B$310),INDEX(条幅!$B$11:$B$310,137-COUNTA(半紙!$B$11:$B$310)),IF(137&lt;=COUNTA(半紙!$B$11:$B$310)+COUNTA(条幅!$B$11:$B$310)+COUNTA(条幅4分の1!$B$11:$B$310),INDEX(条幅4分の1!$B$11:$B$310,137-COUNTA(半紙!$B$11:$B$310)-COUNTA(条幅!$B$11:$B$310)),""))))</f>
        <v/>
      </c>
      <c r="C142" s="38" t="str">
        <f>IF(IF(137&lt;=COUNTA(半紙!$B$11:$B$310),INDEX(半紙!$C$11:$C$310,137),IF(137&lt;=COUNTA(半紙!$B$11:$B$310)+COUNTA(条幅!$B$11:$B$310),INDEX(条幅!$C$11:$C$310,137-COUNTA(半紙!$B$11:$B$310)),IF(137&lt;=COUNTA(半紙!$B$11:$B$310)+COUNTA(条幅!$B$11:$B$310)+COUNTA(条幅4分の1!$B$11:$B$310),INDEX(条幅4分の1!$C$11:$C$310,137-COUNTA(半紙!$B$11:$B$310)-COUNTA(条幅!$B$11:$B$310)),"")))=0,"",IF(137&lt;=COUNTA(半紙!$B$11:$B$310),INDEX(半紙!$C$11:$C$310,137),IF(137&lt;=COUNTA(半紙!$B$11:$B$310)+COUNTA(条幅!$B$11:$B$310),INDEX(条幅!$C$11:$C$310,137-COUNTA(半紙!$B$11:$B$310)),IF(137&lt;=COUNTA(半紙!$B$11:$B$310)+COUNTA(条幅!$B$11:$B$310)+COUNTA(条幅4分の1!$B$11:$B$310),INDEX(条幅4分の1!$C$11:$C$310,137-COUNTA(半紙!$B$11:$B$310)-COUNTA(条幅!$B$11:$B$310)),""))))</f>
        <v/>
      </c>
      <c r="D142" s="38" t="str">
        <f>IF(IF(137&lt;=COUNTA(半紙!$B$11:$B$310),INDEX(半紙!$D$11:$D$310,137),IF(137&lt;=COUNTA(半紙!$B$11:$B$310)+COUNTA(条幅!$B$11:$B$310),INDEX(条幅!$D$11:$D$310,137-COUNTA(半紙!$B$11:$B$310)),IF(137&lt;=COUNTA(半紙!$B$11:$B$310)+COUNTA(条幅!$B$11:$B$310)+COUNTA(条幅4分の1!$B$11:$B$310),INDEX(条幅4分の1!$D$11:$D$310,137-COUNTA(半紙!$B$11:$B$310)-COUNTA(条幅!$B$11:$B$310)),"")))=0,"",IF(137&lt;=COUNTA(半紙!$B$11:$B$310),INDEX(半紙!$D$11:$D$310,137),IF(137&lt;=COUNTA(半紙!$B$11:$B$310)+COUNTA(条幅!$B$11:$B$310),INDEX(条幅!$D$11:$D$310,137-COUNTA(半紙!$B$11:$B$310)),IF(137&lt;=COUNTA(半紙!$B$11:$B$310)+COUNTA(条幅!$B$11:$B$310)+COUNTA(条幅4分の1!$B$11:$B$310),INDEX(条幅4分の1!$D$11:$D$310,137-COUNTA(半紙!$B$11:$B$310)-COUNTA(条幅!$B$11:$B$310)),""))))</f>
        <v/>
      </c>
      <c r="E142" s="38" t="str">
        <f>IF(IF(137&lt;=COUNTA(半紙!$B$11:$B$310),INDEX(半紙!$E$11:$E$310,137),IF(137&lt;=COUNTA(半紙!$B$11:$B$310)+COUNTA(条幅!$B$11:$B$310),INDEX(条幅!$E$11:$E$310,137-COUNTA(半紙!$B$11:$B$310)),IF(137&lt;=COUNTA(半紙!$B$11:$B$310)+COUNTA(条幅!$B$11:$B$310)+COUNTA(条幅4分の1!$B$11:$B$310),INDEX(条幅4分の1!$E$11:$E$310,137-COUNTA(半紙!$B$11:$B$310)-COUNTA(条幅!$B$11:$B$310)),"")))=0,"",IF(137&lt;=COUNTA(半紙!$B$11:$B$310),INDEX(半紙!$E$11:$E$310,137),IF(137&lt;=COUNTA(半紙!$B$11:$B$310)+COUNTA(条幅!$B$11:$B$310),INDEX(条幅!$E$11:$E$310,137-COUNTA(半紙!$B$11:$B$310)),IF(137&lt;=COUNTA(半紙!$B$11:$B$310)+COUNTA(条幅!$B$11:$B$310)+COUNTA(条幅4分の1!$B$11:$B$310),INDEX(条幅4分の1!$E$11:$E$310,137-COUNTA(半紙!$B$11:$B$310)-COUNTA(条幅!$B$11:$B$310)),""))))</f>
        <v/>
      </c>
      <c r="F142" s="38" t="str">
        <f>IF(IF(137&lt;=COUNTA(半紙!$B$11:$B$310),INDEX(半紙!$F$11:$F$310,137),IF(137&lt;=COUNTA(半紙!$B$11:$B$310)+COUNTA(条幅!$B$11:$B$310),INDEX(条幅!$F$11:$F$310,137-COUNTA(半紙!$B$11:$B$310)),IF(137&lt;=COUNTA(半紙!$B$11:$B$310)+COUNTA(条幅!$B$11:$B$310)+COUNTA(条幅4分の1!$B$11:$B$310),INDEX(条幅4分の1!$F$11:$F$310,137-COUNTA(半紙!$B$11:$B$310)-COUNTA(条幅!$B$11:$B$310)),"")))=0,"",IF(137&lt;=COUNTA(半紙!$B$11:$B$310),INDEX(半紙!$F$11:$F$310,137),IF(137&lt;=COUNTA(半紙!$B$11:$B$310)+COUNTA(条幅!$B$11:$B$310),INDEX(条幅!$F$11:$F$310,137-COUNTA(半紙!$B$11:$B$310)),IF(137&lt;=COUNTA(半紙!$B$11:$B$310)+COUNTA(条幅!$B$11:$B$310)+COUNTA(条幅4分の1!$B$11:$B$310),INDEX(条幅4分の1!$F$11:$F$310,137-COUNTA(半紙!$B$11:$B$310)-COUNTA(条幅!$B$11:$B$310)),""))))</f>
        <v/>
      </c>
      <c r="G142" s="38" t="str">
        <f>IF(IF(137&lt;=COUNTA(半紙!$B$11:$B$310),INDEX(半紙!$G$11:$G$310,137),IF(137&lt;=COUNTA(半紙!$B$11:$B$310)+COUNTA(条幅!$B$11:$B$310),INDEX(条幅!$G$11:$G$310,137-COUNTA(半紙!$B$11:$B$310)),IF(137&lt;=COUNTA(半紙!$B$11:$B$310)+COUNTA(条幅!$B$11:$B$310)+COUNTA(条幅4分の1!$B$11:$B$310),INDEX(条幅4分の1!$G$11:$G$310,137-COUNTA(半紙!$B$11:$B$310)-COUNTA(条幅!$B$11:$B$310)),"")))=0,"",IF(137&lt;=COUNTA(半紙!$B$11:$B$310),INDEX(半紙!$G$11:$G$310,137),IF(137&lt;=COUNTA(半紙!$B$11:$B$310)+COUNTA(条幅!$B$11:$B$310),INDEX(条幅!$G$11:$G$310,137-COUNTA(半紙!$B$11:$B$310)),IF(137&lt;=COUNTA(半紙!$B$11:$B$310)+COUNTA(条幅!$B$11:$B$310)+COUNTA(条幅4分の1!$B$11:$B$310),INDEX(条幅4分の1!$G$11:$G$310,137-COUNTA(半紙!$B$11:$B$310)-COUNTA(条幅!$B$11:$B$310)),""))))</f>
        <v/>
      </c>
      <c r="H142" s="38" t="str">
        <f>IF(IF(137&lt;=COUNTA(半紙!$B$11:$B$310),INDEX(半紙!$H$11:$H$310,137),IF(137&lt;=COUNTA(半紙!$B$11:$B$310)+COUNTA(条幅!$B$11:$B$310),INDEX(条幅!$H$11:$H$310,137-COUNTA(半紙!$B$11:$B$310)),IF(137&lt;=COUNTA(半紙!$B$11:$B$310)+COUNTA(条幅!$B$11:$B$310)+COUNTA(条幅4分の1!$B$11:$B$310),INDEX(条幅4分の1!$H$11:$H$310,137-COUNTA(半紙!$B$11:$B$310)-COUNTA(条幅!$B$11:$B$310)),"")))=0,"",IF(137&lt;=COUNTA(半紙!$B$11:$B$310),INDEX(半紙!$H$11:$H$310,137),IF(137&lt;=COUNTA(半紙!$B$11:$B$310)+COUNTA(条幅!$B$11:$B$310),INDEX(条幅!$H$11:$H$310,137-COUNTA(半紙!$B$11:$B$310)),IF(137&lt;=COUNTA(半紙!$B$11:$B$310)+COUNTA(条幅!$B$11:$B$310)+COUNTA(条幅4分の1!$B$11:$B$310),INDEX(条幅4分の1!$H$11:$H$310,137-COUNTA(半紙!$B$11:$B$310)-COUNTA(条幅!$B$11:$B$310)),""))))</f>
        <v/>
      </c>
      <c r="I142" s="38" t="str">
        <f>IF(IF(137&lt;=COUNTA(半紙!$B$11:$B$310),INDEX(半紙!$I$11:$I$310,137),IF(137&lt;=COUNTA(半紙!$B$11:$B$310)+COUNTA(条幅!$B$11:$B$310),INDEX(条幅!$I$11:$I$310,137-COUNTA(半紙!$B$11:$B$310)),IF(137&lt;=COUNTA(半紙!$B$11:$B$310)+COUNTA(条幅!$B$11:$B$310)+COUNTA(条幅4分の1!$B$11:$B$310),INDEX(条幅4分の1!$I$11:$I$310,137-COUNTA(半紙!$B$11:$B$310)-COUNTA(条幅!$B$11:$B$310)),"")))=0,"",IF(137&lt;=COUNTA(半紙!$B$11:$B$310),INDEX(半紙!$I$11:$I$310,137),IF(137&lt;=COUNTA(半紙!$B$11:$B$310)+COUNTA(条幅!$B$11:$B$310),INDEX(条幅!$I$11:$I$310,137-COUNTA(半紙!$B$11:$B$310)),IF(137&lt;=COUNTA(半紙!$B$11:$B$310)+COUNTA(条幅!$B$11:$B$310)+COUNTA(条幅4分の1!$B$11:$B$310),INDEX(条幅4分の1!$I$11:$I$310,137-COUNTA(半紙!$B$11:$B$310)-COUNTA(条幅!$B$11:$B$310)),""))))</f>
        <v/>
      </c>
      <c r="J142" s="38" t="str">
        <f>IF(IF(137&lt;=COUNTA(半紙!$B$11:$B$310),INDEX(半紙!$J$11:$J$310,137),IF(137&lt;=COUNTA(半紙!$B$11:$B$310)+COUNTA(条幅!$B$11:$B$310),INDEX(条幅!$J$11:$J$310,137-COUNTA(半紙!$B$11:$B$310)),IF(137&lt;=COUNTA(半紙!$B$11:$B$310)+COUNTA(条幅!$B$11:$B$310)+COUNTA(条幅4分の1!$B$11:$B$310),INDEX(条幅4分の1!$J$11:$J$310,137-COUNTA(半紙!$B$11:$B$310)-COUNTA(条幅!$B$11:$B$310)),"")))=0,"",IF(137&lt;=COUNTA(半紙!$B$11:$B$310),INDEX(半紙!$J$11:$J$310,137),IF(137&lt;=COUNTA(半紙!$B$11:$B$310)+COUNTA(条幅!$B$11:$B$310),INDEX(条幅!$J$11:$J$310,137-COUNTA(半紙!$B$11:$B$310)),IF(137&lt;=COUNTA(半紙!$B$11:$B$310)+COUNTA(条幅!$B$11:$B$310)+COUNTA(条幅4分の1!$B$11:$B$310),INDEX(条幅4分の1!$J$11:$J$310,137-COUNTA(半紙!$B$11:$B$310)-COUNTA(条幅!$B$11:$B$310)),""))))</f>
        <v/>
      </c>
      <c r="K142" s="38" t="str">
        <f>IF(IF(137&lt;=COUNTA(半紙!$B$11:$B$310),INDEX(半紙!$K$11:$K$310,137),IF(137&lt;=COUNTA(半紙!$B$11:$B$310)+COUNTA(条幅!$B$11:$B$310),INDEX(条幅!$K$11:$K$310,137-COUNTA(半紙!$B$11:$B$310)),IF(137&lt;=COUNTA(半紙!$B$11:$B$310)+COUNTA(条幅!$B$11:$B$310)+COUNTA(条幅4分の1!$B$11:$B$310),INDEX(条幅4分の1!$K$11:$K$310,137-COUNTA(半紙!$B$11:$B$310)-COUNTA(条幅!$B$11:$B$310)),"")))=0,"",IF(137&lt;=COUNTA(半紙!$B$11:$B$310),INDEX(半紙!$K$11:$K$310,137),IF(137&lt;=COUNTA(半紙!$B$11:$B$310)+COUNTA(条幅!$B$11:$B$310),INDEX(条幅!$K$11:$K$310,137-COUNTA(半紙!$B$11:$B$310)),IF(137&lt;=COUNTA(半紙!$B$11:$B$310)+COUNTA(条幅!$B$11:$B$310)+COUNTA(条幅4分の1!$B$11:$B$310),INDEX(条幅4分の1!$K$11:$K$310,137-COUNTA(半紙!$B$11:$B$310)-COUNTA(条幅!$B$11:$B$310)),""))))</f>
        <v/>
      </c>
      <c r="L142" s="48" t="str">
        <f>IF($B142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137))</f>
        <v/>
      </c>
    </row>
    <row r="143" spans="1:12" ht="15" customHeight="1">
      <c r="A143" s="37" t="str">
        <f>IF(138&lt;=COUNTA(半紙!$B$11:$B$310),"半紙",IF(138&lt;=COUNTA(半紙!$B$11:$B$310)+COUNTA(条幅!$B$11:$B$310),"条幅(半切)",IF(138&lt;=COUNTA(半紙!$B$11:$B$310)+COUNTA(条幅!$B$11:$B$310)+COUNTA(条幅4分の1!$B$11:$B$310),"条幅(1/4)","")))</f>
        <v/>
      </c>
      <c r="B143" s="38" t="str">
        <f>IF(IF(138&lt;=COUNTA(半紙!$B$11:$B$310),INDEX(半紙!$B$11:$B$310,138),IF(138&lt;=COUNTA(半紙!$B$11:$B$310)+COUNTA(条幅!$B$11:$B$310),INDEX(条幅!$B$11:$B$310,138-COUNTA(半紙!$B$11:$B$310)),IF(138&lt;=COUNTA(半紙!$B$11:$B$310)+COUNTA(条幅!$B$11:$B$310)+COUNTA(条幅4分の1!$B$11:$B$310),INDEX(条幅4分の1!$B$11:$B$310,138-COUNTA(半紙!$B$11:$B$310)-COUNTA(条幅!$B$11:$B$310)),"")))=0,"",IF(138&lt;=COUNTA(半紙!$B$11:$B$310),INDEX(半紙!$B$11:$B$310,138),IF(138&lt;=COUNTA(半紙!$B$11:$B$310)+COUNTA(条幅!$B$11:$B$310),INDEX(条幅!$B$11:$B$310,138-COUNTA(半紙!$B$11:$B$310)),IF(138&lt;=COUNTA(半紙!$B$11:$B$310)+COUNTA(条幅!$B$11:$B$310)+COUNTA(条幅4分の1!$B$11:$B$310),INDEX(条幅4分の1!$B$11:$B$310,138-COUNTA(半紙!$B$11:$B$310)-COUNTA(条幅!$B$11:$B$310)),""))))</f>
        <v/>
      </c>
      <c r="C143" s="38" t="str">
        <f>IF(IF(138&lt;=COUNTA(半紙!$B$11:$B$310),INDEX(半紙!$C$11:$C$310,138),IF(138&lt;=COUNTA(半紙!$B$11:$B$310)+COUNTA(条幅!$B$11:$B$310),INDEX(条幅!$C$11:$C$310,138-COUNTA(半紙!$B$11:$B$310)),IF(138&lt;=COUNTA(半紙!$B$11:$B$310)+COUNTA(条幅!$B$11:$B$310)+COUNTA(条幅4分の1!$B$11:$B$310),INDEX(条幅4分の1!$C$11:$C$310,138-COUNTA(半紙!$B$11:$B$310)-COUNTA(条幅!$B$11:$B$310)),"")))=0,"",IF(138&lt;=COUNTA(半紙!$B$11:$B$310),INDEX(半紙!$C$11:$C$310,138),IF(138&lt;=COUNTA(半紙!$B$11:$B$310)+COUNTA(条幅!$B$11:$B$310),INDEX(条幅!$C$11:$C$310,138-COUNTA(半紙!$B$11:$B$310)),IF(138&lt;=COUNTA(半紙!$B$11:$B$310)+COUNTA(条幅!$B$11:$B$310)+COUNTA(条幅4分の1!$B$11:$B$310),INDEX(条幅4分の1!$C$11:$C$310,138-COUNTA(半紙!$B$11:$B$310)-COUNTA(条幅!$B$11:$B$310)),""))))</f>
        <v/>
      </c>
      <c r="D143" s="38" t="str">
        <f>IF(IF(138&lt;=COUNTA(半紙!$B$11:$B$310),INDEX(半紙!$D$11:$D$310,138),IF(138&lt;=COUNTA(半紙!$B$11:$B$310)+COUNTA(条幅!$B$11:$B$310),INDEX(条幅!$D$11:$D$310,138-COUNTA(半紙!$B$11:$B$310)),IF(138&lt;=COUNTA(半紙!$B$11:$B$310)+COUNTA(条幅!$B$11:$B$310)+COUNTA(条幅4分の1!$B$11:$B$310),INDEX(条幅4分の1!$D$11:$D$310,138-COUNTA(半紙!$B$11:$B$310)-COUNTA(条幅!$B$11:$B$310)),"")))=0,"",IF(138&lt;=COUNTA(半紙!$B$11:$B$310),INDEX(半紙!$D$11:$D$310,138),IF(138&lt;=COUNTA(半紙!$B$11:$B$310)+COUNTA(条幅!$B$11:$B$310),INDEX(条幅!$D$11:$D$310,138-COUNTA(半紙!$B$11:$B$310)),IF(138&lt;=COUNTA(半紙!$B$11:$B$310)+COUNTA(条幅!$B$11:$B$310)+COUNTA(条幅4分の1!$B$11:$B$310),INDEX(条幅4分の1!$D$11:$D$310,138-COUNTA(半紙!$B$11:$B$310)-COUNTA(条幅!$B$11:$B$310)),""))))</f>
        <v/>
      </c>
      <c r="E143" s="38" t="str">
        <f>IF(IF(138&lt;=COUNTA(半紙!$B$11:$B$310),INDEX(半紙!$E$11:$E$310,138),IF(138&lt;=COUNTA(半紙!$B$11:$B$310)+COUNTA(条幅!$B$11:$B$310),INDEX(条幅!$E$11:$E$310,138-COUNTA(半紙!$B$11:$B$310)),IF(138&lt;=COUNTA(半紙!$B$11:$B$310)+COUNTA(条幅!$B$11:$B$310)+COUNTA(条幅4分の1!$B$11:$B$310),INDEX(条幅4分の1!$E$11:$E$310,138-COUNTA(半紙!$B$11:$B$310)-COUNTA(条幅!$B$11:$B$310)),"")))=0,"",IF(138&lt;=COUNTA(半紙!$B$11:$B$310),INDEX(半紙!$E$11:$E$310,138),IF(138&lt;=COUNTA(半紙!$B$11:$B$310)+COUNTA(条幅!$B$11:$B$310),INDEX(条幅!$E$11:$E$310,138-COUNTA(半紙!$B$11:$B$310)),IF(138&lt;=COUNTA(半紙!$B$11:$B$310)+COUNTA(条幅!$B$11:$B$310)+COUNTA(条幅4分の1!$B$11:$B$310),INDEX(条幅4分の1!$E$11:$E$310,138-COUNTA(半紙!$B$11:$B$310)-COUNTA(条幅!$B$11:$B$310)),""))))</f>
        <v/>
      </c>
      <c r="F143" s="38" t="str">
        <f>IF(IF(138&lt;=COUNTA(半紙!$B$11:$B$310),INDEX(半紙!$F$11:$F$310,138),IF(138&lt;=COUNTA(半紙!$B$11:$B$310)+COUNTA(条幅!$B$11:$B$310),INDEX(条幅!$F$11:$F$310,138-COUNTA(半紙!$B$11:$B$310)),IF(138&lt;=COUNTA(半紙!$B$11:$B$310)+COUNTA(条幅!$B$11:$B$310)+COUNTA(条幅4分の1!$B$11:$B$310),INDEX(条幅4分の1!$F$11:$F$310,138-COUNTA(半紙!$B$11:$B$310)-COUNTA(条幅!$B$11:$B$310)),"")))=0,"",IF(138&lt;=COUNTA(半紙!$B$11:$B$310),INDEX(半紙!$F$11:$F$310,138),IF(138&lt;=COUNTA(半紙!$B$11:$B$310)+COUNTA(条幅!$B$11:$B$310),INDEX(条幅!$F$11:$F$310,138-COUNTA(半紙!$B$11:$B$310)),IF(138&lt;=COUNTA(半紙!$B$11:$B$310)+COUNTA(条幅!$B$11:$B$310)+COUNTA(条幅4分の1!$B$11:$B$310),INDEX(条幅4分の1!$F$11:$F$310,138-COUNTA(半紙!$B$11:$B$310)-COUNTA(条幅!$B$11:$B$310)),""))))</f>
        <v/>
      </c>
      <c r="G143" s="38" t="str">
        <f>IF(IF(138&lt;=COUNTA(半紙!$B$11:$B$310),INDEX(半紙!$G$11:$G$310,138),IF(138&lt;=COUNTA(半紙!$B$11:$B$310)+COUNTA(条幅!$B$11:$B$310),INDEX(条幅!$G$11:$G$310,138-COUNTA(半紙!$B$11:$B$310)),IF(138&lt;=COUNTA(半紙!$B$11:$B$310)+COUNTA(条幅!$B$11:$B$310)+COUNTA(条幅4分の1!$B$11:$B$310),INDEX(条幅4分の1!$G$11:$G$310,138-COUNTA(半紙!$B$11:$B$310)-COUNTA(条幅!$B$11:$B$310)),"")))=0,"",IF(138&lt;=COUNTA(半紙!$B$11:$B$310),INDEX(半紙!$G$11:$G$310,138),IF(138&lt;=COUNTA(半紙!$B$11:$B$310)+COUNTA(条幅!$B$11:$B$310),INDEX(条幅!$G$11:$G$310,138-COUNTA(半紙!$B$11:$B$310)),IF(138&lt;=COUNTA(半紙!$B$11:$B$310)+COUNTA(条幅!$B$11:$B$310)+COUNTA(条幅4分の1!$B$11:$B$310),INDEX(条幅4分の1!$G$11:$G$310,138-COUNTA(半紙!$B$11:$B$310)-COUNTA(条幅!$B$11:$B$310)),""))))</f>
        <v/>
      </c>
      <c r="H143" s="38" t="str">
        <f>IF(IF(138&lt;=COUNTA(半紙!$B$11:$B$310),INDEX(半紙!$H$11:$H$310,138),IF(138&lt;=COUNTA(半紙!$B$11:$B$310)+COUNTA(条幅!$B$11:$B$310),INDEX(条幅!$H$11:$H$310,138-COUNTA(半紙!$B$11:$B$310)),IF(138&lt;=COUNTA(半紙!$B$11:$B$310)+COUNTA(条幅!$B$11:$B$310)+COUNTA(条幅4分の1!$B$11:$B$310),INDEX(条幅4分の1!$H$11:$H$310,138-COUNTA(半紙!$B$11:$B$310)-COUNTA(条幅!$B$11:$B$310)),"")))=0,"",IF(138&lt;=COUNTA(半紙!$B$11:$B$310),INDEX(半紙!$H$11:$H$310,138),IF(138&lt;=COUNTA(半紙!$B$11:$B$310)+COUNTA(条幅!$B$11:$B$310),INDEX(条幅!$H$11:$H$310,138-COUNTA(半紙!$B$11:$B$310)),IF(138&lt;=COUNTA(半紙!$B$11:$B$310)+COUNTA(条幅!$B$11:$B$310)+COUNTA(条幅4分の1!$B$11:$B$310),INDEX(条幅4分の1!$H$11:$H$310,138-COUNTA(半紙!$B$11:$B$310)-COUNTA(条幅!$B$11:$B$310)),""))))</f>
        <v/>
      </c>
      <c r="I143" s="38" t="str">
        <f>IF(IF(138&lt;=COUNTA(半紙!$B$11:$B$310),INDEX(半紙!$I$11:$I$310,138),IF(138&lt;=COUNTA(半紙!$B$11:$B$310)+COUNTA(条幅!$B$11:$B$310),INDEX(条幅!$I$11:$I$310,138-COUNTA(半紙!$B$11:$B$310)),IF(138&lt;=COUNTA(半紙!$B$11:$B$310)+COUNTA(条幅!$B$11:$B$310)+COUNTA(条幅4分の1!$B$11:$B$310),INDEX(条幅4分の1!$I$11:$I$310,138-COUNTA(半紙!$B$11:$B$310)-COUNTA(条幅!$B$11:$B$310)),"")))=0,"",IF(138&lt;=COUNTA(半紙!$B$11:$B$310),INDEX(半紙!$I$11:$I$310,138),IF(138&lt;=COUNTA(半紙!$B$11:$B$310)+COUNTA(条幅!$B$11:$B$310),INDEX(条幅!$I$11:$I$310,138-COUNTA(半紙!$B$11:$B$310)),IF(138&lt;=COUNTA(半紙!$B$11:$B$310)+COUNTA(条幅!$B$11:$B$310)+COUNTA(条幅4分の1!$B$11:$B$310),INDEX(条幅4分の1!$I$11:$I$310,138-COUNTA(半紙!$B$11:$B$310)-COUNTA(条幅!$B$11:$B$310)),""))))</f>
        <v/>
      </c>
      <c r="J143" s="38" t="str">
        <f>IF(IF(138&lt;=COUNTA(半紙!$B$11:$B$310),INDEX(半紙!$J$11:$J$310,138),IF(138&lt;=COUNTA(半紙!$B$11:$B$310)+COUNTA(条幅!$B$11:$B$310),INDEX(条幅!$J$11:$J$310,138-COUNTA(半紙!$B$11:$B$310)),IF(138&lt;=COUNTA(半紙!$B$11:$B$310)+COUNTA(条幅!$B$11:$B$310)+COUNTA(条幅4分の1!$B$11:$B$310),INDEX(条幅4分の1!$J$11:$J$310,138-COUNTA(半紙!$B$11:$B$310)-COUNTA(条幅!$B$11:$B$310)),"")))=0,"",IF(138&lt;=COUNTA(半紙!$B$11:$B$310),INDEX(半紙!$J$11:$J$310,138),IF(138&lt;=COUNTA(半紙!$B$11:$B$310)+COUNTA(条幅!$B$11:$B$310),INDEX(条幅!$J$11:$J$310,138-COUNTA(半紙!$B$11:$B$310)),IF(138&lt;=COUNTA(半紙!$B$11:$B$310)+COUNTA(条幅!$B$11:$B$310)+COUNTA(条幅4分の1!$B$11:$B$310),INDEX(条幅4分の1!$J$11:$J$310,138-COUNTA(半紙!$B$11:$B$310)-COUNTA(条幅!$B$11:$B$310)),""))))</f>
        <v/>
      </c>
      <c r="K143" s="38" t="str">
        <f>IF(IF(138&lt;=COUNTA(半紙!$B$11:$B$310),INDEX(半紙!$K$11:$K$310,138),IF(138&lt;=COUNTA(半紙!$B$11:$B$310)+COUNTA(条幅!$B$11:$B$310),INDEX(条幅!$K$11:$K$310,138-COUNTA(半紙!$B$11:$B$310)),IF(138&lt;=COUNTA(半紙!$B$11:$B$310)+COUNTA(条幅!$B$11:$B$310)+COUNTA(条幅4分の1!$B$11:$B$310),INDEX(条幅4分の1!$K$11:$K$310,138-COUNTA(半紙!$B$11:$B$310)-COUNTA(条幅!$B$11:$B$310)),"")))=0,"",IF(138&lt;=COUNTA(半紙!$B$11:$B$310),INDEX(半紙!$K$11:$K$310,138),IF(138&lt;=COUNTA(半紙!$B$11:$B$310)+COUNTA(条幅!$B$11:$B$310),INDEX(条幅!$K$11:$K$310,138-COUNTA(半紙!$B$11:$B$310)),IF(138&lt;=COUNTA(半紙!$B$11:$B$310)+COUNTA(条幅!$B$11:$B$310)+COUNTA(条幅4分の1!$B$11:$B$310),INDEX(条幅4分の1!$K$11:$K$310,138-COUNTA(半紙!$B$11:$B$310)-COUNTA(条幅!$B$11:$B$310)),""))))</f>
        <v/>
      </c>
      <c r="L143" s="48" t="str">
        <f>IF($B143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138))</f>
        <v/>
      </c>
    </row>
    <row r="144" spans="1:12" ht="15" customHeight="1">
      <c r="A144" s="37" t="str">
        <f>IF(139&lt;=COUNTA(半紙!$B$11:$B$310),"半紙",IF(139&lt;=COUNTA(半紙!$B$11:$B$310)+COUNTA(条幅!$B$11:$B$310),"条幅(半切)",IF(139&lt;=COUNTA(半紙!$B$11:$B$310)+COUNTA(条幅!$B$11:$B$310)+COUNTA(条幅4分の1!$B$11:$B$310),"条幅(1/4)","")))</f>
        <v/>
      </c>
      <c r="B144" s="38" t="str">
        <f>IF(IF(139&lt;=COUNTA(半紙!$B$11:$B$310),INDEX(半紙!$B$11:$B$310,139),IF(139&lt;=COUNTA(半紙!$B$11:$B$310)+COUNTA(条幅!$B$11:$B$310),INDEX(条幅!$B$11:$B$310,139-COUNTA(半紙!$B$11:$B$310)),IF(139&lt;=COUNTA(半紙!$B$11:$B$310)+COUNTA(条幅!$B$11:$B$310)+COUNTA(条幅4分の1!$B$11:$B$310),INDEX(条幅4分の1!$B$11:$B$310,139-COUNTA(半紙!$B$11:$B$310)-COUNTA(条幅!$B$11:$B$310)),"")))=0,"",IF(139&lt;=COUNTA(半紙!$B$11:$B$310),INDEX(半紙!$B$11:$B$310,139),IF(139&lt;=COUNTA(半紙!$B$11:$B$310)+COUNTA(条幅!$B$11:$B$310),INDEX(条幅!$B$11:$B$310,139-COUNTA(半紙!$B$11:$B$310)),IF(139&lt;=COUNTA(半紙!$B$11:$B$310)+COUNTA(条幅!$B$11:$B$310)+COUNTA(条幅4分の1!$B$11:$B$310),INDEX(条幅4分の1!$B$11:$B$310,139-COUNTA(半紙!$B$11:$B$310)-COUNTA(条幅!$B$11:$B$310)),""))))</f>
        <v/>
      </c>
      <c r="C144" s="38" t="str">
        <f>IF(IF(139&lt;=COUNTA(半紙!$B$11:$B$310),INDEX(半紙!$C$11:$C$310,139),IF(139&lt;=COUNTA(半紙!$B$11:$B$310)+COUNTA(条幅!$B$11:$B$310),INDEX(条幅!$C$11:$C$310,139-COUNTA(半紙!$B$11:$B$310)),IF(139&lt;=COUNTA(半紙!$B$11:$B$310)+COUNTA(条幅!$B$11:$B$310)+COUNTA(条幅4分の1!$B$11:$B$310),INDEX(条幅4分の1!$C$11:$C$310,139-COUNTA(半紙!$B$11:$B$310)-COUNTA(条幅!$B$11:$B$310)),"")))=0,"",IF(139&lt;=COUNTA(半紙!$B$11:$B$310),INDEX(半紙!$C$11:$C$310,139),IF(139&lt;=COUNTA(半紙!$B$11:$B$310)+COUNTA(条幅!$B$11:$B$310),INDEX(条幅!$C$11:$C$310,139-COUNTA(半紙!$B$11:$B$310)),IF(139&lt;=COUNTA(半紙!$B$11:$B$310)+COUNTA(条幅!$B$11:$B$310)+COUNTA(条幅4分の1!$B$11:$B$310),INDEX(条幅4分の1!$C$11:$C$310,139-COUNTA(半紙!$B$11:$B$310)-COUNTA(条幅!$B$11:$B$310)),""))))</f>
        <v/>
      </c>
      <c r="D144" s="38" t="str">
        <f>IF(IF(139&lt;=COUNTA(半紙!$B$11:$B$310),INDEX(半紙!$D$11:$D$310,139),IF(139&lt;=COUNTA(半紙!$B$11:$B$310)+COUNTA(条幅!$B$11:$B$310),INDEX(条幅!$D$11:$D$310,139-COUNTA(半紙!$B$11:$B$310)),IF(139&lt;=COUNTA(半紙!$B$11:$B$310)+COUNTA(条幅!$B$11:$B$310)+COUNTA(条幅4分の1!$B$11:$B$310),INDEX(条幅4分の1!$D$11:$D$310,139-COUNTA(半紙!$B$11:$B$310)-COUNTA(条幅!$B$11:$B$310)),"")))=0,"",IF(139&lt;=COUNTA(半紙!$B$11:$B$310),INDEX(半紙!$D$11:$D$310,139),IF(139&lt;=COUNTA(半紙!$B$11:$B$310)+COUNTA(条幅!$B$11:$B$310),INDEX(条幅!$D$11:$D$310,139-COUNTA(半紙!$B$11:$B$310)),IF(139&lt;=COUNTA(半紙!$B$11:$B$310)+COUNTA(条幅!$B$11:$B$310)+COUNTA(条幅4分の1!$B$11:$B$310),INDEX(条幅4分の1!$D$11:$D$310,139-COUNTA(半紙!$B$11:$B$310)-COUNTA(条幅!$B$11:$B$310)),""))))</f>
        <v/>
      </c>
      <c r="E144" s="38" t="str">
        <f>IF(IF(139&lt;=COUNTA(半紙!$B$11:$B$310),INDEX(半紙!$E$11:$E$310,139),IF(139&lt;=COUNTA(半紙!$B$11:$B$310)+COUNTA(条幅!$B$11:$B$310),INDEX(条幅!$E$11:$E$310,139-COUNTA(半紙!$B$11:$B$310)),IF(139&lt;=COUNTA(半紙!$B$11:$B$310)+COUNTA(条幅!$B$11:$B$310)+COUNTA(条幅4分の1!$B$11:$B$310),INDEX(条幅4分の1!$E$11:$E$310,139-COUNTA(半紙!$B$11:$B$310)-COUNTA(条幅!$B$11:$B$310)),"")))=0,"",IF(139&lt;=COUNTA(半紙!$B$11:$B$310),INDEX(半紙!$E$11:$E$310,139),IF(139&lt;=COUNTA(半紙!$B$11:$B$310)+COUNTA(条幅!$B$11:$B$310),INDEX(条幅!$E$11:$E$310,139-COUNTA(半紙!$B$11:$B$310)),IF(139&lt;=COUNTA(半紙!$B$11:$B$310)+COUNTA(条幅!$B$11:$B$310)+COUNTA(条幅4分の1!$B$11:$B$310),INDEX(条幅4分の1!$E$11:$E$310,139-COUNTA(半紙!$B$11:$B$310)-COUNTA(条幅!$B$11:$B$310)),""))))</f>
        <v/>
      </c>
      <c r="F144" s="38" t="str">
        <f>IF(IF(139&lt;=COUNTA(半紙!$B$11:$B$310),INDEX(半紙!$F$11:$F$310,139),IF(139&lt;=COUNTA(半紙!$B$11:$B$310)+COUNTA(条幅!$B$11:$B$310),INDEX(条幅!$F$11:$F$310,139-COUNTA(半紙!$B$11:$B$310)),IF(139&lt;=COUNTA(半紙!$B$11:$B$310)+COUNTA(条幅!$B$11:$B$310)+COUNTA(条幅4分の1!$B$11:$B$310),INDEX(条幅4分の1!$F$11:$F$310,139-COUNTA(半紙!$B$11:$B$310)-COUNTA(条幅!$B$11:$B$310)),"")))=0,"",IF(139&lt;=COUNTA(半紙!$B$11:$B$310),INDEX(半紙!$F$11:$F$310,139),IF(139&lt;=COUNTA(半紙!$B$11:$B$310)+COUNTA(条幅!$B$11:$B$310),INDEX(条幅!$F$11:$F$310,139-COUNTA(半紙!$B$11:$B$310)),IF(139&lt;=COUNTA(半紙!$B$11:$B$310)+COUNTA(条幅!$B$11:$B$310)+COUNTA(条幅4分の1!$B$11:$B$310),INDEX(条幅4分の1!$F$11:$F$310,139-COUNTA(半紙!$B$11:$B$310)-COUNTA(条幅!$B$11:$B$310)),""))))</f>
        <v/>
      </c>
      <c r="G144" s="38" t="str">
        <f>IF(IF(139&lt;=COUNTA(半紙!$B$11:$B$310),INDEX(半紙!$G$11:$G$310,139),IF(139&lt;=COUNTA(半紙!$B$11:$B$310)+COUNTA(条幅!$B$11:$B$310),INDEX(条幅!$G$11:$G$310,139-COUNTA(半紙!$B$11:$B$310)),IF(139&lt;=COUNTA(半紙!$B$11:$B$310)+COUNTA(条幅!$B$11:$B$310)+COUNTA(条幅4分の1!$B$11:$B$310),INDEX(条幅4分の1!$G$11:$G$310,139-COUNTA(半紙!$B$11:$B$310)-COUNTA(条幅!$B$11:$B$310)),"")))=0,"",IF(139&lt;=COUNTA(半紙!$B$11:$B$310),INDEX(半紙!$G$11:$G$310,139),IF(139&lt;=COUNTA(半紙!$B$11:$B$310)+COUNTA(条幅!$B$11:$B$310),INDEX(条幅!$G$11:$G$310,139-COUNTA(半紙!$B$11:$B$310)),IF(139&lt;=COUNTA(半紙!$B$11:$B$310)+COUNTA(条幅!$B$11:$B$310)+COUNTA(条幅4分の1!$B$11:$B$310),INDEX(条幅4分の1!$G$11:$G$310,139-COUNTA(半紙!$B$11:$B$310)-COUNTA(条幅!$B$11:$B$310)),""))))</f>
        <v/>
      </c>
      <c r="H144" s="38" t="str">
        <f>IF(IF(139&lt;=COUNTA(半紙!$B$11:$B$310),INDEX(半紙!$H$11:$H$310,139),IF(139&lt;=COUNTA(半紙!$B$11:$B$310)+COUNTA(条幅!$B$11:$B$310),INDEX(条幅!$H$11:$H$310,139-COUNTA(半紙!$B$11:$B$310)),IF(139&lt;=COUNTA(半紙!$B$11:$B$310)+COUNTA(条幅!$B$11:$B$310)+COUNTA(条幅4分の1!$B$11:$B$310),INDEX(条幅4分の1!$H$11:$H$310,139-COUNTA(半紙!$B$11:$B$310)-COUNTA(条幅!$B$11:$B$310)),"")))=0,"",IF(139&lt;=COUNTA(半紙!$B$11:$B$310),INDEX(半紙!$H$11:$H$310,139),IF(139&lt;=COUNTA(半紙!$B$11:$B$310)+COUNTA(条幅!$B$11:$B$310),INDEX(条幅!$H$11:$H$310,139-COUNTA(半紙!$B$11:$B$310)),IF(139&lt;=COUNTA(半紙!$B$11:$B$310)+COUNTA(条幅!$B$11:$B$310)+COUNTA(条幅4分の1!$B$11:$B$310),INDEX(条幅4分の1!$H$11:$H$310,139-COUNTA(半紙!$B$11:$B$310)-COUNTA(条幅!$B$11:$B$310)),""))))</f>
        <v/>
      </c>
      <c r="I144" s="38" t="str">
        <f>IF(IF(139&lt;=COUNTA(半紙!$B$11:$B$310),INDEX(半紙!$I$11:$I$310,139),IF(139&lt;=COUNTA(半紙!$B$11:$B$310)+COUNTA(条幅!$B$11:$B$310),INDEX(条幅!$I$11:$I$310,139-COUNTA(半紙!$B$11:$B$310)),IF(139&lt;=COUNTA(半紙!$B$11:$B$310)+COUNTA(条幅!$B$11:$B$310)+COUNTA(条幅4分の1!$B$11:$B$310),INDEX(条幅4分の1!$I$11:$I$310,139-COUNTA(半紙!$B$11:$B$310)-COUNTA(条幅!$B$11:$B$310)),"")))=0,"",IF(139&lt;=COUNTA(半紙!$B$11:$B$310),INDEX(半紙!$I$11:$I$310,139),IF(139&lt;=COUNTA(半紙!$B$11:$B$310)+COUNTA(条幅!$B$11:$B$310),INDEX(条幅!$I$11:$I$310,139-COUNTA(半紙!$B$11:$B$310)),IF(139&lt;=COUNTA(半紙!$B$11:$B$310)+COUNTA(条幅!$B$11:$B$310)+COUNTA(条幅4分の1!$B$11:$B$310),INDEX(条幅4分の1!$I$11:$I$310,139-COUNTA(半紙!$B$11:$B$310)-COUNTA(条幅!$B$11:$B$310)),""))))</f>
        <v/>
      </c>
      <c r="J144" s="38" t="str">
        <f>IF(IF(139&lt;=COUNTA(半紙!$B$11:$B$310),INDEX(半紙!$J$11:$J$310,139),IF(139&lt;=COUNTA(半紙!$B$11:$B$310)+COUNTA(条幅!$B$11:$B$310),INDEX(条幅!$J$11:$J$310,139-COUNTA(半紙!$B$11:$B$310)),IF(139&lt;=COUNTA(半紙!$B$11:$B$310)+COUNTA(条幅!$B$11:$B$310)+COUNTA(条幅4分の1!$B$11:$B$310),INDEX(条幅4分の1!$J$11:$J$310,139-COUNTA(半紙!$B$11:$B$310)-COUNTA(条幅!$B$11:$B$310)),"")))=0,"",IF(139&lt;=COUNTA(半紙!$B$11:$B$310),INDEX(半紙!$J$11:$J$310,139),IF(139&lt;=COUNTA(半紙!$B$11:$B$310)+COUNTA(条幅!$B$11:$B$310),INDEX(条幅!$J$11:$J$310,139-COUNTA(半紙!$B$11:$B$310)),IF(139&lt;=COUNTA(半紙!$B$11:$B$310)+COUNTA(条幅!$B$11:$B$310)+COUNTA(条幅4分の1!$B$11:$B$310),INDEX(条幅4分の1!$J$11:$J$310,139-COUNTA(半紙!$B$11:$B$310)-COUNTA(条幅!$B$11:$B$310)),""))))</f>
        <v/>
      </c>
      <c r="K144" s="38" t="str">
        <f>IF(IF(139&lt;=COUNTA(半紙!$B$11:$B$310),INDEX(半紙!$K$11:$K$310,139),IF(139&lt;=COUNTA(半紙!$B$11:$B$310)+COUNTA(条幅!$B$11:$B$310),INDEX(条幅!$K$11:$K$310,139-COUNTA(半紙!$B$11:$B$310)),IF(139&lt;=COUNTA(半紙!$B$11:$B$310)+COUNTA(条幅!$B$11:$B$310)+COUNTA(条幅4分の1!$B$11:$B$310),INDEX(条幅4分の1!$K$11:$K$310,139-COUNTA(半紙!$B$11:$B$310)-COUNTA(条幅!$B$11:$B$310)),"")))=0,"",IF(139&lt;=COUNTA(半紙!$B$11:$B$310),INDEX(半紙!$K$11:$K$310,139),IF(139&lt;=COUNTA(半紙!$B$11:$B$310)+COUNTA(条幅!$B$11:$B$310),INDEX(条幅!$K$11:$K$310,139-COUNTA(半紙!$B$11:$B$310)),IF(139&lt;=COUNTA(半紙!$B$11:$B$310)+COUNTA(条幅!$B$11:$B$310)+COUNTA(条幅4分の1!$B$11:$B$310),INDEX(条幅4分の1!$K$11:$K$310,139-COUNTA(半紙!$B$11:$B$310)-COUNTA(条幅!$B$11:$B$310)),""))))</f>
        <v/>
      </c>
      <c r="L144" s="48" t="str">
        <f>IF($B144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139))</f>
        <v/>
      </c>
    </row>
    <row r="145" spans="1:12" ht="15" customHeight="1">
      <c r="A145" s="37" t="str">
        <f>IF(140&lt;=COUNTA(半紙!$B$11:$B$310),"半紙",IF(140&lt;=COUNTA(半紙!$B$11:$B$310)+COUNTA(条幅!$B$11:$B$310),"条幅(半切)",IF(140&lt;=COUNTA(半紙!$B$11:$B$310)+COUNTA(条幅!$B$11:$B$310)+COUNTA(条幅4分の1!$B$11:$B$310),"条幅(1/4)","")))</f>
        <v/>
      </c>
      <c r="B145" s="38" t="str">
        <f>IF(IF(140&lt;=COUNTA(半紙!$B$11:$B$310),INDEX(半紙!$B$11:$B$310,140),IF(140&lt;=COUNTA(半紙!$B$11:$B$310)+COUNTA(条幅!$B$11:$B$310),INDEX(条幅!$B$11:$B$310,140-COUNTA(半紙!$B$11:$B$310)),IF(140&lt;=COUNTA(半紙!$B$11:$B$310)+COUNTA(条幅!$B$11:$B$310)+COUNTA(条幅4分の1!$B$11:$B$310),INDEX(条幅4分の1!$B$11:$B$310,140-COUNTA(半紙!$B$11:$B$310)-COUNTA(条幅!$B$11:$B$310)),"")))=0,"",IF(140&lt;=COUNTA(半紙!$B$11:$B$310),INDEX(半紙!$B$11:$B$310,140),IF(140&lt;=COUNTA(半紙!$B$11:$B$310)+COUNTA(条幅!$B$11:$B$310),INDEX(条幅!$B$11:$B$310,140-COUNTA(半紙!$B$11:$B$310)),IF(140&lt;=COUNTA(半紙!$B$11:$B$310)+COUNTA(条幅!$B$11:$B$310)+COUNTA(条幅4分の1!$B$11:$B$310),INDEX(条幅4分の1!$B$11:$B$310,140-COUNTA(半紙!$B$11:$B$310)-COUNTA(条幅!$B$11:$B$310)),""))))</f>
        <v/>
      </c>
      <c r="C145" s="38" t="str">
        <f>IF(IF(140&lt;=COUNTA(半紙!$B$11:$B$310),INDEX(半紙!$C$11:$C$310,140),IF(140&lt;=COUNTA(半紙!$B$11:$B$310)+COUNTA(条幅!$B$11:$B$310),INDEX(条幅!$C$11:$C$310,140-COUNTA(半紙!$B$11:$B$310)),IF(140&lt;=COUNTA(半紙!$B$11:$B$310)+COUNTA(条幅!$B$11:$B$310)+COUNTA(条幅4分の1!$B$11:$B$310),INDEX(条幅4分の1!$C$11:$C$310,140-COUNTA(半紙!$B$11:$B$310)-COUNTA(条幅!$B$11:$B$310)),"")))=0,"",IF(140&lt;=COUNTA(半紙!$B$11:$B$310),INDEX(半紙!$C$11:$C$310,140),IF(140&lt;=COUNTA(半紙!$B$11:$B$310)+COUNTA(条幅!$B$11:$B$310),INDEX(条幅!$C$11:$C$310,140-COUNTA(半紙!$B$11:$B$310)),IF(140&lt;=COUNTA(半紙!$B$11:$B$310)+COUNTA(条幅!$B$11:$B$310)+COUNTA(条幅4分の1!$B$11:$B$310),INDEX(条幅4分の1!$C$11:$C$310,140-COUNTA(半紙!$B$11:$B$310)-COUNTA(条幅!$B$11:$B$310)),""))))</f>
        <v/>
      </c>
      <c r="D145" s="38" t="str">
        <f>IF(IF(140&lt;=COUNTA(半紙!$B$11:$B$310),INDEX(半紙!$D$11:$D$310,140),IF(140&lt;=COUNTA(半紙!$B$11:$B$310)+COUNTA(条幅!$B$11:$B$310),INDEX(条幅!$D$11:$D$310,140-COUNTA(半紙!$B$11:$B$310)),IF(140&lt;=COUNTA(半紙!$B$11:$B$310)+COUNTA(条幅!$B$11:$B$310)+COUNTA(条幅4分の1!$B$11:$B$310),INDEX(条幅4分の1!$D$11:$D$310,140-COUNTA(半紙!$B$11:$B$310)-COUNTA(条幅!$B$11:$B$310)),"")))=0,"",IF(140&lt;=COUNTA(半紙!$B$11:$B$310),INDEX(半紙!$D$11:$D$310,140),IF(140&lt;=COUNTA(半紙!$B$11:$B$310)+COUNTA(条幅!$B$11:$B$310),INDEX(条幅!$D$11:$D$310,140-COUNTA(半紙!$B$11:$B$310)),IF(140&lt;=COUNTA(半紙!$B$11:$B$310)+COUNTA(条幅!$B$11:$B$310)+COUNTA(条幅4分の1!$B$11:$B$310),INDEX(条幅4分の1!$D$11:$D$310,140-COUNTA(半紙!$B$11:$B$310)-COUNTA(条幅!$B$11:$B$310)),""))))</f>
        <v/>
      </c>
      <c r="E145" s="38" t="str">
        <f>IF(IF(140&lt;=COUNTA(半紙!$B$11:$B$310),INDEX(半紙!$E$11:$E$310,140),IF(140&lt;=COUNTA(半紙!$B$11:$B$310)+COUNTA(条幅!$B$11:$B$310),INDEX(条幅!$E$11:$E$310,140-COUNTA(半紙!$B$11:$B$310)),IF(140&lt;=COUNTA(半紙!$B$11:$B$310)+COUNTA(条幅!$B$11:$B$310)+COUNTA(条幅4分の1!$B$11:$B$310),INDEX(条幅4分の1!$E$11:$E$310,140-COUNTA(半紙!$B$11:$B$310)-COUNTA(条幅!$B$11:$B$310)),"")))=0,"",IF(140&lt;=COUNTA(半紙!$B$11:$B$310),INDEX(半紙!$E$11:$E$310,140),IF(140&lt;=COUNTA(半紙!$B$11:$B$310)+COUNTA(条幅!$B$11:$B$310),INDEX(条幅!$E$11:$E$310,140-COUNTA(半紙!$B$11:$B$310)),IF(140&lt;=COUNTA(半紙!$B$11:$B$310)+COUNTA(条幅!$B$11:$B$310)+COUNTA(条幅4分の1!$B$11:$B$310),INDEX(条幅4分の1!$E$11:$E$310,140-COUNTA(半紙!$B$11:$B$310)-COUNTA(条幅!$B$11:$B$310)),""))))</f>
        <v/>
      </c>
      <c r="F145" s="38" t="str">
        <f>IF(IF(140&lt;=COUNTA(半紙!$B$11:$B$310),INDEX(半紙!$F$11:$F$310,140),IF(140&lt;=COUNTA(半紙!$B$11:$B$310)+COUNTA(条幅!$B$11:$B$310),INDEX(条幅!$F$11:$F$310,140-COUNTA(半紙!$B$11:$B$310)),IF(140&lt;=COUNTA(半紙!$B$11:$B$310)+COUNTA(条幅!$B$11:$B$310)+COUNTA(条幅4分の1!$B$11:$B$310),INDEX(条幅4分の1!$F$11:$F$310,140-COUNTA(半紙!$B$11:$B$310)-COUNTA(条幅!$B$11:$B$310)),"")))=0,"",IF(140&lt;=COUNTA(半紙!$B$11:$B$310),INDEX(半紙!$F$11:$F$310,140),IF(140&lt;=COUNTA(半紙!$B$11:$B$310)+COUNTA(条幅!$B$11:$B$310),INDEX(条幅!$F$11:$F$310,140-COUNTA(半紙!$B$11:$B$310)),IF(140&lt;=COUNTA(半紙!$B$11:$B$310)+COUNTA(条幅!$B$11:$B$310)+COUNTA(条幅4分の1!$B$11:$B$310),INDEX(条幅4分の1!$F$11:$F$310,140-COUNTA(半紙!$B$11:$B$310)-COUNTA(条幅!$B$11:$B$310)),""))))</f>
        <v/>
      </c>
      <c r="G145" s="38" t="str">
        <f>IF(IF(140&lt;=COUNTA(半紙!$B$11:$B$310),INDEX(半紙!$G$11:$G$310,140),IF(140&lt;=COUNTA(半紙!$B$11:$B$310)+COUNTA(条幅!$B$11:$B$310),INDEX(条幅!$G$11:$G$310,140-COUNTA(半紙!$B$11:$B$310)),IF(140&lt;=COUNTA(半紙!$B$11:$B$310)+COUNTA(条幅!$B$11:$B$310)+COUNTA(条幅4分の1!$B$11:$B$310),INDEX(条幅4分の1!$G$11:$G$310,140-COUNTA(半紙!$B$11:$B$310)-COUNTA(条幅!$B$11:$B$310)),"")))=0,"",IF(140&lt;=COUNTA(半紙!$B$11:$B$310),INDEX(半紙!$G$11:$G$310,140),IF(140&lt;=COUNTA(半紙!$B$11:$B$310)+COUNTA(条幅!$B$11:$B$310),INDEX(条幅!$G$11:$G$310,140-COUNTA(半紙!$B$11:$B$310)),IF(140&lt;=COUNTA(半紙!$B$11:$B$310)+COUNTA(条幅!$B$11:$B$310)+COUNTA(条幅4分の1!$B$11:$B$310),INDEX(条幅4分の1!$G$11:$G$310,140-COUNTA(半紙!$B$11:$B$310)-COUNTA(条幅!$B$11:$B$310)),""))))</f>
        <v/>
      </c>
      <c r="H145" s="38" t="str">
        <f>IF(IF(140&lt;=COUNTA(半紙!$B$11:$B$310),INDEX(半紙!$H$11:$H$310,140),IF(140&lt;=COUNTA(半紙!$B$11:$B$310)+COUNTA(条幅!$B$11:$B$310),INDEX(条幅!$H$11:$H$310,140-COUNTA(半紙!$B$11:$B$310)),IF(140&lt;=COUNTA(半紙!$B$11:$B$310)+COUNTA(条幅!$B$11:$B$310)+COUNTA(条幅4分の1!$B$11:$B$310),INDEX(条幅4分の1!$H$11:$H$310,140-COUNTA(半紙!$B$11:$B$310)-COUNTA(条幅!$B$11:$B$310)),"")))=0,"",IF(140&lt;=COUNTA(半紙!$B$11:$B$310),INDEX(半紙!$H$11:$H$310,140),IF(140&lt;=COUNTA(半紙!$B$11:$B$310)+COUNTA(条幅!$B$11:$B$310),INDEX(条幅!$H$11:$H$310,140-COUNTA(半紙!$B$11:$B$310)),IF(140&lt;=COUNTA(半紙!$B$11:$B$310)+COUNTA(条幅!$B$11:$B$310)+COUNTA(条幅4分の1!$B$11:$B$310),INDEX(条幅4分の1!$H$11:$H$310,140-COUNTA(半紙!$B$11:$B$310)-COUNTA(条幅!$B$11:$B$310)),""))))</f>
        <v/>
      </c>
      <c r="I145" s="38" t="str">
        <f>IF(IF(140&lt;=COUNTA(半紙!$B$11:$B$310),INDEX(半紙!$I$11:$I$310,140),IF(140&lt;=COUNTA(半紙!$B$11:$B$310)+COUNTA(条幅!$B$11:$B$310),INDEX(条幅!$I$11:$I$310,140-COUNTA(半紙!$B$11:$B$310)),IF(140&lt;=COUNTA(半紙!$B$11:$B$310)+COUNTA(条幅!$B$11:$B$310)+COUNTA(条幅4分の1!$B$11:$B$310),INDEX(条幅4分の1!$I$11:$I$310,140-COUNTA(半紙!$B$11:$B$310)-COUNTA(条幅!$B$11:$B$310)),"")))=0,"",IF(140&lt;=COUNTA(半紙!$B$11:$B$310),INDEX(半紙!$I$11:$I$310,140),IF(140&lt;=COUNTA(半紙!$B$11:$B$310)+COUNTA(条幅!$B$11:$B$310),INDEX(条幅!$I$11:$I$310,140-COUNTA(半紙!$B$11:$B$310)),IF(140&lt;=COUNTA(半紙!$B$11:$B$310)+COUNTA(条幅!$B$11:$B$310)+COUNTA(条幅4分の1!$B$11:$B$310),INDEX(条幅4分の1!$I$11:$I$310,140-COUNTA(半紙!$B$11:$B$310)-COUNTA(条幅!$B$11:$B$310)),""))))</f>
        <v/>
      </c>
      <c r="J145" s="38" t="str">
        <f>IF(IF(140&lt;=COUNTA(半紙!$B$11:$B$310),INDEX(半紙!$J$11:$J$310,140),IF(140&lt;=COUNTA(半紙!$B$11:$B$310)+COUNTA(条幅!$B$11:$B$310),INDEX(条幅!$J$11:$J$310,140-COUNTA(半紙!$B$11:$B$310)),IF(140&lt;=COUNTA(半紙!$B$11:$B$310)+COUNTA(条幅!$B$11:$B$310)+COUNTA(条幅4分の1!$B$11:$B$310),INDEX(条幅4分の1!$J$11:$J$310,140-COUNTA(半紙!$B$11:$B$310)-COUNTA(条幅!$B$11:$B$310)),"")))=0,"",IF(140&lt;=COUNTA(半紙!$B$11:$B$310),INDEX(半紙!$J$11:$J$310,140),IF(140&lt;=COUNTA(半紙!$B$11:$B$310)+COUNTA(条幅!$B$11:$B$310),INDEX(条幅!$J$11:$J$310,140-COUNTA(半紙!$B$11:$B$310)),IF(140&lt;=COUNTA(半紙!$B$11:$B$310)+COUNTA(条幅!$B$11:$B$310)+COUNTA(条幅4分の1!$B$11:$B$310),INDEX(条幅4分の1!$J$11:$J$310,140-COUNTA(半紙!$B$11:$B$310)-COUNTA(条幅!$B$11:$B$310)),""))))</f>
        <v/>
      </c>
      <c r="K145" s="38" t="str">
        <f>IF(IF(140&lt;=COUNTA(半紙!$B$11:$B$310),INDEX(半紙!$K$11:$K$310,140),IF(140&lt;=COUNTA(半紙!$B$11:$B$310)+COUNTA(条幅!$B$11:$B$310),INDEX(条幅!$K$11:$K$310,140-COUNTA(半紙!$B$11:$B$310)),IF(140&lt;=COUNTA(半紙!$B$11:$B$310)+COUNTA(条幅!$B$11:$B$310)+COUNTA(条幅4分の1!$B$11:$B$310),INDEX(条幅4分の1!$K$11:$K$310,140-COUNTA(半紙!$B$11:$B$310)-COUNTA(条幅!$B$11:$B$310)),"")))=0,"",IF(140&lt;=COUNTA(半紙!$B$11:$B$310),INDEX(半紙!$K$11:$K$310,140),IF(140&lt;=COUNTA(半紙!$B$11:$B$310)+COUNTA(条幅!$B$11:$B$310),INDEX(条幅!$K$11:$K$310,140-COUNTA(半紙!$B$11:$B$310)),IF(140&lt;=COUNTA(半紙!$B$11:$B$310)+COUNTA(条幅!$B$11:$B$310)+COUNTA(条幅4分の1!$B$11:$B$310),INDEX(条幅4分の1!$K$11:$K$310,140-COUNTA(半紙!$B$11:$B$310)-COUNTA(条幅!$B$11:$B$310)),""))))</f>
        <v/>
      </c>
      <c r="L145" s="48" t="str">
        <f>IF($B145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140))</f>
        <v/>
      </c>
    </row>
    <row r="146" spans="1:12" ht="15" customHeight="1">
      <c r="A146" s="37" t="str">
        <f>IF(141&lt;=COUNTA(半紙!$B$11:$B$310),"半紙",IF(141&lt;=COUNTA(半紙!$B$11:$B$310)+COUNTA(条幅!$B$11:$B$310),"条幅(半切)",IF(141&lt;=COUNTA(半紙!$B$11:$B$310)+COUNTA(条幅!$B$11:$B$310)+COUNTA(条幅4分の1!$B$11:$B$310),"条幅(1/4)","")))</f>
        <v/>
      </c>
      <c r="B146" s="38" t="str">
        <f>IF(IF(141&lt;=COUNTA(半紙!$B$11:$B$310),INDEX(半紙!$B$11:$B$310,141),IF(141&lt;=COUNTA(半紙!$B$11:$B$310)+COUNTA(条幅!$B$11:$B$310),INDEX(条幅!$B$11:$B$310,141-COUNTA(半紙!$B$11:$B$310)),IF(141&lt;=COUNTA(半紙!$B$11:$B$310)+COUNTA(条幅!$B$11:$B$310)+COUNTA(条幅4分の1!$B$11:$B$310),INDEX(条幅4分の1!$B$11:$B$310,141-COUNTA(半紙!$B$11:$B$310)-COUNTA(条幅!$B$11:$B$310)),"")))=0,"",IF(141&lt;=COUNTA(半紙!$B$11:$B$310),INDEX(半紙!$B$11:$B$310,141),IF(141&lt;=COUNTA(半紙!$B$11:$B$310)+COUNTA(条幅!$B$11:$B$310),INDEX(条幅!$B$11:$B$310,141-COUNTA(半紙!$B$11:$B$310)),IF(141&lt;=COUNTA(半紙!$B$11:$B$310)+COUNTA(条幅!$B$11:$B$310)+COUNTA(条幅4分の1!$B$11:$B$310),INDEX(条幅4分の1!$B$11:$B$310,141-COUNTA(半紙!$B$11:$B$310)-COUNTA(条幅!$B$11:$B$310)),""))))</f>
        <v/>
      </c>
      <c r="C146" s="38" t="str">
        <f>IF(IF(141&lt;=COUNTA(半紙!$B$11:$B$310),INDEX(半紙!$C$11:$C$310,141),IF(141&lt;=COUNTA(半紙!$B$11:$B$310)+COUNTA(条幅!$B$11:$B$310),INDEX(条幅!$C$11:$C$310,141-COUNTA(半紙!$B$11:$B$310)),IF(141&lt;=COUNTA(半紙!$B$11:$B$310)+COUNTA(条幅!$B$11:$B$310)+COUNTA(条幅4分の1!$B$11:$B$310),INDEX(条幅4分の1!$C$11:$C$310,141-COUNTA(半紙!$B$11:$B$310)-COUNTA(条幅!$B$11:$B$310)),"")))=0,"",IF(141&lt;=COUNTA(半紙!$B$11:$B$310),INDEX(半紙!$C$11:$C$310,141),IF(141&lt;=COUNTA(半紙!$B$11:$B$310)+COUNTA(条幅!$B$11:$B$310),INDEX(条幅!$C$11:$C$310,141-COUNTA(半紙!$B$11:$B$310)),IF(141&lt;=COUNTA(半紙!$B$11:$B$310)+COUNTA(条幅!$B$11:$B$310)+COUNTA(条幅4分の1!$B$11:$B$310),INDEX(条幅4分の1!$C$11:$C$310,141-COUNTA(半紙!$B$11:$B$310)-COUNTA(条幅!$B$11:$B$310)),""))))</f>
        <v/>
      </c>
      <c r="D146" s="38" t="str">
        <f>IF(IF(141&lt;=COUNTA(半紙!$B$11:$B$310),INDEX(半紙!$D$11:$D$310,141),IF(141&lt;=COUNTA(半紙!$B$11:$B$310)+COUNTA(条幅!$B$11:$B$310),INDEX(条幅!$D$11:$D$310,141-COUNTA(半紙!$B$11:$B$310)),IF(141&lt;=COUNTA(半紙!$B$11:$B$310)+COUNTA(条幅!$B$11:$B$310)+COUNTA(条幅4分の1!$B$11:$B$310),INDEX(条幅4分の1!$D$11:$D$310,141-COUNTA(半紙!$B$11:$B$310)-COUNTA(条幅!$B$11:$B$310)),"")))=0,"",IF(141&lt;=COUNTA(半紙!$B$11:$B$310),INDEX(半紙!$D$11:$D$310,141),IF(141&lt;=COUNTA(半紙!$B$11:$B$310)+COUNTA(条幅!$B$11:$B$310),INDEX(条幅!$D$11:$D$310,141-COUNTA(半紙!$B$11:$B$310)),IF(141&lt;=COUNTA(半紙!$B$11:$B$310)+COUNTA(条幅!$B$11:$B$310)+COUNTA(条幅4分の1!$B$11:$B$310),INDEX(条幅4分の1!$D$11:$D$310,141-COUNTA(半紙!$B$11:$B$310)-COUNTA(条幅!$B$11:$B$310)),""))))</f>
        <v/>
      </c>
      <c r="E146" s="38" t="str">
        <f>IF(IF(141&lt;=COUNTA(半紙!$B$11:$B$310),INDEX(半紙!$E$11:$E$310,141),IF(141&lt;=COUNTA(半紙!$B$11:$B$310)+COUNTA(条幅!$B$11:$B$310),INDEX(条幅!$E$11:$E$310,141-COUNTA(半紙!$B$11:$B$310)),IF(141&lt;=COUNTA(半紙!$B$11:$B$310)+COUNTA(条幅!$B$11:$B$310)+COUNTA(条幅4分の1!$B$11:$B$310),INDEX(条幅4分の1!$E$11:$E$310,141-COUNTA(半紙!$B$11:$B$310)-COUNTA(条幅!$B$11:$B$310)),"")))=0,"",IF(141&lt;=COUNTA(半紙!$B$11:$B$310),INDEX(半紙!$E$11:$E$310,141),IF(141&lt;=COUNTA(半紙!$B$11:$B$310)+COUNTA(条幅!$B$11:$B$310),INDEX(条幅!$E$11:$E$310,141-COUNTA(半紙!$B$11:$B$310)),IF(141&lt;=COUNTA(半紙!$B$11:$B$310)+COUNTA(条幅!$B$11:$B$310)+COUNTA(条幅4分の1!$B$11:$B$310),INDEX(条幅4分の1!$E$11:$E$310,141-COUNTA(半紙!$B$11:$B$310)-COUNTA(条幅!$B$11:$B$310)),""))))</f>
        <v/>
      </c>
      <c r="F146" s="38" t="str">
        <f>IF(IF(141&lt;=COUNTA(半紙!$B$11:$B$310),INDEX(半紙!$F$11:$F$310,141),IF(141&lt;=COUNTA(半紙!$B$11:$B$310)+COUNTA(条幅!$B$11:$B$310),INDEX(条幅!$F$11:$F$310,141-COUNTA(半紙!$B$11:$B$310)),IF(141&lt;=COUNTA(半紙!$B$11:$B$310)+COUNTA(条幅!$B$11:$B$310)+COUNTA(条幅4分の1!$B$11:$B$310),INDEX(条幅4分の1!$F$11:$F$310,141-COUNTA(半紙!$B$11:$B$310)-COUNTA(条幅!$B$11:$B$310)),"")))=0,"",IF(141&lt;=COUNTA(半紙!$B$11:$B$310),INDEX(半紙!$F$11:$F$310,141),IF(141&lt;=COUNTA(半紙!$B$11:$B$310)+COUNTA(条幅!$B$11:$B$310),INDEX(条幅!$F$11:$F$310,141-COUNTA(半紙!$B$11:$B$310)),IF(141&lt;=COUNTA(半紙!$B$11:$B$310)+COUNTA(条幅!$B$11:$B$310)+COUNTA(条幅4分の1!$B$11:$B$310),INDEX(条幅4分の1!$F$11:$F$310,141-COUNTA(半紙!$B$11:$B$310)-COUNTA(条幅!$B$11:$B$310)),""))))</f>
        <v/>
      </c>
      <c r="G146" s="38" t="str">
        <f>IF(IF(141&lt;=COUNTA(半紙!$B$11:$B$310),INDEX(半紙!$G$11:$G$310,141),IF(141&lt;=COUNTA(半紙!$B$11:$B$310)+COUNTA(条幅!$B$11:$B$310),INDEX(条幅!$G$11:$G$310,141-COUNTA(半紙!$B$11:$B$310)),IF(141&lt;=COUNTA(半紙!$B$11:$B$310)+COUNTA(条幅!$B$11:$B$310)+COUNTA(条幅4分の1!$B$11:$B$310),INDEX(条幅4分の1!$G$11:$G$310,141-COUNTA(半紙!$B$11:$B$310)-COUNTA(条幅!$B$11:$B$310)),"")))=0,"",IF(141&lt;=COUNTA(半紙!$B$11:$B$310),INDEX(半紙!$G$11:$G$310,141),IF(141&lt;=COUNTA(半紙!$B$11:$B$310)+COUNTA(条幅!$B$11:$B$310),INDEX(条幅!$G$11:$G$310,141-COUNTA(半紙!$B$11:$B$310)),IF(141&lt;=COUNTA(半紙!$B$11:$B$310)+COUNTA(条幅!$B$11:$B$310)+COUNTA(条幅4分の1!$B$11:$B$310),INDEX(条幅4分の1!$G$11:$G$310,141-COUNTA(半紙!$B$11:$B$310)-COUNTA(条幅!$B$11:$B$310)),""))))</f>
        <v/>
      </c>
      <c r="H146" s="38" t="str">
        <f>IF(IF(141&lt;=COUNTA(半紙!$B$11:$B$310),INDEX(半紙!$H$11:$H$310,141),IF(141&lt;=COUNTA(半紙!$B$11:$B$310)+COUNTA(条幅!$B$11:$B$310),INDEX(条幅!$H$11:$H$310,141-COUNTA(半紙!$B$11:$B$310)),IF(141&lt;=COUNTA(半紙!$B$11:$B$310)+COUNTA(条幅!$B$11:$B$310)+COUNTA(条幅4分の1!$B$11:$B$310),INDEX(条幅4分の1!$H$11:$H$310,141-COUNTA(半紙!$B$11:$B$310)-COUNTA(条幅!$B$11:$B$310)),"")))=0,"",IF(141&lt;=COUNTA(半紙!$B$11:$B$310),INDEX(半紙!$H$11:$H$310,141),IF(141&lt;=COUNTA(半紙!$B$11:$B$310)+COUNTA(条幅!$B$11:$B$310),INDEX(条幅!$H$11:$H$310,141-COUNTA(半紙!$B$11:$B$310)),IF(141&lt;=COUNTA(半紙!$B$11:$B$310)+COUNTA(条幅!$B$11:$B$310)+COUNTA(条幅4分の1!$B$11:$B$310),INDEX(条幅4分の1!$H$11:$H$310,141-COUNTA(半紙!$B$11:$B$310)-COUNTA(条幅!$B$11:$B$310)),""))))</f>
        <v/>
      </c>
      <c r="I146" s="38" t="str">
        <f>IF(IF(141&lt;=COUNTA(半紙!$B$11:$B$310),INDEX(半紙!$I$11:$I$310,141),IF(141&lt;=COUNTA(半紙!$B$11:$B$310)+COUNTA(条幅!$B$11:$B$310),INDEX(条幅!$I$11:$I$310,141-COUNTA(半紙!$B$11:$B$310)),IF(141&lt;=COUNTA(半紙!$B$11:$B$310)+COUNTA(条幅!$B$11:$B$310)+COUNTA(条幅4分の1!$B$11:$B$310),INDEX(条幅4分の1!$I$11:$I$310,141-COUNTA(半紙!$B$11:$B$310)-COUNTA(条幅!$B$11:$B$310)),"")))=0,"",IF(141&lt;=COUNTA(半紙!$B$11:$B$310),INDEX(半紙!$I$11:$I$310,141),IF(141&lt;=COUNTA(半紙!$B$11:$B$310)+COUNTA(条幅!$B$11:$B$310),INDEX(条幅!$I$11:$I$310,141-COUNTA(半紙!$B$11:$B$310)),IF(141&lt;=COUNTA(半紙!$B$11:$B$310)+COUNTA(条幅!$B$11:$B$310)+COUNTA(条幅4分の1!$B$11:$B$310),INDEX(条幅4分の1!$I$11:$I$310,141-COUNTA(半紙!$B$11:$B$310)-COUNTA(条幅!$B$11:$B$310)),""))))</f>
        <v/>
      </c>
      <c r="J146" s="38" t="str">
        <f>IF(IF(141&lt;=COUNTA(半紙!$B$11:$B$310),INDEX(半紙!$J$11:$J$310,141),IF(141&lt;=COUNTA(半紙!$B$11:$B$310)+COUNTA(条幅!$B$11:$B$310),INDEX(条幅!$J$11:$J$310,141-COUNTA(半紙!$B$11:$B$310)),IF(141&lt;=COUNTA(半紙!$B$11:$B$310)+COUNTA(条幅!$B$11:$B$310)+COUNTA(条幅4分の1!$B$11:$B$310),INDEX(条幅4分の1!$J$11:$J$310,141-COUNTA(半紙!$B$11:$B$310)-COUNTA(条幅!$B$11:$B$310)),"")))=0,"",IF(141&lt;=COUNTA(半紙!$B$11:$B$310),INDEX(半紙!$J$11:$J$310,141),IF(141&lt;=COUNTA(半紙!$B$11:$B$310)+COUNTA(条幅!$B$11:$B$310),INDEX(条幅!$J$11:$J$310,141-COUNTA(半紙!$B$11:$B$310)),IF(141&lt;=COUNTA(半紙!$B$11:$B$310)+COUNTA(条幅!$B$11:$B$310)+COUNTA(条幅4分の1!$B$11:$B$310),INDEX(条幅4分の1!$J$11:$J$310,141-COUNTA(半紙!$B$11:$B$310)-COUNTA(条幅!$B$11:$B$310)),""))))</f>
        <v/>
      </c>
      <c r="K146" s="38" t="str">
        <f>IF(IF(141&lt;=COUNTA(半紙!$B$11:$B$310),INDEX(半紙!$K$11:$K$310,141),IF(141&lt;=COUNTA(半紙!$B$11:$B$310)+COUNTA(条幅!$B$11:$B$310),INDEX(条幅!$K$11:$K$310,141-COUNTA(半紙!$B$11:$B$310)),IF(141&lt;=COUNTA(半紙!$B$11:$B$310)+COUNTA(条幅!$B$11:$B$310)+COUNTA(条幅4分の1!$B$11:$B$310),INDEX(条幅4分の1!$K$11:$K$310,141-COUNTA(半紙!$B$11:$B$310)-COUNTA(条幅!$B$11:$B$310)),"")))=0,"",IF(141&lt;=COUNTA(半紙!$B$11:$B$310),INDEX(半紙!$K$11:$K$310,141),IF(141&lt;=COUNTA(半紙!$B$11:$B$310)+COUNTA(条幅!$B$11:$B$310),INDEX(条幅!$K$11:$K$310,141-COUNTA(半紙!$B$11:$B$310)),IF(141&lt;=COUNTA(半紙!$B$11:$B$310)+COUNTA(条幅!$B$11:$B$310)+COUNTA(条幅4分の1!$B$11:$B$310),INDEX(条幅4分の1!$K$11:$K$310,141-COUNTA(半紙!$B$11:$B$310)-COUNTA(条幅!$B$11:$B$310)),""))))</f>
        <v/>
      </c>
      <c r="L146" s="48" t="str">
        <f>IF($B146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141))</f>
        <v/>
      </c>
    </row>
    <row r="147" spans="1:12" ht="15" customHeight="1">
      <c r="A147" s="37" t="str">
        <f>IF(142&lt;=COUNTA(半紙!$B$11:$B$310),"半紙",IF(142&lt;=COUNTA(半紙!$B$11:$B$310)+COUNTA(条幅!$B$11:$B$310),"条幅(半切)",IF(142&lt;=COUNTA(半紙!$B$11:$B$310)+COUNTA(条幅!$B$11:$B$310)+COUNTA(条幅4分の1!$B$11:$B$310),"条幅(1/4)","")))</f>
        <v/>
      </c>
      <c r="B147" s="38" t="str">
        <f>IF(IF(142&lt;=COUNTA(半紙!$B$11:$B$310),INDEX(半紙!$B$11:$B$310,142),IF(142&lt;=COUNTA(半紙!$B$11:$B$310)+COUNTA(条幅!$B$11:$B$310),INDEX(条幅!$B$11:$B$310,142-COUNTA(半紙!$B$11:$B$310)),IF(142&lt;=COUNTA(半紙!$B$11:$B$310)+COUNTA(条幅!$B$11:$B$310)+COUNTA(条幅4分の1!$B$11:$B$310),INDEX(条幅4分の1!$B$11:$B$310,142-COUNTA(半紙!$B$11:$B$310)-COUNTA(条幅!$B$11:$B$310)),"")))=0,"",IF(142&lt;=COUNTA(半紙!$B$11:$B$310),INDEX(半紙!$B$11:$B$310,142),IF(142&lt;=COUNTA(半紙!$B$11:$B$310)+COUNTA(条幅!$B$11:$B$310),INDEX(条幅!$B$11:$B$310,142-COUNTA(半紙!$B$11:$B$310)),IF(142&lt;=COUNTA(半紙!$B$11:$B$310)+COUNTA(条幅!$B$11:$B$310)+COUNTA(条幅4分の1!$B$11:$B$310),INDEX(条幅4分の1!$B$11:$B$310,142-COUNTA(半紙!$B$11:$B$310)-COUNTA(条幅!$B$11:$B$310)),""))))</f>
        <v/>
      </c>
      <c r="C147" s="38" t="str">
        <f>IF(IF(142&lt;=COUNTA(半紙!$B$11:$B$310),INDEX(半紙!$C$11:$C$310,142),IF(142&lt;=COUNTA(半紙!$B$11:$B$310)+COUNTA(条幅!$B$11:$B$310),INDEX(条幅!$C$11:$C$310,142-COUNTA(半紙!$B$11:$B$310)),IF(142&lt;=COUNTA(半紙!$B$11:$B$310)+COUNTA(条幅!$B$11:$B$310)+COUNTA(条幅4分の1!$B$11:$B$310),INDEX(条幅4分の1!$C$11:$C$310,142-COUNTA(半紙!$B$11:$B$310)-COUNTA(条幅!$B$11:$B$310)),"")))=0,"",IF(142&lt;=COUNTA(半紙!$B$11:$B$310),INDEX(半紙!$C$11:$C$310,142),IF(142&lt;=COUNTA(半紙!$B$11:$B$310)+COUNTA(条幅!$B$11:$B$310),INDEX(条幅!$C$11:$C$310,142-COUNTA(半紙!$B$11:$B$310)),IF(142&lt;=COUNTA(半紙!$B$11:$B$310)+COUNTA(条幅!$B$11:$B$310)+COUNTA(条幅4分の1!$B$11:$B$310),INDEX(条幅4分の1!$C$11:$C$310,142-COUNTA(半紙!$B$11:$B$310)-COUNTA(条幅!$B$11:$B$310)),""))))</f>
        <v/>
      </c>
      <c r="D147" s="38" t="str">
        <f>IF(IF(142&lt;=COUNTA(半紙!$B$11:$B$310),INDEX(半紙!$D$11:$D$310,142),IF(142&lt;=COUNTA(半紙!$B$11:$B$310)+COUNTA(条幅!$B$11:$B$310),INDEX(条幅!$D$11:$D$310,142-COUNTA(半紙!$B$11:$B$310)),IF(142&lt;=COUNTA(半紙!$B$11:$B$310)+COUNTA(条幅!$B$11:$B$310)+COUNTA(条幅4分の1!$B$11:$B$310),INDEX(条幅4分の1!$D$11:$D$310,142-COUNTA(半紙!$B$11:$B$310)-COUNTA(条幅!$B$11:$B$310)),"")))=0,"",IF(142&lt;=COUNTA(半紙!$B$11:$B$310),INDEX(半紙!$D$11:$D$310,142),IF(142&lt;=COUNTA(半紙!$B$11:$B$310)+COUNTA(条幅!$B$11:$B$310),INDEX(条幅!$D$11:$D$310,142-COUNTA(半紙!$B$11:$B$310)),IF(142&lt;=COUNTA(半紙!$B$11:$B$310)+COUNTA(条幅!$B$11:$B$310)+COUNTA(条幅4分の1!$B$11:$B$310),INDEX(条幅4分の1!$D$11:$D$310,142-COUNTA(半紙!$B$11:$B$310)-COUNTA(条幅!$B$11:$B$310)),""))))</f>
        <v/>
      </c>
      <c r="E147" s="38" t="str">
        <f>IF(IF(142&lt;=COUNTA(半紙!$B$11:$B$310),INDEX(半紙!$E$11:$E$310,142),IF(142&lt;=COUNTA(半紙!$B$11:$B$310)+COUNTA(条幅!$B$11:$B$310),INDEX(条幅!$E$11:$E$310,142-COUNTA(半紙!$B$11:$B$310)),IF(142&lt;=COUNTA(半紙!$B$11:$B$310)+COUNTA(条幅!$B$11:$B$310)+COUNTA(条幅4分の1!$B$11:$B$310),INDEX(条幅4分の1!$E$11:$E$310,142-COUNTA(半紙!$B$11:$B$310)-COUNTA(条幅!$B$11:$B$310)),"")))=0,"",IF(142&lt;=COUNTA(半紙!$B$11:$B$310),INDEX(半紙!$E$11:$E$310,142),IF(142&lt;=COUNTA(半紙!$B$11:$B$310)+COUNTA(条幅!$B$11:$B$310),INDEX(条幅!$E$11:$E$310,142-COUNTA(半紙!$B$11:$B$310)),IF(142&lt;=COUNTA(半紙!$B$11:$B$310)+COUNTA(条幅!$B$11:$B$310)+COUNTA(条幅4分の1!$B$11:$B$310),INDEX(条幅4分の1!$E$11:$E$310,142-COUNTA(半紙!$B$11:$B$310)-COUNTA(条幅!$B$11:$B$310)),""))))</f>
        <v/>
      </c>
      <c r="F147" s="38" t="str">
        <f>IF(IF(142&lt;=COUNTA(半紙!$B$11:$B$310),INDEX(半紙!$F$11:$F$310,142),IF(142&lt;=COUNTA(半紙!$B$11:$B$310)+COUNTA(条幅!$B$11:$B$310),INDEX(条幅!$F$11:$F$310,142-COUNTA(半紙!$B$11:$B$310)),IF(142&lt;=COUNTA(半紙!$B$11:$B$310)+COUNTA(条幅!$B$11:$B$310)+COUNTA(条幅4分の1!$B$11:$B$310),INDEX(条幅4分の1!$F$11:$F$310,142-COUNTA(半紙!$B$11:$B$310)-COUNTA(条幅!$B$11:$B$310)),"")))=0,"",IF(142&lt;=COUNTA(半紙!$B$11:$B$310),INDEX(半紙!$F$11:$F$310,142),IF(142&lt;=COUNTA(半紙!$B$11:$B$310)+COUNTA(条幅!$B$11:$B$310),INDEX(条幅!$F$11:$F$310,142-COUNTA(半紙!$B$11:$B$310)),IF(142&lt;=COUNTA(半紙!$B$11:$B$310)+COUNTA(条幅!$B$11:$B$310)+COUNTA(条幅4分の1!$B$11:$B$310),INDEX(条幅4分の1!$F$11:$F$310,142-COUNTA(半紙!$B$11:$B$310)-COUNTA(条幅!$B$11:$B$310)),""))))</f>
        <v/>
      </c>
      <c r="G147" s="38" t="str">
        <f>IF(IF(142&lt;=COUNTA(半紙!$B$11:$B$310),INDEX(半紙!$G$11:$G$310,142),IF(142&lt;=COUNTA(半紙!$B$11:$B$310)+COUNTA(条幅!$B$11:$B$310),INDEX(条幅!$G$11:$G$310,142-COUNTA(半紙!$B$11:$B$310)),IF(142&lt;=COUNTA(半紙!$B$11:$B$310)+COUNTA(条幅!$B$11:$B$310)+COUNTA(条幅4分の1!$B$11:$B$310),INDEX(条幅4分の1!$G$11:$G$310,142-COUNTA(半紙!$B$11:$B$310)-COUNTA(条幅!$B$11:$B$310)),"")))=0,"",IF(142&lt;=COUNTA(半紙!$B$11:$B$310),INDEX(半紙!$G$11:$G$310,142),IF(142&lt;=COUNTA(半紙!$B$11:$B$310)+COUNTA(条幅!$B$11:$B$310),INDEX(条幅!$G$11:$G$310,142-COUNTA(半紙!$B$11:$B$310)),IF(142&lt;=COUNTA(半紙!$B$11:$B$310)+COUNTA(条幅!$B$11:$B$310)+COUNTA(条幅4分の1!$B$11:$B$310),INDEX(条幅4分の1!$G$11:$G$310,142-COUNTA(半紙!$B$11:$B$310)-COUNTA(条幅!$B$11:$B$310)),""))))</f>
        <v/>
      </c>
      <c r="H147" s="38" t="str">
        <f>IF(IF(142&lt;=COUNTA(半紙!$B$11:$B$310),INDEX(半紙!$H$11:$H$310,142),IF(142&lt;=COUNTA(半紙!$B$11:$B$310)+COUNTA(条幅!$B$11:$B$310),INDEX(条幅!$H$11:$H$310,142-COUNTA(半紙!$B$11:$B$310)),IF(142&lt;=COUNTA(半紙!$B$11:$B$310)+COUNTA(条幅!$B$11:$B$310)+COUNTA(条幅4分の1!$B$11:$B$310),INDEX(条幅4分の1!$H$11:$H$310,142-COUNTA(半紙!$B$11:$B$310)-COUNTA(条幅!$B$11:$B$310)),"")))=0,"",IF(142&lt;=COUNTA(半紙!$B$11:$B$310),INDEX(半紙!$H$11:$H$310,142),IF(142&lt;=COUNTA(半紙!$B$11:$B$310)+COUNTA(条幅!$B$11:$B$310),INDEX(条幅!$H$11:$H$310,142-COUNTA(半紙!$B$11:$B$310)),IF(142&lt;=COUNTA(半紙!$B$11:$B$310)+COUNTA(条幅!$B$11:$B$310)+COUNTA(条幅4分の1!$B$11:$B$310),INDEX(条幅4分の1!$H$11:$H$310,142-COUNTA(半紙!$B$11:$B$310)-COUNTA(条幅!$B$11:$B$310)),""))))</f>
        <v/>
      </c>
      <c r="I147" s="38" t="str">
        <f>IF(IF(142&lt;=COUNTA(半紙!$B$11:$B$310),INDEX(半紙!$I$11:$I$310,142),IF(142&lt;=COUNTA(半紙!$B$11:$B$310)+COUNTA(条幅!$B$11:$B$310),INDEX(条幅!$I$11:$I$310,142-COUNTA(半紙!$B$11:$B$310)),IF(142&lt;=COUNTA(半紙!$B$11:$B$310)+COUNTA(条幅!$B$11:$B$310)+COUNTA(条幅4分の1!$B$11:$B$310),INDEX(条幅4分の1!$I$11:$I$310,142-COUNTA(半紙!$B$11:$B$310)-COUNTA(条幅!$B$11:$B$310)),"")))=0,"",IF(142&lt;=COUNTA(半紙!$B$11:$B$310),INDEX(半紙!$I$11:$I$310,142),IF(142&lt;=COUNTA(半紙!$B$11:$B$310)+COUNTA(条幅!$B$11:$B$310),INDEX(条幅!$I$11:$I$310,142-COUNTA(半紙!$B$11:$B$310)),IF(142&lt;=COUNTA(半紙!$B$11:$B$310)+COUNTA(条幅!$B$11:$B$310)+COUNTA(条幅4分の1!$B$11:$B$310),INDEX(条幅4分の1!$I$11:$I$310,142-COUNTA(半紙!$B$11:$B$310)-COUNTA(条幅!$B$11:$B$310)),""))))</f>
        <v/>
      </c>
      <c r="J147" s="38" t="str">
        <f>IF(IF(142&lt;=COUNTA(半紙!$B$11:$B$310),INDEX(半紙!$J$11:$J$310,142),IF(142&lt;=COUNTA(半紙!$B$11:$B$310)+COUNTA(条幅!$B$11:$B$310),INDEX(条幅!$J$11:$J$310,142-COUNTA(半紙!$B$11:$B$310)),IF(142&lt;=COUNTA(半紙!$B$11:$B$310)+COUNTA(条幅!$B$11:$B$310)+COUNTA(条幅4分の1!$B$11:$B$310),INDEX(条幅4分の1!$J$11:$J$310,142-COUNTA(半紙!$B$11:$B$310)-COUNTA(条幅!$B$11:$B$310)),"")))=0,"",IF(142&lt;=COUNTA(半紙!$B$11:$B$310),INDEX(半紙!$J$11:$J$310,142),IF(142&lt;=COUNTA(半紙!$B$11:$B$310)+COUNTA(条幅!$B$11:$B$310),INDEX(条幅!$J$11:$J$310,142-COUNTA(半紙!$B$11:$B$310)),IF(142&lt;=COUNTA(半紙!$B$11:$B$310)+COUNTA(条幅!$B$11:$B$310)+COUNTA(条幅4分の1!$B$11:$B$310),INDEX(条幅4分の1!$J$11:$J$310,142-COUNTA(半紙!$B$11:$B$310)-COUNTA(条幅!$B$11:$B$310)),""))))</f>
        <v/>
      </c>
      <c r="K147" s="38" t="str">
        <f>IF(IF(142&lt;=COUNTA(半紙!$B$11:$B$310),INDEX(半紙!$K$11:$K$310,142),IF(142&lt;=COUNTA(半紙!$B$11:$B$310)+COUNTA(条幅!$B$11:$B$310),INDEX(条幅!$K$11:$K$310,142-COUNTA(半紙!$B$11:$B$310)),IF(142&lt;=COUNTA(半紙!$B$11:$B$310)+COUNTA(条幅!$B$11:$B$310)+COUNTA(条幅4分の1!$B$11:$B$310),INDEX(条幅4分の1!$K$11:$K$310,142-COUNTA(半紙!$B$11:$B$310)-COUNTA(条幅!$B$11:$B$310)),"")))=0,"",IF(142&lt;=COUNTA(半紙!$B$11:$B$310),INDEX(半紙!$K$11:$K$310,142),IF(142&lt;=COUNTA(半紙!$B$11:$B$310)+COUNTA(条幅!$B$11:$B$310),INDEX(条幅!$K$11:$K$310,142-COUNTA(半紙!$B$11:$B$310)),IF(142&lt;=COUNTA(半紙!$B$11:$B$310)+COUNTA(条幅!$B$11:$B$310)+COUNTA(条幅4分の1!$B$11:$B$310),INDEX(条幅4分の1!$K$11:$K$310,142-COUNTA(半紙!$B$11:$B$310)-COUNTA(条幅!$B$11:$B$310)),""))))</f>
        <v/>
      </c>
      <c r="L147" s="48" t="str">
        <f>IF($B147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142))</f>
        <v/>
      </c>
    </row>
    <row r="148" spans="1:12" ht="15" customHeight="1">
      <c r="A148" s="37" t="str">
        <f>IF(143&lt;=COUNTA(半紙!$B$11:$B$310),"半紙",IF(143&lt;=COUNTA(半紙!$B$11:$B$310)+COUNTA(条幅!$B$11:$B$310),"条幅(半切)",IF(143&lt;=COUNTA(半紙!$B$11:$B$310)+COUNTA(条幅!$B$11:$B$310)+COUNTA(条幅4分の1!$B$11:$B$310),"条幅(1/4)","")))</f>
        <v/>
      </c>
      <c r="B148" s="38" t="str">
        <f>IF(IF(143&lt;=COUNTA(半紙!$B$11:$B$310),INDEX(半紙!$B$11:$B$310,143),IF(143&lt;=COUNTA(半紙!$B$11:$B$310)+COUNTA(条幅!$B$11:$B$310),INDEX(条幅!$B$11:$B$310,143-COUNTA(半紙!$B$11:$B$310)),IF(143&lt;=COUNTA(半紙!$B$11:$B$310)+COUNTA(条幅!$B$11:$B$310)+COUNTA(条幅4分の1!$B$11:$B$310),INDEX(条幅4分の1!$B$11:$B$310,143-COUNTA(半紙!$B$11:$B$310)-COUNTA(条幅!$B$11:$B$310)),"")))=0,"",IF(143&lt;=COUNTA(半紙!$B$11:$B$310),INDEX(半紙!$B$11:$B$310,143),IF(143&lt;=COUNTA(半紙!$B$11:$B$310)+COUNTA(条幅!$B$11:$B$310),INDEX(条幅!$B$11:$B$310,143-COUNTA(半紙!$B$11:$B$310)),IF(143&lt;=COUNTA(半紙!$B$11:$B$310)+COUNTA(条幅!$B$11:$B$310)+COUNTA(条幅4分の1!$B$11:$B$310),INDEX(条幅4分の1!$B$11:$B$310,143-COUNTA(半紙!$B$11:$B$310)-COUNTA(条幅!$B$11:$B$310)),""))))</f>
        <v/>
      </c>
      <c r="C148" s="38" t="str">
        <f>IF(IF(143&lt;=COUNTA(半紙!$B$11:$B$310),INDEX(半紙!$C$11:$C$310,143),IF(143&lt;=COUNTA(半紙!$B$11:$B$310)+COUNTA(条幅!$B$11:$B$310),INDEX(条幅!$C$11:$C$310,143-COUNTA(半紙!$B$11:$B$310)),IF(143&lt;=COUNTA(半紙!$B$11:$B$310)+COUNTA(条幅!$B$11:$B$310)+COUNTA(条幅4分の1!$B$11:$B$310),INDEX(条幅4分の1!$C$11:$C$310,143-COUNTA(半紙!$B$11:$B$310)-COUNTA(条幅!$B$11:$B$310)),"")))=0,"",IF(143&lt;=COUNTA(半紙!$B$11:$B$310),INDEX(半紙!$C$11:$C$310,143),IF(143&lt;=COUNTA(半紙!$B$11:$B$310)+COUNTA(条幅!$B$11:$B$310),INDEX(条幅!$C$11:$C$310,143-COUNTA(半紙!$B$11:$B$310)),IF(143&lt;=COUNTA(半紙!$B$11:$B$310)+COUNTA(条幅!$B$11:$B$310)+COUNTA(条幅4分の1!$B$11:$B$310),INDEX(条幅4分の1!$C$11:$C$310,143-COUNTA(半紙!$B$11:$B$310)-COUNTA(条幅!$B$11:$B$310)),""))))</f>
        <v/>
      </c>
      <c r="D148" s="38" t="str">
        <f>IF(IF(143&lt;=COUNTA(半紙!$B$11:$B$310),INDEX(半紙!$D$11:$D$310,143),IF(143&lt;=COUNTA(半紙!$B$11:$B$310)+COUNTA(条幅!$B$11:$B$310),INDEX(条幅!$D$11:$D$310,143-COUNTA(半紙!$B$11:$B$310)),IF(143&lt;=COUNTA(半紙!$B$11:$B$310)+COUNTA(条幅!$B$11:$B$310)+COUNTA(条幅4分の1!$B$11:$B$310),INDEX(条幅4分の1!$D$11:$D$310,143-COUNTA(半紙!$B$11:$B$310)-COUNTA(条幅!$B$11:$B$310)),"")))=0,"",IF(143&lt;=COUNTA(半紙!$B$11:$B$310),INDEX(半紙!$D$11:$D$310,143),IF(143&lt;=COUNTA(半紙!$B$11:$B$310)+COUNTA(条幅!$B$11:$B$310),INDEX(条幅!$D$11:$D$310,143-COUNTA(半紙!$B$11:$B$310)),IF(143&lt;=COUNTA(半紙!$B$11:$B$310)+COUNTA(条幅!$B$11:$B$310)+COUNTA(条幅4分の1!$B$11:$B$310),INDEX(条幅4分の1!$D$11:$D$310,143-COUNTA(半紙!$B$11:$B$310)-COUNTA(条幅!$B$11:$B$310)),""))))</f>
        <v/>
      </c>
      <c r="E148" s="38" t="str">
        <f>IF(IF(143&lt;=COUNTA(半紙!$B$11:$B$310),INDEX(半紙!$E$11:$E$310,143),IF(143&lt;=COUNTA(半紙!$B$11:$B$310)+COUNTA(条幅!$B$11:$B$310),INDEX(条幅!$E$11:$E$310,143-COUNTA(半紙!$B$11:$B$310)),IF(143&lt;=COUNTA(半紙!$B$11:$B$310)+COUNTA(条幅!$B$11:$B$310)+COUNTA(条幅4分の1!$B$11:$B$310),INDEX(条幅4分の1!$E$11:$E$310,143-COUNTA(半紙!$B$11:$B$310)-COUNTA(条幅!$B$11:$B$310)),"")))=0,"",IF(143&lt;=COUNTA(半紙!$B$11:$B$310),INDEX(半紙!$E$11:$E$310,143),IF(143&lt;=COUNTA(半紙!$B$11:$B$310)+COUNTA(条幅!$B$11:$B$310),INDEX(条幅!$E$11:$E$310,143-COUNTA(半紙!$B$11:$B$310)),IF(143&lt;=COUNTA(半紙!$B$11:$B$310)+COUNTA(条幅!$B$11:$B$310)+COUNTA(条幅4分の1!$B$11:$B$310),INDEX(条幅4分の1!$E$11:$E$310,143-COUNTA(半紙!$B$11:$B$310)-COUNTA(条幅!$B$11:$B$310)),""))))</f>
        <v/>
      </c>
      <c r="F148" s="38" t="str">
        <f>IF(IF(143&lt;=COUNTA(半紙!$B$11:$B$310),INDEX(半紙!$F$11:$F$310,143),IF(143&lt;=COUNTA(半紙!$B$11:$B$310)+COUNTA(条幅!$B$11:$B$310),INDEX(条幅!$F$11:$F$310,143-COUNTA(半紙!$B$11:$B$310)),IF(143&lt;=COUNTA(半紙!$B$11:$B$310)+COUNTA(条幅!$B$11:$B$310)+COUNTA(条幅4分の1!$B$11:$B$310),INDEX(条幅4分の1!$F$11:$F$310,143-COUNTA(半紙!$B$11:$B$310)-COUNTA(条幅!$B$11:$B$310)),"")))=0,"",IF(143&lt;=COUNTA(半紙!$B$11:$B$310),INDEX(半紙!$F$11:$F$310,143),IF(143&lt;=COUNTA(半紙!$B$11:$B$310)+COUNTA(条幅!$B$11:$B$310),INDEX(条幅!$F$11:$F$310,143-COUNTA(半紙!$B$11:$B$310)),IF(143&lt;=COUNTA(半紙!$B$11:$B$310)+COUNTA(条幅!$B$11:$B$310)+COUNTA(条幅4分の1!$B$11:$B$310),INDEX(条幅4分の1!$F$11:$F$310,143-COUNTA(半紙!$B$11:$B$310)-COUNTA(条幅!$B$11:$B$310)),""))))</f>
        <v/>
      </c>
      <c r="G148" s="38" t="str">
        <f>IF(IF(143&lt;=COUNTA(半紙!$B$11:$B$310),INDEX(半紙!$G$11:$G$310,143),IF(143&lt;=COUNTA(半紙!$B$11:$B$310)+COUNTA(条幅!$B$11:$B$310),INDEX(条幅!$G$11:$G$310,143-COUNTA(半紙!$B$11:$B$310)),IF(143&lt;=COUNTA(半紙!$B$11:$B$310)+COUNTA(条幅!$B$11:$B$310)+COUNTA(条幅4分の1!$B$11:$B$310),INDEX(条幅4分の1!$G$11:$G$310,143-COUNTA(半紙!$B$11:$B$310)-COUNTA(条幅!$B$11:$B$310)),"")))=0,"",IF(143&lt;=COUNTA(半紙!$B$11:$B$310),INDEX(半紙!$G$11:$G$310,143),IF(143&lt;=COUNTA(半紙!$B$11:$B$310)+COUNTA(条幅!$B$11:$B$310),INDEX(条幅!$G$11:$G$310,143-COUNTA(半紙!$B$11:$B$310)),IF(143&lt;=COUNTA(半紙!$B$11:$B$310)+COUNTA(条幅!$B$11:$B$310)+COUNTA(条幅4分の1!$B$11:$B$310),INDEX(条幅4分の1!$G$11:$G$310,143-COUNTA(半紙!$B$11:$B$310)-COUNTA(条幅!$B$11:$B$310)),""))))</f>
        <v/>
      </c>
      <c r="H148" s="38" t="str">
        <f>IF(IF(143&lt;=COUNTA(半紙!$B$11:$B$310),INDEX(半紙!$H$11:$H$310,143),IF(143&lt;=COUNTA(半紙!$B$11:$B$310)+COUNTA(条幅!$B$11:$B$310),INDEX(条幅!$H$11:$H$310,143-COUNTA(半紙!$B$11:$B$310)),IF(143&lt;=COUNTA(半紙!$B$11:$B$310)+COUNTA(条幅!$B$11:$B$310)+COUNTA(条幅4分の1!$B$11:$B$310),INDEX(条幅4分の1!$H$11:$H$310,143-COUNTA(半紙!$B$11:$B$310)-COUNTA(条幅!$B$11:$B$310)),"")))=0,"",IF(143&lt;=COUNTA(半紙!$B$11:$B$310),INDEX(半紙!$H$11:$H$310,143),IF(143&lt;=COUNTA(半紙!$B$11:$B$310)+COUNTA(条幅!$B$11:$B$310),INDEX(条幅!$H$11:$H$310,143-COUNTA(半紙!$B$11:$B$310)),IF(143&lt;=COUNTA(半紙!$B$11:$B$310)+COUNTA(条幅!$B$11:$B$310)+COUNTA(条幅4分の1!$B$11:$B$310),INDEX(条幅4分の1!$H$11:$H$310,143-COUNTA(半紙!$B$11:$B$310)-COUNTA(条幅!$B$11:$B$310)),""))))</f>
        <v/>
      </c>
      <c r="I148" s="38" t="str">
        <f>IF(IF(143&lt;=COUNTA(半紙!$B$11:$B$310),INDEX(半紙!$I$11:$I$310,143),IF(143&lt;=COUNTA(半紙!$B$11:$B$310)+COUNTA(条幅!$B$11:$B$310),INDEX(条幅!$I$11:$I$310,143-COUNTA(半紙!$B$11:$B$310)),IF(143&lt;=COUNTA(半紙!$B$11:$B$310)+COUNTA(条幅!$B$11:$B$310)+COUNTA(条幅4分の1!$B$11:$B$310),INDEX(条幅4分の1!$I$11:$I$310,143-COUNTA(半紙!$B$11:$B$310)-COUNTA(条幅!$B$11:$B$310)),"")))=0,"",IF(143&lt;=COUNTA(半紙!$B$11:$B$310),INDEX(半紙!$I$11:$I$310,143),IF(143&lt;=COUNTA(半紙!$B$11:$B$310)+COUNTA(条幅!$B$11:$B$310),INDEX(条幅!$I$11:$I$310,143-COUNTA(半紙!$B$11:$B$310)),IF(143&lt;=COUNTA(半紙!$B$11:$B$310)+COUNTA(条幅!$B$11:$B$310)+COUNTA(条幅4分の1!$B$11:$B$310),INDEX(条幅4分の1!$I$11:$I$310,143-COUNTA(半紙!$B$11:$B$310)-COUNTA(条幅!$B$11:$B$310)),""))))</f>
        <v/>
      </c>
      <c r="J148" s="38" t="str">
        <f>IF(IF(143&lt;=COUNTA(半紙!$B$11:$B$310),INDEX(半紙!$J$11:$J$310,143),IF(143&lt;=COUNTA(半紙!$B$11:$B$310)+COUNTA(条幅!$B$11:$B$310),INDEX(条幅!$J$11:$J$310,143-COUNTA(半紙!$B$11:$B$310)),IF(143&lt;=COUNTA(半紙!$B$11:$B$310)+COUNTA(条幅!$B$11:$B$310)+COUNTA(条幅4分の1!$B$11:$B$310),INDEX(条幅4分の1!$J$11:$J$310,143-COUNTA(半紙!$B$11:$B$310)-COUNTA(条幅!$B$11:$B$310)),"")))=0,"",IF(143&lt;=COUNTA(半紙!$B$11:$B$310),INDEX(半紙!$J$11:$J$310,143),IF(143&lt;=COUNTA(半紙!$B$11:$B$310)+COUNTA(条幅!$B$11:$B$310),INDEX(条幅!$J$11:$J$310,143-COUNTA(半紙!$B$11:$B$310)),IF(143&lt;=COUNTA(半紙!$B$11:$B$310)+COUNTA(条幅!$B$11:$B$310)+COUNTA(条幅4分の1!$B$11:$B$310),INDEX(条幅4分の1!$J$11:$J$310,143-COUNTA(半紙!$B$11:$B$310)-COUNTA(条幅!$B$11:$B$310)),""))))</f>
        <v/>
      </c>
      <c r="K148" s="38" t="str">
        <f>IF(IF(143&lt;=COUNTA(半紙!$B$11:$B$310),INDEX(半紙!$K$11:$K$310,143),IF(143&lt;=COUNTA(半紙!$B$11:$B$310)+COUNTA(条幅!$B$11:$B$310),INDEX(条幅!$K$11:$K$310,143-COUNTA(半紙!$B$11:$B$310)),IF(143&lt;=COUNTA(半紙!$B$11:$B$310)+COUNTA(条幅!$B$11:$B$310)+COUNTA(条幅4分の1!$B$11:$B$310),INDEX(条幅4分の1!$K$11:$K$310,143-COUNTA(半紙!$B$11:$B$310)-COUNTA(条幅!$B$11:$B$310)),"")))=0,"",IF(143&lt;=COUNTA(半紙!$B$11:$B$310),INDEX(半紙!$K$11:$K$310,143),IF(143&lt;=COUNTA(半紙!$B$11:$B$310)+COUNTA(条幅!$B$11:$B$310),INDEX(条幅!$K$11:$K$310,143-COUNTA(半紙!$B$11:$B$310)),IF(143&lt;=COUNTA(半紙!$B$11:$B$310)+COUNTA(条幅!$B$11:$B$310)+COUNTA(条幅4分の1!$B$11:$B$310),INDEX(条幅4分の1!$K$11:$K$310,143-COUNTA(半紙!$B$11:$B$310)-COUNTA(条幅!$B$11:$B$310)),""))))</f>
        <v/>
      </c>
      <c r="L148" s="48" t="str">
        <f>IF($B148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143))</f>
        <v/>
      </c>
    </row>
    <row r="149" spans="1:12" ht="15" customHeight="1">
      <c r="A149" s="37" t="str">
        <f>IF(144&lt;=COUNTA(半紙!$B$11:$B$310),"半紙",IF(144&lt;=COUNTA(半紙!$B$11:$B$310)+COUNTA(条幅!$B$11:$B$310),"条幅(半切)",IF(144&lt;=COUNTA(半紙!$B$11:$B$310)+COUNTA(条幅!$B$11:$B$310)+COUNTA(条幅4分の1!$B$11:$B$310),"条幅(1/4)","")))</f>
        <v/>
      </c>
      <c r="B149" s="38" t="str">
        <f>IF(IF(144&lt;=COUNTA(半紙!$B$11:$B$310),INDEX(半紙!$B$11:$B$310,144),IF(144&lt;=COUNTA(半紙!$B$11:$B$310)+COUNTA(条幅!$B$11:$B$310),INDEX(条幅!$B$11:$B$310,144-COUNTA(半紙!$B$11:$B$310)),IF(144&lt;=COUNTA(半紙!$B$11:$B$310)+COUNTA(条幅!$B$11:$B$310)+COUNTA(条幅4分の1!$B$11:$B$310),INDEX(条幅4分の1!$B$11:$B$310,144-COUNTA(半紙!$B$11:$B$310)-COUNTA(条幅!$B$11:$B$310)),"")))=0,"",IF(144&lt;=COUNTA(半紙!$B$11:$B$310),INDEX(半紙!$B$11:$B$310,144),IF(144&lt;=COUNTA(半紙!$B$11:$B$310)+COUNTA(条幅!$B$11:$B$310),INDEX(条幅!$B$11:$B$310,144-COUNTA(半紙!$B$11:$B$310)),IF(144&lt;=COUNTA(半紙!$B$11:$B$310)+COUNTA(条幅!$B$11:$B$310)+COUNTA(条幅4分の1!$B$11:$B$310),INDEX(条幅4分の1!$B$11:$B$310,144-COUNTA(半紙!$B$11:$B$310)-COUNTA(条幅!$B$11:$B$310)),""))))</f>
        <v/>
      </c>
      <c r="C149" s="38" t="str">
        <f>IF(IF(144&lt;=COUNTA(半紙!$B$11:$B$310),INDEX(半紙!$C$11:$C$310,144),IF(144&lt;=COUNTA(半紙!$B$11:$B$310)+COUNTA(条幅!$B$11:$B$310),INDEX(条幅!$C$11:$C$310,144-COUNTA(半紙!$B$11:$B$310)),IF(144&lt;=COUNTA(半紙!$B$11:$B$310)+COUNTA(条幅!$B$11:$B$310)+COUNTA(条幅4分の1!$B$11:$B$310),INDEX(条幅4分の1!$C$11:$C$310,144-COUNTA(半紙!$B$11:$B$310)-COUNTA(条幅!$B$11:$B$310)),"")))=0,"",IF(144&lt;=COUNTA(半紙!$B$11:$B$310),INDEX(半紙!$C$11:$C$310,144),IF(144&lt;=COUNTA(半紙!$B$11:$B$310)+COUNTA(条幅!$B$11:$B$310),INDEX(条幅!$C$11:$C$310,144-COUNTA(半紙!$B$11:$B$310)),IF(144&lt;=COUNTA(半紙!$B$11:$B$310)+COUNTA(条幅!$B$11:$B$310)+COUNTA(条幅4分の1!$B$11:$B$310),INDEX(条幅4分の1!$C$11:$C$310,144-COUNTA(半紙!$B$11:$B$310)-COUNTA(条幅!$B$11:$B$310)),""))))</f>
        <v/>
      </c>
      <c r="D149" s="38" t="str">
        <f>IF(IF(144&lt;=COUNTA(半紙!$B$11:$B$310),INDEX(半紙!$D$11:$D$310,144),IF(144&lt;=COUNTA(半紙!$B$11:$B$310)+COUNTA(条幅!$B$11:$B$310),INDEX(条幅!$D$11:$D$310,144-COUNTA(半紙!$B$11:$B$310)),IF(144&lt;=COUNTA(半紙!$B$11:$B$310)+COUNTA(条幅!$B$11:$B$310)+COUNTA(条幅4分の1!$B$11:$B$310),INDEX(条幅4分の1!$D$11:$D$310,144-COUNTA(半紙!$B$11:$B$310)-COUNTA(条幅!$B$11:$B$310)),"")))=0,"",IF(144&lt;=COUNTA(半紙!$B$11:$B$310),INDEX(半紙!$D$11:$D$310,144),IF(144&lt;=COUNTA(半紙!$B$11:$B$310)+COUNTA(条幅!$B$11:$B$310),INDEX(条幅!$D$11:$D$310,144-COUNTA(半紙!$B$11:$B$310)),IF(144&lt;=COUNTA(半紙!$B$11:$B$310)+COUNTA(条幅!$B$11:$B$310)+COUNTA(条幅4分の1!$B$11:$B$310),INDEX(条幅4分の1!$D$11:$D$310,144-COUNTA(半紙!$B$11:$B$310)-COUNTA(条幅!$B$11:$B$310)),""))))</f>
        <v/>
      </c>
      <c r="E149" s="38" t="str">
        <f>IF(IF(144&lt;=COUNTA(半紙!$B$11:$B$310),INDEX(半紙!$E$11:$E$310,144),IF(144&lt;=COUNTA(半紙!$B$11:$B$310)+COUNTA(条幅!$B$11:$B$310),INDEX(条幅!$E$11:$E$310,144-COUNTA(半紙!$B$11:$B$310)),IF(144&lt;=COUNTA(半紙!$B$11:$B$310)+COUNTA(条幅!$B$11:$B$310)+COUNTA(条幅4分の1!$B$11:$B$310),INDEX(条幅4分の1!$E$11:$E$310,144-COUNTA(半紙!$B$11:$B$310)-COUNTA(条幅!$B$11:$B$310)),"")))=0,"",IF(144&lt;=COUNTA(半紙!$B$11:$B$310),INDEX(半紙!$E$11:$E$310,144),IF(144&lt;=COUNTA(半紙!$B$11:$B$310)+COUNTA(条幅!$B$11:$B$310),INDEX(条幅!$E$11:$E$310,144-COUNTA(半紙!$B$11:$B$310)),IF(144&lt;=COUNTA(半紙!$B$11:$B$310)+COUNTA(条幅!$B$11:$B$310)+COUNTA(条幅4分の1!$B$11:$B$310),INDEX(条幅4分の1!$E$11:$E$310,144-COUNTA(半紙!$B$11:$B$310)-COUNTA(条幅!$B$11:$B$310)),""))))</f>
        <v/>
      </c>
      <c r="F149" s="38" t="str">
        <f>IF(IF(144&lt;=COUNTA(半紙!$B$11:$B$310),INDEX(半紙!$F$11:$F$310,144),IF(144&lt;=COUNTA(半紙!$B$11:$B$310)+COUNTA(条幅!$B$11:$B$310),INDEX(条幅!$F$11:$F$310,144-COUNTA(半紙!$B$11:$B$310)),IF(144&lt;=COUNTA(半紙!$B$11:$B$310)+COUNTA(条幅!$B$11:$B$310)+COUNTA(条幅4分の1!$B$11:$B$310),INDEX(条幅4分の1!$F$11:$F$310,144-COUNTA(半紙!$B$11:$B$310)-COUNTA(条幅!$B$11:$B$310)),"")))=0,"",IF(144&lt;=COUNTA(半紙!$B$11:$B$310),INDEX(半紙!$F$11:$F$310,144),IF(144&lt;=COUNTA(半紙!$B$11:$B$310)+COUNTA(条幅!$B$11:$B$310),INDEX(条幅!$F$11:$F$310,144-COUNTA(半紙!$B$11:$B$310)),IF(144&lt;=COUNTA(半紙!$B$11:$B$310)+COUNTA(条幅!$B$11:$B$310)+COUNTA(条幅4分の1!$B$11:$B$310),INDEX(条幅4分の1!$F$11:$F$310,144-COUNTA(半紙!$B$11:$B$310)-COUNTA(条幅!$B$11:$B$310)),""))))</f>
        <v/>
      </c>
      <c r="G149" s="38" t="str">
        <f>IF(IF(144&lt;=COUNTA(半紙!$B$11:$B$310),INDEX(半紙!$G$11:$G$310,144),IF(144&lt;=COUNTA(半紙!$B$11:$B$310)+COUNTA(条幅!$B$11:$B$310),INDEX(条幅!$G$11:$G$310,144-COUNTA(半紙!$B$11:$B$310)),IF(144&lt;=COUNTA(半紙!$B$11:$B$310)+COUNTA(条幅!$B$11:$B$310)+COUNTA(条幅4分の1!$B$11:$B$310),INDEX(条幅4分の1!$G$11:$G$310,144-COUNTA(半紙!$B$11:$B$310)-COUNTA(条幅!$B$11:$B$310)),"")))=0,"",IF(144&lt;=COUNTA(半紙!$B$11:$B$310),INDEX(半紙!$G$11:$G$310,144),IF(144&lt;=COUNTA(半紙!$B$11:$B$310)+COUNTA(条幅!$B$11:$B$310),INDEX(条幅!$G$11:$G$310,144-COUNTA(半紙!$B$11:$B$310)),IF(144&lt;=COUNTA(半紙!$B$11:$B$310)+COUNTA(条幅!$B$11:$B$310)+COUNTA(条幅4分の1!$B$11:$B$310),INDEX(条幅4分の1!$G$11:$G$310,144-COUNTA(半紙!$B$11:$B$310)-COUNTA(条幅!$B$11:$B$310)),""))))</f>
        <v/>
      </c>
      <c r="H149" s="38" t="str">
        <f>IF(IF(144&lt;=COUNTA(半紙!$B$11:$B$310),INDEX(半紙!$H$11:$H$310,144),IF(144&lt;=COUNTA(半紙!$B$11:$B$310)+COUNTA(条幅!$B$11:$B$310),INDEX(条幅!$H$11:$H$310,144-COUNTA(半紙!$B$11:$B$310)),IF(144&lt;=COUNTA(半紙!$B$11:$B$310)+COUNTA(条幅!$B$11:$B$310)+COUNTA(条幅4分の1!$B$11:$B$310),INDEX(条幅4分の1!$H$11:$H$310,144-COUNTA(半紙!$B$11:$B$310)-COUNTA(条幅!$B$11:$B$310)),"")))=0,"",IF(144&lt;=COUNTA(半紙!$B$11:$B$310),INDEX(半紙!$H$11:$H$310,144),IF(144&lt;=COUNTA(半紙!$B$11:$B$310)+COUNTA(条幅!$B$11:$B$310),INDEX(条幅!$H$11:$H$310,144-COUNTA(半紙!$B$11:$B$310)),IF(144&lt;=COUNTA(半紙!$B$11:$B$310)+COUNTA(条幅!$B$11:$B$310)+COUNTA(条幅4分の1!$B$11:$B$310),INDEX(条幅4分の1!$H$11:$H$310,144-COUNTA(半紙!$B$11:$B$310)-COUNTA(条幅!$B$11:$B$310)),""))))</f>
        <v/>
      </c>
      <c r="I149" s="38" t="str">
        <f>IF(IF(144&lt;=COUNTA(半紙!$B$11:$B$310),INDEX(半紙!$I$11:$I$310,144),IF(144&lt;=COUNTA(半紙!$B$11:$B$310)+COUNTA(条幅!$B$11:$B$310),INDEX(条幅!$I$11:$I$310,144-COUNTA(半紙!$B$11:$B$310)),IF(144&lt;=COUNTA(半紙!$B$11:$B$310)+COUNTA(条幅!$B$11:$B$310)+COUNTA(条幅4分の1!$B$11:$B$310),INDEX(条幅4分の1!$I$11:$I$310,144-COUNTA(半紙!$B$11:$B$310)-COUNTA(条幅!$B$11:$B$310)),"")))=0,"",IF(144&lt;=COUNTA(半紙!$B$11:$B$310),INDEX(半紙!$I$11:$I$310,144),IF(144&lt;=COUNTA(半紙!$B$11:$B$310)+COUNTA(条幅!$B$11:$B$310),INDEX(条幅!$I$11:$I$310,144-COUNTA(半紙!$B$11:$B$310)),IF(144&lt;=COUNTA(半紙!$B$11:$B$310)+COUNTA(条幅!$B$11:$B$310)+COUNTA(条幅4分の1!$B$11:$B$310),INDEX(条幅4分の1!$I$11:$I$310,144-COUNTA(半紙!$B$11:$B$310)-COUNTA(条幅!$B$11:$B$310)),""))))</f>
        <v/>
      </c>
      <c r="J149" s="38" t="str">
        <f>IF(IF(144&lt;=COUNTA(半紙!$B$11:$B$310),INDEX(半紙!$J$11:$J$310,144),IF(144&lt;=COUNTA(半紙!$B$11:$B$310)+COUNTA(条幅!$B$11:$B$310),INDEX(条幅!$J$11:$J$310,144-COUNTA(半紙!$B$11:$B$310)),IF(144&lt;=COUNTA(半紙!$B$11:$B$310)+COUNTA(条幅!$B$11:$B$310)+COUNTA(条幅4分の1!$B$11:$B$310),INDEX(条幅4分の1!$J$11:$J$310,144-COUNTA(半紙!$B$11:$B$310)-COUNTA(条幅!$B$11:$B$310)),"")))=0,"",IF(144&lt;=COUNTA(半紙!$B$11:$B$310),INDEX(半紙!$J$11:$J$310,144),IF(144&lt;=COUNTA(半紙!$B$11:$B$310)+COUNTA(条幅!$B$11:$B$310),INDEX(条幅!$J$11:$J$310,144-COUNTA(半紙!$B$11:$B$310)),IF(144&lt;=COUNTA(半紙!$B$11:$B$310)+COUNTA(条幅!$B$11:$B$310)+COUNTA(条幅4分の1!$B$11:$B$310),INDEX(条幅4分の1!$J$11:$J$310,144-COUNTA(半紙!$B$11:$B$310)-COUNTA(条幅!$B$11:$B$310)),""))))</f>
        <v/>
      </c>
      <c r="K149" s="38" t="str">
        <f>IF(IF(144&lt;=COUNTA(半紙!$B$11:$B$310),INDEX(半紙!$K$11:$K$310,144),IF(144&lt;=COUNTA(半紙!$B$11:$B$310)+COUNTA(条幅!$B$11:$B$310),INDEX(条幅!$K$11:$K$310,144-COUNTA(半紙!$B$11:$B$310)),IF(144&lt;=COUNTA(半紙!$B$11:$B$310)+COUNTA(条幅!$B$11:$B$310)+COUNTA(条幅4分の1!$B$11:$B$310),INDEX(条幅4分の1!$K$11:$K$310,144-COUNTA(半紙!$B$11:$B$310)-COUNTA(条幅!$B$11:$B$310)),"")))=0,"",IF(144&lt;=COUNTA(半紙!$B$11:$B$310),INDEX(半紙!$K$11:$K$310,144),IF(144&lt;=COUNTA(半紙!$B$11:$B$310)+COUNTA(条幅!$B$11:$B$310),INDEX(条幅!$K$11:$K$310,144-COUNTA(半紙!$B$11:$B$310)),IF(144&lt;=COUNTA(半紙!$B$11:$B$310)+COUNTA(条幅!$B$11:$B$310)+COUNTA(条幅4分の1!$B$11:$B$310),INDEX(条幅4分の1!$K$11:$K$310,144-COUNTA(半紙!$B$11:$B$310)-COUNTA(条幅!$B$11:$B$310)),""))))</f>
        <v/>
      </c>
      <c r="L149" s="48" t="str">
        <f>IF($B149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144))</f>
        <v/>
      </c>
    </row>
    <row r="150" spans="1:12" ht="15" customHeight="1">
      <c r="A150" s="37" t="str">
        <f>IF(145&lt;=COUNTA(半紙!$B$11:$B$310),"半紙",IF(145&lt;=COUNTA(半紙!$B$11:$B$310)+COUNTA(条幅!$B$11:$B$310),"条幅(半切)",IF(145&lt;=COUNTA(半紙!$B$11:$B$310)+COUNTA(条幅!$B$11:$B$310)+COUNTA(条幅4分の1!$B$11:$B$310),"条幅(1/4)","")))</f>
        <v/>
      </c>
      <c r="B150" s="38" t="str">
        <f>IF(IF(145&lt;=COUNTA(半紙!$B$11:$B$310),INDEX(半紙!$B$11:$B$310,145),IF(145&lt;=COUNTA(半紙!$B$11:$B$310)+COUNTA(条幅!$B$11:$B$310),INDEX(条幅!$B$11:$B$310,145-COUNTA(半紙!$B$11:$B$310)),IF(145&lt;=COUNTA(半紙!$B$11:$B$310)+COUNTA(条幅!$B$11:$B$310)+COUNTA(条幅4分の1!$B$11:$B$310),INDEX(条幅4分の1!$B$11:$B$310,145-COUNTA(半紙!$B$11:$B$310)-COUNTA(条幅!$B$11:$B$310)),"")))=0,"",IF(145&lt;=COUNTA(半紙!$B$11:$B$310),INDEX(半紙!$B$11:$B$310,145),IF(145&lt;=COUNTA(半紙!$B$11:$B$310)+COUNTA(条幅!$B$11:$B$310),INDEX(条幅!$B$11:$B$310,145-COUNTA(半紙!$B$11:$B$310)),IF(145&lt;=COUNTA(半紙!$B$11:$B$310)+COUNTA(条幅!$B$11:$B$310)+COUNTA(条幅4分の1!$B$11:$B$310),INDEX(条幅4分の1!$B$11:$B$310,145-COUNTA(半紙!$B$11:$B$310)-COUNTA(条幅!$B$11:$B$310)),""))))</f>
        <v/>
      </c>
      <c r="C150" s="38" t="str">
        <f>IF(IF(145&lt;=COUNTA(半紙!$B$11:$B$310),INDEX(半紙!$C$11:$C$310,145),IF(145&lt;=COUNTA(半紙!$B$11:$B$310)+COUNTA(条幅!$B$11:$B$310),INDEX(条幅!$C$11:$C$310,145-COUNTA(半紙!$B$11:$B$310)),IF(145&lt;=COUNTA(半紙!$B$11:$B$310)+COUNTA(条幅!$B$11:$B$310)+COUNTA(条幅4分の1!$B$11:$B$310),INDEX(条幅4分の1!$C$11:$C$310,145-COUNTA(半紙!$B$11:$B$310)-COUNTA(条幅!$B$11:$B$310)),"")))=0,"",IF(145&lt;=COUNTA(半紙!$B$11:$B$310),INDEX(半紙!$C$11:$C$310,145),IF(145&lt;=COUNTA(半紙!$B$11:$B$310)+COUNTA(条幅!$B$11:$B$310),INDEX(条幅!$C$11:$C$310,145-COUNTA(半紙!$B$11:$B$310)),IF(145&lt;=COUNTA(半紙!$B$11:$B$310)+COUNTA(条幅!$B$11:$B$310)+COUNTA(条幅4分の1!$B$11:$B$310),INDEX(条幅4分の1!$C$11:$C$310,145-COUNTA(半紙!$B$11:$B$310)-COUNTA(条幅!$B$11:$B$310)),""))))</f>
        <v/>
      </c>
      <c r="D150" s="38" t="str">
        <f>IF(IF(145&lt;=COUNTA(半紙!$B$11:$B$310),INDEX(半紙!$D$11:$D$310,145),IF(145&lt;=COUNTA(半紙!$B$11:$B$310)+COUNTA(条幅!$B$11:$B$310),INDEX(条幅!$D$11:$D$310,145-COUNTA(半紙!$B$11:$B$310)),IF(145&lt;=COUNTA(半紙!$B$11:$B$310)+COUNTA(条幅!$B$11:$B$310)+COUNTA(条幅4分の1!$B$11:$B$310),INDEX(条幅4分の1!$D$11:$D$310,145-COUNTA(半紙!$B$11:$B$310)-COUNTA(条幅!$B$11:$B$310)),"")))=0,"",IF(145&lt;=COUNTA(半紙!$B$11:$B$310),INDEX(半紙!$D$11:$D$310,145),IF(145&lt;=COUNTA(半紙!$B$11:$B$310)+COUNTA(条幅!$B$11:$B$310),INDEX(条幅!$D$11:$D$310,145-COUNTA(半紙!$B$11:$B$310)),IF(145&lt;=COUNTA(半紙!$B$11:$B$310)+COUNTA(条幅!$B$11:$B$310)+COUNTA(条幅4分の1!$B$11:$B$310),INDEX(条幅4分の1!$D$11:$D$310,145-COUNTA(半紙!$B$11:$B$310)-COUNTA(条幅!$B$11:$B$310)),""))))</f>
        <v/>
      </c>
      <c r="E150" s="38" t="str">
        <f>IF(IF(145&lt;=COUNTA(半紙!$B$11:$B$310),INDEX(半紙!$E$11:$E$310,145),IF(145&lt;=COUNTA(半紙!$B$11:$B$310)+COUNTA(条幅!$B$11:$B$310),INDEX(条幅!$E$11:$E$310,145-COUNTA(半紙!$B$11:$B$310)),IF(145&lt;=COUNTA(半紙!$B$11:$B$310)+COUNTA(条幅!$B$11:$B$310)+COUNTA(条幅4分の1!$B$11:$B$310),INDEX(条幅4分の1!$E$11:$E$310,145-COUNTA(半紙!$B$11:$B$310)-COUNTA(条幅!$B$11:$B$310)),"")))=0,"",IF(145&lt;=COUNTA(半紙!$B$11:$B$310),INDEX(半紙!$E$11:$E$310,145),IF(145&lt;=COUNTA(半紙!$B$11:$B$310)+COUNTA(条幅!$B$11:$B$310),INDEX(条幅!$E$11:$E$310,145-COUNTA(半紙!$B$11:$B$310)),IF(145&lt;=COUNTA(半紙!$B$11:$B$310)+COUNTA(条幅!$B$11:$B$310)+COUNTA(条幅4分の1!$B$11:$B$310),INDEX(条幅4分の1!$E$11:$E$310,145-COUNTA(半紙!$B$11:$B$310)-COUNTA(条幅!$B$11:$B$310)),""))))</f>
        <v/>
      </c>
      <c r="F150" s="38" t="str">
        <f>IF(IF(145&lt;=COUNTA(半紙!$B$11:$B$310),INDEX(半紙!$F$11:$F$310,145),IF(145&lt;=COUNTA(半紙!$B$11:$B$310)+COUNTA(条幅!$B$11:$B$310),INDEX(条幅!$F$11:$F$310,145-COUNTA(半紙!$B$11:$B$310)),IF(145&lt;=COUNTA(半紙!$B$11:$B$310)+COUNTA(条幅!$B$11:$B$310)+COUNTA(条幅4分の1!$B$11:$B$310),INDEX(条幅4分の1!$F$11:$F$310,145-COUNTA(半紙!$B$11:$B$310)-COUNTA(条幅!$B$11:$B$310)),"")))=0,"",IF(145&lt;=COUNTA(半紙!$B$11:$B$310),INDEX(半紙!$F$11:$F$310,145),IF(145&lt;=COUNTA(半紙!$B$11:$B$310)+COUNTA(条幅!$B$11:$B$310),INDEX(条幅!$F$11:$F$310,145-COUNTA(半紙!$B$11:$B$310)),IF(145&lt;=COUNTA(半紙!$B$11:$B$310)+COUNTA(条幅!$B$11:$B$310)+COUNTA(条幅4分の1!$B$11:$B$310),INDEX(条幅4分の1!$F$11:$F$310,145-COUNTA(半紙!$B$11:$B$310)-COUNTA(条幅!$B$11:$B$310)),""))))</f>
        <v/>
      </c>
      <c r="G150" s="38" t="str">
        <f>IF(IF(145&lt;=COUNTA(半紙!$B$11:$B$310),INDEX(半紙!$G$11:$G$310,145),IF(145&lt;=COUNTA(半紙!$B$11:$B$310)+COUNTA(条幅!$B$11:$B$310),INDEX(条幅!$G$11:$G$310,145-COUNTA(半紙!$B$11:$B$310)),IF(145&lt;=COUNTA(半紙!$B$11:$B$310)+COUNTA(条幅!$B$11:$B$310)+COUNTA(条幅4分の1!$B$11:$B$310),INDEX(条幅4分の1!$G$11:$G$310,145-COUNTA(半紙!$B$11:$B$310)-COUNTA(条幅!$B$11:$B$310)),"")))=0,"",IF(145&lt;=COUNTA(半紙!$B$11:$B$310),INDEX(半紙!$G$11:$G$310,145),IF(145&lt;=COUNTA(半紙!$B$11:$B$310)+COUNTA(条幅!$B$11:$B$310),INDEX(条幅!$G$11:$G$310,145-COUNTA(半紙!$B$11:$B$310)),IF(145&lt;=COUNTA(半紙!$B$11:$B$310)+COUNTA(条幅!$B$11:$B$310)+COUNTA(条幅4分の1!$B$11:$B$310),INDEX(条幅4分の1!$G$11:$G$310,145-COUNTA(半紙!$B$11:$B$310)-COUNTA(条幅!$B$11:$B$310)),""))))</f>
        <v/>
      </c>
      <c r="H150" s="38" t="str">
        <f>IF(IF(145&lt;=COUNTA(半紙!$B$11:$B$310),INDEX(半紙!$H$11:$H$310,145),IF(145&lt;=COUNTA(半紙!$B$11:$B$310)+COUNTA(条幅!$B$11:$B$310),INDEX(条幅!$H$11:$H$310,145-COUNTA(半紙!$B$11:$B$310)),IF(145&lt;=COUNTA(半紙!$B$11:$B$310)+COUNTA(条幅!$B$11:$B$310)+COUNTA(条幅4分の1!$B$11:$B$310),INDEX(条幅4分の1!$H$11:$H$310,145-COUNTA(半紙!$B$11:$B$310)-COUNTA(条幅!$B$11:$B$310)),"")))=0,"",IF(145&lt;=COUNTA(半紙!$B$11:$B$310),INDEX(半紙!$H$11:$H$310,145),IF(145&lt;=COUNTA(半紙!$B$11:$B$310)+COUNTA(条幅!$B$11:$B$310),INDEX(条幅!$H$11:$H$310,145-COUNTA(半紙!$B$11:$B$310)),IF(145&lt;=COUNTA(半紙!$B$11:$B$310)+COUNTA(条幅!$B$11:$B$310)+COUNTA(条幅4分の1!$B$11:$B$310),INDEX(条幅4分の1!$H$11:$H$310,145-COUNTA(半紙!$B$11:$B$310)-COUNTA(条幅!$B$11:$B$310)),""))))</f>
        <v/>
      </c>
      <c r="I150" s="38" t="str">
        <f>IF(IF(145&lt;=COUNTA(半紙!$B$11:$B$310),INDEX(半紙!$I$11:$I$310,145),IF(145&lt;=COUNTA(半紙!$B$11:$B$310)+COUNTA(条幅!$B$11:$B$310),INDEX(条幅!$I$11:$I$310,145-COUNTA(半紙!$B$11:$B$310)),IF(145&lt;=COUNTA(半紙!$B$11:$B$310)+COUNTA(条幅!$B$11:$B$310)+COUNTA(条幅4分の1!$B$11:$B$310),INDEX(条幅4分の1!$I$11:$I$310,145-COUNTA(半紙!$B$11:$B$310)-COUNTA(条幅!$B$11:$B$310)),"")))=0,"",IF(145&lt;=COUNTA(半紙!$B$11:$B$310),INDEX(半紙!$I$11:$I$310,145),IF(145&lt;=COUNTA(半紙!$B$11:$B$310)+COUNTA(条幅!$B$11:$B$310),INDEX(条幅!$I$11:$I$310,145-COUNTA(半紙!$B$11:$B$310)),IF(145&lt;=COUNTA(半紙!$B$11:$B$310)+COUNTA(条幅!$B$11:$B$310)+COUNTA(条幅4分の1!$B$11:$B$310),INDEX(条幅4分の1!$I$11:$I$310,145-COUNTA(半紙!$B$11:$B$310)-COUNTA(条幅!$B$11:$B$310)),""))))</f>
        <v/>
      </c>
      <c r="J150" s="38" t="str">
        <f>IF(IF(145&lt;=COUNTA(半紙!$B$11:$B$310),INDEX(半紙!$J$11:$J$310,145),IF(145&lt;=COUNTA(半紙!$B$11:$B$310)+COUNTA(条幅!$B$11:$B$310),INDEX(条幅!$J$11:$J$310,145-COUNTA(半紙!$B$11:$B$310)),IF(145&lt;=COUNTA(半紙!$B$11:$B$310)+COUNTA(条幅!$B$11:$B$310)+COUNTA(条幅4分の1!$B$11:$B$310),INDEX(条幅4分の1!$J$11:$J$310,145-COUNTA(半紙!$B$11:$B$310)-COUNTA(条幅!$B$11:$B$310)),"")))=0,"",IF(145&lt;=COUNTA(半紙!$B$11:$B$310),INDEX(半紙!$J$11:$J$310,145),IF(145&lt;=COUNTA(半紙!$B$11:$B$310)+COUNTA(条幅!$B$11:$B$310),INDEX(条幅!$J$11:$J$310,145-COUNTA(半紙!$B$11:$B$310)),IF(145&lt;=COUNTA(半紙!$B$11:$B$310)+COUNTA(条幅!$B$11:$B$310)+COUNTA(条幅4分の1!$B$11:$B$310),INDEX(条幅4分の1!$J$11:$J$310,145-COUNTA(半紙!$B$11:$B$310)-COUNTA(条幅!$B$11:$B$310)),""))))</f>
        <v/>
      </c>
      <c r="K150" s="38" t="str">
        <f>IF(IF(145&lt;=COUNTA(半紙!$B$11:$B$310),INDEX(半紙!$K$11:$K$310,145),IF(145&lt;=COUNTA(半紙!$B$11:$B$310)+COUNTA(条幅!$B$11:$B$310),INDEX(条幅!$K$11:$K$310,145-COUNTA(半紙!$B$11:$B$310)),IF(145&lt;=COUNTA(半紙!$B$11:$B$310)+COUNTA(条幅!$B$11:$B$310)+COUNTA(条幅4分の1!$B$11:$B$310),INDEX(条幅4分の1!$K$11:$K$310,145-COUNTA(半紙!$B$11:$B$310)-COUNTA(条幅!$B$11:$B$310)),"")))=0,"",IF(145&lt;=COUNTA(半紙!$B$11:$B$310),INDEX(半紙!$K$11:$K$310,145),IF(145&lt;=COUNTA(半紙!$B$11:$B$310)+COUNTA(条幅!$B$11:$B$310),INDEX(条幅!$K$11:$K$310,145-COUNTA(半紙!$B$11:$B$310)),IF(145&lt;=COUNTA(半紙!$B$11:$B$310)+COUNTA(条幅!$B$11:$B$310)+COUNTA(条幅4分の1!$B$11:$B$310),INDEX(条幅4分の1!$K$11:$K$310,145-COUNTA(半紙!$B$11:$B$310)-COUNTA(条幅!$B$11:$B$310)),""))))</f>
        <v/>
      </c>
      <c r="L150" s="48" t="str">
        <f>IF($B150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145))</f>
        <v/>
      </c>
    </row>
    <row r="151" spans="1:12" ht="15" customHeight="1">
      <c r="A151" s="37" t="str">
        <f>IF(146&lt;=COUNTA(半紙!$B$11:$B$310),"半紙",IF(146&lt;=COUNTA(半紙!$B$11:$B$310)+COUNTA(条幅!$B$11:$B$310),"条幅(半切)",IF(146&lt;=COUNTA(半紙!$B$11:$B$310)+COUNTA(条幅!$B$11:$B$310)+COUNTA(条幅4分の1!$B$11:$B$310),"条幅(1/4)","")))</f>
        <v/>
      </c>
      <c r="B151" s="38" t="str">
        <f>IF(IF(146&lt;=COUNTA(半紙!$B$11:$B$310),INDEX(半紙!$B$11:$B$310,146),IF(146&lt;=COUNTA(半紙!$B$11:$B$310)+COUNTA(条幅!$B$11:$B$310),INDEX(条幅!$B$11:$B$310,146-COUNTA(半紙!$B$11:$B$310)),IF(146&lt;=COUNTA(半紙!$B$11:$B$310)+COUNTA(条幅!$B$11:$B$310)+COUNTA(条幅4分の1!$B$11:$B$310),INDEX(条幅4分の1!$B$11:$B$310,146-COUNTA(半紙!$B$11:$B$310)-COUNTA(条幅!$B$11:$B$310)),"")))=0,"",IF(146&lt;=COUNTA(半紙!$B$11:$B$310),INDEX(半紙!$B$11:$B$310,146),IF(146&lt;=COUNTA(半紙!$B$11:$B$310)+COUNTA(条幅!$B$11:$B$310),INDEX(条幅!$B$11:$B$310,146-COUNTA(半紙!$B$11:$B$310)),IF(146&lt;=COUNTA(半紙!$B$11:$B$310)+COUNTA(条幅!$B$11:$B$310)+COUNTA(条幅4分の1!$B$11:$B$310),INDEX(条幅4分の1!$B$11:$B$310,146-COUNTA(半紙!$B$11:$B$310)-COUNTA(条幅!$B$11:$B$310)),""))))</f>
        <v/>
      </c>
      <c r="C151" s="38" t="str">
        <f>IF(IF(146&lt;=COUNTA(半紙!$B$11:$B$310),INDEX(半紙!$C$11:$C$310,146),IF(146&lt;=COUNTA(半紙!$B$11:$B$310)+COUNTA(条幅!$B$11:$B$310),INDEX(条幅!$C$11:$C$310,146-COUNTA(半紙!$B$11:$B$310)),IF(146&lt;=COUNTA(半紙!$B$11:$B$310)+COUNTA(条幅!$B$11:$B$310)+COUNTA(条幅4分の1!$B$11:$B$310),INDEX(条幅4分の1!$C$11:$C$310,146-COUNTA(半紙!$B$11:$B$310)-COUNTA(条幅!$B$11:$B$310)),"")))=0,"",IF(146&lt;=COUNTA(半紙!$B$11:$B$310),INDEX(半紙!$C$11:$C$310,146),IF(146&lt;=COUNTA(半紙!$B$11:$B$310)+COUNTA(条幅!$B$11:$B$310),INDEX(条幅!$C$11:$C$310,146-COUNTA(半紙!$B$11:$B$310)),IF(146&lt;=COUNTA(半紙!$B$11:$B$310)+COUNTA(条幅!$B$11:$B$310)+COUNTA(条幅4分の1!$B$11:$B$310),INDEX(条幅4分の1!$C$11:$C$310,146-COUNTA(半紙!$B$11:$B$310)-COUNTA(条幅!$B$11:$B$310)),""))))</f>
        <v/>
      </c>
      <c r="D151" s="38" t="str">
        <f>IF(IF(146&lt;=COUNTA(半紙!$B$11:$B$310),INDEX(半紙!$D$11:$D$310,146),IF(146&lt;=COUNTA(半紙!$B$11:$B$310)+COUNTA(条幅!$B$11:$B$310),INDEX(条幅!$D$11:$D$310,146-COUNTA(半紙!$B$11:$B$310)),IF(146&lt;=COUNTA(半紙!$B$11:$B$310)+COUNTA(条幅!$B$11:$B$310)+COUNTA(条幅4分の1!$B$11:$B$310),INDEX(条幅4分の1!$D$11:$D$310,146-COUNTA(半紙!$B$11:$B$310)-COUNTA(条幅!$B$11:$B$310)),"")))=0,"",IF(146&lt;=COUNTA(半紙!$B$11:$B$310),INDEX(半紙!$D$11:$D$310,146),IF(146&lt;=COUNTA(半紙!$B$11:$B$310)+COUNTA(条幅!$B$11:$B$310),INDEX(条幅!$D$11:$D$310,146-COUNTA(半紙!$B$11:$B$310)),IF(146&lt;=COUNTA(半紙!$B$11:$B$310)+COUNTA(条幅!$B$11:$B$310)+COUNTA(条幅4分の1!$B$11:$B$310),INDEX(条幅4分の1!$D$11:$D$310,146-COUNTA(半紙!$B$11:$B$310)-COUNTA(条幅!$B$11:$B$310)),""))))</f>
        <v/>
      </c>
      <c r="E151" s="38" t="str">
        <f>IF(IF(146&lt;=COUNTA(半紙!$B$11:$B$310),INDEX(半紙!$E$11:$E$310,146),IF(146&lt;=COUNTA(半紙!$B$11:$B$310)+COUNTA(条幅!$B$11:$B$310),INDEX(条幅!$E$11:$E$310,146-COUNTA(半紙!$B$11:$B$310)),IF(146&lt;=COUNTA(半紙!$B$11:$B$310)+COUNTA(条幅!$B$11:$B$310)+COUNTA(条幅4分の1!$B$11:$B$310),INDEX(条幅4分の1!$E$11:$E$310,146-COUNTA(半紙!$B$11:$B$310)-COUNTA(条幅!$B$11:$B$310)),"")))=0,"",IF(146&lt;=COUNTA(半紙!$B$11:$B$310),INDEX(半紙!$E$11:$E$310,146),IF(146&lt;=COUNTA(半紙!$B$11:$B$310)+COUNTA(条幅!$B$11:$B$310),INDEX(条幅!$E$11:$E$310,146-COUNTA(半紙!$B$11:$B$310)),IF(146&lt;=COUNTA(半紙!$B$11:$B$310)+COUNTA(条幅!$B$11:$B$310)+COUNTA(条幅4分の1!$B$11:$B$310),INDEX(条幅4分の1!$E$11:$E$310,146-COUNTA(半紙!$B$11:$B$310)-COUNTA(条幅!$B$11:$B$310)),""))))</f>
        <v/>
      </c>
      <c r="F151" s="38" t="str">
        <f>IF(IF(146&lt;=COUNTA(半紙!$B$11:$B$310),INDEX(半紙!$F$11:$F$310,146),IF(146&lt;=COUNTA(半紙!$B$11:$B$310)+COUNTA(条幅!$B$11:$B$310),INDEX(条幅!$F$11:$F$310,146-COUNTA(半紙!$B$11:$B$310)),IF(146&lt;=COUNTA(半紙!$B$11:$B$310)+COUNTA(条幅!$B$11:$B$310)+COUNTA(条幅4分の1!$B$11:$B$310),INDEX(条幅4分の1!$F$11:$F$310,146-COUNTA(半紙!$B$11:$B$310)-COUNTA(条幅!$B$11:$B$310)),"")))=0,"",IF(146&lt;=COUNTA(半紙!$B$11:$B$310),INDEX(半紙!$F$11:$F$310,146),IF(146&lt;=COUNTA(半紙!$B$11:$B$310)+COUNTA(条幅!$B$11:$B$310),INDEX(条幅!$F$11:$F$310,146-COUNTA(半紙!$B$11:$B$310)),IF(146&lt;=COUNTA(半紙!$B$11:$B$310)+COUNTA(条幅!$B$11:$B$310)+COUNTA(条幅4分の1!$B$11:$B$310),INDEX(条幅4分の1!$F$11:$F$310,146-COUNTA(半紙!$B$11:$B$310)-COUNTA(条幅!$B$11:$B$310)),""))))</f>
        <v/>
      </c>
      <c r="G151" s="38" t="str">
        <f>IF(IF(146&lt;=COUNTA(半紙!$B$11:$B$310),INDEX(半紙!$G$11:$G$310,146),IF(146&lt;=COUNTA(半紙!$B$11:$B$310)+COUNTA(条幅!$B$11:$B$310),INDEX(条幅!$G$11:$G$310,146-COUNTA(半紙!$B$11:$B$310)),IF(146&lt;=COUNTA(半紙!$B$11:$B$310)+COUNTA(条幅!$B$11:$B$310)+COUNTA(条幅4分の1!$B$11:$B$310),INDEX(条幅4分の1!$G$11:$G$310,146-COUNTA(半紙!$B$11:$B$310)-COUNTA(条幅!$B$11:$B$310)),"")))=0,"",IF(146&lt;=COUNTA(半紙!$B$11:$B$310),INDEX(半紙!$G$11:$G$310,146),IF(146&lt;=COUNTA(半紙!$B$11:$B$310)+COUNTA(条幅!$B$11:$B$310),INDEX(条幅!$G$11:$G$310,146-COUNTA(半紙!$B$11:$B$310)),IF(146&lt;=COUNTA(半紙!$B$11:$B$310)+COUNTA(条幅!$B$11:$B$310)+COUNTA(条幅4分の1!$B$11:$B$310),INDEX(条幅4分の1!$G$11:$G$310,146-COUNTA(半紙!$B$11:$B$310)-COUNTA(条幅!$B$11:$B$310)),""))))</f>
        <v/>
      </c>
      <c r="H151" s="38" t="str">
        <f>IF(IF(146&lt;=COUNTA(半紙!$B$11:$B$310),INDEX(半紙!$H$11:$H$310,146),IF(146&lt;=COUNTA(半紙!$B$11:$B$310)+COUNTA(条幅!$B$11:$B$310),INDEX(条幅!$H$11:$H$310,146-COUNTA(半紙!$B$11:$B$310)),IF(146&lt;=COUNTA(半紙!$B$11:$B$310)+COUNTA(条幅!$B$11:$B$310)+COUNTA(条幅4分の1!$B$11:$B$310),INDEX(条幅4分の1!$H$11:$H$310,146-COUNTA(半紙!$B$11:$B$310)-COUNTA(条幅!$B$11:$B$310)),"")))=0,"",IF(146&lt;=COUNTA(半紙!$B$11:$B$310),INDEX(半紙!$H$11:$H$310,146),IF(146&lt;=COUNTA(半紙!$B$11:$B$310)+COUNTA(条幅!$B$11:$B$310),INDEX(条幅!$H$11:$H$310,146-COUNTA(半紙!$B$11:$B$310)),IF(146&lt;=COUNTA(半紙!$B$11:$B$310)+COUNTA(条幅!$B$11:$B$310)+COUNTA(条幅4分の1!$B$11:$B$310),INDEX(条幅4分の1!$H$11:$H$310,146-COUNTA(半紙!$B$11:$B$310)-COUNTA(条幅!$B$11:$B$310)),""))))</f>
        <v/>
      </c>
      <c r="I151" s="38" t="str">
        <f>IF(IF(146&lt;=COUNTA(半紙!$B$11:$B$310),INDEX(半紙!$I$11:$I$310,146),IF(146&lt;=COUNTA(半紙!$B$11:$B$310)+COUNTA(条幅!$B$11:$B$310),INDEX(条幅!$I$11:$I$310,146-COUNTA(半紙!$B$11:$B$310)),IF(146&lt;=COUNTA(半紙!$B$11:$B$310)+COUNTA(条幅!$B$11:$B$310)+COUNTA(条幅4分の1!$B$11:$B$310),INDEX(条幅4分の1!$I$11:$I$310,146-COUNTA(半紙!$B$11:$B$310)-COUNTA(条幅!$B$11:$B$310)),"")))=0,"",IF(146&lt;=COUNTA(半紙!$B$11:$B$310),INDEX(半紙!$I$11:$I$310,146),IF(146&lt;=COUNTA(半紙!$B$11:$B$310)+COUNTA(条幅!$B$11:$B$310),INDEX(条幅!$I$11:$I$310,146-COUNTA(半紙!$B$11:$B$310)),IF(146&lt;=COUNTA(半紙!$B$11:$B$310)+COUNTA(条幅!$B$11:$B$310)+COUNTA(条幅4分の1!$B$11:$B$310),INDEX(条幅4分の1!$I$11:$I$310,146-COUNTA(半紙!$B$11:$B$310)-COUNTA(条幅!$B$11:$B$310)),""))))</f>
        <v/>
      </c>
      <c r="J151" s="38" t="str">
        <f>IF(IF(146&lt;=COUNTA(半紙!$B$11:$B$310),INDEX(半紙!$J$11:$J$310,146),IF(146&lt;=COUNTA(半紙!$B$11:$B$310)+COUNTA(条幅!$B$11:$B$310),INDEX(条幅!$J$11:$J$310,146-COUNTA(半紙!$B$11:$B$310)),IF(146&lt;=COUNTA(半紙!$B$11:$B$310)+COUNTA(条幅!$B$11:$B$310)+COUNTA(条幅4分の1!$B$11:$B$310),INDEX(条幅4分の1!$J$11:$J$310,146-COUNTA(半紙!$B$11:$B$310)-COUNTA(条幅!$B$11:$B$310)),"")))=0,"",IF(146&lt;=COUNTA(半紙!$B$11:$B$310),INDEX(半紙!$J$11:$J$310,146),IF(146&lt;=COUNTA(半紙!$B$11:$B$310)+COUNTA(条幅!$B$11:$B$310),INDEX(条幅!$J$11:$J$310,146-COUNTA(半紙!$B$11:$B$310)),IF(146&lt;=COUNTA(半紙!$B$11:$B$310)+COUNTA(条幅!$B$11:$B$310)+COUNTA(条幅4分の1!$B$11:$B$310),INDEX(条幅4分の1!$J$11:$J$310,146-COUNTA(半紙!$B$11:$B$310)-COUNTA(条幅!$B$11:$B$310)),""))))</f>
        <v/>
      </c>
      <c r="K151" s="38" t="str">
        <f>IF(IF(146&lt;=COUNTA(半紙!$B$11:$B$310),INDEX(半紙!$K$11:$K$310,146),IF(146&lt;=COUNTA(半紙!$B$11:$B$310)+COUNTA(条幅!$B$11:$B$310),INDEX(条幅!$K$11:$K$310,146-COUNTA(半紙!$B$11:$B$310)),IF(146&lt;=COUNTA(半紙!$B$11:$B$310)+COUNTA(条幅!$B$11:$B$310)+COUNTA(条幅4分の1!$B$11:$B$310),INDEX(条幅4分の1!$K$11:$K$310,146-COUNTA(半紙!$B$11:$B$310)-COUNTA(条幅!$B$11:$B$310)),"")))=0,"",IF(146&lt;=COUNTA(半紙!$B$11:$B$310),INDEX(半紙!$K$11:$K$310,146),IF(146&lt;=COUNTA(半紙!$B$11:$B$310)+COUNTA(条幅!$B$11:$B$310),INDEX(条幅!$K$11:$K$310,146-COUNTA(半紙!$B$11:$B$310)),IF(146&lt;=COUNTA(半紙!$B$11:$B$310)+COUNTA(条幅!$B$11:$B$310)+COUNTA(条幅4分の1!$B$11:$B$310),INDEX(条幅4分の1!$K$11:$K$310,146-COUNTA(半紙!$B$11:$B$310)-COUNTA(条幅!$B$11:$B$310)),""))))</f>
        <v/>
      </c>
      <c r="L151" s="48" t="str">
        <f>IF($B151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146))</f>
        <v/>
      </c>
    </row>
    <row r="152" spans="1:12" ht="15" customHeight="1">
      <c r="A152" s="37" t="str">
        <f>IF(147&lt;=COUNTA(半紙!$B$11:$B$310),"半紙",IF(147&lt;=COUNTA(半紙!$B$11:$B$310)+COUNTA(条幅!$B$11:$B$310),"条幅(半切)",IF(147&lt;=COUNTA(半紙!$B$11:$B$310)+COUNTA(条幅!$B$11:$B$310)+COUNTA(条幅4分の1!$B$11:$B$310),"条幅(1/4)","")))</f>
        <v/>
      </c>
      <c r="B152" s="38" t="str">
        <f>IF(IF(147&lt;=COUNTA(半紙!$B$11:$B$310),INDEX(半紙!$B$11:$B$310,147),IF(147&lt;=COUNTA(半紙!$B$11:$B$310)+COUNTA(条幅!$B$11:$B$310),INDEX(条幅!$B$11:$B$310,147-COUNTA(半紙!$B$11:$B$310)),IF(147&lt;=COUNTA(半紙!$B$11:$B$310)+COUNTA(条幅!$B$11:$B$310)+COUNTA(条幅4分の1!$B$11:$B$310),INDEX(条幅4分の1!$B$11:$B$310,147-COUNTA(半紙!$B$11:$B$310)-COUNTA(条幅!$B$11:$B$310)),"")))=0,"",IF(147&lt;=COUNTA(半紙!$B$11:$B$310),INDEX(半紙!$B$11:$B$310,147),IF(147&lt;=COUNTA(半紙!$B$11:$B$310)+COUNTA(条幅!$B$11:$B$310),INDEX(条幅!$B$11:$B$310,147-COUNTA(半紙!$B$11:$B$310)),IF(147&lt;=COUNTA(半紙!$B$11:$B$310)+COUNTA(条幅!$B$11:$B$310)+COUNTA(条幅4分の1!$B$11:$B$310),INDEX(条幅4分の1!$B$11:$B$310,147-COUNTA(半紙!$B$11:$B$310)-COUNTA(条幅!$B$11:$B$310)),""))))</f>
        <v/>
      </c>
      <c r="C152" s="38" t="str">
        <f>IF(IF(147&lt;=COUNTA(半紙!$B$11:$B$310),INDEX(半紙!$C$11:$C$310,147),IF(147&lt;=COUNTA(半紙!$B$11:$B$310)+COUNTA(条幅!$B$11:$B$310),INDEX(条幅!$C$11:$C$310,147-COUNTA(半紙!$B$11:$B$310)),IF(147&lt;=COUNTA(半紙!$B$11:$B$310)+COUNTA(条幅!$B$11:$B$310)+COUNTA(条幅4分の1!$B$11:$B$310),INDEX(条幅4分の1!$C$11:$C$310,147-COUNTA(半紙!$B$11:$B$310)-COUNTA(条幅!$B$11:$B$310)),"")))=0,"",IF(147&lt;=COUNTA(半紙!$B$11:$B$310),INDEX(半紙!$C$11:$C$310,147),IF(147&lt;=COUNTA(半紙!$B$11:$B$310)+COUNTA(条幅!$B$11:$B$310),INDEX(条幅!$C$11:$C$310,147-COUNTA(半紙!$B$11:$B$310)),IF(147&lt;=COUNTA(半紙!$B$11:$B$310)+COUNTA(条幅!$B$11:$B$310)+COUNTA(条幅4分の1!$B$11:$B$310),INDEX(条幅4分の1!$C$11:$C$310,147-COUNTA(半紙!$B$11:$B$310)-COUNTA(条幅!$B$11:$B$310)),""))))</f>
        <v/>
      </c>
      <c r="D152" s="38" t="str">
        <f>IF(IF(147&lt;=COUNTA(半紙!$B$11:$B$310),INDEX(半紙!$D$11:$D$310,147),IF(147&lt;=COUNTA(半紙!$B$11:$B$310)+COUNTA(条幅!$B$11:$B$310),INDEX(条幅!$D$11:$D$310,147-COUNTA(半紙!$B$11:$B$310)),IF(147&lt;=COUNTA(半紙!$B$11:$B$310)+COUNTA(条幅!$B$11:$B$310)+COUNTA(条幅4分の1!$B$11:$B$310),INDEX(条幅4分の1!$D$11:$D$310,147-COUNTA(半紙!$B$11:$B$310)-COUNTA(条幅!$B$11:$B$310)),"")))=0,"",IF(147&lt;=COUNTA(半紙!$B$11:$B$310),INDEX(半紙!$D$11:$D$310,147),IF(147&lt;=COUNTA(半紙!$B$11:$B$310)+COUNTA(条幅!$B$11:$B$310),INDEX(条幅!$D$11:$D$310,147-COUNTA(半紙!$B$11:$B$310)),IF(147&lt;=COUNTA(半紙!$B$11:$B$310)+COUNTA(条幅!$B$11:$B$310)+COUNTA(条幅4分の1!$B$11:$B$310),INDEX(条幅4分の1!$D$11:$D$310,147-COUNTA(半紙!$B$11:$B$310)-COUNTA(条幅!$B$11:$B$310)),""))))</f>
        <v/>
      </c>
      <c r="E152" s="38" t="str">
        <f>IF(IF(147&lt;=COUNTA(半紙!$B$11:$B$310),INDEX(半紙!$E$11:$E$310,147),IF(147&lt;=COUNTA(半紙!$B$11:$B$310)+COUNTA(条幅!$B$11:$B$310),INDEX(条幅!$E$11:$E$310,147-COUNTA(半紙!$B$11:$B$310)),IF(147&lt;=COUNTA(半紙!$B$11:$B$310)+COUNTA(条幅!$B$11:$B$310)+COUNTA(条幅4分の1!$B$11:$B$310),INDEX(条幅4分の1!$E$11:$E$310,147-COUNTA(半紙!$B$11:$B$310)-COUNTA(条幅!$B$11:$B$310)),"")))=0,"",IF(147&lt;=COUNTA(半紙!$B$11:$B$310),INDEX(半紙!$E$11:$E$310,147),IF(147&lt;=COUNTA(半紙!$B$11:$B$310)+COUNTA(条幅!$B$11:$B$310),INDEX(条幅!$E$11:$E$310,147-COUNTA(半紙!$B$11:$B$310)),IF(147&lt;=COUNTA(半紙!$B$11:$B$310)+COUNTA(条幅!$B$11:$B$310)+COUNTA(条幅4分の1!$B$11:$B$310),INDEX(条幅4分の1!$E$11:$E$310,147-COUNTA(半紙!$B$11:$B$310)-COUNTA(条幅!$B$11:$B$310)),""))))</f>
        <v/>
      </c>
      <c r="F152" s="38" t="str">
        <f>IF(IF(147&lt;=COUNTA(半紙!$B$11:$B$310),INDEX(半紙!$F$11:$F$310,147),IF(147&lt;=COUNTA(半紙!$B$11:$B$310)+COUNTA(条幅!$B$11:$B$310),INDEX(条幅!$F$11:$F$310,147-COUNTA(半紙!$B$11:$B$310)),IF(147&lt;=COUNTA(半紙!$B$11:$B$310)+COUNTA(条幅!$B$11:$B$310)+COUNTA(条幅4分の1!$B$11:$B$310),INDEX(条幅4分の1!$F$11:$F$310,147-COUNTA(半紙!$B$11:$B$310)-COUNTA(条幅!$B$11:$B$310)),"")))=0,"",IF(147&lt;=COUNTA(半紙!$B$11:$B$310),INDEX(半紙!$F$11:$F$310,147),IF(147&lt;=COUNTA(半紙!$B$11:$B$310)+COUNTA(条幅!$B$11:$B$310),INDEX(条幅!$F$11:$F$310,147-COUNTA(半紙!$B$11:$B$310)),IF(147&lt;=COUNTA(半紙!$B$11:$B$310)+COUNTA(条幅!$B$11:$B$310)+COUNTA(条幅4分の1!$B$11:$B$310),INDEX(条幅4分の1!$F$11:$F$310,147-COUNTA(半紙!$B$11:$B$310)-COUNTA(条幅!$B$11:$B$310)),""))))</f>
        <v/>
      </c>
      <c r="G152" s="38" t="str">
        <f>IF(IF(147&lt;=COUNTA(半紙!$B$11:$B$310),INDEX(半紙!$G$11:$G$310,147),IF(147&lt;=COUNTA(半紙!$B$11:$B$310)+COUNTA(条幅!$B$11:$B$310),INDEX(条幅!$G$11:$G$310,147-COUNTA(半紙!$B$11:$B$310)),IF(147&lt;=COUNTA(半紙!$B$11:$B$310)+COUNTA(条幅!$B$11:$B$310)+COUNTA(条幅4分の1!$B$11:$B$310),INDEX(条幅4分の1!$G$11:$G$310,147-COUNTA(半紙!$B$11:$B$310)-COUNTA(条幅!$B$11:$B$310)),"")))=0,"",IF(147&lt;=COUNTA(半紙!$B$11:$B$310),INDEX(半紙!$G$11:$G$310,147),IF(147&lt;=COUNTA(半紙!$B$11:$B$310)+COUNTA(条幅!$B$11:$B$310),INDEX(条幅!$G$11:$G$310,147-COUNTA(半紙!$B$11:$B$310)),IF(147&lt;=COUNTA(半紙!$B$11:$B$310)+COUNTA(条幅!$B$11:$B$310)+COUNTA(条幅4分の1!$B$11:$B$310),INDEX(条幅4分の1!$G$11:$G$310,147-COUNTA(半紙!$B$11:$B$310)-COUNTA(条幅!$B$11:$B$310)),""))))</f>
        <v/>
      </c>
      <c r="H152" s="38" t="str">
        <f>IF(IF(147&lt;=COUNTA(半紙!$B$11:$B$310),INDEX(半紙!$H$11:$H$310,147),IF(147&lt;=COUNTA(半紙!$B$11:$B$310)+COUNTA(条幅!$B$11:$B$310),INDEX(条幅!$H$11:$H$310,147-COUNTA(半紙!$B$11:$B$310)),IF(147&lt;=COUNTA(半紙!$B$11:$B$310)+COUNTA(条幅!$B$11:$B$310)+COUNTA(条幅4分の1!$B$11:$B$310),INDEX(条幅4分の1!$H$11:$H$310,147-COUNTA(半紙!$B$11:$B$310)-COUNTA(条幅!$B$11:$B$310)),"")))=0,"",IF(147&lt;=COUNTA(半紙!$B$11:$B$310),INDEX(半紙!$H$11:$H$310,147),IF(147&lt;=COUNTA(半紙!$B$11:$B$310)+COUNTA(条幅!$B$11:$B$310),INDEX(条幅!$H$11:$H$310,147-COUNTA(半紙!$B$11:$B$310)),IF(147&lt;=COUNTA(半紙!$B$11:$B$310)+COUNTA(条幅!$B$11:$B$310)+COUNTA(条幅4分の1!$B$11:$B$310),INDEX(条幅4分の1!$H$11:$H$310,147-COUNTA(半紙!$B$11:$B$310)-COUNTA(条幅!$B$11:$B$310)),""))))</f>
        <v/>
      </c>
      <c r="I152" s="38" t="str">
        <f>IF(IF(147&lt;=COUNTA(半紙!$B$11:$B$310),INDEX(半紙!$I$11:$I$310,147),IF(147&lt;=COUNTA(半紙!$B$11:$B$310)+COUNTA(条幅!$B$11:$B$310),INDEX(条幅!$I$11:$I$310,147-COUNTA(半紙!$B$11:$B$310)),IF(147&lt;=COUNTA(半紙!$B$11:$B$310)+COUNTA(条幅!$B$11:$B$310)+COUNTA(条幅4分の1!$B$11:$B$310),INDEX(条幅4分の1!$I$11:$I$310,147-COUNTA(半紙!$B$11:$B$310)-COUNTA(条幅!$B$11:$B$310)),"")))=0,"",IF(147&lt;=COUNTA(半紙!$B$11:$B$310),INDEX(半紙!$I$11:$I$310,147),IF(147&lt;=COUNTA(半紙!$B$11:$B$310)+COUNTA(条幅!$B$11:$B$310),INDEX(条幅!$I$11:$I$310,147-COUNTA(半紙!$B$11:$B$310)),IF(147&lt;=COUNTA(半紙!$B$11:$B$310)+COUNTA(条幅!$B$11:$B$310)+COUNTA(条幅4分の1!$B$11:$B$310),INDEX(条幅4分の1!$I$11:$I$310,147-COUNTA(半紙!$B$11:$B$310)-COUNTA(条幅!$B$11:$B$310)),""))))</f>
        <v/>
      </c>
      <c r="J152" s="38" t="str">
        <f>IF(IF(147&lt;=COUNTA(半紙!$B$11:$B$310),INDEX(半紙!$J$11:$J$310,147),IF(147&lt;=COUNTA(半紙!$B$11:$B$310)+COUNTA(条幅!$B$11:$B$310),INDEX(条幅!$J$11:$J$310,147-COUNTA(半紙!$B$11:$B$310)),IF(147&lt;=COUNTA(半紙!$B$11:$B$310)+COUNTA(条幅!$B$11:$B$310)+COUNTA(条幅4分の1!$B$11:$B$310),INDEX(条幅4分の1!$J$11:$J$310,147-COUNTA(半紙!$B$11:$B$310)-COUNTA(条幅!$B$11:$B$310)),"")))=0,"",IF(147&lt;=COUNTA(半紙!$B$11:$B$310),INDEX(半紙!$J$11:$J$310,147),IF(147&lt;=COUNTA(半紙!$B$11:$B$310)+COUNTA(条幅!$B$11:$B$310),INDEX(条幅!$J$11:$J$310,147-COUNTA(半紙!$B$11:$B$310)),IF(147&lt;=COUNTA(半紙!$B$11:$B$310)+COUNTA(条幅!$B$11:$B$310)+COUNTA(条幅4分の1!$B$11:$B$310),INDEX(条幅4分の1!$J$11:$J$310,147-COUNTA(半紙!$B$11:$B$310)-COUNTA(条幅!$B$11:$B$310)),""))))</f>
        <v/>
      </c>
      <c r="K152" s="38" t="str">
        <f>IF(IF(147&lt;=COUNTA(半紙!$B$11:$B$310),INDEX(半紙!$K$11:$K$310,147),IF(147&lt;=COUNTA(半紙!$B$11:$B$310)+COUNTA(条幅!$B$11:$B$310),INDEX(条幅!$K$11:$K$310,147-COUNTA(半紙!$B$11:$B$310)),IF(147&lt;=COUNTA(半紙!$B$11:$B$310)+COUNTA(条幅!$B$11:$B$310)+COUNTA(条幅4分の1!$B$11:$B$310),INDEX(条幅4分の1!$K$11:$K$310,147-COUNTA(半紙!$B$11:$B$310)-COUNTA(条幅!$B$11:$B$310)),"")))=0,"",IF(147&lt;=COUNTA(半紙!$B$11:$B$310),INDEX(半紙!$K$11:$K$310,147),IF(147&lt;=COUNTA(半紙!$B$11:$B$310)+COUNTA(条幅!$B$11:$B$310),INDEX(条幅!$K$11:$K$310,147-COUNTA(半紙!$B$11:$B$310)),IF(147&lt;=COUNTA(半紙!$B$11:$B$310)+COUNTA(条幅!$B$11:$B$310)+COUNTA(条幅4分の1!$B$11:$B$310),INDEX(条幅4分の1!$K$11:$K$310,147-COUNTA(半紙!$B$11:$B$310)-COUNTA(条幅!$B$11:$B$310)),""))))</f>
        <v/>
      </c>
      <c r="L152" s="48" t="str">
        <f>IF($B152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147))</f>
        <v/>
      </c>
    </row>
    <row r="153" spans="1:12" ht="15" customHeight="1">
      <c r="A153" s="37" t="str">
        <f>IF(148&lt;=COUNTA(半紙!$B$11:$B$310),"半紙",IF(148&lt;=COUNTA(半紙!$B$11:$B$310)+COUNTA(条幅!$B$11:$B$310),"条幅(半切)",IF(148&lt;=COUNTA(半紙!$B$11:$B$310)+COUNTA(条幅!$B$11:$B$310)+COUNTA(条幅4分の1!$B$11:$B$310),"条幅(1/4)","")))</f>
        <v/>
      </c>
      <c r="B153" s="38" t="str">
        <f>IF(IF(148&lt;=COUNTA(半紙!$B$11:$B$310),INDEX(半紙!$B$11:$B$310,148),IF(148&lt;=COUNTA(半紙!$B$11:$B$310)+COUNTA(条幅!$B$11:$B$310),INDEX(条幅!$B$11:$B$310,148-COUNTA(半紙!$B$11:$B$310)),IF(148&lt;=COUNTA(半紙!$B$11:$B$310)+COUNTA(条幅!$B$11:$B$310)+COUNTA(条幅4分の1!$B$11:$B$310),INDEX(条幅4分の1!$B$11:$B$310,148-COUNTA(半紙!$B$11:$B$310)-COUNTA(条幅!$B$11:$B$310)),"")))=0,"",IF(148&lt;=COUNTA(半紙!$B$11:$B$310),INDEX(半紙!$B$11:$B$310,148),IF(148&lt;=COUNTA(半紙!$B$11:$B$310)+COUNTA(条幅!$B$11:$B$310),INDEX(条幅!$B$11:$B$310,148-COUNTA(半紙!$B$11:$B$310)),IF(148&lt;=COUNTA(半紙!$B$11:$B$310)+COUNTA(条幅!$B$11:$B$310)+COUNTA(条幅4分の1!$B$11:$B$310),INDEX(条幅4分の1!$B$11:$B$310,148-COUNTA(半紙!$B$11:$B$310)-COUNTA(条幅!$B$11:$B$310)),""))))</f>
        <v/>
      </c>
      <c r="C153" s="38" t="str">
        <f>IF(IF(148&lt;=COUNTA(半紙!$B$11:$B$310),INDEX(半紙!$C$11:$C$310,148),IF(148&lt;=COUNTA(半紙!$B$11:$B$310)+COUNTA(条幅!$B$11:$B$310),INDEX(条幅!$C$11:$C$310,148-COUNTA(半紙!$B$11:$B$310)),IF(148&lt;=COUNTA(半紙!$B$11:$B$310)+COUNTA(条幅!$B$11:$B$310)+COUNTA(条幅4分の1!$B$11:$B$310),INDEX(条幅4分の1!$C$11:$C$310,148-COUNTA(半紙!$B$11:$B$310)-COUNTA(条幅!$B$11:$B$310)),"")))=0,"",IF(148&lt;=COUNTA(半紙!$B$11:$B$310),INDEX(半紙!$C$11:$C$310,148),IF(148&lt;=COUNTA(半紙!$B$11:$B$310)+COUNTA(条幅!$B$11:$B$310),INDEX(条幅!$C$11:$C$310,148-COUNTA(半紙!$B$11:$B$310)),IF(148&lt;=COUNTA(半紙!$B$11:$B$310)+COUNTA(条幅!$B$11:$B$310)+COUNTA(条幅4分の1!$B$11:$B$310),INDEX(条幅4分の1!$C$11:$C$310,148-COUNTA(半紙!$B$11:$B$310)-COUNTA(条幅!$B$11:$B$310)),""))))</f>
        <v/>
      </c>
      <c r="D153" s="38" t="str">
        <f>IF(IF(148&lt;=COUNTA(半紙!$B$11:$B$310),INDEX(半紙!$D$11:$D$310,148),IF(148&lt;=COUNTA(半紙!$B$11:$B$310)+COUNTA(条幅!$B$11:$B$310),INDEX(条幅!$D$11:$D$310,148-COUNTA(半紙!$B$11:$B$310)),IF(148&lt;=COUNTA(半紙!$B$11:$B$310)+COUNTA(条幅!$B$11:$B$310)+COUNTA(条幅4分の1!$B$11:$B$310),INDEX(条幅4分の1!$D$11:$D$310,148-COUNTA(半紙!$B$11:$B$310)-COUNTA(条幅!$B$11:$B$310)),"")))=0,"",IF(148&lt;=COUNTA(半紙!$B$11:$B$310),INDEX(半紙!$D$11:$D$310,148),IF(148&lt;=COUNTA(半紙!$B$11:$B$310)+COUNTA(条幅!$B$11:$B$310),INDEX(条幅!$D$11:$D$310,148-COUNTA(半紙!$B$11:$B$310)),IF(148&lt;=COUNTA(半紙!$B$11:$B$310)+COUNTA(条幅!$B$11:$B$310)+COUNTA(条幅4分の1!$B$11:$B$310),INDEX(条幅4分の1!$D$11:$D$310,148-COUNTA(半紙!$B$11:$B$310)-COUNTA(条幅!$B$11:$B$310)),""))))</f>
        <v/>
      </c>
      <c r="E153" s="38" t="str">
        <f>IF(IF(148&lt;=COUNTA(半紙!$B$11:$B$310),INDEX(半紙!$E$11:$E$310,148),IF(148&lt;=COUNTA(半紙!$B$11:$B$310)+COUNTA(条幅!$B$11:$B$310),INDEX(条幅!$E$11:$E$310,148-COUNTA(半紙!$B$11:$B$310)),IF(148&lt;=COUNTA(半紙!$B$11:$B$310)+COUNTA(条幅!$B$11:$B$310)+COUNTA(条幅4分の1!$B$11:$B$310),INDEX(条幅4分の1!$E$11:$E$310,148-COUNTA(半紙!$B$11:$B$310)-COUNTA(条幅!$B$11:$B$310)),"")))=0,"",IF(148&lt;=COUNTA(半紙!$B$11:$B$310),INDEX(半紙!$E$11:$E$310,148),IF(148&lt;=COUNTA(半紙!$B$11:$B$310)+COUNTA(条幅!$B$11:$B$310),INDEX(条幅!$E$11:$E$310,148-COUNTA(半紙!$B$11:$B$310)),IF(148&lt;=COUNTA(半紙!$B$11:$B$310)+COUNTA(条幅!$B$11:$B$310)+COUNTA(条幅4分の1!$B$11:$B$310),INDEX(条幅4分の1!$E$11:$E$310,148-COUNTA(半紙!$B$11:$B$310)-COUNTA(条幅!$B$11:$B$310)),""))))</f>
        <v/>
      </c>
      <c r="F153" s="38" t="str">
        <f>IF(IF(148&lt;=COUNTA(半紙!$B$11:$B$310),INDEX(半紙!$F$11:$F$310,148),IF(148&lt;=COUNTA(半紙!$B$11:$B$310)+COUNTA(条幅!$B$11:$B$310),INDEX(条幅!$F$11:$F$310,148-COUNTA(半紙!$B$11:$B$310)),IF(148&lt;=COUNTA(半紙!$B$11:$B$310)+COUNTA(条幅!$B$11:$B$310)+COUNTA(条幅4分の1!$B$11:$B$310),INDEX(条幅4分の1!$F$11:$F$310,148-COUNTA(半紙!$B$11:$B$310)-COUNTA(条幅!$B$11:$B$310)),"")))=0,"",IF(148&lt;=COUNTA(半紙!$B$11:$B$310),INDEX(半紙!$F$11:$F$310,148),IF(148&lt;=COUNTA(半紙!$B$11:$B$310)+COUNTA(条幅!$B$11:$B$310),INDEX(条幅!$F$11:$F$310,148-COUNTA(半紙!$B$11:$B$310)),IF(148&lt;=COUNTA(半紙!$B$11:$B$310)+COUNTA(条幅!$B$11:$B$310)+COUNTA(条幅4分の1!$B$11:$B$310),INDEX(条幅4分の1!$F$11:$F$310,148-COUNTA(半紙!$B$11:$B$310)-COUNTA(条幅!$B$11:$B$310)),""))))</f>
        <v/>
      </c>
      <c r="G153" s="38" t="str">
        <f>IF(IF(148&lt;=COUNTA(半紙!$B$11:$B$310),INDEX(半紙!$G$11:$G$310,148),IF(148&lt;=COUNTA(半紙!$B$11:$B$310)+COUNTA(条幅!$B$11:$B$310),INDEX(条幅!$G$11:$G$310,148-COUNTA(半紙!$B$11:$B$310)),IF(148&lt;=COUNTA(半紙!$B$11:$B$310)+COUNTA(条幅!$B$11:$B$310)+COUNTA(条幅4分の1!$B$11:$B$310),INDEX(条幅4分の1!$G$11:$G$310,148-COUNTA(半紙!$B$11:$B$310)-COUNTA(条幅!$B$11:$B$310)),"")))=0,"",IF(148&lt;=COUNTA(半紙!$B$11:$B$310),INDEX(半紙!$G$11:$G$310,148),IF(148&lt;=COUNTA(半紙!$B$11:$B$310)+COUNTA(条幅!$B$11:$B$310),INDEX(条幅!$G$11:$G$310,148-COUNTA(半紙!$B$11:$B$310)),IF(148&lt;=COUNTA(半紙!$B$11:$B$310)+COUNTA(条幅!$B$11:$B$310)+COUNTA(条幅4分の1!$B$11:$B$310),INDEX(条幅4分の1!$G$11:$G$310,148-COUNTA(半紙!$B$11:$B$310)-COUNTA(条幅!$B$11:$B$310)),""))))</f>
        <v/>
      </c>
      <c r="H153" s="38" t="str">
        <f>IF(IF(148&lt;=COUNTA(半紙!$B$11:$B$310),INDEX(半紙!$H$11:$H$310,148),IF(148&lt;=COUNTA(半紙!$B$11:$B$310)+COUNTA(条幅!$B$11:$B$310),INDEX(条幅!$H$11:$H$310,148-COUNTA(半紙!$B$11:$B$310)),IF(148&lt;=COUNTA(半紙!$B$11:$B$310)+COUNTA(条幅!$B$11:$B$310)+COUNTA(条幅4分の1!$B$11:$B$310),INDEX(条幅4分の1!$H$11:$H$310,148-COUNTA(半紙!$B$11:$B$310)-COUNTA(条幅!$B$11:$B$310)),"")))=0,"",IF(148&lt;=COUNTA(半紙!$B$11:$B$310),INDEX(半紙!$H$11:$H$310,148),IF(148&lt;=COUNTA(半紙!$B$11:$B$310)+COUNTA(条幅!$B$11:$B$310),INDEX(条幅!$H$11:$H$310,148-COUNTA(半紙!$B$11:$B$310)),IF(148&lt;=COUNTA(半紙!$B$11:$B$310)+COUNTA(条幅!$B$11:$B$310)+COUNTA(条幅4分の1!$B$11:$B$310),INDEX(条幅4分の1!$H$11:$H$310,148-COUNTA(半紙!$B$11:$B$310)-COUNTA(条幅!$B$11:$B$310)),""))))</f>
        <v/>
      </c>
      <c r="I153" s="38" t="str">
        <f>IF(IF(148&lt;=COUNTA(半紙!$B$11:$B$310),INDEX(半紙!$I$11:$I$310,148),IF(148&lt;=COUNTA(半紙!$B$11:$B$310)+COUNTA(条幅!$B$11:$B$310),INDEX(条幅!$I$11:$I$310,148-COUNTA(半紙!$B$11:$B$310)),IF(148&lt;=COUNTA(半紙!$B$11:$B$310)+COUNTA(条幅!$B$11:$B$310)+COUNTA(条幅4分の1!$B$11:$B$310),INDEX(条幅4分の1!$I$11:$I$310,148-COUNTA(半紙!$B$11:$B$310)-COUNTA(条幅!$B$11:$B$310)),"")))=0,"",IF(148&lt;=COUNTA(半紙!$B$11:$B$310),INDEX(半紙!$I$11:$I$310,148),IF(148&lt;=COUNTA(半紙!$B$11:$B$310)+COUNTA(条幅!$B$11:$B$310),INDEX(条幅!$I$11:$I$310,148-COUNTA(半紙!$B$11:$B$310)),IF(148&lt;=COUNTA(半紙!$B$11:$B$310)+COUNTA(条幅!$B$11:$B$310)+COUNTA(条幅4分の1!$B$11:$B$310),INDEX(条幅4分の1!$I$11:$I$310,148-COUNTA(半紙!$B$11:$B$310)-COUNTA(条幅!$B$11:$B$310)),""))))</f>
        <v/>
      </c>
      <c r="J153" s="38" t="str">
        <f>IF(IF(148&lt;=COUNTA(半紙!$B$11:$B$310),INDEX(半紙!$J$11:$J$310,148),IF(148&lt;=COUNTA(半紙!$B$11:$B$310)+COUNTA(条幅!$B$11:$B$310),INDEX(条幅!$J$11:$J$310,148-COUNTA(半紙!$B$11:$B$310)),IF(148&lt;=COUNTA(半紙!$B$11:$B$310)+COUNTA(条幅!$B$11:$B$310)+COUNTA(条幅4分の1!$B$11:$B$310),INDEX(条幅4分の1!$J$11:$J$310,148-COUNTA(半紙!$B$11:$B$310)-COUNTA(条幅!$B$11:$B$310)),"")))=0,"",IF(148&lt;=COUNTA(半紙!$B$11:$B$310),INDEX(半紙!$J$11:$J$310,148),IF(148&lt;=COUNTA(半紙!$B$11:$B$310)+COUNTA(条幅!$B$11:$B$310),INDEX(条幅!$J$11:$J$310,148-COUNTA(半紙!$B$11:$B$310)),IF(148&lt;=COUNTA(半紙!$B$11:$B$310)+COUNTA(条幅!$B$11:$B$310)+COUNTA(条幅4分の1!$B$11:$B$310),INDEX(条幅4分の1!$J$11:$J$310,148-COUNTA(半紙!$B$11:$B$310)-COUNTA(条幅!$B$11:$B$310)),""))))</f>
        <v/>
      </c>
      <c r="K153" s="38" t="str">
        <f>IF(IF(148&lt;=COUNTA(半紙!$B$11:$B$310),INDEX(半紙!$K$11:$K$310,148),IF(148&lt;=COUNTA(半紙!$B$11:$B$310)+COUNTA(条幅!$B$11:$B$310),INDEX(条幅!$K$11:$K$310,148-COUNTA(半紙!$B$11:$B$310)),IF(148&lt;=COUNTA(半紙!$B$11:$B$310)+COUNTA(条幅!$B$11:$B$310)+COUNTA(条幅4分の1!$B$11:$B$310),INDEX(条幅4分の1!$K$11:$K$310,148-COUNTA(半紙!$B$11:$B$310)-COUNTA(条幅!$B$11:$B$310)),"")))=0,"",IF(148&lt;=COUNTA(半紙!$B$11:$B$310),INDEX(半紙!$K$11:$K$310,148),IF(148&lt;=COUNTA(半紙!$B$11:$B$310)+COUNTA(条幅!$B$11:$B$310),INDEX(条幅!$K$11:$K$310,148-COUNTA(半紙!$B$11:$B$310)),IF(148&lt;=COUNTA(半紙!$B$11:$B$310)+COUNTA(条幅!$B$11:$B$310)+COUNTA(条幅4分の1!$B$11:$B$310),INDEX(条幅4分の1!$K$11:$K$310,148-COUNTA(半紙!$B$11:$B$310)-COUNTA(条幅!$B$11:$B$310)),""))))</f>
        <v/>
      </c>
      <c r="L153" s="48" t="str">
        <f>IF($B153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148))</f>
        <v/>
      </c>
    </row>
    <row r="154" spans="1:12" ht="15" customHeight="1">
      <c r="A154" s="37" t="str">
        <f>IF(149&lt;=COUNTA(半紙!$B$11:$B$310),"半紙",IF(149&lt;=COUNTA(半紙!$B$11:$B$310)+COUNTA(条幅!$B$11:$B$310),"条幅(半切)",IF(149&lt;=COUNTA(半紙!$B$11:$B$310)+COUNTA(条幅!$B$11:$B$310)+COUNTA(条幅4分の1!$B$11:$B$310),"条幅(1/4)","")))</f>
        <v/>
      </c>
      <c r="B154" s="38" t="str">
        <f>IF(IF(149&lt;=COUNTA(半紙!$B$11:$B$310),INDEX(半紙!$B$11:$B$310,149),IF(149&lt;=COUNTA(半紙!$B$11:$B$310)+COUNTA(条幅!$B$11:$B$310),INDEX(条幅!$B$11:$B$310,149-COUNTA(半紙!$B$11:$B$310)),IF(149&lt;=COUNTA(半紙!$B$11:$B$310)+COUNTA(条幅!$B$11:$B$310)+COUNTA(条幅4分の1!$B$11:$B$310),INDEX(条幅4分の1!$B$11:$B$310,149-COUNTA(半紙!$B$11:$B$310)-COUNTA(条幅!$B$11:$B$310)),"")))=0,"",IF(149&lt;=COUNTA(半紙!$B$11:$B$310),INDEX(半紙!$B$11:$B$310,149),IF(149&lt;=COUNTA(半紙!$B$11:$B$310)+COUNTA(条幅!$B$11:$B$310),INDEX(条幅!$B$11:$B$310,149-COUNTA(半紙!$B$11:$B$310)),IF(149&lt;=COUNTA(半紙!$B$11:$B$310)+COUNTA(条幅!$B$11:$B$310)+COUNTA(条幅4分の1!$B$11:$B$310),INDEX(条幅4分の1!$B$11:$B$310,149-COUNTA(半紙!$B$11:$B$310)-COUNTA(条幅!$B$11:$B$310)),""))))</f>
        <v/>
      </c>
      <c r="C154" s="38" t="str">
        <f>IF(IF(149&lt;=COUNTA(半紙!$B$11:$B$310),INDEX(半紙!$C$11:$C$310,149),IF(149&lt;=COUNTA(半紙!$B$11:$B$310)+COUNTA(条幅!$B$11:$B$310),INDEX(条幅!$C$11:$C$310,149-COUNTA(半紙!$B$11:$B$310)),IF(149&lt;=COUNTA(半紙!$B$11:$B$310)+COUNTA(条幅!$B$11:$B$310)+COUNTA(条幅4分の1!$B$11:$B$310),INDEX(条幅4分の1!$C$11:$C$310,149-COUNTA(半紙!$B$11:$B$310)-COUNTA(条幅!$B$11:$B$310)),"")))=0,"",IF(149&lt;=COUNTA(半紙!$B$11:$B$310),INDEX(半紙!$C$11:$C$310,149),IF(149&lt;=COUNTA(半紙!$B$11:$B$310)+COUNTA(条幅!$B$11:$B$310),INDEX(条幅!$C$11:$C$310,149-COUNTA(半紙!$B$11:$B$310)),IF(149&lt;=COUNTA(半紙!$B$11:$B$310)+COUNTA(条幅!$B$11:$B$310)+COUNTA(条幅4分の1!$B$11:$B$310),INDEX(条幅4分の1!$C$11:$C$310,149-COUNTA(半紙!$B$11:$B$310)-COUNTA(条幅!$B$11:$B$310)),""))))</f>
        <v/>
      </c>
      <c r="D154" s="38" t="str">
        <f>IF(IF(149&lt;=COUNTA(半紙!$B$11:$B$310),INDEX(半紙!$D$11:$D$310,149),IF(149&lt;=COUNTA(半紙!$B$11:$B$310)+COUNTA(条幅!$B$11:$B$310),INDEX(条幅!$D$11:$D$310,149-COUNTA(半紙!$B$11:$B$310)),IF(149&lt;=COUNTA(半紙!$B$11:$B$310)+COUNTA(条幅!$B$11:$B$310)+COUNTA(条幅4分の1!$B$11:$B$310),INDEX(条幅4分の1!$D$11:$D$310,149-COUNTA(半紙!$B$11:$B$310)-COUNTA(条幅!$B$11:$B$310)),"")))=0,"",IF(149&lt;=COUNTA(半紙!$B$11:$B$310),INDEX(半紙!$D$11:$D$310,149),IF(149&lt;=COUNTA(半紙!$B$11:$B$310)+COUNTA(条幅!$B$11:$B$310),INDEX(条幅!$D$11:$D$310,149-COUNTA(半紙!$B$11:$B$310)),IF(149&lt;=COUNTA(半紙!$B$11:$B$310)+COUNTA(条幅!$B$11:$B$310)+COUNTA(条幅4分の1!$B$11:$B$310),INDEX(条幅4分の1!$D$11:$D$310,149-COUNTA(半紙!$B$11:$B$310)-COUNTA(条幅!$B$11:$B$310)),""))))</f>
        <v/>
      </c>
      <c r="E154" s="38" t="str">
        <f>IF(IF(149&lt;=COUNTA(半紙!$B$11:$B$310),INDEX(半紙!$E$11:$E$310,149),IF(149&lt;=COUNTA(半紙!$B$11:$B$310)+COUNTA(条幅!$B$11:$B$310),INDEX(条幅!$E$11:$E$310,149-COUNTA(半紙!$B$11:$B$310)),IF(149&lt;=COUNTA(半紙!$B$11:$B$310)+COUNTA(条幅!$B$11:$B$310)+COUNTA(条幅4分の1!$B$11:$B$310),INDEX(条幅4分の1!$E$11:$E$310,149-COUNTA(半紙!$B$11:$B$310)-COUNTA(条幅!$B$11:$B$310)),"")))=0,"",IF(149&lt;=COUNTA(半紙!$B$11:$B$310),INDEX(半紙!$E$11:$E$310,149),IF(149&lt;=COUNTA(半紙!$B$11:$B$310)+COUNTA(条幅!$B$11:$B$310),INDEX(条幅!$E$11:$E$310,149-COUNTA(半紙!$B$11:$B$310)),IF(149&lt;=COUNTA(半紙!$B$11:$B$310)+COUNTA(条幅!$B$11:$B$310)+COUNTA(条幅4分の1!$B$11:$B$310),INDEX(条幅4分の1!$E$11:$E$310,149-COUNTA(半紙!$B$11:$B$310)-COUNTA(条幅!$B$11:$B$310)),""))))</f>
        <v/>
      </c>
      <c r="F154" s="38" t="str">
        <f>IF(IF(149&lt;=COUNTA(半紙!$B$11:$B$310),INDEX(半紙!$F$11:$F$310,149),IF(149&lt;=COUNTA(半紙!$B$11:$B$310)+COUNTA(条幅!$B$11:$B$310),INDEX(条幅!$F$11:$F$310,149-COUNTA(半紙!$B$11:$B$310)),IF(149&lt;=COUNTA(半紙!$B$11:$B$310)+COUNTA(条幅!$B$11:$B$310)+COUNTA(条幅4分の1!$B$11:$B$310),INDEX(条幅4分の1!$F$11:$F$310,149-COUNTA(半紙!$B$11:$B$310)-COUNTA(条幅!$B$11:$B$310)),"")))=0,"",IF(149&lt;=COUNTA(半紙!$B$11:$B$310),INDEX(半紙!$F$11:$F$310,149),IF(149&lt;=COUNTA(半紙!$B$11:$B$310)+COUNTA(条幅!$B$11:$B$310),INDEX(条幅!$F$11:$F$310,149-COUNTA(半紙!$B$11:$B$310)),IF(149&lt;=COUNTA(半紙!$B$11:$B$310)+COUNTA(条幅!$B$11:$B$310)+COUNTA(条幅4分の1!$B$11:$B$310),INDEX(条幅4分の1!$F$11:$F$310,149-COUNTA(半紙!$B$11:$B$310)-COUNTA(条幅!$B$11:$B$310)),""))))</f>
        <v/>
      </c>
      <c r="G154" s="38" t="str">
        <f>IF(IF(149&lt;=COUNTA(半紙!$B$11:$B$310),INDEX(半紙!$G$11:$G$310,149),IF(149&lt;=COUNTA(半紙!$B$11:$B$310)+COUNTA(条幅!$B$11:$B$310),INDEX(条幅!$G$11:$G$310,149-COUNTA(半紙!$B$11:$B$310)),IF(149&lt;=COUNTA(半紙!$B$11:$B$310)+COUNTA(条幅!$B$11:$B$310)+COUNTA(条幅4分の1!$B$11:$B$310),INDEX(条幅4分の1!$G$11:$G$310,149-COUNTA(半紙!$B$11:$B$310)-COUNTA(条幅!$B$11:$B$310)),"")))=0,"",IF(149&lt;=COUNTA(半紙!$B$11:$B$310),INDEX(半紙!$G$11:$G$310,149),IF(149&lt;=COUNTA(半紙!$B$11:$B$310)+COUNTA(条幅!$B$11:$B$310),INDEX(条幅!$G$11:$G$310,149-COUNTA(半紙!$B$11:$B$310)),IF(149&lt;=COUNTA(半紙!$B$11:$B$310)+COUNTA(条幅!$B$11:$B$310)+COUNTA(条幅4分の1!$B$11:$B$310),INDEX(条幅4分の1!$G$11:$G$310,149-COUNTA(半紙!$B$11:$B$310)-COUNTA(条幅!$B$11:$B$310)),""))))</f>
        <v/>
      </c>
      <c r="H154" s="38" t="str">
        <f>IF(IF(149&lt;=COUNTA(半紙!$B$11:$B$310),INDEX(半紙!$H$11:$H$310,149),IF(149&lt;=COUNTA(半紙!$B$11:$B$310)+COUNTA(条幅!$B$11:$B$310),INDEX(条幅!$H$11:$H$310,149-COUNTA(半紙!$B$11:$B$310)),IF(149&lt;=COUNTA(半紙!$B$11:$B$310)+COUNTA(条幅!$B$11:$B$310)+COUNTA(条幅4分の1!$B$11:$B$310),INDEX(条幅4分の1!$H$11:$H$310,149-COUNTA(半紙!$B$11:$B$310)-COUNTA(条幅!$B$11:$B$310)),"")))=0,"",IF(149&lt;=COUNTA(半紙!$B$11:$B$310),INDEX(半紙!$H$11:$H$310,149),IF(149&lt;=COUNTA(半紙!$B$11:$B$310)+COUNTA(条幅!$B$11:$B$310),INDEX(条幅!$H$11:$H$310,149-COUNTA(半紙!$B$11:$B$310)),IF(149&lt;=COUNTA(半紙!$B$11:$B$310)+COUNTA(条幅!$B$11:$B$310)+COUNTA(条幅4分の1!$B$11:$B$310),INDEX(条幅4分の1!$H$11:$H$310,149-COUNTA(半紙!$B$11:$B$310)-COUNTA(条幅!$B$11:$B$310)),""))))</f>
        <v/>
      </c>
      <c r="I154" s="38" t="str">
        <f>IF(IF(149&lt;=COUNTA(半紙!$B$11:$B$310),INDEX(半紙!$I$11:$I$310,149),IF(149&lt;=COUNTA(半紙!$B$11:$B$310)+COUNTA(条幅!$B$11:$B$310),INDEX(条幅!$I$11:$I$310,149-COUNTA(半紙!$B$11:$B$310)),IF(149&lt;=COUNTA(半紙!$B$11:$B$310)+COUNTA(条幅!$B$11:$B$310)+COUNTA(条幅4分の1!$B$11:$B$310),INDEX(条幅4分の1!$I$11:$I$310,149-COUNTA(半紙!$B$11:$B$310)-COUNTA(条幅!$B$11:$B$310)),"")))=0,"",IF(149&lt;=COUNTA(半紙!$B$11:$B$310),INDEX(半紙!$I$11:$I$310,149),IF(149&lt;=COUNTA(半紙!$B$11:$B$310)+COUNTA(条幅!$B$11:$B$310),INDEX(条幅!$I$11:$I$310,149-COUNTA(半紙!$B$11:$B$310)),IF(149&lt;=COUNTA(半紙!$B$11:$B$310)+COUNTA(条幅!$B$11:$B$310)+COUNTA(条幅4分の1!$B$11:$B$310),INDEX(条幅4分の1!$I$11:$I$310,149-COUNTA(半紙!$B$11:$B$310)-COUNTA(条幅!$B$11:$B$310)),""))))</f>
        <v/>
      </c>
      <c r="J154" s="38" t="str">
        <f>IF(IF(149&lt;=COUNTA(半紙!$B$11:$B$310),INDEX(半紙!$J$11:$J$310,149),IF(149&lt;=COUNTA(半紙!$B$11:$B$310)+COUNTA(条幅!$B$11:$B$310),INDEX(条幅!$J$11:$J$310,149-COUNTA(半紙!$B$11:$B$310)),IF(149&lt;=COUNTA(半紙!$B$11:$B$310)+COUNTA(条幅!$B$11:$B$310)+COUNTA(条幅4分の1!$B$11:$B$310),INDEX(条幅4分の1!$J$11:$J$310,149-COUNTA(半紙!$B$11:$B$310)-COUNTA(条幅!$B$11:$B$310)),"")))=0,"",IF(149&lt;=COUNTA(半紙!$B$11:$B$310),INDEX(半紙!$J$11:$J$310,149),IF(149&lt;=COUNTA(半紙!$B$11:$B$310)+COUNTA(条幅!$B$11:$B$310),INDEX(条幅!$J$11:$J$310,149-COUNTA(半紙!$B$11:$B$310)),IF(149&lt;=COUNTA(半紙!$B$11:$B$310)+COUNTA(条幅!$B$11:$B$310)+COUNTA(条幅4分の1!$B$11:$B$310),INDEX(条幅4分の1!$J$11:$J$310,149-COUNTA(半紙!$B$11:$B$310)-COUNTA(条幅!$B$11:$B$310)),""))))</f>
        <v/>
      </c>
      <c r="K154" s="38" t="str">
        <f>IF(IF(149&lt;=COUNTA(半紙!$B$11:$B$310),INDEX(半紙!$K$11:$K$310,149),IF(149&lt;=COUNTA(半紙!$B$11:$B$310)+COUNTA(条幅!$B$11:$B$310),INDEX(条幅!$K$11:$K$310,149-COUNTA(半紙!$B$11:$B$310)),IF(149&lt;=COUNTA(半紙!$B$11:$B$310)+COUNTA(条幅!$B$11:$B$310)+COUNTA(条幅4分の1!$B$11:$B$310),INDEX(条幅4分の1!$K$11:$K$310,149-COUNTA(半紙!$B$11:$B$310)-COUNTA(条幅!$B$11:$B$310)),"")))=0,"",IF(149&lt;=COUNTA(半紙!$B$11:$B$310),INDEX(半紙!$K$11:$K$310,149),IF(149&lt;=COUNTA(半紙!$B$11:$B$310)+COUNTA(条幅!$B$11:$B$310),INDEX(条幅!$K$11:$K$310,149-COUNTA(半紙!$B$11:$B$310)),IF(149&lt;=COUNTA(半紙!$B$11:$B$310)+COUNTA(条幅!$B$11:$B$310)+COUNTA(条幅4分の1!$B$11:$B$310),INDEX(条幅4分の1!$K$11:$K$310,149-COUNTA(半紙!$B$11:$B$310)-COUNTA(条幅!$B$11:$B$310)),""))))</f>
        <v/>
      </c>
      <c r="L154" s="48" t="str">
        <f>IF($B154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149))</f>
        <v/>
      </c>
    </row>
    <row r="155" spans="1:12" ht="15" customHeight="1">
      <c r="A155" s="37" t="str">
        <f>IF(150&lt;=COUNTA(半紙!$B$11:$B$310),"半紙",IF(150&lt;=COUNTA(半紙!$B$11:$B$310)+COUNTA(条幅!$B$11:$B$310),"条幅(半切)",IF(150&lt;=COUNTA(半紙!$B$11:$B$310)+COUNTA(条幅!$B$11:$B$310)+COUNTA(条幅4分の1!$B$11:$B$310),"条幅(1/4)","")))</f>
        <v/>
      </c>
      <c r="B155" s="38" t="str">
        <f>IF(IF(150&lt;=COUNTA(半紙!$B$11:$B$310),INDEX(半紙!$B$11:$B$310,150),IF(150&lt;=COUNTA(半紙!$B$11:$B$310)+COUNTA(条幅!$B$11:$B$310),INDEX(条幅!$B$11:$B$310,150-COUNTA(半紙!$B$11:$B$310)),IF(150&lt;=COUNTA(半紙!$B$11:$B$310)+COUNTA(条幅!$B$11:$B$310)+COUNTA(条幅4分の1!$B$11:$B$310),INDEX(条幅4分の1!$B$11:$B$310,150-COUNTA(半紙!$B$11:$B$310)-COUNTA(条幅!$B$11:$B$310)),"")))=0,"",IF(150&lt;=COUNTA(半紙!$B$11:$B$310),INDEX(半紙!$B$11:$B$310,150),IF(150&lt;=COUNTA(半紙!$B$11:$B$310)+COUNTA(条幅!$B$11:$B$310),INDEX(条幅!$B$11:$B$310,150-COUNTA(半紙!$B$11:$B$310)),IF(150&lt;=COUNTA(半紙!$B$11:$B$310)+COUNTA(条幅!$B$11:$B$310)+COUNTA(条幅4分の1!$B$11:$B$310),INDEX(条幅4分の1!$B$11:$B$310,150-COUNTA(半紙!$B$11:$B$310)-COUNTA(条幅!$B$11:$B$310)),""))))</f>
        <v/>
      </c>
      <c r="C155" s="38" t="str">
        <f>IF(IF(150&lt;=COUNTA(半紙!$B$11:$B$310),INDEX(半紙!$C$11:$C$310,150),IF(150&lt;=COUNTA(半紙!$B$11:$B$310)+COUNTA(条幅!$B$11:$B$310),INDEX(条幅!$C$11:$C$310,150-COUNTA(半紙!$B$11:$B$310)),IF(150&lt;=COUNTA(半紙!$B$11:$B$310)+COUNTA(条幅!$B$11:$B$310)+COUNTA(条幅4分の1!$B$11:$B$310),INDEX(条幅4分の1!$C$11:$C$310,150-COUNTA(半紙!$B$11:$B$310)-COUNTA(条幅!$B$11:$B$310)),"")))=0,"",IF(150&lt;=COUNTA(半紙!$B$11:$B$310),INDEX(半紙!$C$11:$C$310,150),IF(150&lt;=COUNTA(半紙!$B$11:$B$310)+COUNTA(条幅!$B$11:$B$310),INDEX(条幅!$C$11:$C$310,150-COUNTA(半紙!$B$11:$B$310)),IF(150&lt;=COUNTA(半紙!$B$11:$B$310)+COUNTA(条幅!$B$11:$B$310)+COUNTA(条幅4分の1!$B$11:$B$310),INDEX(条幅4分の1!$C$11:$C$310,150-COUNTA(半紙!$B$11:$B$310)-COUNTA(条幅!$B$11:$B$310)),""))))</f>
        <v/>
      </c>
      <c r="D155" s="38" t="str">
        <f>IF(IF(150&lt;=COUNTA(半紙!$B$11:$B$310),INDEX(半紙!$D$11:$D$310,150),IF(150&lt;=COUNTA(半紙!$B$11:$B$310)+COUNTA(条幅!$B$11:$B$310),INDEX(条幅!$D$11:$D$310,150-COUNTA(半紙!$B$11:$B$310)),IF(150&lt;=COUNTA(半紙!$B$11:$B$310)+COUNTA(条幅!$B$11:$B$310)+COUNTA(条幅4分の1!$B$11:$B$310),INDEX(条幅4分の1!$D$11:$D$310,150-COUNTA(半紙!$B$11:$B$310)-COUNTA(条幅!$B$11:$B$310)),"")))=0,"",IF(150&lt;=COUNTA(半紙!$B$11:$B$310),INDEX(半紙!$D$11:$D$310,150),IF(150&lt;=COUNTA(半紙!$B$11:$B$310)+COUNTA(条幅!$B$11:$B$310),INDEX(条幅!$D$11:$D$310,150-COUNTA(半紙!$B$11:$B$310)),IF(150&lt;=COUNTA(半紙!$B$11:$B$310)+COUNTA(条幅!$B$11:$B$310)+COUNTA(条幅4分の1!$B$11:$B$310),INDEX(条幅4分の1!$D$11:$D$310,150-COUNTA(半紙!$B$11:$B$310)-COUNTA(条幅!$B$11:$B$310)),""))))</f>
        <v/>
      </c>
      <c r="E155" s="38" t="str">
        <f>IF(IF(150&lt;=COUNTA(半紙!$B$11:$B$310),INDEX(半紙!$E$11:$E$310,150),IF(150&lt;=COUNTA(半紙!$B$11:$B$310)+COUNTA(条幅!$B$11:$B$310),INDEX(条幅!$E$11:$E$310,150-COUNTA(半紙!$B$11:$B$310)),IF(150&lt;=COUNTA(半紙!$B$11:$B$310)+COUNTA(条幅!$B$11:$B$310)+COUNTA(条幅4分の1!$B$11:$B$310),INDEX(条幅4分の1!$E$11:$E$310,150-COUNTA(半紙!$B$11:$B$310)-COUNTA(条幅!$B$11:$B$310)),"")))=0,"",IF(150&lt;=COUNTA(半紙!$B$11:$B$310),INDEX(半紙!$E$11:$E$310,150),IF(150&lt;=COUNTA(半紙!$B$11:$B$310)+COUNTA(条幅!$B$11:$B$310),INDEX(条幅!$E$11:$E$310,150-COUNTA(半紙!$B$11:$B$310)),IF(150&lt;=COUNTA(半紙!$B$11:$B$310)+COUNTA(条幅!$B$11:$B$310)+COUNTA(条幅4分の1!$B$11:$B$310),INDEX(条幅4分の1!$E$11:$E$310,150-COUNTA(半紙!$B$11:$B$310)-COUNTA(条幅!$B$11:$B$310)),""))))</f>
        <v/>
      </c>
      <c r="F155" s="38" t="str">
        <f>IF(IF(150&lt;=COUNTA(半紙!$B$11:$B$310),INDEX(半紙!$F$11:$F$310,150),IF(150&lt;=COUNTA(半紙!$B$11:$B$310)+COUNTA(条幅!$B$11:$B$310),INDEX(条幅!$F$11:$F$310,150-COUNTA(半紙!$B$11:$B$310)),IF(150&lt;=COUNTA(半紙!$B$11:$B$310)+COUNTA(条幅!$B$11:$B$310)+COUNTA(条幅4分の1!$B$11:$B$310),INDEX(条幅4分の1!$F$11:$F$310,150-COUNTA(半紙!$B$11:$B$310)-COUNTA(条幅!$B$11:$B$310)),"")))=0,"",IF(150&lt;=COUNTA(半紙!$B$11:$B$310),INDEX(半紙!$F$11:$F$310,150),IF(150&lt;=COUNTA(半紙!$B$11:$B$310)+COUNTA(条幅!$B$11:$B$310),INDEX(条幅!$F$11:$F$310,150-COUNTA(半紙!$B$11:$B$310)),IF(150&lt;=COUNTA(半紙!$B$11:$B$310)+COUNTA(条幅!$B$11:$B$310)+COUNTA(条幅4分の1!$B$11:$B$310),INDEX(条幅4分の1!$F$11:$F$310,150-COUNTA(半紙!$B$11:$B$310)-COUNTA(条幅!$B$11:$B$310)),""))))</f>
        <v/>
      </c>
      <c r="G155" s="38" t="str">
        <f>IF(IF(150&lt;=COUNTA(半紙!$B$11:$B$310),INDEX(半紙!$G$11:$G$310,150),IF(150&lt;=COUNTA(半紙!$B$11:$B$310)+COUNTA(条幅!$B$11:$B$310),INDEX(条幅!$G$11:$G$310,150-COUNTA(半紙!$B$11:$B$310)),IF(150&lt;=COUNTA(半紙!$B$11:$B$310)+COUNTA(条幅!$B$11:$B$310)+COUNTA(条幅4分の1!$B$11:$B$310),INDEX(条幅4分の1!$G$11:$G$310,150-COUNTA(半紙!$B$11:$B$310)-COUNTA(条幅!$B$11:$B$310)),"")))=0,"",IF(150&lt;=COUNTA(半紙!$B$11:$B$310),INDEX(半紙!$G$11:$G$310,150),IF(150&lt;=COUNTA(半紙!$B$11:$B$310)+COUNTA(条幅!$B$11:$B$310),INDEX(条幅!$G$11:$G$310,150-COUNTA(半紙!$B$11:$B$310)),IF(150&lt;=COUNTA(半紙!$B$11:$B$310)+COUNTA(条幅!$B$11:$B$310)+COUNTA(条幅4分の1!$B$11:$B$310),INDEX(条幅4分の1!$G$11:$G$310,150-COUNTA(半紙!$B$11:$B$310)-COUNTA(条幅!$B$11:$B$310)),""))))</f>
        <v/>
      </c>
      <c r="H155" s="38" t="str">
        <f>IF(IF(150&lt;=COUNTA(半紙!$B$11:$B$310),INDEX(半紙!$H$11:$H$310,150),IF(150&lt;=COUNTA(半紙!$B$11:$B$310)+COUNTA(条幅!$B$11:$B$310),INDEX(条幅!$H$11:$H$310,150-COUNTA(半紙!$B$11:$B$310)),IF(150&lt;=COUNTA(半紙!$B$11:$B$310)+COUNTA(条幅!$B$11:$B$310)+COUNTA(条幅4分の1!$B$11:$B$310),INDEX(条幅4分の1!$H$11:$H$310,150-COUNTA(半紙!$B$11:$B$310)-COUNTA(条幅!$B$11:$B$310)),"")))=0,"",IF(150&lt;=COUNTA(半紙!$B$11:$B$310),INDEX(半紙!$H$11:$H$310,150),IF(150&lt;=COUNTA(半紙!$B$11:$B$310)+COUNTA(条幅!$B$11:$B$310),INDEX(条幅!$H$11:$H$310,150-COUNTA(半紙!$B$11:$B$310)),IF(150&lt;=COUNTA(半紙!$B$11:$B$310)+COUNTA(条幅!$B$11:$B$310)+COUNTA(条幅4分の1!$B$11:$B$310),INDEX(条幅4分の1!$H$11:$H$310,150-COUNTA(半紙!$B$11:$B$310)-COUNTA(条幅!$B$11:$B$310)),""))))</f>
        <v/>
      </c>
      <c r="I155" s="38" t="str">
        <f>IF(IF(150&lt;=COUNTA(半紙!$B$11:$B$310),INDEX(半紙!$I$11:$I$310,150),IF(150&lt;=COUNTA(半紙!$B$11:$B$310)+COUNTA(条幅!$B$11:$B$310),INDEX(条幅!$I$11:$I$310,150-COUNTA(半紙!$B$11:$B$310)),IF(150&lt;=COUNTA(半紙!$B$11:$B$310)+COUNTA(条幅!$B$11:$B$310)+COUNTA(条幅4分の1!$B$11:$B$310),INDEX(条幅4分の1!$I$11:$I$310,150-COUNTA(半紙!$B$11:$B$310)-COUNTA(条幅!$B$11:$B$310)),"")))=0,"",IF(150&lt;=COUNTA(半紙!$B$11:$B$310),INDEX(半紙!$I$11:$I$310,150),IF(150&lt;=COUNTA(半紙!$B$11:$B$310)+COUNTA(条幅!$B$11:$B$310),INDEX(条幅!$I$11:$I$310,150-COUNTA(半紙!$B$11:$B$310)),IF(150&lt;=COUNTA(半紙!$B$11:$B$310)+COUNTA(条幅!$B$11:$B$310)+COUNTA(条幅4分の1!$B$11:$B$310),INDEX(条幅4分の1!$I$11:$I$310,150-COUNTA(半紙!$B$11:$B$310)-COUNTA(条幅!$B$11:$B$310)),""))))</f>
        <v/>
      </c>
      <c r="J155" s="38" t="str">
        <f>IF(IF(150&lt;=COUNTA(半紙!$B$11:$B$310),INDEX(半紙!$J$11:$J$310,150),IF(150&lt;=COUNTA(半紙!$B$11:$B$310)+COUNTA(条幅!$B$11:$B$310),INDEX(条幅!$J$11:$J$310,150-COUNTA(半紙!$B$11:$B$310)),IF(150&lt;=COUNTA(半紙!$B$11:$B$310)+COUNTA(条幅!$B$11:$B$310)+COUNTA(条幅4分の1!$B$11:$B$310),INDEX(条幅4分の1!$J$11:$J$310,150-COUNTA(半紙!$B$11:$B$310)-COUNTA(条幅!$B$11:$B$310)),"")))=0,"",IF(150&lt;=COUNTA(半紙!$B$11:$B$310),INDEX(半紙!$J$11:$J$310,150),IF(150&lt;=COUNTA(半紙!$B$11:$B$310)+COUNTA(条幅!$B$11:$B$310),INDEX(条幅!$J$11:$J$310,150-COUNTA(半紙!$B$11:$B$310)),IF(150&lt;=COUNTA(半紙!$B$11:$B$310)+COUNTA(条幅!$B$11:$B$310)+COUNTA(条幅4分の1!$B$11:$B$310),INDEX(条幅4分の1!$J$11:$J$310,150-COUNTA(半紙!$B$11:$B$310)-COUNTA(条幅!$B$11:$B$310)),""))))</f>
        <v/>
      </c>
      <c r="K155" s="38" t="str">
        <f>IF(IF(150&lt;=COUNTA(半紙!$B$11:$B$310),INDEX(半紙!$K$11:$K$310,150),IF(150&lt;=COUNTA(半紙!$B$11:$B$310)+COUNTA(条幅!$B$11:$B$310),INDEX(条幅!$K$11:$K$310,150-COUNTA(半紙!$B$11:$B$310)),IF(150&lt;=COUNTA(半紙!$B$11:$B$310)+COUNTA(条幅!$B$11:$B$310)+COUNTA(条幅4分の1!$B$11:$B$310),INDEX(条幅4分の1!$K$11:$K$310,150-COUNTA(半紙!$B$11:$B$310)-COUNTA(条幅!$B$11:$B$310)),"")))=0,"",IF(150&lt;=COUNTA(半紙!$B$11:$B$310),INDEX(半紙!$K$11:$K$310,150),IF(150&lt;=COUNTA(半紙!$B$11:$B$310)+COUNTA(条幅!$B$11:$B$310),INDEX(条幅!$K$11:$K$310,150-COUNTA(半紙!$B$11:$B$310)),IF(150&lt;=COUNTA(半紙!$B$11:$B$310)+COUNTA(条幅!$B$11:$B$310)+COUNTA(条幅4分の1!$B$11:$B$310),INDEX(条幅4分の1!$K$11:$K$310,150-COUNTA(半紙!$B$11:$B$310)-COUNTA(条幅!$B$11:$B$310)),""))))</f>
        <v/>
      </c>
      <c r="L155" s="48" t="str">
        <f>IF($B155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150))</f>
        <v/>
      </c>
    </row>
    <row r="156" spans="1:12" ht="15" customHeight="1">
      <c r="A156" s="37" t="str">
        <f>IF(151&lt;=COUNTA(半紙!$B$11:$B$310),"半紙",IF(151&lt;=COUNTA(半紙!$B$11:$B$310)+COUNTA(条幅!$B$11:$B$310),"条幅(半切)",IF(151&lt;=COUNTA(半紙!$B$11:$B$310)+COUNTA(条幅!$B$11:$B$310)+COUNTA(条幅4分の1!$B$11:$B$310),"条幅(1/4)","")))</f>
        <v/>
      </c>
      <c r="B156" s="38" t="str">
        <f>IF(IF(151&lt;=COUNTA(半紙!$B$11:$B$310),INDEX(半紙!$B$11:$B$310,151),IF(151&lt;=COUNTA(半紙!$B$11:$B$310)+COUNTA(条幅!$B$11:$B$310),INDEX(条幅!$B$11:$B$310,151-COUNTA(半紙!$B$11:$B$310)),IF(151&lt;=COUNTA(半紙!$B$11:$B$310)+COUNTA(条幅!$B$11:$B$310)+COUNTA(条幅4分の1!$B$11:$B$310),INDEX(条幅4分の1!$B$11:$B$310,151-COUNTA(半紙!$B$11:$B$310)-COUNTA(条幅!$B$11:$B$310)),"")))=0,"",IF(151&lt;=COUNTA(半紙!$B$11:$B$310),INDEX(半紙!$B$11:$B$310,151),IF(151&lt;=COUNTA(半紙!$B$11:$B$310)+COUNTA(条幅!$B$11:$B$310),INDEX(条幅!$B$11:$B$310,151-COUNTA(半紙!$B$11:$B$310)),IF(151&lt;=COUNTA(半紙!$B$11:$B$310)+COUNTA(条幅!$B$11:$B$310)+COUNTA(条幅4分の1!$B$11:$B$310),INDEX(条幅4分の1!$B$11:$B$310,151-COUNTA(半紙!$B$11:$B$310)-COUNTA(条幅!$B$11:$B$310)),""))))</f>
        <v/>
      </c>
      <c r="C156" s="38" t="str">
        <f>IF(IF(151&lt;=COUNTA(半紙!$B$11:$B$310),INDEX(半紙!$C$11:$C$310,151),IF(151&lt;=COUNTA(半紙!$B$11:$B$310)+COUNTA(条幅!$B$11:$B$310),INDEX(条幅!$C$11:$C$310,151-COUNTA(半紙!$B$11:$B$310)),IF(151&lt;=COUNTA(半紙!$B$11:$B$310)+COUNTA(条幅!$B$11:$B$310)+COUNTA(条幅4分の1!$B$11:$B$310),INDEX(条幅4分の1!$C$11:$C$310,151-COUNTA(半紙!$B$11:$B$310)-COUNTA(条幅!$B$11:$B$310)),"")))=0,"",IF(151&lt;=COUNTA(半紙!$B$11:$B$310),INDEX(半紙!$C$11:$C$310,151),IF(151&lt;=COUNTA(半紙!$B$11:$B$310)+COUNTA(条幅!$B$11:$B$310),INDEX(条幅!$C$11:$C$310,151-COUNTA(半紙!$B$11:$B$310)),IF(151&lt;=COUNTA(半紙!$B$11:$B$310)+COUNTA(条幅!$B$11:$B$310)+COUNTA(条幅4分の1!$B$11:$B$310),INDEX(条幅4分の1!$C$11:$C$310,151-COUNTA(半紙!$B$11:$B$310)-COUNTA(条幅!$B$11:$B$310)),""))))</f>
        <v/>
      </c>
      <c r="D156" s="38" t="str">
        <f>IF(IF(151&lt;=COUNTA(半紙!$B$11:$B$310),INDEX(半紙!$D$11:$D$310,151),IF(151&lt;=COUNTA(半紙!$B$11:$B$310)+COUNTA(条幅!$B$11:$B$310),INDEX(条幅!$D$11:$D$310,151-COUNTA(半紙!$B$11:$B$310)),IF(151&lt;=COUNTA(半紙!$B$11:$B$310)+COUNTA(条幅!$B$11:$B$310)+COUNTA(条幅4分の1!$B$11:$B$310),INDEX(条幅4分の1!$D$11:$D$310,151-COUNTA(半紙!$B$11:$B$310)-COUNTA(条幅!$B$11:$B$310)),"")))=0,"",IF(151&lt;=COUNTA(半紙!$B$11:$B$310),INDEX(半紙!$D$11:$D$310,151),IF(151&lt;=COUNTA(半紙!$B$11:$B$310)+COUNTA(条幅!$B$11:$B$310),INDEX(条幅!$D$11:$D$310,151-COUNTA(半紙!$B$11:$B$310)),IF(151&lt;=COUNTA(半紙!$B$11:$B$310)+COUNTA(条幅!$B$11:$B$310)+COUNTA(条幅4分の1!$B$11:$B$310),INDEX(条幅4分の1!$D$11:$D$310,151-COUNTA(半紙!$B$11:$B$310)-COUNTA(条幅!$B$11:$B$310)),""))))</f>
        <v/>
      </c>
      <c r="E156" s="38" t="str">
        <f>IF(IF(151&lt;=COUNTA(半紙!$B$11:$B$310),INDEX(半紙!$E$11:$E$310,151),IF(151&lt;=COUNTA(半紙!$B$11:$B$310)+COUNTA(条幅!$B$11:$B$310),INDEX(条幅!$E$11:$E$310,151-COUNTA(半紙!$B$11:$B$310)),IF(151&lt;=COUNTA(半紙!$B$11:$B$310)+COUNTA(条幅!$B$11:$B$310)+COUNTA(条幅4分の1!$B$11:$B$310),INDEX(条幅4分の1!$E$11:$E$310,151-COUNTA(半紙!$B$11:$B$310)-COUNTA(条幅!$B$11:$B$310)),"")))=0,"",IF(151&lt;=COUNTA(半紙!$B$11:$B$310),INDEX(半紙!$E$11:$E$310,151),IF(151&lt;=COUNTA(半紙!$B$11:$B$310)+COUNTA(条幅!$B$11:$B$310),INDEX(条幅!$E$11:$E$310,151-COUNTA(半紙!$B$11:$B$310)),IF(151&lt;=COUNTA(半紙!$B$11:$B$310)+COUNTA(条幅!$B$11:$B$310)+COUNTA(条幅4分の1!$B$11:$B$310),INDEX(条幅4分の1!$E$11:$E$310,151-COUNTA(半紙!$B$11:$B$310)-COUNTA(条幅!$B$11:$B$310)),""))))</f>
        <v/>
      </c>
      <c r="F156" s="38" t="str">
        <f>IF(IF(151&lt;=COUNTA(半紙!$B$11:$B$310),INDEX(半紙!$F$11:$F$310,151),IF(151&lt;=COUNTA(半紙!$B$11:$B$310)+COUNTA(条幅!$B$11:$B$310),INDEX(条幅!$F$11:$F$310,151-COUNTA(半紙!$B$11:$B$310)),IF(151&lt;=COUNTA(半紙!$B$11:$B$310)+COUNTA(条幅!$B$11:$B$310)+COUNTA(条幅4分の1!$B$11:$B$310),INDEX(条幅4分の1!$F$11:$F$310,151-COUNTA(半紙!$B$11:$B$310)-COUNTA(条幅!$B$11:$B$310)),"")))=0,"",IF(151&lt;=COUNTA(半紙!$B$11:$B$310),INDEX(半紙!$F$11:$F$310,151),IF(151&lt;=COUNTA(半紙!$B$11:$B$310)+COUNTA(条幅!$B$11:$B$310),INDEX(条幅!$F$11:$F$310,151-COUNTA(半紙!$B$11:$B$310)),IF(151&lt;=COUNTA(半紙!$B$11:$B$310)+COUNTA(条幅!$B$11:$B$310)+COUNTA(条幅4分の1!$B$11:$B$310),INDEX(条幅4分の1!$F$11:$F$310,151-COUNTA(半紙!$B$11:$B$310)-COUNTA(条幅!$B$11:$B$310)),""))))</f>
        <v/>
      </c>
      <c r="G156" s="38" t="str">
        <f>IF(IF(151&lt;=COUNTA(半紙!$B$11:$B$310),INDEX(半紙!$G$11:$G$310,151),IF(151&lt;=COUNTA(半紙!$B$11:$B$310)+COUNTA(条幅!$B$11:$B$310),INDEX(条幅!$G$11:$G$310,151-COUNTA(半紙!$B$11:$B$310)),IF(151&lt;=COUNTA(半紙!$B$11:$B$310)+COUNTA(条幅!$B$11:$B$310)+COUNTA(条幅4分の1!$B$11:$B$310),INDEX(条幅4分の1!$G$11:$G$310,151-COUNTA(半紙!$B$11:$B$310)-COUNTA(条幅!$B$11:$B$310)),"")))=0,"",IF(151&lt;=COUNTA(半紙!$B$11:$B$310),INDEX(半紙!$G$11:$G$310,151),IF(151&lt;=COUNTA(半紙!$B$11:$B$310)+COUNTA(条幅!$B$11:$B$310),INDEX(条幅!$G$11:$G$310,151-COUNTA(半紙!$B$11:$B$310)),IF(151&lt;=COUNTA(半紙!$B$11:$B$310)+COUNTA(条幅!$B$11:$B$310)+COUNTA(条幅4分の1!$B$11:$B$310),INDEX(条幅4分の1!$G$11:$G$310,151-COUNTA(半紙!$B$11:$B$310)-COUNTA(条幅!$B$11:$B$310)),""))))</f>
        <v/>
      </c>
      <c r="H156" s="38" t="str">
        <f>IF(IF(151&lt;=COUNTA(半紙!$B$11:$B$310),INDEX(半紙!$H$11:$H$310,151),IF(151&lt;=COUNTA(半紙!$B$11:$B$310)+COUNTA(条幅!$B$11:$B$310),INDEX(条幅!$H$11:$H$310,151-COUNTA(半紙!$B$11:$B$310)),IF(151&lt;=COUNTA(半紙!$B$11:$B$310)+COUNTA(条幅!$B$11:$B$310)+COUNTA(条幅4分の1!$B$11:$B$310),INDEX(条幅4分の1!$H$11:$H$310,151-COUNTA(半紙!$B$11:$B$310)-COUNTA(条幅!$B$11:$B$310)),"")))=0,"",IF(151&lt;=COUNTA(半紙!$B$11:$B$310),INDEX(半紙!$H$11:$H$310,151),IF(151&lt;=COUNTA(半紙!$B$11:$B$310)+COUNTA(条幅!$B$11:$B$310),INDEX(条幅!$H$11:$H$310,151-COUNTA(半紙!$B$11:$B$310)),IF(151&lt;=COUNTA(半紙!$B$11:$B$310)+COUNTA(条幅!$B$11:$B$310)+COUNTA(条幅4分の1!$B$11:$B$310),INDEX(条幅4分の1!$H$11:$H$310,151-COUNTA(半紙!$B$11:$B$310)-COUNTA(条幅!$B$11:$B$310)),""))))</f>
        <v/>
      </c>
      <c r="I156" s="38" t="str">
        <f>IF(IF(151&lt;=COUNTA(半紙!$B$11:$B$310),INDEX(半紙!$I$11:$I$310,151),IF(151&lt;=COUNTA(半紙!$B$11:$B$310)+COUNTA(条幅!$B$11:$B$310),INDEX(条幅!$I$11:$I$310,151-COUNTA(半紙!$B$11:$B$310)),IF(151&lt;=COUNTA(半紙!$B$11:$B$310)+COUNTA(条幅!$B$11:$B$310)+COUNTA(条幅4分の1!$B$11:$B$310),INDEX(条幅4分の1!$I$11:$I$310,151-COUNTA(半紙!$B$11:$B$310)-COUNTA(条幅!$B$11:$B$310)),"")))=0,"",IF(151&lt;=COUNTA(半紙!$B$11:$B$310),INDEX(半紙!$I$11:$I$310,151),IF(151&lt;=COUNTA(半紙!$B$11:$B$310)+COUNTA(条幅!$B$11:$B$310),INDEX(条幅!$I$11:$I$310,151-COUNTA(半紙!$B$11:$B$310)),IF(151&lt;=COUNTA(半紙!$B$11:$B$310)+COUNTA(条幅!$B$11:$B$310)+COUNTA(条幅4分の1!$B$11:$B$310),INDEX(条幅4分の1!$I$11:$I$310,151-COUNTA(半紙!$B$11:$B$310)-COUNTA(条幅!$B$11:$B$310)),""))))</f>
        <v/>
      </c>
      <c r="J156" s="38" t="str">
        <f>IF(IF(151&lt;=COUNTA(半紙!$B$11:$B$310),INDEX(半紙!$J$11:$J$310,151),IF(151&lt;=COUNTA(半紙!$B$11:$B$310)+COUNTA(条幅!$B$11:$B$310),INDEX(条幅!$J$11:$J$310,151-COUNTA(半紙!$B$11:$B$310)),IF(151&lt;=COUNTA(半紙!$B$11:$B$310)+COUNTA(条幅!$B$11:$B$310)+COUNTA(条幅4分の1!$B$11:$B$310),INDEX(条幅4分の1!$J$11:$J$310,151-COUNTA(半紙!$B$11:$B$310)-COUNTA(条幅!$B$11:$B$310)),"")))=0,"",IF(151&lt;=COUNTA(半紙!$B$11:$B$310),INDEX(半紙!$J$11:$J$310,151),IF(151&lt;=COUNTA(半紙!$B$11:$B$310)+COUNTA(条幅!$B$11:$B$310),INDEX(条幅!$J$11:$J$310,151-COUNTA(半紙!$B$11:$B$310)),IF(151&lt;=COUNTA(半紙!$B$11:$B$310)+COUNTA(条幅!$B$11:$B$310)+COUNTA(条幅4分の1!$B$11:$B$310),INDEX(条幅4分の1!$J$11:$J$310,151-COUNTA(半紙!$B$11:$B$310)-COUNTA(条幅!$B$11:$B$310)),""))))</f>
        <v/>
      </c>
      <c r="K156" s="38" t="str">
        <f>IF(IF(151&lt;=COUNTA(半紙!$B$11:$B$310),INDEX(半紙!$K$11:$K$310,151),IF(151&lt;=COUNTA(半紙!$B$11:$B$310)+COUNTA(条幅!$B$11:$B$310),INDEX(条幅!$K$11:$K$310,151-COUNTA(半紙!$B$11:$B$310)),IF(151&lt;=COUNTA(半紙!$B$11:$B$310)+COUNTA(条幅!$B$11:$B$310)+COUNTA(条幅4分の1!$B$11:$B$310),INDEX(条幅4分の1!$K$11:$K$310,151-COUNTA(半紙!$B$11:$B$310)-COUNTA(条幅!$B$11:$B$310)),"")))=0,"",IF(151&lt;=COUNTA(半紙!$B$11:$B$310),INDEX(半紙!$K$11:$K$310,151),IF(151&lt;=COUNTA(半紙!$B$11:$B$310)+COUNTA(条幅!$B$11:$B$310),INDEX(条幅!$K$11:$K$310,151-COUNTA(半紙!$B$11:$B$310)),IF(151&lt;=COUNTA(半紙!$B$11:$B$310)+COUNTA(条幅!$B$11:$B$310)+COUNTA(条幅4分の1!$B$11:$B$310),INDEX(条幅4分の1!$K$11:$K$310,151-COUNTA(半紙!$B$11:$B$310)-COUNTA(条幅!$B$11:$B$310)),""))))</f>
        <v/>
      </c>
      <c r="L156" s="48" t="str">
        <f>IF($B156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151))</f>
        <v/>
      </c>
    </row>
    <row r="157" spans="1:12" ht="15" customHeight="1">
      <c r="A157" s="37" t="str">
        <f>IF(152&lt;=COUNTA(半紙!$B$11:$B$310),"半紙",IF(152&lt;=COUNTA(半紙!$B$11:$B$310)+COUNTA(条幅!$B$11:$B$310),"条幅(半切)",IF(152&lt;=COUNTA(半紙!$B$11:$B$310)+COUNTA(条幅!$B$11:$B$310)+COUNTA(条幅4分の1!$B$11:$B$310),"条幅(1/4)","")))</f>
        <v/>
      </c>
      <c r="B157" s="38" t="str">
        <f>IF(IF(152&lt;=COUNTA(半紙!$B$11:$B$310),INDEX(半紙!$B$11:$B$310,152),IF(152&lt;=COUNTA(半紙!$B$11:$B$310)+COUNTA(条幅!$B$11:$B$310),INDEX(条幅!$B$11:$B$310,152-COUNTA(半紙!$B$11:$B$310)),IF(152&lt;=COUNTA(半紙!$B$11:$B$310)+COUNTA(条幅!$B$11:$B$310)+COUNTA(条幅4分の1!$B$11:$B$310),INDEX(条幅4分の1!$B$11:$B$310,152-COUNTA(半紙!$B$11:$B$310)-COUNTA(条幅!$B$11:$B$310)),"")))=0,"",IF(152&lt;=COUNTA(半紙!$B$11:$B$310),INDEX(半紙!$B$11:$B$310,152),IF(152&lt;=COUNTA(半紙!$B$11:$B$310)+COUNTA(条幅!$B$11:$B$310),INDEX(条幅!$B$11:$B$310,152-COUNTA(半紙!$B$11:$B$310)),IF(152&lt;=COUNTA(半紙!$B$11:$B$310)+COUNTA(条幅!$B$11:$B$310)+COUNTA(条幅4分の1!$B$11:$B$310),INDEX(条幅4分の1!$B$11:$B$310,152-COUNTA(半紙!$B$11:$B$310)-COUNTA(条幅!$B$11:$B$310)),""))))</f>
        <v/>
      </c>
      <c r="C157" s="38" t="str">
        <f>IF(IF(152&lt;=COUNTA(半紙!$B$11:$B$310),INDEX(半紙!$C$11:$C$310,152),IF(152&lt;=COUNTA(半紙!$B$11:$B$310)+COUNTA(条幅!$B$11:$B$310),INDEX(条幅!$C$11:$C$310,152-COUNTA(半紙!$B$11:$B$310)),IF(152&lt;=COUNTA(半紙!$B$11:$B$310)+COUNTA(条幅!$B$11:$B$310)+COUNTA(条幅4分の1!$B$11:$B$310),INDEX(条幅4分の1!$C$11:$C$310,152-COUNTA(半紙!$B$11:$B$310)-COUNTA(条幅!$B$11:$B$310)),"")))=0,"",IF(152&lt;=COUNTA(半紙!$B$11:$B$310),INDEX(半紙!$C$11:$C$310,152),IF(152&lt;=COUNTA(半紙!$B$11:$B$310)+COUNTA(条幅!$B$11:$B$310),INDEX(条幅!$C$11:$C$310,152-COUNTA(半紙!$B$11:$B$310)),IF(152&lt;=COUNTA(半紙!$B$11:$B$310)+COUNTA(条幅!$B$11:$B$310)+COUNTA(条幅4分の1!$B$11:$B$310),INDEX(条幅4分の1!$C$11:$C$310,152-COUNTA(半紙!$B$11:$B$310)-COUNTA(条幅!$B$11:$B$310)),""))))</f>
        <v/>
      </c>
      <c r="D157" s="38" t="str">
        <f>IF(IF(152&lt;=COUNTA(半紙!$B$11:$B$310),INDEX(半紙!$D$11:$D$310,152),IF(152&lt;=COUNTA(半紙!$B$11:$B$310)+COUNTA(条幅!$B$11:$B$310),INDEX(条幅!$D$11:$D$310,152-COUNTA(半紙!$B$11:$B$310)),IF(152&lt;=COUNTA(半紙!$B$11:$B$310)+COUNTA(条幅!$B$11:$B$310)+COUNTA(条幅4分の1!$B$11:$B$310),INDEX(条幅4分の1!$D$11:$D$310,152-COUNTA(半紙!$B$11:$B$310)-COUNTA(条幅!$B$11:$B$310)),"")))=0,"",IF(152&lt;=COUNTA(半紙!$B$11:$B$310),INDEX(半紙!$D$11:$D$310,152),IF(152&lt;=COUNTA(半紙!$B$11:$B$310)+COUNTA(条幅!$B$11:$B$310),INDEX(条幅!$D$11:$D$310,152-COUNTA(半紙!$B$11:$B$310)),IF(152&lt;=COUNTA(半紙!$B$11:$B$310)+COUNTA(条幅!$B$11:$B$310)+COUNTA(条幅4分の1!$B$11:$B$310),INDEX(条幅4分の1!$D$11:$D$310,152-COUNTA(半紙!$B$11:$B$310)-COUNTA(条幅!$B$11:$B$310)),""))))</f>
        <v/>
      </c>
      <c r="E157" s="38" t="str">
        <f>IF(IF(152&lt;=COUNTA(半紙!$B$11:$B$310),INDEX(半紙!$E$11:$E$310,152),IF(152&lt;=COUNTA(半紙!$B$11:$B$310)+COUNTA(条幅!$B$11:$B$310),INDEX(条幅!$E$11:$E$310,152-COUNTA(半紙!$B$11:$B$310)),IF(152&lt;=COUNTA(半紙!$B$11:$B$310)+COUNTA(条幅!$B$11:$B$310)+COUNTA(条幅4分の1!$B$11:$B$310),INDEX(条幅4分の1!$E$11:$E$310,152-COUNTA(半紙!$B$11:$B$310)-COUNTA(条幅!$B$11:$B$310)),"")))=0,"",IF(152&lt;=COUNTA(半紙!$B$11:$B$310),INDEX(半紙!$E$11:$E$310,152),IF(152&lt;=COUNTA(半紙!$B$11:$B$310)+COUNTA(条幅!$B$11:$B$310),INDEX(条幅!$E$11:$E$310,152-COUNTA(半紙!$B$11:$B$310)),IF(152&lt;=COUNTA(半紙!$B$11:$B$310)+COUNTA(条幅!$B$11:$B$310)+COUNTA(条幅4分の1!$B$11:$B$310),INDEX(条幅4分の1!$E$11:$E$310,152-COUNTA(半紙!$B$11:$B$310)-COUNTA(条幅!$B$11:$B$310)),""))))</f>
        <v/>
      </c>
      <c r="F157" s="38" t="str">
        <f>IF(IF(152&lt;=COUNTA(半紙!$B$11:$B$310),INDEX(半紙!$F$11:$F$310,152),IF(152&lt;=COUNTA(半紙!$B$11:$B$310)+COUNTA(条幅!$B$11:$B$310),INDEX(条幅!$F$11:$F$310,152-COUNTA(半紙!$B$11:$B$310)),IF(152&lt;=COUNTA(半紙!$B$11:$B$310)+COUNTA(条幅!$B$11:$B$310)+COUNTA(条幅4分の1!$B$11:$B$310),INDEX(条幅4分の1!$F$11:$F$310,152-COUNTA(半紙!$B$11:$B$310)-COUNTA(条幅!$B$11:$B$310)),"")))=0,"",IF(152&lt;=COUNTA(半紙!$B$11:$B$310),INDEX(半紙!$F$11:$F$310,152),IF(152&lt;=COUNTA(半紙!$B$11:$B$310)+COUNTA(条幅!$B$11:$B$310),INDEX(条幅!$F$11:$F$310,152-COUNTA(半紙!$B$11:$B$310)),IF(152&lt;=COUNTA(半紙!$B$11:$B$310)+COUNTA(条幅!$B$11:$B$310)+COUNTA(条幅4分の1!$B$11:$B$310),INDEX(条幅4分の1!$F$11:$F$310,152-COUNTA(半紙!$B$11:$B$310)-COUNTA(条幅!$B$11:$B$310)),""))))</f>
        <v/>
      </c>
      <c r="G157" s="38" t="str">
        <f>IF(IF(152&lt;=COUNTA(半紙!$B$11:$B$310),INDEX(半紙!$G$11:$G$310,152),IF(152&lt;=COUNTA(半紙!$B$11:$B$310)+COUNTA(条幅!$B$11:$B$310),INDEX(条幅!$G$11:$G$310,152-COUNTA(半紙!$B$11:$B$310)),IF(152&lt;=COUNTA(半紙!$B$11:$B$310)+COUNTA(条幅!$B$11:$B$310)+COUNTA(条幅4分の1!$B$11:$B$310),INDEX(条幅4分の1!$G$11:$G$310,152-COUNTA(半紙!$B$11:$B$310)-COUNTA(条幅!$B$11:$B$310)),"")))=0,"",IF(152&lt;=COUNTA(半紙!$B$11:$B$310),INDEX(半紙!$G$11:$G$310,152),IF(152&lt;=COUNTA(半紙!$B$11:$B$310)+COUNTA(条幅!$B$11:$B$310),INDEX(条幅!$G$11:$G$310,152-COUNTA(半紙!$B$11:$B$310)),IF(152&lt;=COUNTA(半紙!$B$11:$B$310)+COUNTA(条幅!$B$11:$B$310)+COUNTA(条幅4分の1!$B$11:$B$310),INDEX(条幅4分の1!$G$11:$G$310,152-COUNTA(半紙!$B$11:$B$310)-COUNTA(条幅!$B$11:$B$310)),""))))</f>
        <v/>
      </c>
      <c r="H157" s="38" t="str">
        <f>IF(IF(152&lt;=COUNTA(半紙!$B$11:$B$310),INDEX(半紙!$H$11:$H$310,152),IF(152&lt;=COUNTA(半紙!$B$11:$B$310)+COUNTA(条幅!$B$11:$B$310),INDEX(条幅!$H$11:$H$310,152-COUNTA(半紙!$B$11:$B$310)),IF(152&lt;=COUNTA(半紙!$B$11:$B$310)+COUNTA(条幅!$B$11:$B$310)+COUNTA(条幅4分の1!$B$11:$B$310),INDEX(条幅4分の1!$H$11:$H$310,152-COUNTA(半紙!$B$11:$B$310)-COUNTA(条幅!$B$11:$B$310)),"")))=0,"",IF(152&lt;=COUNTA(半紙!$B$11:$B$310),INDEX(半紙!$H$11:$H$310,152),IF(152&lt;=COUNTA(半紙!$B$11:$B$310)+COUNTA(条幅!$B$11:$B$310),INDEX(条幅!$H$11:$H$310,152-COUNTA(半紙!$B$11:$B$310)),IF(152&lt;=COUNTA(半紙!$B$11:$B$310)+COUNTA(条幅!$B$11:$B$310)+COUNTA(条幅4分の1!$B$11:$B$310),INDEX(条幅4分の1!$H$11:$H$310,152-COUNTA(半紙!$B$11:$B$310)-COUNTA(条幅!$B$11:$B$310)),""))))</f>
        <v/>
      </c>
      <c r="I157" s="38" t="str">
        <f>IF(IF(152&lt;=COUNTA(半紙!$B$11:$B$310),INDEX(半紙!$I$11:$I$310,152),IF(152&lt;=COUNTA(半紙!$B$11:$B$310)+COUNTA(条幅!$B$11:$B$310),INDEX(条幅!$I$11:$I$310,152-COUNTA(半紙!$B$11:$B$310)),IF(152&lt;=COUNTA(半紙!$B$11:$B$310)+COUNTA(条幅!$B$11:$B$310)+COUNTA(条幅4分の1!$B$11:$B$310),INDEX(条幅4分の1!$I$11:$I$310,152-COUNTA(半紙!$B$11:$B$310)-COUNTA(条幅!$B$11:$B$310)),"")))=0,"",IF(152&lt;=COUNTA(半紙!$B$11:$B$310),INDEX(半紙!$I$11:$I$310,152),IF(152&lt;=COUNTA(半紙!$B$11:$B$310)+COUNTA(条幅!$B$11:$B$310),INDEX(条幅!$I$11:$I$310,152-COUNTA(半紙!$B$11:$B$310)),IF(152&lt;=COUNTA(半紙!$B$11:$B$310)+COUNTA(条幅!$B$11:$B$310)+COUNTA(条幅4分の1!$B$11:$B$310),INDEX(条幅4分の1!$I$11:$I$310,152-COUNTA(半紙!$B$11:$B$310)-COUNTA(条幅!$B$11:$B$310)),""))))</f>
        <v/>
      </c>
      <c r="J157" s="38" t="str">
        <f>IF(IF(152&lt;=COUNTA(半紙!$B$11:$B$310),INDEX(半紙!$J$11:$J$310,152),IF(152&lt;=COUNTA(半紙!$B$11:$B$310)+COUNTA(条幅!$B$11:$B$310),INDEX(条幅!$J$11:$J$310,152-COUNTA(半紙!$B$11:$B$310)),IF(152&lt;=COUNTA(半紙!$B$11:$B$310)+COUNTA(条幅!$B$11:$B$310)+COUNTA(条幅4分の1!$B$11:$B$310),INDEX(条幅4分の1!$J$11:$J$310,152-COUNTA(半紙!$B$11:$B$310)-COUNTA(条幅!$B$11:$B$310)),"")))=0,"",IF(152&lt;=COUNTA(半紙!$B$11:$B$310),INDEX(半紙!$J$11:$J$310,152),IF(152&lt;=COUNTA(半紙!$B$11:$B$310)+COUNTA(条幅!$B$11:$B$310),INDEX(条幅!$J$11:$J$310,152-COUNTA(半紙!$B$11:$B$310)),IF(152&lt;=COUNTA(半紙!$B$11:$B$310)+COUNTA(条幅!$B$11:$B$310)+COUNTA(条幅4分の1!$B$11:$B$310),INDEX(条幅4分の1!$J$11:$J$310,152-COUNTA(半紙!$B$11:$B$310)-COUNTA(条幅!$B$11:$B$310)),""))))</f>
        <v/>
      </c>
      <c r="K157" s="38" t="str">
        <f>IF(IF(152&lt;=COUNTA(半紙!$B$11:$B$310),INDEX(半紙!$K$11:$K$310,152),IF(152&lt;=COUNTA(半紙!$B$11:$B$310)+COUNTA(条幅!$B$11:$B$310),INDEX(条幅!$K$11:$K$310,152-COUNTA(半紙!$B$11:$B$310)),IF(152&lt;=COUNTA(半紙!$B$11:$B$310)+COUNTA(条幅!$B$11:$B$310)+COUNTA(条幅4分の1!$B$11:$B$310),INDEX(条幅4分の1!$K$11:$K$310,152-COUNTA(半紙!$B$11:$B$310)-COUNTA(条幅!$B$11:$B$310)),"")))=0,"",IF(152&lt;=COUNTA(半紙!$B$11:$B$310),INDEX(半紙!$K$11:$K$310,152),IF(152&lt;=COUNTA(半紙!$B$11:$B$310)+COUNTA(条幅!$B$11:$B$310),INDEX(条幅!$K$11:$K$310,152-COUNTA(半紙!$B$11:$B$310)),IF(152&lt;=COUNTA(半紙!$B$11:$B$310)+COUNTA(条幅!$B$11:$B$310)+COUNTA(条幅4分の1!$B$11:$B$310),INDEX(条幅4分の1!$K$11:$K$310,152-COUNTA(半紙!$B$11:$B$310)-COUNTA(条幅!$B$11:$B$310)),""))))</f>
        <v/>
      </c>
      <c r="L157" s="48" t="str">
        <f>IF($B157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152))</f>
        <v/>
      </c>
    </row>
    <row r="158" spans="1:12" ht="15" customHeight="1">
      <c r="A158" s="37" t="str">
        <f>IF(153&lt;=COUNTA(半紙!$B$11:$B$310),"半紙",IF(153&lt;=COUNTA(半紙!$B$11:$B$310)+COUNTA(条幅!$B$11:$B$310),"条幅(半切)",IF(153&lt;=COUNTA(半紙!$B$11:$B$310)+COUNTA(条幅!$B$11:$B$310)+COUNTA(条幅4分の1!$B$11:$B$310),"条幅(1/4)","")))</f>
        <v/>
      </c>
      <c r="B158" s="38" t="str">
        <f>IF(IF(153&lt;=COUNTA(半紙!$B$11:$B$310),INDEX(半紙!$B$11:$B$310,153),IF(153&lt;=COUNTA(半紙!$B$11:$B$310)+COUNTA(条幅!$B$11:$B$310),INDEX(条幅!$B$11:$B$310,153-COUNTA(半紙!$B$11:$B$310)),IF(153&lt;=COUNTA(半紙!$B$11:$B$310)+COUNTA(条幅!$B$11:$B$310)+COUNTA(条幅4分の1!$B$11:$B$310),INDEX(条幅4分の1!$B$11:$B$310,153-COUNTA(半紙!$B$11:$B$310)-COUNTA(条幅!$B$11:$B$310)),"")))=0,"",IF(153&lt;=COUNTA(半紙!$B$11:$B$310),INDEX(半紙!$B$11:$B$310,153),IF(153&lt;=COUNTA(半紙!$B$11:$B$310)+COUNTA(条幅!$B$11:$B$310),INDEX(条幅!$B$11:$B$310,153-COUNTA(半紙!$B$11:$B$310)),IF(153&lt;=COUNTA(半紙!$B$11:$B$310)+COUNTA(条幅!$B$11:$B$310)+COUNTA(条幅4分の1!$B$11:$B$310),INDEX(条幅4分の1!$B$11:$B$310,153-COUNTA(半紙!$B$11:$B$310)-COUNTA(条幅!$B$11:$B$310)),""))))</f>
        <v/>
      </c>
      <c r="C158" s="38" t="str">
        <f>IF(IF(153&lt;=COUNTA(半紙!$B$11:$B$310),INDEX(半紙!$C$11:$C$310,153),IF(153&lt;=COUNTA(半紙!$B$11:$B$310)+COUNTA(条幅!$B$11:$B$310),INDEX(条幅!$C$11:$C$310,153-COUNTA(半紙!$B$11:$B$310)),IF(153&lt;=COUNTA(半紙!$B$11:$B$310)+COUNTA(条幅!$B$11:$B$310)+COUNTA(条幅4分の1!$B$11:$B$310),INDEX(条幅4分の1!$C$11:$C$310,153-COUNTA(半紙!$B$11:$B$310)-COUNTA(条幅!$B$11:$B$310)),"")))=0,"",IF(153&lt;=COUNTA(半紙!$B$11:$B$310),INDEX(半紙!$C$11:$C$310,153),IF(153&lt;=COUNTA(半紙!$B$11:$B$310)+COUNTA(条幅!$B$11:$B$310),INDEX(条幅!$C$11:$C$310,153-COUNTA(半紙!$B$11:$B$310)),IF(153&lt;=COUNTA(半紙!$B$11:$B$310)+COUNTA(条幅!$B$11:$B$310)+COUNTA(条幅4分の1!$B$11:$B$310),INDEX(条幅4分の1!$C$11:$C$310,153-COUNTA(半紙!$B$11:$B$310)-COUNTA(条幅!$B$11:$B$310)),""))))</f>
        <v/>
      </c>
      <c r="D158" s="38" t="str">
        <f>IF(IF(153&lt;=COUNTA(半紙!$B$11:$B$310),INDEX(半紙!$D$11:$D$310,153),IF(153&lt;=COUNTA(半紙!$B$11:$B$310)+COUNTA(条幅!$B$11:$B$310),INDEX(条幅!$D$11:$D$310,153-COUNTA(半紙!$B$11:$B$310)),IF(153&lt;=COUNTA(半紙!$B$11:$B$310)+COUNTA(条幅!$B$11:$B$310)+COUNTA(条幅4分の1!$B$11:$B$310),INDEX(条幅4分の1!$D$11:$D$310,153-COUNTA(半紙!$B$11:$B$310)-COUNTA(条幅!$B$11:$B$310)),"")))=0,"",IF(153&lt;=COUNTA(半紙!$B$11:$B$310),INDEX(半紙!$D$11:$D$310,153),IF(153&lt;=COUNTA(半紙!$B$11:$B$310)+COUNTA(条幅!$B$11:$B$310),INDEX(条幅!$D$11:$D$310,153-COUNTA(半紙!$B$11:$B$310)),IF(153&lt;=COUNTA(半紙!$B$11:$B$310)+COUNTA(条幅!$B$11:$B$310)+COUNTA(条幅4分の1!$B$11:$B$310),INDEX(条幅4分の1!$D$11:$D$310,153-COUNTA(半紙!$B$11:$B$310)-COUNTA(条幅!$B$11:$B$310)),""))))</f>
        <v/>
      </c>
      <c r="E158" s="38" t="str">
        <f>IF(IF(153&lt;=COUNTA(半紙!$B$11:$B$310),INDEX(半紙!$E$11:$E$310,153),IF(153&lt;=COUNTA(半紙!$B$11:$B$310)+COUNTA(条幅!$B$11:$B$310),INDEX(条幅!$E$11:$E$310,153-COUNTA(半紙!$B$11:$B$310)),IF(153&lt;=COUNTA(半紙!$B$11:$B$310)+COUNTA(条幅!$B$11:$B$310)+COUNTA(条幅4分の1!$B$11:$B$310),INDEX(条幅4分の1!$E$11:$E$310,153-COUNTA(半紙!$B$11:$B$310)-COUNTA(条幅!$B$11:$B$310)),"")))=0,"",IF(153&lt;=COUNTA(半紙!$B$11:$B$310),INDEX(半紙!$E$11:$E$310,153),IF(153&lt;=COUNTA(半紙!$B$11:$B$310)+COUNTA(条幅!$B$11:$B$310),INDEX(条幅!$E$11:$E$310,153-COUNTA(半紙!$B$11:$B$310)),IF(153&lt;=COUNTA(半紙!$B$11:$B$310)+COUNTA(条幅!$B$11:$B$310)+COUNTA(条幅4分の1!$B$11:$B$310),INDEX(条幅4分の1!$E$11:$E$310,153-COUNTA(半紙!$B$11:$B$310)-COUNTA(条幅!$B$11:$B$310)),""))))</f>
        <v/>
      </c>
      <c r="F158" s="38" t="str">
        <f>IF(IF(153&lt;=COUNTA(半紙!$B$11:$B$310),INDEX(半紙!$F$11:$F$310,153),IF(153&lt;=COUNTA(半紙!$B$11:$B$310)+COUNTA(条幅!$B$11:$B$310),INDEX(条幅!$F$11:$F$310,153-COUNTA(半紙!$B$11:$B$310)),IF(153&lt;=COUNTA(半紙!$B$11:$B$310)+COUNTA(条幅!$B$11:$B$310)+COUNTA(条幅4分の1!$B$11:$B$310),INDEX(条幅4分の1!$F$11:$F$310,153-COUNTA(半紙!$B$11:$B$310)-COUNTA(条幅!$B$11:$B$310)),"")))=0,"",IF(153&lt;=COUNTA(半紙!$B$11:$B$310),INDEX(半紙!$F$11:$F$310,153),IF(153&lt;=COUNTA(半紙!$B$11:$B$310)+COUNTA(条幅!$B$11:$B$310),INDEX(条幅!$F$11:$F$310,153-COUNTA(半紙!$B$11:$B$310)),IF(153&lt;=COUNTA(半紙!$B$11:$B$310)+COUNTA(条幅!$B$11:$B$310)+COUNTA(条幅4分の1!$B$11:$B$310),INDEX(条幅4分の1!$F$11:$F$310,153-COUNTA(半紙!$B$11:$B$310)-COUNTA(条幅!$B$11:$B$310)),""))))</f>
        <v/>
      </c>
      <c r="G158" s="38" t="str">
        <f>IF(IF(153&lt;=COUNTA(半紙!$B$11:$B$310),INDEX(半紙!$G$11:$G$310,153),IF(153&lt;=COUNTA(半紙!$B$11:$B$310)+COUNTA(条幅!$B$11:$B$310),INDEX(条幅!$G$11:$G$310,153-COUNTA(半紙!$B$11:$B$310)),IF(153&lt;=COUNTA(半紙!$B$11:$B$310)+COUNTA(条幅!$B$11:$B$310)+COUNTA(条幅4分の1!$B$11:$B$310),INDEX(条幅4分の1!$G$11:$G$310,153-COUNTA(半紙!$B$11:$B$310)-COUNTA(条幅!$B$11:$B$310)),"")))=0,"",IF(153&lt;=COUNTA(半紙!$B$11:$B$310),INDEX(半紙!$G$11:$G$310,153),IF(153&lt;=COUNTA(半紙!$B$11:$B$310)+COUNTA(条幅!$B$11:$B$310),INDEX(条幅!$G$11:$G$310,153-COUNTA(半紙!$B$11:$B$310)),IF(153&lt;=COUNTA(半紙!$B$11:$B$310)+COUNTA(条幅!$B$11:$B$310)+COUNTA(条幅4分の1!$B$11:$B$310),INDEX(条幅4分の1!$G$11:$G$310,153-COUNTA(半紙!$B$11:$B$310)-COUNTA(条幅!$B$11:$B$310)),""))))</f>
        <v/>
      </c>
      <c r="H158" s="38" t="str">
        <f>IF(IF(153&lt;=COUNTA(半紙!$B$11:$B$310),INDEX(半紙!$H$11:$H$310,153),IF(153&lt;=COUNTA(半紙!$B$11:$B$310)+COUNTA(条幅!$B$11:$B$310),INDEX(条幅!$H$11:$H$310,153-COUNTA(半紙!$B$11:$B$310)),IF(153&lt;=COUNTA(半紙!$B$11:$B$310)+COUNTA(条幅!$B$11:$B$310)+COUNTA(条幅4分の1!$B$11:$B$310),INDEX(条幅4分の1!$H$11:$H$310,153-COUNTA(半紙!$B$11:$B$310)-COUNTA(条幅!$B$11:$B$310)),"")))=0,"",IF(153&lt;=COUNTA(半紙!$B$11:$B$310),INDEX(半紙!$H$11:$H$310,153),IF(153&lt;=COUNTA(半紙!$B$11:$B$310)+COUNTA(条幅!$B$11:$B$310),INDEX(条幅!$H$11:$H$310,153-COUNTA(半紙!$B$11:$B$310)),IF(153&lt;=COUNTA(半紙!$B$11:$B$310)+COUNTA(条幅!$B$11:$B$310)+COUNTA(条幅4分の1!$B$11:$B$310),INDEX(条幅4分の1!$H$11:$H$310,153-COUNTA(半紙!$B$11:$B$310)-COUNTA(条幅!$B$11:$B$310)),""))))</f>
        <v/>
      </c>
      <c r="I158" s="38" t="str">
        <f>IF(IF(153&lt;=COUNTA(半紙!$B$11:$B$310),INDEX(半紙!$I$11:$I$310,153),IF(153&lt;=COUNTA(半紙!$B$11:$B$310)+COUNTA(条幅!$B$11:$B$310),INDEX(条幅!$I$11:$I$310,153-COUNTA(半紙!$B$11:$B$310)),IF(153&lt;=COUNTA(半紙!$B$11:$B$310)+COUNTA(条幅!$B$11:$B$310)+COUNTA(条幅4分の1!$B$11:$B$310),INDEX(条幅4分の1!$I$11:$I$310,153-COUNTA(半紙!$B$11:$B$310)-COUNTA(条幅!$B$11:$B$310)),"")))=0,"",IF(153&lt;=COUNTA(半紙!$B$11:$B$310),INDEX(半紙!$I$11:$I$310,153),IF(153&lt;=COUNTA(半紙!$B$11:$B$310)+COUNTA(条幅!$B$11:$B$310),INDEX(条幅!$I$11:$I$310,153-COUNTA(半紙!$B$11:$B$310)),IF(153&lt;=COUNTA(半紙!$B$11:$B$310)+COUNTA(条幅!$B$11:$B$310)+COUNTA(条幅4分の1!$B$11:$B$310),INDEX(条幅4分の1!$I$11:$I$310,153-COUNTA(半紙!$B$11:$B$310)-COUNTA(条幅!$B$11:$B$310)),""))))</f>
        <v/>
      </c>
      <c r="J158" s="38" t="str">
        <f>IF(IF(153&lt;=COUNTA(半紙!$B$11:$B$310),INDEX(半紙!$J$11:$J$310,153),IF(153&lt;=COUNTA(半紙!$B$11:$B$310)+COUNTA(条幅!$B$11:$B$310),INDEX(条幅!$J$11:$J$310,153-COUNTA(半紙!$B$11:$B$310)),IF(153&lt;=COUNTA(半紙!$B$11:$B$310)+COUNTA(条幅!$B$11:$B$310)+COUNTA(条幅4分の1!$B$11:$B$310),INDEX(条幅4分の1!$J$11:$J$310,153-COUNTA(半紙!$B$11:$B$310)-COUNTA(条幅!$B$11:$B$310)),"")))=0,"",IF(153&lt;=COUNTA(半紙!$B$11:$B$310),INDEX(半紙!$J$11:$J$310,153),IF(153&lt;=COUNTA(半紙!$B$11:$B$310)+COUNTA(条幅!$B$11:$B$310),INDEX(条幅!$J$11:$J$310,153-COUNTA(半紙!$B$11:$B$310)),IF(153&lt;=COUNTA(半紙!$B$11:$B$310)+COUNTA(条幅!$B$11:$B$310)+COUNTA(条幅4分の1!$B$11:$B$310),INDEX(条幅4分の1!$J$11:$J$310,153-COUNTA(半紙!$B$11:$B$310)-COUNTA(条幅!$B$11:$B$310)),""))))</f>
        <v/>
      </c>
      <c r="K158" s="38" t="str">
        <f>IF(IF(153&lt;=COUNTA(半紙!$B$11:$B$310),INDEX(半紙!$K$11:$K$310,153),IF(153&lt;=COUNTA(半紙!$B$11:$B$310)+COUNTA(条幅!$B$11:$B$310),INDEX(条幅!$K$11:$K$310,153-COUNTA(半紙!$B$11:$B$310)),IF(153&lt;=COUNTA(半紙!$B$11:$B$310)+COUNTA(条幅!$B$11:$B$310)+COUNTA(条幅4分の1!$B$11:$B$310),INDEX(条幅4分の1!$K$11:$K$310,153-COUNTA(半紙!$B$11:$B$310)-COUNTA(条幅!$B$11:$B$310)),"")))=0,"",IF(153&lt;=COUNTA(半紙!$B$11:$B$310),INDEX(半紙!$K$11:$K$310,153),IF(153&lt;=COUNTA(半紙!$B$11:$B$310)+COUNTA(条幅!$B$11:$B$310),INDEX(条幅!$K$11:$K$310,153-COUNTA(半紙!$B$11:$B$310)),IF(153&lt;=COUNTA(半紙!$B$11:$B$310)+COUNTA(条幅!$B$11:$B$310)+COUNTA(条幅4分の1!$B$11:$B$310),INDEX(条幅4分の1!$K$11:$K$310,153-COUNTA(半紙!$B$11:$B$310)-COUNTA(条幅!$B$11:$B$310)),""))))</f>
        <v/>
      </c>
      <c r="L158" s="48" t="str">
        <f>IF($B158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153))</f>
        <v/>
      </c>
    </row>
    <row r="159" spans="1:12" ht="15" customHeight="1">
      <c r="A159" s="37" t="str">
        <f>IF(154&lt;=COUNTA(半紙!$B$11:$B$310),"半紙",IF(154&lt;=COUNTA(半紙!$B$11:$B$310)+COUNTA(条幅!$B$11:$B$310),"条幅(半切)",IF(154&lt;=COUNTA(半紙!$B$11:$B$310)+COUNTA(条幅!$B$11:$B$310)+COUNTA(条幅4分の1!$B$11:$B$310),"条幅(1/4)","")))</f>
        <v/>
      </c>
      <c r="B159" s="38" t="str">
        <f>IF(IF(154&lt;=COUNTA(半紙!$B$11:$B$310),INDEX(半紙!$B$11:$B$310,154),IF(154&lt;=COUNTA(半紙!$B$11:$B$310)+COUNTA(条幅!$B$11:$B$310),INDEX(条幅!$B$11:$B$310,154-COUNTA(半紙!$B$11:$B$310)),IF(154&lt;=COUNTA(半紙!$B$11:$B$310)+COUNTA(条幅!$B$11:$B$310)+COUNTA(条幅4分の1!$B$11:$B$310),INDEX(条幅4分の1!$B$11:$B$310,154-COUNTA(半紙!$B$11:$B$310)-COUNTA(条幅!$B$11:$B$310)),"")))=0,"",IF(154&lt;=COUNTA(半紙!$B$11:$B$310),INDEX(半紙!$B$11:$B$310,154),IF(154&lt;=COUNTA(半紙!$B$11:$B$310)+COUNTA(条幅!$B$11:$B$310),INDEX(条幅!$B$11:$B$310,154-COUNTA(半紙!$B$11:$B$310)),IF(154&lt;=COUNTA(半紙!$B$11:$B$310)+COUNTA(条幅!$B$11:$B$310)+COUNTA(条幅4分の1!$B$11:$B$310),INDEX(条幅4分の1!$B$11:$B$310,154-COUNTA(半紙!$B$11:$B$310)-COUNTA(条幅!$B$11:$B$310)),""))))</f>
        <v/>
      </c>
      <c r="C159" s="38" t="str">
        <f>IF(IF(154&lt;=COUNTA(半紙!$B$11:$B$310),INDEX(半紙!$C$11:$C$310,154),IF(154&lt;=COUNTA(半紙!$B$11:$B$310)+COUNTA(条幅!$B$11:$B$310),INDEX(条幅!$C$11:$C$310,154-COUNTA(半紙!$B$11:$B$310)),IF(154&lt;=COUNTA(半紙!$B$11:$B$310)+COUNTA(条幅!$B$11:$B$310)+COUNTA(条幅4分の1!$B$11:$B$310),INDEX(条幅4分の1!$C$11:$C$310,154-COUNTA(半紙!$B$11:$B$310)-COUNTA(条幅!$B$11:$B$310)),"")))=0,"",IF(154&lt;=COUNTA(半紙!$B$11:$B$310),INDEX(半紙!$C$11:$C$310,154),IF(154&lt;=COUNTA(半紙!$B$11:$B$310)+COUNTA(条幅!$B$11:$B$310),INDEX(条幅!$C$11:$C$310,154-COUNTA(半紙!$B$11:$B$310)),IF(154&lt;=COUNTA(半紙!$B$11:$B$310)+COUNTA(条幅!$B$11:$B$310)+COUNTA(条幅4分の1!$B$11:$B$310),INDEX(条幅4分の1!$C$11:$C$310,154-COUNTA(半紙!$B$11:$B$310)-COUNTA(条幅!$B$11:$B$310)),""))))</f>
        <v/>
      </c>
      <c r="D159" s="38" t="str">
        <f>IF(IF(154&lt;=COUNTA(半紙!$B$11:$B$310),INDEX(半紙!$D$11:$D$310,154),IF(154&lt;=COUNTA(半紙!$B$11:$B$310)+COUNTA(条幅!$B$11:$B$310),INDEX(条幅!$D$11:$D$310,154-COUNTA(半紙!$B$11:$B$310)),IF(154&lt;=COUNTA(半紙!$B$11:$B$310)+COUNTA(条幅!$B$11:$B$310)+COUNTA(条幅4分の1!$B$11:$B$310),INDEX(条幅4分の1!$D$11:$D$310,154-COUNTA(半紙!$B$11:$B$310)-COUNTA(条幅!$B$11:$B$310)),"")))=0,"",IF(154&lt;=COUNTA(半紙!$B$11:$B$310),INDEX(半紙!$D$11:$D$310,154),IF(154&lt;=COUNTA(半紙!$B$11:$B$310)+COUNTA(条幅!$B$11:$B$310),INDEX(条幅!$D$11:$D$310,154-COUNTA(半紙!$B$11:$B$310)),IF(154&lt;=COUNTA(半紙!$B$11:$B$310)+COUNTA(条幅!$B$11:$B$310)+COUNTA(条幅4分の1!$B$11:$B$310),INDEX(条幅4分の1!$D$11:$D$310,154-COUNTA(半紙!$B$11:$B$310)-COUNTA(条幅!$B$11:$B$310)),""))))</f>
        <v/>
      </c>
      <c r="E159" s="38" t="str">
        <f>IF(IF(154&lt;=COUNTA(半紙!$B$11:$B$310),INDEX(半紙!$E$11:$E$310,154),IF(154&lt;=COUNTA(半紙!$B$11:$B$310)+COUNTA(条幅!$B$11:$B$310),INDEX(条幅!$E$11:$E$310,154-COUNTA(半紙!$B$11:$B$310)),IF(154&lt;=COUNTA(半紙!$B$11:$B$310)+COUNTA(条幅!$B$11:$B$310)+COUNTA(条幅4分の1!$B$11:$B$310),INDEX(条幅4分の1!$E$11:$E$310,154-COUNTA(半紙!$B$11:$B$310)-COUNTA(条幅!$B$11:$B$310)),"")))=0,"",IF(154&lt;=COUNTA(半紙!$B$11:$B$310),INDEX(半紙!$E$11:$E$310,154),IF(154&lt;=COUNTA(半紙!$B$11:$B$310)+COUNTA(条幅!$B$11:$B$310),INDEX(条幅!$E$11:$E$310,154-COUNTA(半紙!$B$11:$B$310)),IF(154&lt;=COUNTA(半紙!$B$11:$B$310)+COUNTA(条幅!$B$11:$B$310)+COUNTA(条幅4分の1!$B$11:$B$310),INDEX(条幅4分の1!$E$11:$E$310,154-COUNTA(半紙!$B$11:$B$310)-COUNTA(条幅!$B$11:$B$310)),""))))</f>
        <v/>
      </c>
      <c r="F159" s="38" t="str">
        <f>IF(IF(154&lt;=COUNTA(半紙!$B$11:$B$310),INDEX(半紙!$F$11:$F$310,154),IF(154&lt;=COUNTA(半紙!$B$11:$B$310)+COUNTA(条幅!$B$11:$B$310),INDEX(条幅!$F$11:$F$310,154-COUNTA(半紙!$B$11:$B$310)),IF(154&lt;=COUNTA(半紙!$B$11:$B$310)+COUNTA(条幅!$B$11:$B$310)+COUNTA(条幅4分の1!$B$11:$B$310),INDEX(条幅4分の1!$F$11:$F$310,154-COUNTA(半紙!$B$11:$B$310)-COUNTA(条幅!$B$11:$B$310)),"")))=0,"",IF(154&lt;=COUNTA(半紙!$B$11:$B$310),INDEX(半紙!$F$11:$F$310,154),IF(154&lt;=COUNTA(半紙!$B$11:$B$310)+COUNTA(条幅!$B$11:$B$310),INDEX(条幅!$F$11:$F$310,154-COUNTA(半紙!$B$11:$B$310)),IF(154&lt;=COUNTA(半紙!$B$11:$B$310)+COUNTA(条幅!$B$11:$B$310)+COUNTA(条幅4分の1!$B$11:$B$310),INDEX(条幅4分の1!$F$11:$F$310,154-COUNTA(半紙!$B$11:$B$310)-COUNTA(条幅!$B$11:$B$310)),""))))</f>
        <v/>
      </c>
      <c r="G159" s="38" t="str">
        <f>IF(IF(154&lt;=COUNTA(半紙!$B$11:$B$310),INDEX(半紙!$G$11:$G$310,154),IF(154&lt;=COUNTA(半紙!$B$11:$B$310)+COUNTA(条幅!$B$11:$B$310),INDEX(条幅!$G$11:$G$310,154-COUNTA(半紙!$B$11:$B$310)),IF(154&lt;=COUNTA(半紙!$B$11:$B$310)+COUNTA(条幅!$B$11:$B$310)+COUNTA(条幅4分の1!$B$11:$B$310),INDEX(条幅4分の1!$G$11:$G$310,154-COUNTA(半紙!$B$11:$B$310)-COUNTA(条幅!$B$11:$B$310)),"")))=0,"",IF(154&lt;=COUNTA(半紙!$B$11:$B$310),INDEX(半紙!$G$11:$G$310,154),IF(154&lt;=COUNTA(半紙!$B$11:$B$310)+COUNTA(条幅!$B$11:$B$310),INDEX(条幅!$G$11:$G$310,154-COUNTA(半紙!$B$11:$B$310)),IF(154&lt;=COUNTA(半紙!$B$11:$B$310)+COUNTA(条幅!$B$11:$B$310)+COUNTA(条幅4分の1!$B$11:$B$310),INDEX(条幅4分の1!$G$11:$G$310,154-COUNTA(半紙!$B$11:$B$310)-COUNTA(条幅!$B$11:$B$310)),""))))</f>
        <v/>
      </c>
      <c r="H159" s="38" t="str">
        <f>IF(IF(154&lt;=COUNTA(半紙!$B$11:$B$310),INDEX(半紙!$H$11:$H$310,154),IF(154&lt;=COUNTA(半紙!$B$11:$B$310)+COUNTA(条幅!$B$11:$B$310),INDEX(条幅!$H$11:$H$310,154-COUNTA(半紙!$B$11:$B$310)),IF(154&lt;=COUNTA(半紙!$B$11:$B$310)+COUNTA(条幅!$B$11:$B$310)+COUNTA(条幅4分の1!$B$11:$B$310),INDEX(条幅4分の1!$H$11:$H$310,154-COUNTA(半紙!$B$11:$B$310)-COUNTA(条幅!$B$11:$B$310)),"")))=0,"",IF(154&lt;=COUNTA(半紙!$B$11:$B$310),INDEX(半紙!$H$11:$H$310,154),IF(154&lt;=COUNTA(半紙!$B$11:$B$310)+COUNTA(条幅!$B$11:$B$310),INDEX(条幅!$H$11:$H$310,154-COUNTA(半紙!$B$11:$B$310)),IF(154&lt;=COUNTA(半紙!$B$11:$B$310)+COUNTA(条幅!$B$11:$B$310)+COUNTA(条幅4分の1!$B$11:$B$310),INDEX(条幅4分の1!$H$11:$H$310,154-COUNTA(半紙!$B$11:$B$310)-COUNTA(条幅!$B$11:$B$310)),""))))</f>
        <v/>
      </c>
      <c r="I159" s="38" t="str">
        <f>IF(IF(154&lt;=COUNTA(半紙!$B$11:$B$310),INDEX(半紙!$I$11:$I$310,154),IF(154&lt;=COUNTA(半紙!$B$11:$B$310)+COUNTA(条幅!$B$11:$B$310),INDEX(条幅!$I$11:$I$310,154-COUNTA(半紙!$B$11:$B$310)),IF(154&lt;=COUNTA(半紙!$B$11:$B$310)+COUNTA(条幅!$B$11:$B$310)+COUNTA(条幅4分の1!$B$11:$B$310),INDEX(条幅4分の1!$I$11:$I$310,154-COUNTA(半紙!$B$11:$B$310)-COUNTA(条幅!$B$11:$B$310)),"")))=0,"",IF(154&lt;=COUNTA(半紙!$B$11:$B$310),INDEX(半紙!$I$11:$I$310,154),IF(154&lt;=COUNTA(半紙!$B$11:$B$310)+COUNTA(条幅!$B$11:$B$310),INDEX(条幅!$I$11:$I$310,154-COUNTA(半紙!$B$11:$B$310)),IF(154&lt;=COUNTA(半紙!$B$11:$B$310)+COUNTA(条幅!$B$11:$B$310)+COUNTA(条幅4分の1!$B$11:$B$310),INDEX(条幅4分の1!$I$11:$I$310,154-COUNTA(半紙!$B$11:$B$310)-COUNTA(条幅!$B$11:$B$310)),""))))</f>
        <v/>
      </c>
      <c r="J159" s="38" t="str">
        <f>IF(IF(154&lt;=COUNTA(半紙!$B$11:$B$310),INDEX(半紙!$J$11:$J$310,154),IF(154&lt;=COUNTA(半紙!$B$11:$B$310)+COUNTA(条幅!$B$11:$B$310),INDEX(条幅!$J$11:$J$310,154-COUNTA(半紙!$B$11:$B$310)),IF(154&lt;=COUNTA(半紙!$B$11:$B$310)+COUNTA(条幅!$B$11:$B$310)+COUNTA(条幅4分の1!$B$11:$B$310),INDEX(条幅4分の1!$J$11:$J$310,154-COUNTA(半紙!$B$11:$B$310)-COUNTA(条幅!$B$11:$B$310)),"")))=0,"",IF(154&lt;=COUNTA(半紙!$B$11:$B$310),INDEX(半紙!$J$11:$J$310,154),IF(154&lt;=COUNTA(半紙!$B$11:$B$310)+COUNTA(条幅!$B$11:$B$310),INDEX(条幅!$J$11:$J$310,154-COUNTA(半紙!$B$11:$B$310)),IF(154&lt;=COUNTA(半紙!$B$11:$B$310)+COUNTA(条幅!$B$11:$B$310)+COUNTA(条幅4分の1!$B$11:$B$310),INDEX(条幅4分の1!$J$11:$J$310,154-COUNTA(半紙!$B$11:$B$310)-COUNTA(条幅!$B$11:$B$310)),""))))</f>
        <v/>
      </c>
      <c r="K159" s="38" t="str">
        <f>IF(IF(154&lt;=COUNTA(半紙!$B$11:$B$310),INDEX(半紙!$K$11:$K$310,154),IF(154&lt;=COUNTA(半紙!$B$11:$B$310)+COUNTA(条幅!$B$11:$B$310),INDEX(条幅!$K$11:$K$310,154-COUNTA(半紙!$B$11:$B$310)),IF(154&lt;=COUNTA(半紙!$B$11:$B$310)+COUNTA(条幅!$B$11:$B$310)+COUNTA(条幅4分の1!$B$11:$B$310),INDEX(条幅4分の1!$K$11:$K$310,154-COUNTA(半紙!$B$11:$B$310)-COUNTA(条幅!$B$11:$B$310)),"")))=0,"",IF(154&lt;=COUNTA(半紙!$B$11:$B$310),INDEX(半紙!$K$11:$K$310,154),IF(154&lt;=COUNTA(半紙!$B$11:$B$310)+COUNTA(条幅!$B$11:$B$310),INDEX(条幅!$K$11:$K$310,154-COUNTA(半紙!$B$11:$B$310)),IF(154&lt;=COUNTA(半紙!$B$11:$B$310)+COUNTA(条幅!$B$11:$B$310)+COUNTA(条幅4分の1!$B$11:$B$310),INDEX(条幅4分の1!$K$11:$K$310,154-COUNTA(半紙!$B$11:$B$310)-COUNTA(条幅!$B$11:$B$310)),""))))</f>
        <v/>
      </c>
      <c r="L159" s="48" t="str">
        <f>IF($B159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154))</f>
        <v/>
      </c>
    </row>
    <row r="160" spans="1:12" ht="15" customHeight="1">
      <c r="A160" s="37" t="str">
        <f>IF(155&lt;=COUNTA(半紙!$B$11:$B$310),"半紙",IF(155&lt;=COUNTA(半紙!$B$11:$B$310)+COUNTA(条幅!$B$11:$B$310),"条幅(半切)",IF(155&lt;=COUNTA(半紙!$B$11:$B$310)+COUNTA(条幅!$B$11:$B$310)+COUNTA(条幅4分の1!$B$11:$B$310),"条幅(1/4)","")))</f>
        <v/>
      </c>
      <c r="B160" s="38" t="str">
        <f>IF(IF(155&lt;=COUNTA(半紙!$B$11:$B$310),INDEX(半紙!$B$11:$B$310,155),IF(155&lt;=COUNTA(半紙!$B$11:$B$310)+COUNTA(条幅!$B$11:$B$310),INDEX(条幅!$B$11:$B$310,155-COUNTA(半紙!$B$11:$B$310)),IF(155&lt;=COUNTA(半紙!$B$11:$B$310)+COUNTA(条幅!$B$11:$B$310)+COUNTA(条幅4分の1!$B$11:$B$310),INDEX(条幅4分の1!$B$11:$B$310,155-COUNTA(半紙!$B$11:$B$310)-COUNTA(条幅!$B$11:$B$310)),"")))=0,"",IF(155&lt;=COUNTA(半紙!$B$11:$B$310),INDEX(半紙!$B$11:$B$310,155),IF(155&lt;=COUNTA(半紙!$B$11:$B$310)+COUNTA(条幅!$B$11:$B$310),INDEX(条幅!$B$11:$B$310,155-COUNTA(半紙!$B$11:$B$310)),IF(155&lt;=COUNTA(半紙!$B$11:$B$310)+COUNTA(条幅!$B$11:$B$310)+COUNTA(条幅4分の1!$B$11:$B$310),INDEX(条幅4分の1!$B$11:$B$310,155-COUNTA(半紙!$B$11:$B$310)-COUNTA(条幅!$B$11:$B$310)),""))))</f>
        <v/>
      </c>
      <c r="C160" s="38" t="str">
        <f>IF(IF(155&lt;=COUNTA(半紙!$B$11:$B$310),INDEX(半紙!$C$11:$C$310,155),IF(155&lt;=COUNTA(半紙!$B$11:$B$310)+COUNTA(条幅!$B$11:$B$310),INDEX(条幅!$C$11:$C$310,155-COUNTA(半紙!$B$11:$B$310)),IF(155&lt;=COUNTA(半紙!$B$11:$B$310)+COUNTA(条幅!$B$11:$B$310)+COUNTA(条幅4分の1!$B$11:$B$310),INDEX(条幅4分の1!$C$11:$C$310,155-COUNTA(半紙!$B$11:$B$310)-COUNTA(条幅!$B$11:$B$310)),"")))=0,"",IF(155&lt;=COUNTA(半紙!$B$11:$B$310),INDEX(半紙!$C$11:$C$310,155),IF(155&lt;=COUNTA(半紙!$B$11:$B$310)+COUNTA(条幅!$B$11:$B$310),INDEX(条幅!$C$11:$C$310,155-COUNTA(半紙!$B$11:$B$310)),IF(155&lt;=COUNTA(半紙!$B$11:$B$310)+COUNTA(条幅!$B$11:$B$310)+COUNTA(条幅4分の1!$B$11:$B$310),INDEX(条幅4分の1!$C$11:$C$310,155-COUNTA(半紙!$B$11:$B$310)-COUNTA(条幅!$B$11:$B$310)),""))))</f>
        <v/>
      </c>
      <c r="D160" s="38" t="str">
        <f>IF(IF(155&lt;=COUNTA(半紙!$B$11:$B$310),INDEX(半紙!$D$11:$D$310,155),IF(155&lt;=COUNTA(半紙!$B$11:$B$310)+COUNTA(条幅!$B$11:$B$310),INDEX(条幅!$D$11:$D$310,155-COUNTA(半紙!$B$11:$B$310)),IF(155&lt;=COUNTA(半紙!$B$11:$B$310)+COUNTA(条幅!$B$11:$B$310)+COUNTA(条幅4分の1!$B$11:$B$310),INDEX(条幅4分の1!$D$11:$D$310,155-COUNTA(半紙!$B$11:$B$310)-COUNTA(条幅!$B$11:$B$310)),"")))=0,"",IF(155&lt;=COUNTA(半紙!$B$11:$B$310),INDEX(半紙!$D$11:$D$310,155),IF(155&lt;=COUNTA(半紙!$B$11:$B$310)+COUNTA(条幅!$B$11:$B$310),INDEX(条幅!$D$11:$D$310,155-COUNTA(半紙!$B$11:$B$310)),IF(155&lt;=COUNTA(半紙!$B$11:$B$310)+COUNTA(条幅!$B$11:$B$310)+COUNTA(条幅4分の1!$B$11:$B$310),INDEX(条幅4分の1!$D$11:$D$310,155-COUNTA(半紙!$B$11:$B$310)-COUNTA(条幅!$B$11:$B$310)),""))))</f>
        <v/>
      </c>
      <c r="E160" s="38" t="str">
        <f>IF(IF(155&lt;=COUNTA(半紙!$B$11:$B$310),INDEX(半紙!$E$11:$E$310,155),IF(155&lt;=COUNTA(半紙!$B$11:$B$310)+COUNTA(条幅!$B$11:$B$310),INDEX(条幅!$E$11:$E$310,155-COUNTA(半紙!$B$11:$B$310)),IF(155&lt;=COUNTA(半紙!$B$11:$B$310)+COUNTA(条幅!$B$11:$B$310)+COUNTA(条幅4分の1!$B$11:$B$310),INDEX(条幅4分の1!$E$11:$E$310,155-COUNTA(半紙!$B$11:$B$310)-COUNTA(条幅!$B$11:$B$310)),"")))=0,"",IF(155&lt;=COUNTA(半紙!$B$11:$B$310),INDEX(半紙!$E$11:$E$310,155),IF(155&lt;=COUNTA(半紙!$B$11:$B$310)+COUNTA(条幅!$B$11:$B$310),INDEX(条幅!$E$11:$E$310,155-COUNTA(半紙!$B$11:$B$310)),IF(155&lt;=COUNTA(半紙!$B$11:$B$310)+COUNTA(条幅!$B$11:$B$310)+COUNTA(条幅4分の1!$B$11:$B$310),INDEX(条幅4分の1!$E$11:$E$310,155-COUNTA(半紙!$B$11:$B$310)-COUNTA(条幅!$B$11:$B$310)),""))))</f>
        <v/>
      </c>
      <c r="F160" s="38" t="str">
        <f>IF(IF(155&lt;=COUNTA(半紙!$B$11:$B$310),INDEX(半紙!$F$11:$F$310,155),IF(155&lt;=COUNTA(半紙!$B$11:$B$310)+COUNTA(条幅!$B$11:$B$310),INDEX(条幅!$F$11:$F$310,155-COUNTA(半紙!$B$11:$B$310)),IF(155&lt;=COUNTA(半紙!$B$11:$B$310)+COUNTA(条幅!$B$11:$B$310)+COUNTA(条幅4分の1!$B$11:$B$310),INDEX(条幅4分の1!$F$11:$F$310,155-COUNTA(半紙!$B$11:$B$310)-COUNTA(条幅!$B$11:$B$310)),"")))=0,"",IF(155&lt;=COUNTA(半紙!$B$11:$B$310),INDEX(半紙!$F$11:$F$310,155),IF(155&lt;=COUNTA(半紙!$B$11:$B$310)+COUNTA(条幅!$B$11:$B$310),INDEX(条幅!$F$11:$F$310,155-COUNTA(半紙!$B$11:$B$310)),IF(155&lt;=COUNTA(半紙!$B$11:$B$310)+COUNTA(条幅!$B$11:$B$310)+COUNTA(条幅4分の1!$B$11:$B$310),INDEX(条幅4分の1!$F$11:$F$310,155-COUNTA(半紙!$B$11:$B$310)-COUNTA(条幅!$B$11:$B$310)),""))))</f>
        <v/>
      </c>
      <c r="G160" s="38" t="str">
        <f>IF(IF(155&lt;=COUNTA(半紙!$B$11:$B$310),INDEX(半紙!$G$11:$G$310,155),IF(155&lt;=COUNTA(半紙!$B$11:$B$310)+COUNTA(条幅!$B$11:$B$310),INDEX(条幅!$G$11:$G$310,155-COUNTA(半紙!$B$11:$B$310)),IF(155&lt;=COUNTA(半紙!$B$11:$B$310)+COUNTA(条幅!$B$11:$B$310)+COUNTA(条幅4分の1!$B$11:$B$310),INDEX(条幅4分の1!$G$11:$G$310,155-COUNTA(半紙!$B$11:$B$310)-COUNTA(条幅!$B$11:$B$310)),"")))=0,"",IF(155&lt;=COUNTA(半紙!$B$11:$B$310),INDEX(半紙!$G$11:$G$310,155),IF(155&lt;=COUNTA(半紙!$B$11:$B$310)+COUNTA(条幅!$B$11:$B$310),INDEX(条幅!$G$11:$G$310,155-COUNTA(半紙!$B$11:$B$310)),IF(155&lt;=COUNTA(半紙!$B$11:$B$310)+COUNTA(条幅!$B$11:$B$310)+COUNTA(条幅4分の1!$B$11:$B$310),INDEX(条幅4分の1!$G$11:$G$310,155-COUNTA(半紙!$B$11:$B$310)-COUNTA(条幅!$B$11:$B$310)),""))))</f>
        <v/>
      </c>
      <c r="H160" s="38" t="str">
        <f>IF(IF(155&lt;=COUNTA(半紙!$B$11:$B$310),INDEX(半紙!$H$11:$H$310,155),IF(155&lt;=COUNTA(半紙!$B$11:$B$310)+COUNTA(条幅!$B$11:$B$310),INDEX(条幅!$H$11:$H$310,155-COUNTA(半紙!$B$11:$B$310)),IF(155&lt;=COUNTA(半紙!$B$11:$B$310)+COUNTA(条幅!$B$11:$B$310)+COUNTA(条幅4分の1!$B$11:$B$310),INDEX(条幅4分の1!$H$11:$H$310,155-COUNTA(半紙!$B$11:$B$310)-COUNTA(条幅!$B$11:$B$310)),"")))=0,"",IF(155&lt;=COUNTA(半紙!$B$11:$B$310),INDEX(半紙!$H$11:$H$310,155),IF(155&lt;=COUNTA(半紙!$B$11:$B$310)+COUNTA(条幅!$B$11:$B$310),INDEX(条幅!$H$11:$H$310,155-COUNTA(半紙!$B$11:$B$310)),IF(155&lt;=COUNTA(半紙!$B$11:$B$310)+COUNTA(条幅!$B$11:$B$310)+COUNTA(条幅4分の1!$B$11:$B$310),INDEX(条幅4分の1!$H$11:$H$310,155-COUNTA(半紙!$B$11:$B$310)-COUNTA(条幅!$B$11:$B$310)),""))))</f>
        <v/>
      </c>
      <c r="I160" s="38" t="str">
        <f>IF(IF(155&lt;=COUNTA(半紙!$B$11:$B$310),INDEX(半紙!$I$11:$I$310,155),IF(155&lt;=COUNTA(半紙!$B$11:$B$310)+COUNTA(条幅!$B$11:$B$310),INDEX(条幅!$I$11:$I$310,155-COUNTA(半紙!$B$11:$B$310)),IF(155&lt;=COUNTA(半紙!$B$11:$B$310)+COUNTA(条幅!$B$11:$B$310)+COUNTA(条幅4分の1!$B$11:$B$310),INDEX(条幅4分の1!$I$11:$I$310,155-COUNTA(半紙!$B$11:$B$310)-COUNTA(条幅!$B$11:$B$310)),"")))=0,"",IF(155&lt;=COUNTA(半紙!$B$11:$B$310),INDEX(半紙!$I$11:$I$310,155),IF(155&lt;=COUNTA(半紙!$B$11:$B$310)+COUNTA(条幅!$B$11:$B$310),INDEX(条幅!$I$11:$I$310,155-COUNTA(半紙!$B$11:$B$310)),IF(155&lt;=COUNTA(半紙!$B$11:$B$310)+COUNTA(条幅!$B$11:$B$310)+COUNTA(条幅4分の1!$B$11:$B$310),INDEX(条幅4分の1!$I$11:$I$310,155-COUNTA(半紙!$B$11:$B$310)-COUNTA(条幅!$B$11:$B$310)),""))))</f>
        <v/>
      </c>
      <c r="J160" s="38" t="str">
        <f>IF(IF(155&lt;=COUNTA(半紙!$B$11:$B$310),INDEX(半紙!$J$11:$J$310,155),IF(155&lt;=COUNTA(半紙!$B$11:$B$310)+COUNTA(条幅!$B$11:$B$310),INDEX(条幅!$J$11:$J$310,155-COUNTA(半紙!$B$11:$B$310)),IF(155&lt;=COUNTA(半紙!$B$11:$B$310)+COUNTA(条幅!$B$11:$B$310)+COUNTA(条幅4分の1!$B$11:$B$310),INDEX(条幅4分の1!$J$11:$J$310,155-COUNTA(半紙!$B$11:$B$310)-COUNTA(条幅!$B$11:$B$310)),"")))=0,"",IF(155&lt;=COUNTA(半紙!$B$11:$B$310),INDEX(半紙!$J$11:$J$310,155),IF(155&lt;=COUNTA(半紙!$B$11:$B$310)+COUNTA(条幅!$B$11:$B$310),INDEX(条幅!$J$11:$J$310,155-COUNTA(半紙!$B$11:$B$310)),IF(155&lt;=COUNTA(半紙!$B$11:$B$310)+COUNTA(条幅!$B$11:$B$310)+COUNTA(条幅4分の1!$B$11:$B$310),INDEX(条幅4分の1!$J$11:$J$310,155-COUNTA(半紙!$B$11:$B$310)-COUNTA(条幅!$B$11:$B$310)),""))))</f>
        <v/>
      </c>
      <c r="K160" s="38" t="str">
        <f>IF(IF(155&lt;=COUNTA(半紙!$B$11:$B$310),INDEX(半紙!$K$11:$K$310,155),IF(155&lt;=COUNTA(半紙!$B$11:$B$310)+COUNTA(条幅!$B$11:$B$310),INDEX(条幅!$K$11:$K$310,155-COUNTA(半紙!$B$11:$B$310)),IF(155&lt;=COUNTA(半紙!$B$11:$B$310)+COUNTA(条幅!$B$11:$B$310)+COUNTA(条幅4分の1!$B$11:$B$310),INDEX(条幅4分の1!$K$11:$K$310,155-COUNTA(半紙!$B$11:$B$310)-COUNTA(条幅!$B$11:$B$310)),"")))=0,"",IF(155&lt;=COUNTA(半紙!$B$11:$B$310),INDEX(半紙!$K$11:$K$310,155),IF(155&lt;=COUNTA(半紙!$B$11:$B$310)+COUNTA(条幅!$B$11:$B$310),INDEX(条幅!$K$11:$K$310,155-COUNTA(半紙!$B$11:$B$310)),IF(155&lt;=COUNTA(半紙!$B$11:$B$310)+COUNTA(条幅!$B$11:$B$310)+COUNTA(条幅4分の1!$B$11:$B$310),INDEX(条幅4分の1!$K$11:$K$310,155-COUNTA(半紙!$B$11:$B$310)-COUNTA(条幅!$B$11:$B$310)),""))))</f>
        <v/>
      </c>
      <c r="L160" s="48" t="str">
        <f>IF($B160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155))</f>
        <v/>
      </c>
    </row>
    <row r="161" spans="1:12" ht="15" customHeight="1">
      <c r="A161" s="37" t="str">
        <f>IF(156&lt;=COUNTA(半紙!$B$11:$B$310),"半紙",IF(156&lt;=COUNTA(半紙!$B$11:$B$310)+COUNTA(条幅!$B$11:$B$310),"条幅(半切)",IF(156&lt;=COUNTA(半紙!$B$11:$B$310)+COUNTA(条幅!$B$11:$B$310)+COUNTA(条幅4分の1!$B$11:$B$310),"条幅(1/4)","")))</f>
        <v/>
      </c>
      <c r="B161" s="38" t="str">
        <f>IF(IF(156&lt;=COUNTA(半紙!$B$11:$B$310),INDEX(半紙!$B$11:$B$310,156),IF(156&lt;=COUNTA(半紙!$B$11:$B$310)+COUNTA(条幅!$B$11:$B$310),INDEX(条幅!$B$11:$B$310,156-COUNTA(半紙!$B$11:$B$310)),IF(156&lt;=COUNTA(半紙!$B$11:$B$310)+COUNTA(条幅!$B$11:$B$310)+COUNTA(条幅4分の1!$B$11:$B$310),INDEX(条幅4分の1!$B$11:$B$310,156-COUNTA(半紙!$B$11:$B$310)-COUNTA(条幅!$B$11:$B$310)),"")))=0,"",IF(156&lt;=COUNTA(半紙!$B$11:$B$310),INDEX(半紙!$B$11:$B$310,156),IF(156&lt;=COUNTA(半紙!$B$11:$B$310)+COUNTA(条幅!$B$11:$B$310),INDEX(条幅!$B$11:$B$310,156-COUNTA(半紙!$B$11:$B$310)),IF(156&lt;=COUNTA(半紙!$B$11:$B$310)+COUNTA(条幅!$B$11:$B$310)+COUNTA(条幅4分の1!$B$11:$B$310),INDEX(条幅4分の1!$B$11:$B$310,156-COUNTA(半紙!$B$11:$B$310)-COUNTA(条幅!$B$11:$B$310)),""))))</f>
        <v/>
      </c>
      <c r="C161" s="38" t="str">
        <f>IF(IF(156&lt;=COUNTA(半紙!$B$11:$B$310),INDEX(半紙!$C$11:$C$310,156),IF(156&lt;=COUNTA(半紙!$B$11:$B$310)+COUNTA(条幅!$B$11:$B$310),INDEX(条幅!$C$11:$C$310,156-COUNTA(半紙!$B$11:$B$310)),IF(156&lt;=COUNTA(半紙!$B$11:$B$310)+COUNTA(条幅!$B$11:$B$310)+COUNTA(条幅4分の1!$B$11:$B$310),INDEX(条幅4分の1!$C$11:$C$310,156-COUNTA(半紙!$B$11:$B$310)-COUNTA(条幅!$B$11:$B$310)),"")))=0,"",IF(156&lt;=COUNTA(半紙!$B$11:$B$310),INDEX(半紙!$C$11:$C$310,156),IF(156&lt;=COUNTA(半紙!$B$11:$B$310)+COUNTA(条幅!$B$11:$B$310),INDEX(条幅!$C$11:$C$310,156-COUNTA(半紙!$B$11:$B$310)),IF(156&lt;=COUNTA(半紙!$B$11:$B$310)+COUNTA(条幅!$B$11:$B$310)+COUNTA(条幅4分の1!$B$11:$B$310),INDEX(条幅4分の1!$C$11:$C$310,156-COUNTA(半紙!$B$11:$B$310)-COUNTA(条幅!$B$11:$B$310)),""))))</f>
        <v/>
      </c>
      <c r="D161" s="38" t="str">
        <f>IF(IF(156&lt;=COUNTA(半紙!$B$11:$B$310),INDEX(半紙!$D$11:$D$310,156),IF(156&lt;=COUNTA(半紙!$B$11:$B$310)+COUNTA(条幅!$B$11:$B$310),INDEX(条幅!$D$11:$D$310,156-COUNTA(半紙!$B$11:$B$310)),IF(156&lt;=COUNTA(半紙!$B$11:$B$310)+COUNTA(条幅!$B$11:$B$310)+COUNTA(条幅4分の1!$B$11:$B$310),INDEX(条幅4分の1!$D$11:$D$310,156-COUNTA(半紙!$B$11:$B$310)-COUNTA(条幅!$B$11:$B$310)),"")))=0,"",IF(156&lt;=COUNTA(半紙!$B$11:$B$310),INDEX(半紙!$D$11:$D$310,156),IF(156&lt;=COUNTA(半紙!$B$11:$B$310)+COUNTA(条幅!$B$11:$B$310),INDEX(条幅!$D$11:$D$310,156-COUNTA(半紙!$B$11:$B$310)),IF(156&lt;=COUNTA(半紙!$B$11:$B$310)+COUNTA(条幅!$B$11:$B$310)+COUNTA(条幅4分の1!$B$11:$B$310),INDEX(条幅4分の1!$D$11:$D$310,156-COUNTA(半紙!$B$11:$B$310)-COUNTA(条幅!$B$11:$B$310)),""))))</f>
        <v/>
      </c>
      <c r="E161" s="38" t="str">
        <f>IF(IF(156&lt;=COUNTA(半紙!$B$11:$B$310),INDEX(半紙!$E$11:$E$310,156),IF(156&lt;=COUNTA(半紙!$B$11:$B$310)+COUNTA(条幅!$B$11:$B$310),INDEX(条幅!$E$11:$E$310,156-COUNTA(半紙!$B$11:$B$310)),IF(156&lt;=COUNTA(半紙!$B$11:$B$310)+COUNTA(条幅!$B$11:$B$310)+COUNTA(条幅4分の1!$B$11:$B$310),INDEX(条幅4分の1!$E$11:$E$310,156-COUNTA(半紙!$B$11:$B$310)-COUNTA(条幅!$B$11:$B$310)),"")))=0,"",IF(156&lt;=COUNTA(半紙!$B$11:$B$310),INDEX(半紙!$E$11:$E$310,156),IF(156&lt;=COUNTA(半紙!$B$11:$B$310)+COUNTA(条幅!$B$11:$B$310),INDEX(条幅!$E$11:$E$310,156-COUNTA(半紙!$B$11:$B$310)),IF(156&lt;=COUNTA(半紙!$B$11:$B$310)+COUNTA(条幅!$B$11:$B$310)+COUNTA(条幅4分の1!$B$11:$B$310),INDEX(条幅4分の1!$E$11:$E$310,156-COUNTA(半紙!$B$11:$B$310)-COUNTA(条幅!$B$11:$B$310)),""))))</f>
        <v/>
      </c>
      <c r="F161" s="38" t="str">
        <f>IF(IF(156&lt;=COUNTA(半紙!$B$11:$B$310),INDEX(半紙!$F$11:$F$310,156),IF(156&lt;=COUNTA(半紙!$B$11:$B$310)+COUNTA(条幅!$B$11:$B$310),INDEX(条幅!$F$11:$F$310,156-COUNTA(半紙!$B$11:$B$310)),IF(156&lt;=COUNTA(半紙!$B$11:$B$310)+COUNTA(条幅!$B$11:$B$310)+COUNTA(条幅4分の1!$B$11:$B$310),INDEX(条幅4分の1!$F$11:$F$310,156-COUNTA(半紙!$B$11:$B$310)-COUNTA(条幅!$B$11:$B$310)),"")))=0,"",IF(156&lt;=COUNTA(半紙!$B$11:$B$310),INDEX(半紙!$F$11:$F$310,156),IF(156&lt;=COUNTA(半紙!$B$11:$B$310)+COUNTA(条幅!$B$11:$B$310),INDEX(条幅!$F$11:$F$310,156-COUNTA(半紙!$B$11:$B$310)),IF(156&lt;=COUNTA(半紙!$B$11:$B$310)+COUNTA(条幅!$B$11:$B$310)+COUNTA(条幅4分の1!$B$11:$B$310),INDEX(条幅4分の1!$F$11:$F$310,156-COUNTA(半紙!$B$11:$B$310)-COUNTA(条幅!$B$11:$B$310)),""))))</f>
        <v/>
      </c>
      <c r="G161" s="38" t="str">
        <f>IF(IF(156&lt;=COUNTA(半紙!$B$11:$B$310),INDEX(半紙!$G$11:$G$310,156),IF(156&lt;=COUNTA(半紙!$B$11:$B$310)+COUNTA(条幅!$B$11:$B$310),INDEX(条幅!$G$11:$G$310,156-COUNTA(半紙!$B$11:$B$310)),IF(156&lt;=COUNTA(半紙!$B$11:$B$310)+COUNTA(条幅!$B$11:$B$310)+COUNTA(条幅4分の1!$B$11:$B$310),INDEX(条幅4分の1!$G$11:$G$310,156-COUNTA(半紙!$B$11:$B$310)-COUNTA(条幅!$B$11:$B$310)),"")))=0,"",IF(156&lt;=COUNTA(半紙!$B$11:$B$310),INDEX(半紙!$G$11:$G$310,156),IF(156&lt;=COUNTA(半紙!$B$11:$B$310)+COUNTA(条幅!$B$11:$B$310),INDEX(条幅!$G$11:$G$310,156-COUNTA(半紙!$B$11:$B$310)),IF(156&lt;=COUNTA(半紙!$B$11:$B$310)+COUNTA(条幅!$B$11:$B$310)+COUNTA(条幅4分の1!$B$11:$B$310),INDEX(条幅4分の1!$G$11:$G$310,156-COUNTA(半紙!$B$11:$B$310)-COUNTA(条幅!$B$11:$B$310)),""))))</f>
        <v/>
      </c>
      <c r="H161" s="38" t="str">
        <f>IF(IF(156&lt;=COUNTA(半紙!$B$11:$B$310),INDEX(半紙!$H$11:$H$310,156),IF(156&lt;=COUNTA(半紙!$B$11:$B$310)+COUNTA(条幅!$B$11:$B$310),INDEX(条幅!$H$11:$H$310,156-COUNTA(半紙!$B$11:$B$310)),IF(156&lt;=COUNTA(半紙!$B$11:$B$310)+COUNTA(条幅!$B$11:$B$310)+COUNTA(条幅4分の1!$B$11:$B$310),INDEX(条幅4分の1!$H$11:$H$310,156-COUNTA(半紙!$B$11:$B$310)-COUNTA(条幅!$B$11:$B$310)),"")))=0,"",IF(156&lt;=COUNTA(半紙!$B$11:$B$310),INDEX(半紙!$H$11:$H$310,156),IF(156&lt;=COUNTA(半紙!$B$11:$B$310)+COUNTA(条幅!$B$11:$B$310),INDEX(条幅!$H$11:$H$310,156-COUNTA(半紙!$B$11:$B$310)),IF(156&lt;=COUNTA(半紙!$B$11:$B$310)+COUNTA(条幅!$B$11:$B$310)+COUNTA(条幅4分の1!$B$11:$B$310),INDEX(条幅4分の1!$H$11:$H$310,156-COUNTA(半紙!$B$11:$B$310)-COUNTA(条幅!$B$11:$B$310)),""))))</f>
        <v/>
      </c>
      <c r="I161" s="38" t="str">
        <f>IF(IF(156&lt;=COUNTA(半紙!$B$11:$B$310),INDEX(半紙!$I$11:$I$310,156),IF(156&lt;=COUNTA(半紙!$B$11:$B$310)+COUNTA(条幅!$B$11:$B$310),INDEX(条幅!$I$11:$I$310,156-COUNTA(半紙!$B$11:$B$310)),IF(156&lt;=COUNTA(半紙!$B$11:$B$310)+COUNTA(条幅!$B$11:$B$310)+COUNTA(条幅4分の1!$B$11:$B$310),INDEX(条幅4分の1!$I$11:$I$310,156-COUNTA(半紙!$B$11:$B$310)-COUNTA(条幅!$B$11:$B$310)),"")))=0,"",IF(156&lt;=COUNTA(半紙!$B$11:$B$310),INDEX(半紙!$I$11:$I$310,156),IF(156&lt;=COUNTA(半紙!$B$11:$B$310)+COUNTA(条幅!$B$11:$B$310),INDEX(条幅!$I$11:$I$310,156-COUNTA(半紙!$B$11:$B$310)),IF(156&lt;=COUNTA(半紙!$B$11:$B$310)+COUNTA(条幅!$B$11:$B$310)+COUNTA(条幅4分の1!$B$11:$B$310),INDEX(条幅4分の1!$I$11:$I$310,156-COUNTA(半紙!$B$11:$B$310)-COUNTA(条幅!$B$11:$B$310)),""))))</f>
        <v/>
      </c>
      <c r="J161" s="38" t="str">
        <f>IF(IF(156&lt;=COUNTA(半紙!$B$11:$B$310),INDEX(半紙!$J$11:$J$310,156),IF(156&lt;=COUNTA(半紙!$B$11:$B$310)+COUNTA(条幅!$B$11:$B$310),INDEX(条幅!$J$11:$J$310,156-COUNTA(半紙!$B$11:$B$310)),IF(156&lt;=COUNTA(半紙!$B$11:$B$310)+COUNTA(条幅!$B$11:$B$310)+COUNTA(条幅4分の1!$B$11:$B$310),INDEX(条幅4分の1!$J$11:$J$310,156-COUNTA(半紙!$B$11:$B$310)-COUNTA(条幅!$B$11:$B$310)),"")))=0,"",IF(156&lt;=COUNTA(半紙!$B$11:$B$310),INDEX(半紙!$J$11:$J$310,156),IF(156&lt;=COUNTA(半紙!$B$11:$B$310)+COUNTA(条幅!$B$11:$B$310),INDEX(条幅!$J$11:$J$310,156-COUNTA(半紙!$B$11:$B$310)),IF(156&lt;=COUNTA(半紙!$B$11:$B$310)+COUNTA(条幅!$B$11:$B$310)+COUNTA(条幅4分の1!$B$11:$B$310),INDEX(条幅4分の1!$J$11:$J$310,156-COUNTA(半紙!$B$11:$B$310)-COUNTA(条幅!$B$11:$B$310)),""))))</f>
        <v/>
      </c>
      <c r="K161" s="38" t="str">
        <f>IF(IF(156&lt;=COUNTA(半紙!$B$11:$B$310),INDEX(半紙!$K$11:$K$310,156),IF(156&lt;=COUNTA(半紙!$B$11:$B$310)+COUNTA(条幅!$B$11:$B$310),INDEX(条幅!$K$11:$K$310,156-COUNTA(半紙!$B$11:$B$310)),IF(156&lt;=COUNTA(半紙!$B$11:$B$310)+COUNTA(条幅!$B$11:$B$310)+COUNTA(条幅4分の1!$B$11:$B$310),INDEX(条幅4分の1!$K$11:$K$310,156-COUNTA(半紙!$B$11:$B$310)-COUNTA(条幅!$B$11:$B$310)),"")))=0,"",IF(156&lt;=COUNTA(半紙!$B$11:$B$310),INDEX(半紙!$K$11:$K$310,156),IF(156&lt;=COUNTA(半紙!$B$11:$B$310)+COUNTA(条幅!$B$11:$B$310),INDEX(条幅!$K$11:$K$310,156-COUNTA(半紙!$B$11:$B$310)),IF(156&lt;=COUNTA(半紙!$B$11:$B$310)+COUNTA(条幅!$B$11:$B$310)+COUNTA(条幅4分の1!$B$11:$B$310),INDEX(条幅4分の1!$K$11:$K$310,156-COUNTA(半紙!$B$11:$B$310)-COUNTA(条幅!$B$11:$B$310)),""))))</f>
        <v/>
      </c>
      <c r="L161" s="48" t="str">
        <f>IF($B161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156))</f>
        <v/>
      </c>
    </row>
    <row r="162" spans="1:12" ht="15" customHeight="1">
      <c r="A162" s="37" t="str">
        <f>IF(157&lt;=COUNTA(半紙!$B$11:$B$310),"半紙",IF(157&lt;=COUNTA(半紙!$B$11:$B$310)+COUNTA(条幅!$B$11:$B$310),"条幅(半切)",IF(157&lt;=COUNTA(半紙!$B$11:$B$310)+COUNTA(条幅!$B$11:$B$310)+COUNTA(条幅4分の1!$B$11:$B$310),"条幅(1/4)","")))</f>
        <v/>
      </c>
      <c r="B162" s="38" t="str">
        <f>IF(IF(157&lt;=COUNTA(半紙!$B$11:$B$310),INDEX(半紙!$B$11:$B$310,157),IF(157&lt;=COUNTA(半紙!$B$11:$B$310)+COUNTA(条幅!$B$11:$B$310),INDEX(条幅!$B$11:$B$310,157-COUNTA(半紙!$B$11:$B$310)),IF(157&lt;=COUNTA(半紙!$B$11:$B$310)+COUNTA(条幅!$B$11:$B$310)+COUNTA(条幅4分の1!$B$11:$B$310),INDEX(条幅4分の1!$B$11:$B$310,157-COUNTA(半紙!$B$11:$B$310)-COUNTA(条幅!$B$11:$B$310)),"")))=0,"",IF(157&lt;=COUNTA(半紙!$B$11:$B$310),INDEX(半紙!$B$11:$B$310,157),IF(157&lt;=COUNTA(半紙!$B$11:$B$310)+COUNTA(条幅!$B$11:$B$310),INDEX(条幅!$B$11:$B$310,157-COUNTA(半紙!$B$11:$B$310)),IF(157&lt;=COUNTA(半紙!$B$11:$B$310)+COUNTA(条幅!$B$11:$B$310)+COUNTA(条幅4分の1!$B$11:$B$310),INDEX(条幅4分の1!$B$11:$B$310,157-COUNTA(半紙!$B$11:$B$310)-COUNTA(条幅!$B$11:$B$310)),""))))</f>
        <v/>
      </c>
      <c r="C162" s="38" t="str">
        <f>IF(IF(157&lt;=COUNTA(半紙!$B$11:$B$310),INDEX(半紙!$C$11:$C$310,157),IF(157&lt;=COUNTA(半紙!$B$11:$B$310)+COUNTA(条幅!$B$11:$B$310),INDEX(条幅!$C$11:$C$310,157-COUNTA(半紙!$B$11:$B$310)),IF(157&lt;=COUNTA(半紙!$B$11:$B$310)+COUNTA(条幅!$B$11:$B$310)+COUNTA(条幅4分の1!$B$11:$B$310),INDEX(条幅4分の1!$C$11:$C$310,157-COUNTA(半紙!$B$11:$B$310)-COUNTA(条幅!$B$11:$B$310)),"")))=0,"",IF(157&lt;=COUNTA(半紙!$B$11:$B$310),INDEX(半紙!$C$11:$C$310,157),IF(157&lt;=COUNTA(半紙!$B$11:$B$310)+COUNTA(条幅!$B$11:$B$310),INDEX(条幅!$C$11:$C$310,157-COUNTA(半紙!$B$11:$B$310)),IF(157&lt;=COUNTA(半紙!$B$11:$B$310)+COUNTA(条幅!$B$11:$B$310)+COUNTA(条幅4分の1!$B$11:$B$310),INDEX(条幅4分の1!$C$11:$C$310,157-COUNTA(半紙!$B$11:$B$310)-COUNTA(条幅!$B$11:$B$310)),""))))</f>
        <v/>
      </c>
      <c r="D162" s="38" t="str">
        <f>IF(IF(157&lt;=COUNTA(半紙!$B$11:$B$310),INDEX(半紙!$D$11:$D$310,157),IF(157&lt;=COUNTA(半紙!$B$11:$B$310)+COUNTA(条幅!$B$11:$B$310),INDEX(条幅!$D$11:$D$310,157-COUNTA(半紙!$B$11:$B$310)),IF(157&lt;=COUNTA(半紙!$B$11:$B$310)+COUNTA(条幅!$B$11:$B$310)+COUNTA(条幅4分の1!$B$11:$B$310),INDEX(条幅4分の1!$D$11:$D$310,157-COUNTA(半紙!$B$11:$B$310)-COUNTA(条幅!$B$11:$B$310)),"")))=0,"",IF(157&lt;=COUNTA(半紙!$B$11:$B$310),INDEX(半紙!$D$11:$D$310,157),IF(157&lt;=COUNTA(半紙!$B$11:$B$310)+COUNTA(条幅!$B$11:$B$310),INDEX(条幅!$D$11:$D$310,157-COUNTA(半紙!$B$11:$B$310)),IF(157&lt;=COUNTA(半紙!$B$11:$B$310)+COUNTA(条幅!$B$11:$B$310)+COUNTA(条幅4分の1!$B$11:$B$310),INDEX(条幅4分の1!$D$11:$D$310,157-COUNTA(半紙!$B$11:$B$310)-COUNTA(条幅!$B$11:$B$310)),""))))</f>
        <v/>
      </c>
      <c r="E162" s="38" t="str">
        <f>IF(IF(157&lt;=COUNTA(半紙!$B$11:$B$310),INDEX(半紙!$E$11:$E$310,157),IF(157&lt;=COUNTA(半紙!$B$11:$B$310)+COUNTA(条幅!$B$11:$B$310),INDEX(条幅!$E$11:$E$310,157-COUNTA(半紙!$B$11:$B$310)),IF(157&lt;=COUNTA(半紙!$B$11:$B$310)+COUNTA(条幅!$B$11:$B$310)+COUNTA(条幅4分の1!$B$11:$B$310),INDEX(条幅4分の1!$E$11:$E$310,157-COUNTA(半紙!$B$11:$B$310)-COUNTA(条幅!$B$11:$B$310)),"")))=0,"",IF(157&lt;=COUNTA(半紙!$B$11:$B$310),INDEX(半紙!$E$11:$E$310,157),IF(157&lt;=COUNTA(半紙!$B$11:$B$310)+COUNTA(条幅!$B$11:$B$310),INDEX(条幅!$E$11:$E$310,157-COUNTA(半紙!$B$11:$B$310)),IF(157&lt;=COUNTA(半紙!$B$11:$B$310)+COUNTA(条幅!$B$11:$B$310)+COUNTA(条幅4分の1!$B$11:$B$310),INDEX(条幅4分の1!$E$11:$E$310,157-COUNTA(半紙!$B$11:$B$310)-COUNTA(条幅!$B$11:$B$310)),""))))</f>
        <v/>
      </c>
      <c r="F162" s="38" t="str">
        <f>IF(IF(157&lt;=COUNTA(半紙!$B$11:$B$310),INDEX(半紙!$F$11:$F$310,157),IF(157&lt;=COUNTA(半紙!$B$11:$B$310)+COUNTA(条幅!$B$11:$B$310),INDEX(条幅!$F$11:$F$310,157-COUNTA(半紙!$B$11:$B$310)),IF(157&lt;=COUNTA(半紙!$B$11:$B$310)+COUNTA(条幅!$B$11:$B$310)+COUNTA(条幅4分の1!$B$11:$B$310),INDEX(条幅4分の1!$F$11:$F$310,157-COUNTA(半紙!$B$11:$B$310)-COUNTA(条幅!$B$11:$B$310)),"")))=0,"",IF(157&lt;=COUNTA(半紙!$B$11:$B$310),INDEX(半紙!$F$11:$F$310,157),IF(157&lt;=COUNTA(半紙!$B$11:$B$310)+COUNTA(条幅!$B$11:$B$310),INDEX(条幅!$F$11:$F$310,157-COUNTA(半紙!$B$11:$B$310)),IF(157&lt;=COUNTA(半紙!$B$11:$B$310)+COUNTA(条幅!$B$11:$B$310)+COUNTA(条幅4分の1!$B$11:$B$310),INDEX(条幅4分の1!$F$11:$F$310,157-COUNTA(半紙!$B$11:$B$310)-COUNTA(条幅!$B$11:$B$310)),""))))</f>
        <v/>
      </c>
      <c r="G162" s="38" t="str">
        <f>IF(IF(157&lt;=COUNTA(半紙!$B$11:$B$310),INDEX(半紙!$G$11:$G$310,157),IF(157&lt;=COUNTA(半紙!$B$11:$B$310)+COUNTA(条幅!$B$11:$B$310),INDEX(条幅!$G$11:$G$310,157-COUNTA(半紙!$B$11:$B$310)),IF(157&lt;=COUNTA(半紙!$B$11:$B$310)+COUNTA(条幅!$B$11:$B$310)+COUNTA(条幅4分の1!$B$11:$B$310),INDEX(条幅4分の1!$G$11:$G$310,157-COUNTA(半紙!$B$11:$B$310)-COUNTA(条幅!$B$11:$B$310)),"")))=0,"",IF(157&lt;=COUNTA(半紙!$B$11:$B$310),INDEX(半紙!$G$11:$G$310,157),IF(157&lt;=COUNTA(半紙!$B$11:$B$310)+COUNTA(条幅!$B$11:$B$310),INDEX(条幅!$G$11:$G$310,157-COUNTA(半紙!$B$11:$B$310)),IF(157&lt;=COUNTA(半紙!$B$11:$B$310)+COUNTA(条幅!$B$11:$B$310)+COUNTA(条幅4分の1!$B$11:$B$310),INDEX(条幅4分の1!$G$11:$G$310,157-COUNTA(半紙!$B$11:$B$310)-COUNTA(条幅!$B$11:$B$310)),""))))</f>
        <v/>
      </c>
      <c r="H162" s="38" t="str">
        <f>IF(IF(157&lt;=COUNTA(半紙!$B$11:$B$310),INDEX(半紙!$H$11:$H$310,157),IF(157&lt;=COUNTA(半紙!$B$11:$B$310)+COUNTA(条幅!$B$11:$B$310),INDEX(条幅!$H$11:$H$310,157-COUNTA(半紙!$B$11:$B$310)),IF(157&lt;=COUNTA(半紙!$B$11:$B$310)+COUNTA(条幅!$B$11:$B$310)+COUNTA(条幅4分の1!$B$11:$B$310),INDEX(条幅4分の1!$H$11:$H$310,157-COUNTA(半紙!$B$11:$B$310)-COUNTA(条幅!$B$11:$B$310)),"")))=0,"",IF(157&lt;=COUNTA(半紙!$B$11:$B$310),INDEX(半紙!$H$11:$H$310,157),IF(157&lt;=COUNTA(半紙!$B$11:$B$310)+COUNTA(条幅!$B$11:$B$310),INDEX(条幅!$H$11:$H$310,157-COUNTA(半紙!$B$11:$B$310)),IF(157&lt;=COUNTA(半紙!$B$11:$B$310)+COUNTA(条幅!$B$11:$B$310)+COUNTA(条幅4分の1!$B$11:$B$310),INDEX(条幅4分の1!$H$11:$H$310,157-COUNTA(半紙!$B$11:$B$310)-COUNTA(条幅!$B$11:$B$310)),""))))</f>
        <v/>
      </c>
      <c r="I162" s="38" t="str">
        <f>IF(IF(157&lt;=COUNTA(半紙!$B$11:$B$310),INDEX(半紙!$I$11:$I$310,157),IF(157&lt;=COUNTA(半紙!$B$11:$B$310)+COUNTA(条幅!$B$11:$B$310),INDEX(条幅!$I$11:$I$310,157-COUNTA(半紙!$B$11:$B$310)),IF(157&lt;=COUNTA(半紙!$B$11:$B$310)+COUNTA(条幅!$B$11:$B$310)+COUNTA(条幅4分の1!$B$11:$B$310),INDEX(条幅4分の1!$I$11:$I$310,157-COUNTA(半紙!$B$11:$B$310)-COUNTA(条幅!$B$11:$B$310)),"")))=0,"",IF(157&lt;=COUNTA(半紙!$B$11:$B$310),INDEX(半紙!$I$11:$I$310,157),IF(157&lt;=COUNTA(半紙!$B$11:$B$310)+COUNTA(条幅!$B$11:$B$310),INDEX(条幅!$I$11:$I$310,157-COUNTA(半紙!$B$11:$B$310)),IF(157&lt;=COUNTA(半紙!$B$11:$B$310)+COUNTA(条幅!$B$11:$B$310)+COUNTA(条幅4分の1!$B$11:$B$310),INDEX(条幅4分の1!$I$11:$I$310,157-COUNTA(半紙!$B$11:$B$310)-COUNTA(条幅!$B$11:$B$310)),""))))</f>
        <v/>
      </c>
      <c r="J162" s="38" t="str">
        <f>IF(IF(157&lt;=COUNTA(半紙!$B$11:$B$310),INDEX(半紙!$J$11:$J$310,157),IF(157&lt;=COUNTA(半紙!$B$11:$B$310)+COUNTA(条幅!$B$11:$B$310),INDEX(条幅!$J$11:$J$310,157-COUNTA(半紙!$B$11:$B$310)),IF(157&lt;=COUNTA(半紙!$B$11:$B$310)+COUNTA(条幅!$B$11:$B$310)+COUNTA(条幅4分の1!$B$11:$B$310),INDEX(条幅4分の1!$J$11:$J$310,157-COUNTA(半紙!$B$11:$B$310)-COUNTA(条幅!$B$11:$B$310)),"")))=0,"",IF(157&lt;=COUNTA(半紙!$B$11:$B$310),INDEX(半紙!$J$11:$J$310,157),IF(157&lt;=COUNTA(半紙!$B$11:$B$310)+COUNTA(条幅!$B$11:$B$310),INDEX(条幅!$J$11:$J$310,157-COUNTA(半紙!$B$11:$B$310)),IF(157&lt;=COUNTA(半紙!$B$11:$B$310)+COUNTA(条幅!$B$11:$B$310)+COUNTA(条幅4分の1!$B$11:$B$310),INDEX(条幅4分の1!$J$11:$J$310,157-COUNTA(半紙!$B$11:$B$310)-COUNTA(条幅!$B$11:$B$310)),""))))</f>
        <v/>
      </c>
      <c r="K162" s="38" t="str">
        <f>IF(IF(157&lt;=COUNTA(半紙!$B$11:$B$310),INDEX(半紙!$K$11:$K$310,157),IF(157&lt;=COUNTA(半紙!$B$11:$B$310)+COUNTA(条幅!$B$11:$B$310),INDEX(条幅!$K$11:$K$310,157-COUNTA(半紙!$B$11:$B$310)),IF(157&lt;=COUNTA(半紙!$B$11:$B$310)+COUNTA(条幅!$B$11:$B$310)+COUNTA(条幅4分の1!$B$11:$B$310),INDEX(条幅4分の1!$K$11:$K$310,157-COUNTA(半紙!$B$11:$B$310)-COUNTA(条幅!$B$11:$B$310)),"")))=0,"",IF(157&lt;=COUNTA(半紙!$B$11:$B$310),INDEX(半紙!$K$11:$K$310,157),IF(157&lt;=COUNTA(半紙!$B$11:$B$310)+COUNTA(条幅!$B$11:$B$310),INDEX(条幅!$K$11:$K$310,157-COUNTA(半紙!$B$11:$B$310)),IF(157&lt;=COUNTA(半紙!$B$11:$B$310)+COUNTA(条幅!$B$11:$B$310)+COUNTA(条幅4分の1!$B$11:$B$310),INDEX(条幅4分の1!$K$11:$K$310,157-COUNTA(半紙!$B$11:$B$310)-COUNTA(条幅!$B$11:$B$310)),""))))</f>
        <v/>
      </c>
      <c r="L162" s="48" t="str">
        <f>IF($B162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157))</f>
        <v/>
      </c>
    </row>
    <row r="163" spans="1:12" ht="15" customHeight="1">
      <c r="A163" s="37" t="str">
        <f>IF(158&lt;=COUNTA(半紙!$B$11:$B$310),"半紙",IF(158&lt;=COUNTA(半紙!$B$11:$B$310)+COUNTA(条幅!$B$11:$B$310),"条幅(半切)",IF(158&lt;=COUNTA(半紙!$B$11:$B$310)+COUNTA(条幅!$B$11:$B$310)+COUNTA(条幅4分の1!$B$11:$B$310),"条幅(1/4)","")))</f>
        <v/>
      </c>
      <c r="B163" s="38" t="str">
        <f>IF(IF(158&lt;=COUNTA(半紙!$B$11:$B$310),INDEX(半紙!$B$11:$B$310,158),IF(158&lt;=COUNTA(半紙!$B$11:$B$310)+COUNTA(条幅!$B$11:$B$310),INDEX(条幅!$B$11:$B$310,158-COUNTA(半紙!$B$11:$B$310)),IF(158&lt;=COUNTA(半紙!$B$11:$B$310)+COUNTA(条幅!$B$11:$B$310)+COUNTA(条幅4分の1!$B$11:$B$310),INDEX(条幅4分の1!$B$11:$B$310,158-COUNTA(半紙!$B$11:$B$310)-COUNTA(条幅!$B$11:$B$310)),"")))=0,"",IF(158&lt;=COUNTA(半紙!$B$11:$B$310),INDEX(半紙!$B$11:$B$310,158),IF(158&lt;=COUNTA(半紙!$B$11:$B$310)+COUNTA(条幅!$B$11:$B$310),INDEX(条幅!$B$11:$B$310,158-COUNTA(半紙!$B$11:$B$310)),IF(158&lt;=COUNTA(半紙!$B$11:$B$310)+COUNTA(条幅!$B$11:$B$310)+COUNTA(条幅4分の1!$B$11:$B$310),INDEX(条幅4分の1!$B$11:$B$310,158-COUNTA(半紙!$B$11:$B$310)-COUNTA(条幅!$B$11:$B$310)),""))))</f>
        <v/>
      </c>
      <c r="C163" s="38" t="str">
        <f>IF(IF(158&lt;=COUNTA(半紙!$B$11:$B$310),INDEX(半紙!$C$11:$C$310,158),IF(158&lt;=COUNTA(半紙!$B$11:$B$310)+COUNTA(条幅!$B$11:$B$310),INDEX(条幅!$C$11:$C$310,158-COUNTA(半紙!$B$11:$B$310)),IF(158&lt;=COUNTA(半紙!$B$11:$B$310)+COUNTA(条幅!$B$11:$B$310)+COUNTA(条幅4分の1!$B$11:$B$310),INDEX(条幅4分の1!$C$11:$C$310,158-COUNTA(半紙!$B$11:$B$310)-COUNTA(条幅!$B$11:$B$310)),"")))=0,"",IF(158&lt;=COUNTA(半紙!$B$11:$B$310),INDEX(半紙!$C$11:$C$310,158),IF(158&lt;=COUNTA(半紙!$B$11:$B$310)+COUNTA(条幅!$B$11:$B$310),INDEX(条幅!$C$11:$C$310,158-COUNTA(半紙!$B$11:$B$310)),IF(158&lt;=COUNTA(半紙!$B$11:$B$310)+COUNTA(条幅!$B$11:$B$310)+COUNTA(条幅4分の1!$B$11:$B$310),INDEX(条幅4分の1!$C$11:$C$310,158-COUNTA(半紙!$B$11:$B$310)-COUNTA(条幅!$B$11:$B$310)),""))))</f>
        <v/>
      </c>
      <c r="D163" s="38" t="str">
        <f>IF(IF(158&lt;=COUNTA(半紙!$B$11:$B$310),INDEX(半紙!$D$11:$D$310,158),IF(158&lt;=COUNTA(半紙!$B$11:$B$310)+COUNTA(条幅!$B$11:$B$310),INDEX(条幅!$D$11:$D$310,158-COUNTA(半紙!$B$11:$B$310)),IF(158&lt;=COUNTA(半紙!$B$11:$B$310)+COUNTA(条幅!$B$11:$B$310)+COUNTA(条幅4分の1!$B$11:$B$310),INDEX(条幅4分の1!$D$11:$D$310,158-COUNTA(半紙!$B$11:$B$310)-COUNTA(条幅!$B$11:$B$310)),"")))=0,"",IF(158&lt;=COUNTA(半紙!$B$11:$B$310),INDEX(半紙!$D$11:$D$310,158),IF(158&lt;=COUNTA(半紙!$B$11:$B$310)+COUNTA(条幅!$B$11:$B$310),INDEX(条幅!$D$11:$D$310,158-COUNTA(半紙!$B$11:$B$310)),IF(158&lt;=COUNTA(半紙!$B$11:$B$310)+COUNTA(条幅!$B$11:$B$310)+COUNTA(条幅4分の1!$B$11:$B$310),INDEX(条幅4分の1!$D$11:$D$310,158-COUNTA(半紙!$B$11:$B$310)-COUNTA(条幅!$B$11:$B$310)),""))))</f>
        <v/>
      </c>
      <c r="E163" s="38" t="str">
        <f>IF(IF(158&lt;=COUNTA(半紙!$B$11:$B$310),INDEX(半紙!$E$11:$E$310,158),IF(158&lt;=COUNTA(半紙!$B$11:$B$310)+COUNTA(条幅!$B$11:$B$310),INDEX(条幅!$E$11:$E$310,158-COUNTA(半紙!$B$11:$B$310)),IF(158&lt;=COUNTA(半紙!$B$11:$B$310)+COUNTA(条幅!$B$11:$B$310)+COUNTA(条幅4分の1!$B$11:$B$310),INDEX(条幅4分の1!$E$11:$E$310,158-COUNTA(半紙!$B$11:$B$310)-COUNTA(条幅!$B$11:$B$310)),"")))=0,"",IF(158&lt;=COUNTA(半紙!$B$11:$B$310),INDEX(半紙!$E$11:$E$310,158),IF(158&lt;=COUNTA(半紙!$B$11:$B$310)+COUNTA(条幅!$B$11:$B$310),INDEX(条幅!$E$11:$E$310,158-COUNTA(半紙!$B$11:$B$310)),IF(158&lt;=COUNTA(半紙!$B$11:$B$310)+COUNTA(条幅!$B$11:$B$310)+COUNTA(条幅4分の1!$B$11:$B$310),INDEX(条幅4分の1!$E$11:$E$310,158-COUNTA(半紙!$B$11:$B$310)-COUNTA(条幅!$B$11:$B$310)),""))))</f>
        <v/>
      </c>
      <c r="F163" s="38" t="str">
        <f>IF(IF(158&lt;=COUNTA(半紙!$B$11:$B$310),INDEX(半紙!$F$11:$F$310,158),IF(158&lt;=COUNTA(半紙!$B$11:$B$310)+COUNTA(条幅!$B$11:$B$310),INDEX(条幅!$F$11:$F$310,158-COUNTA(半紙!$B$11:$B$310)),IF(158&lt;=COUNTA(半紙!$B$11:$B$310)+COUNTA(条幅!$B$11:$B$310)+COUNTA(条幅4分の1!$B$11:$B$310),INDEX(条幅4分の1!$F$11:$F$310,158-COUNTA(半紙!$B$11:$B$310)-COUNTA(条幅!$B$11:$B$310)),"")))=0,"",IF(158&lt;=COUNTA(半紙!$B$11:$B$310),INDEX(半紙!$F$11:$F$310,158),IF(158&lt;=COUNTA(半紙!$B$11:$B$310)+COUNTA(条幅!$B$11:$B$310),INDEX(条幅!$F$11:$F$310,158-COUNTA(半紙!$B$11:$B$310)),IF(158&lt;=COUNTA(半紙!$B$11:$B$310)+COUNTA(条幅!$B$11:$B$310)+COUNTA(条幅4分の1!$B$11:$B$310),INDEX(条幅4分の1!$F$11:$F$310,158-COUNTA(半紙!$B$11:$B$310)-COUNTA(条幅!$B$11:$B$310)),""))))</f>
        <v/>
      </c>
      <c r="G163" s="38" t="str">
        <f>IF(IF(158&lt;=COUNTA(半紙!$B$11:$B$310),INDEX(半紙!$G$11:$G$310,158),IF(158&lt;=COUNTA(半紙!$B$11:$B$310)+COUNTA(条幅!$B$11:$B$310),INDEX(条幅!$G$11:$G$310,158-COUNTA(半紙!$B$11:$B$310)),IF(158&lt;=COUNTA(半紙!$B$11:$B$310)+COUNTA(条幅!$B$11:$B$310)+COUNTA(条幅4分の1!$B$11:$B$310),INDEX(条幅4分の1!$G$11:$G$310,158-COUNTA(半紙!$B$11:$B$310)-COUNTA(条幅!$B$11:$B$310)),"")))=0,"",IF(158&lt;=COUNTA(半紙!$B$11:$B$310),INDEX(半紙!$G$11:$G$310,158),IF(158&lt;=COUNTA(半紙!$B$11:$B$310)+COUNTA(条幅!$B$11:$B$310),INDEX(条幅!$G$11:$G$310,158-COUNTA(半紙!$B$11:$B$310)),IF(158&lt;=COUNTA(半紙!$B$11:$B$310)+COUNTA(条幅!$B$11:$B$310)+COUNTA(条幅4分の1!$B$11:$B$310),INDEX(条幅4分の1!$G$11:$G$310,158-COUNTA(半紙!$B$11:$B$310)-COUNTA(条幅!$B$11:$B$310)),""))))</f>
        <v/>
      </c>
      <c r="H163" s="38" t="str">
        <f>IF(IF(158&lt;=COUNTA(半紙!$B$11:$B$310),INDEX(半紙!$H$11:$H$310,158),IF(158&lt;=COUNTA(半紙!$B$11:$B$310)+COUNTA(条幅!$B$11:$B$310),INDEX(条幅!$H$11:$H$310,158-COUNTA(半紙!$B$11:$B$310)),IF(158&lt;=COUNTA(半紙!$B$11:$B$310)+COUNTA(条幅!$B$11:$B$310)+COUNTA(条幅4分の1!$B$11:$B$310),INDEX(条幅4分の1!$H$11:$H$310,158-COUNTA(半紙!$B$11:$B$310)-COUNTA(条幅!$B$11:$B$310)),"")))=0,"",IF(158&lt;=COUNTA(半紙!$B$11:$B$310),INDEX(半紙!$H$11:$H$310,158),IF(158&lt;=COUNTA(半紙!$B$11:$B$310)+COUNTA(条幅!$B$11:$B$310),INDEX(条幅!$H$11:$H$310,158-COUNTA(半紙!$B$11:$B$310)),IF(158&lt;=COUNTA(半紙!$B$11:$B$310)+COUNTA(条幅!$B$11:$B$310)+COUNTA(条幅4分の1!$B$11:$B$310),INDEX(条幅4分の1!$H$11:$H$310,158-COUNTA(半紙!$B$11:$B$310)-COUNTA(条幅!$B$11:$B$310)),""))))</f>
        <v/>
      </c>
      <c r="I163" s="38" t="str">
        <f>IF(IF(158&lt;=COUNTA(半紙!$B$11:$B$310),INDEX(半紙!$I$11:$I$310,158),IF(158&lt;=COUNTA(半紙!$B$11:$B$310)+COUNTA(条幅!$B$11:$B$310),INDEX(条幅!$I$11:$I$310,158-COUNTA(半紙!$B$11:$B$310)),IF(158&lt;=COUNTA(半紙!$B$11:$B$310)+COUNTA(条幅!$B$11:$B$310)+COUNTA(条幅4分の1!$B$11:$B$310),INDEX(条幅4分の1!$I$11:$I$310,158-COUNTA(半紙!$B$11:$B$310)-COUNTA(条幅!$B$11:$B$310)),"")))=0,"",IF(158&lt;=COUNTA(半紙!$B$11:$B$310),INDEX(半紙!$I$11:$I$310,158),IF(158&lt;=COUNTA(半紙!$B$11:$B$310)+COUNTA(条幅!$B$11:$B$310),INDEX(条幅!$I$11:$I$310,158-COUNTA(半紙!$B$11:$B$310)),IF(158&lt;=COUNTA(半紙!$B$11:$B$310)+COUNTA(条幅!$B$11:$B$310)+COUNTA(条幅4分の1!$B$11:$B$310),INDEX(条幅4分の1!$I$11:$I$310,158-COUNTA(半紙!$B$11:$B$310)-COUNTA(条幅!$B$11:$B$310)),""))))</f>
        <v/>
      </c>
      <c r="J163" s="38" t="str">
        <f>IF(IF(158&lt;=COUNTA(半紙!$B$11:$B$310),INDEX(半紙!$J$11:$J$310,158),IF(158&lt;=COUNTA(半紙!$B$11:$B$310)+COUNTA(条幅!$B$11:$B$310),INDEX(条幅!$J$11:$J$310,158-COUNTA(半紙!$B$11:$B$310)),IF(158&lt;=COUNTA(半紙!$B$11:$B$310)+COUNTA(条幅!$B$11:$B$310)+COUNTA(条幅4分の1!$B$11:$B$310),INDEX(条幅4分の1!$J$11:$J$310,158-COUNTA(半紙!$B$11:$B$310)-COUNTA(条幅!$B$11:$B$310)),"")))=0,"",IF(158&lt;=COUNTA(半紙!$B$11:$B$310),INDEX(半紙!$J$11:$J$310,158),IF(158&lt;=COUNTA(半紙!$B$11:$B$310)+COUNTA(条幅!$B$11:$B$310),INDEX(条幅!$J$11:$J$310,158-COUNTA(半紙!$B$11:$B$310)),IF(158&lt;=COUNTA(半紙!$B$11:$B$310)+COUNTA(条幅!$B$11:$B$310)+COUNTA(条幅4分の1!$B$11:$B$310),INDEX(条幅4分の1!$J$11:$J$310,158-COUNTA(半紙!$B$11:$B$310)-COUNTA(条幅!$B$11:$B$310)),""))))</f>
        <v/>
      </c>
      <c r="K163" s="38" t="str">
        <f>IF(IF(158&lt;=COUNTA(半紙!$B$11:$B$310),INDEX(半紙!$K$11:$K$310,158),IF(158&lt;=COUNTA(半紙!$B$11:$B$310)+COUNTA(条幅!$B$11:$B$310),INDEX(条幅!$K$11:$K$310,158-COUNTA(半紙!$B$11:$B$310)),IF(158&lt;=COUNTA(半紙!$B$11:$B$310)+COUNTA(条幅!$B$11:$B$310)+COUNTA(条幅4分の1!$B$11:$B$310),INDEX(条幅4分の1!$K$11:$K$310,158-COUNTA(半紙!$B$11:$B$310)-COUNTA(条幅!$B$11:$B$310)),"")))=0,"",IF(158&lt;=COUNTA(半紙!$B$11:$B$310),INDEX(半紙!$K$11:$K$310,158),IF(158&lt;=COUNTA(半紙!$B$11:$B$310)+COUNTA(条幅!$B$11:$B$310),INDEX(条幅!$K$11:$K$310,158-COUNTA(半紙!$B$11:$B$310)),IF(158&lt;=COUNTA(半紙!$B$11:$B$310)+COUNTA(条幅!$B$11:$B$310)+COUNTA(条幅4分の1!$B$11:$B$310),INDEX(条幅4分の1!$K$11:$K$310,158-COUNTA(半紙!$B$11:$B$310)-COUNTA(条幅!$B$11:$B$310)),""))))</f>
        <v/>
      </c>
      <c r="L163" s="48" t="str">
        <f>IF($B163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158))</f>
        <v/>
      </c>
    </row>
    <row r="164" spans="1:12" ht="15" customHeight="1">
      <c r="A164" s="37" t="str">
        <f>IF(159&lt;=COUNTA(半紙!$B$11:$B$310),"半紙",IF(159&lt;=COUNTA(半紙!$B$11:$B$310)+COUNTA(条幅!$B$11:$B$310),"条幅(半切)",IF(159&lt;=COUNTA(半紙!$B$11:$B$310)+COUNTA(条幅!$B$11:$B$310)+COUNTA(条幅4分の1!$B$11:$B$310),"条幅(1/4)","")))</f>
        <v/>
      </c>
      <c r="B164" s="38" t="str">
        <f>IF(IF(159&lt;=COUNTA(半紙!$B$11:$B$310),INDEX(半紙!$B$11:$B$310,159),IF(159&lt;=COUNTA(半紙!$B$11:$B$310)+COUNTA(条幅!$B$11:$B$310),INDEX(条幅!$B$11:$B$310,159-COUNTA(半紙!$B$11:$B$310)),IF(159&lt;=COUNTA(半紙!$B$11:$B$310)+COUNTA(条幅!$B$11:$B$310)+COUNTA(条幅4分の1!$B$11:$B$310),INDEX(条幅4分の1!$B$11:$B$310,159-COUNTA(半紙!$B$11:$B$310)-COUNTA(条幅!$B$11:$B$310)),"")))=0,"",IF(159&lt;=COUNTA(半紙!$B$11:$B$310),INDEX(半紙!$B$11:$B$310,159),IF(159&lt;=COUNTA(半紙!$B$11:$B$310)+COUNTA(条幅!$B$11:$B$310),INDEX(条幅!$B$11:$B$310,159-COUNTA(半紙!$B$11:$B$310)),IF(159&lt;=COUNTA(半紙!$B$11:$B$310)+COUNTA(条幅!$B$11:$B$310)+COUNTA(条幅4分の1!$B$11:$B$310),INDEX(条幅4分の1!$B$11:$B$310,159-COUNTA(半紙!$B$11:$B$310)-COUNTA(条幅!$B$11:$B$310)),""))))</f>
        <v/>
      </c>
      <c r="C164" s="38" t="str">
        <f>IF(IF(159&lt;=COUNTA(半紙!$B$11:$B$310),INDEX(半紙!$C$11:$C$310,159),IF(159&lt;=COUNTA(半紙!$B$11:$B$310)+COUNTA(条幅!$B$11:$B$310),INDEX(条幅!$C$11:$C$310,159-COUNTA(半紙!$B$11:$B$310)),IF(159&lt;=COUNTA(半紙!$B$11:$B$310)+COUNTA(条幅!$B$11:$B$310)+COUNTA(条幅4分の1!$B$11:$B$310),INDEX(条幅4分の1!$C$11:$C$310,159-COUNTA(半紙!$B$11:$B$310)-COUNTA(条幅!$B$11:$B$310)),"")))=0,"",IF(159&lt;=COUNTA(半紙!$B$11:$B$310),INDEX(半紙!$C$11:$C$310,159),IF(159&lt;=COUNTA(半紙!$B$11:$B$310)+COUNTA(条幅!$B$11:$B$310),INDEX(条幅!$C$11:$C$310,159-COUNTA(半紙!$B$11:$B$310)),IF(159&lt;=COUNTA(半紙!$B$11:$B$310)+COUNTA(条幅!$B$11:$B$310)+COUNTA(条幅4分の1!$B$11:$B$310),INDEX(条幅4分の1!$C$11:$C$310,159-COUNTA(半紙!$B$11:$B$310)-COUNTA(条幅!$B$11:$B$310)),""))))</f>
        <v/>
      </c>
      <c r="D164" s="38" t="str">
        <f>IF(IF(159&lt;=COUNTA(半紙!$B$11:$B$310),INDEX(半紙!$D$11:$D$310,159),IF(159&lt;=COUNTA(半紙!$B$11:$B$310)+COUNTA(条幅!$B$11:$B$310),INDEX(条幅!$D$11:$D$310,159-COUNTA(半紙!$B$11:$B$310)),IF(159&lt;=COUNTA(半紙!$B$11:$B$310)+COUNTA(条幅!$B$11:$B$310)+COUNTA(条幅4分の1!$B$11:$B$310),INDEX(条幅4分の1!$D$11:$D$310,159-COUNTA(半紙!$B$11:$B$310)-COUNTA(条幅!$B$11:$B$310)),"")))=0,"",IF(159&lt;=COUNTA(半紙!$B$11:$B$310),INDEX(半紙!$D$11:$D$310,159),IF(159&lt;=COUNTA(半紙!$B$11:$B$310)+COUNTA(条幅!$B$11:$B$310),INDEX(条幅!$D$11:$D$310,159-COUNTA(半紙!$B$11:$B$310)),IF(159&lt;=COUNTA(半紙!$B$11:$B$310)+COUNTA(条幅!$B$11:$B$310)+COUNTA(条幅4分の1!$B$11:$B$310),INDEX(条幅4分の1!$D$11:$D$310,159-COUNTA(半紙!$B$11:$B$310)-COUNTA(条幅!$B$11:$B$310)),""))))</f>
        <v/>
      </c>
      <c r="E164" s="38" t="str">
        <f>IF(IF(159&lt;=COUNTA(半紙!$B$11:$B$310),INDEX(半紙!$E$11:$E$310,159),IF(159&lt;=COUNTA(半紙!$B$11:$B$310)+COUNTA(条幅!$B$11:$B$310),INDEX(条幅!$E$11:$E$310,159-COUNTA(半紙!$B$11:$B$310)),IF(159&lt;=COUNTA(半紙!$B$11:$B$310)+COUNTA(条幅!$B$11:$B$310)+COUNTA(条幅4分の1!$B$11:$B$310),INDEX(条幅4分の1!$E$11:$E$310,159-COUNTA(半紙!$B$11:$B$310)-COUNTA(条幅!$B$11:$B$310)),"")))=0,"",IF(159&lt;=COUNTA(半紙!$B$11:$B$310),INDEX(半紙!$E$11:$E$310,159),IF(159&lt;=COUNTA(半紙!$B$11:$B$310)+COUNTA(条幅!$B$11:$B$310),INDEX(条幅!$E$11:$E$310,159-COUNTA(半紙!$B$11:$B$310)),IF(159&lt;=COUNTA(半紙!$B$11:$B$310)+COUNTA(条幅!$B$11:$B$310)+COUNTA(条幅4分の1!$B$11:$B$310),INDEX(条幅4分の1!$E$11:$E$310,159-COUNTA(半紙!$B$11:$B$310)-COUNTA(条幅!$B$11:$B$310)),""))))</f>
        <v/>
      </c>
      <c r="F164" s="38" t="str">
        <f>IF(IF(159&lt;=COUNTA(半紙!$B$11:$B$310),INDEX(半紙!$F$11:$F$310,159),IF(159&lt;=COUNTA(半紙!$B$11:$B$310)+COUNTA(条幅!$B$11:$B$310),INDEX(条幅!$F$11:$F$310,159-COUNTA(半紙!$B$11:$B$310)),IF(159&lt;=COUNTA(半紙!$B$11:$B$310)+COUNTA(条幅!$B$11:$B$310)+COUNTA(条幅4分の1!$B$11:$B$310),INDEX(条幅4分の1!$F$11:$F$310,159-COUNTA(半紙!$B$11:$B$310)-COUNTA(条幅!$B$11:$B$310)),"")))=0,"",IF(159&lt;=COUNTA(半紙!$B$11:$B$310),INDEX(半紙!$F$11:$F$310,159),IF(159&lt;=COUNTA(半紙!$B$11:$B$310)+COUNTA(条幅!$B$11:$B$310),INDEX(条幅!$F$11:$F$310,159-COUNTA(半紙!$B$11:$B$310)),IF(159&lt;=COUNTA(半紙!$B$11:$B$310)+COUNTA(条幅!$B$11:$B$310)+COUNTA(条幅4分の1!$B$11:$B$310),INDEX(条幅4分の1!$F$11:$F$310,159-COUNTA(半紙!$B$11:$B$310)-COUNTA(条幅!$B$11:$B$310)),""))))</f>
        <v/>
      </c>
      <c r="G164" s="38" t="str">
        <f>IF(IF(159&lt;=COUNTA(半紙!$B$11:$B$310),INDEX(半紙!$G$11:$G$310,159),IF(159&lt;=COUNTA(半紙!$B$11:$B$310)+COUNTA(条幅!$B$11:$B$310),INDEX(条幅!$G$11:$G$310,159-COUNTA(半紙!$B$11:$B$310)),IF(159&lt;=COUNTA(半紙!$B$11:$B$310)+COUNTA(条幅!$B$11:$B$310)+COUNTA(条幅4分の1!$B$11:$B$310),INDEX(条幅4分の1!$G$11:$G$310,159-COUNTA(半紙!$B$11:$B$310)-COUNTA(条幅!$B$11:$B$310)),"")))=0,"",IF(159&lt;=COUNTA(半紙!$B$11:$B$310),INDEX(半紙!$G$11:$G$310,159),IF(159&lt;=COUNTA(半紙!$B$11:$B$310)+COUNTA(条幅!$B$11:$B$310),INDEX(条幅!$G$11:$G$310,159-COUNTA(半紙!$B$11:$B$310)),IF(159&lt;=COUNTA(半紙!$B$11:$B$310)+COUNTA(条幅!$B$11:$B$310)+COUNTA(条幅4分の1!$B$11:$B$310),INDEX(条幅4分の1!$G$11:$G$310,159-COUNTA(半紙!$B$11:$B$310)-COUNTA(条幅!$B$11:$B$310)),""))))</f>
        <v/>
      </c>
      <c r="H164" s="38" t="str">
        <f>IF(IF(159&lt;=COUNTA(半紙!$B$11:$B$310),INDEX(半紙!$H$11:$H$310,159),IF(159&lt;=COUNTA(半紙!$B$11:$B$310)+COUNTA(条幅!$B$11:$B$310),INDEX(条幅!$H$11:$H$310,159-COUNTA(半紙!$B$11:$B$310)),IF(159&lt;=COUNTA(半紙!$B$11:$B$310)+COUNTA(条幅!$B$11:$B$310)+COUNTA(条幅4分の1!$B$11:$B$310),INDEX(条幅4分の1!$H$11:$H$310,159-COUNTA(半紙!$B$11:$B$310)-COUNTA(条幅!$B$11:$B$310)),"")))=0,"",IF(159&lt;=COUNTA(半紙!$B$11:$B$310),INDEX(半紙!$H$11:$H$310,159),IF(159&lt;=COUNTA(半紙!$B$11:$B$310)+COUNTA(条幅!$B$11:$B$310),INDEX(条幅!$H$11:$H$310,159-COUNTA(半紙!$B$11:$B$310)),IF(159&lt;=COUNTA(半紙!$B$11:$B$310)+COUNTA(条幅!$B$11:$B$310)+COUNTA(条幅4分の1!$B$11:$B$310),INDEX(条幅4分の1!$H$11:$H$310,159-COUNTA(半紙!$B$11:$B$310)-COUNTA(条幅!$B$11:$B$310)),""))))</f>
        <v/>
      </c>
      <c r="I164" s="38" t="str">
        <f>IF(IF(159&lt;=COUNTA(半紙!$B$11:$B$310),INDEX(半紙!$I$11:$I$310,159),IF(159&lt;=COUNTA(半紙!$B$11:$B$310)+COUNTA(条幅!$B$11:$B$310),INDEX(条幅!$I$11:$I$310,159-COUNTA(半紙!$B$11:$B$310)),IF(159&lt;=COUNTA(半紙!$B$11:$B$310)+COUNTA(条幅!$B$11:$B$310)+COUNTA(条幅4分の1!$B$11:$B$310),INDEX(条幅4分の1!$I$11:$I$310,159-COUNTA(半紙!$B$11:$B$310)-COUNTA(条幅!$B$11:$B$310)),"")))=0,"",IF(159&lt;=COUNTA(半紙!$B$11:$B$310),INDEX(半紙!$I$11:$I$310,159),IF(159&lt;=COUNTA(半紙!$B$11:$B$310)+COUNTA(条幅!$B$11:$B$310),INDEX(条幅!$I$11:$I$310,159-COUNTA(半紙!$B$11:$B$310)),IF(159&lt;=COUNTA(半紙!$B$11:$B$310)+COUNTA(条幅!$B$11:$B$310)+COUNTA(条幅4分の1!$B$11:$B$310),INDEX(条幅4分の1!$I$11:$I$310,159-COUNTA(半紙!$B$11:$B$310)-COUNTA(条幅!$B$11:$B$310)),""))))</f>
        <v/>
      </c>
      <c r="J164" s="38" t="str">
        <f>IF(IF(159&lt;=COUNTA(半紙!$B$11:$B$310),INDEX(半紙!$J$11:$J$310,159),IF(159&lt;=COUNTA(半紙!$B$11:$B$310)+COUNTA(条幅!$B$11:$B$310),INDEX(条幅!$J$11:$J$310,159-COUNTA(半紙!$B$11:$B$310)),IF(159&lt;=COUNTA(半紙!$B$11:$B$310)+COUNTA(条幅!$B$11:$B$310)+COUNTA(条幅4分の1!$B$11:$B$310),INDEX(条幅4分の1!$J$11:$J$310,159-COUNTA(半紙!$B$11:$B$310)-COUNTA(条幅!$B$11:$B$310)),"")))=0,"",IF(159&lt;=COUNTA(半紙!$B$11:$B$310),INDEX(半紙!$J$11:$J$310,159),IF(159&lt;=COUNTA(半紙!$B$11:$B$310)+COUNTA(条幅!$B$11:$B$310),INDEX(条幅!$J$11:$J$310,159-COUNTA(半紙!$B$11:$B$310)),IF(159&lt;=COUNTA(半紙!$B$11:$B$310)+COUNTA(条幅!$B$11:$B$310)+COUNTA(条幅4分の1!$B$11:$B$310),INDEX(条幅4分の1!$J$11:$J$310,159-COUNTA(半紙!$B$11:$B$310)-COUNTA(条幅!$B$11:$B$310)),""))))</f>
        <v/>
      </c>
      <c r="K164" s="38" t="str">
        <f>IF(IF(159&lt;=COUNTA(半紙!$B$11:$B$310),INDEX(半紙!$K$11:$K$310,159),IF(159&lt;=COUNTA(半紙!$B$11:$B$310)+COUNTA(条幅!$B$11:$B$310),INDEX(条幅!$K$11:$K$310,159-COUNTA(半紙!$B$11:$B$310)),IF(159&lt;=COUNTA(半紙!$B$11:$B$310)+COUNTA(条幅!$B$11:$B$310)+COUNTA(条幅4分の1!$B$11:$B$310),INDEX(条幅4分の1!$K$11:$K$310,159-COUNTA(半紙!$B$11:$B$310)-COUNTA(条幅!$B$11:$B$310)),"")))=0,"",IF(159&lt;=COUNTA(半紙!$B$11:$B$310),INDEX(半紙!$K$11:$K$310,159),IF(159&lt;=COUNTA(半紙!$B$11:$B$310)+COUNTA(条幅!$B$11:$B$310),INDEX(条幅!$K$11:$K$310,159-COUNTA(半紙!$B$11:$B$310)),IF(159&lt;=COUNTA(半紙!$B$11:$B$310)+COUNTA(条幅!$B$11:$B$310)+COUNTA(条幅4分の1!$B$11:$B$310),INDEX(条幅4分の1!$K$11:$K$310,159-COUNTA(半紙!$B$11:$B$310)-COUNTA(条幅!$B$11:$B$310)),""))))</f>
        <v/>
      </c>
      <c r="L164" s="48" t="str">
        <f>IF($B164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159))</f>
        <v/>
      </c>
    </row>
    <row r="165" spans="1:12" ht="15" customHeight="1">
      <c r="A165" s="37" t="str">
        <f>IF(160&lt;=COUNTA(半紙!$B$11:$B$310),"半紙",IF(160&lt;=COUNTA(半紙!$B$11:$B$310)+COUNTA(条幅!$B$11:$B$310),"条幅(半切)",IF(160&lt;=COUNTA(半紙!$B$11:$B$310)+COUNTA(条幅!$B$11:$B$310)+COUNTA(条幅4分の1!$B$11:$B$310),"条幅(1/4)","")))</f>
        <v/>
      </c>
      <c r="B165" s="38" t="str">
        <f>IF(IF(160&lt;=COUNTA(半紙!$B$11:$B$310),INDEX(半紙!$B$11:$B$310,160),IF(160&lt;=COUNTA(半紙!$B$11:$B$310)+COUNTA(条幅!$B$11:$B$310),INDEX(条幅!$B$11:$B$310,160-COUNTA(半紙!$B$11:$B$310)),IF(160&lt;=COUNTA(半紙!$B$11:$B$310)+COUNTA(条幅!$B$11:$B$310)+COUNTA(条幅4分の1!$B$11:$B$310),INDEX(条幅4分の1!$B$11:$B$310,160-COUNTA(半紙!$B$11:$B$310)-COUNTA(条幅!$B$11:$B$310)),"")))=0,"",IF(160&lt;=COUNTA(半紙!$B$11:$B$310),INDEX(半紙!$B$11:$B$310,160),IF(160&lt;=COUNTA(半紙!$B$11:$B$310)+COUNTA(条幅!$B$11:$B$310),INDEX(条幅!$B$11:$B$310,160-COUNTA(半紙!$B$11:$B$310)),IF(160&lt;=COUNTA(半紙!$B$11:$B$310)+COUNTA(条幅!$B$11:$B$310)+COUNTA(条幅4分の1!$B$11:$B$310),INDEX(条幅4分の1!$B$11:$B$310,160-COUNTA(半紙!$B$11:$B$310)-COUNTA(条幅!$B$11:$B$310)),""))))</f>
        <v/>
      </c>
      <c r="C165" s="38" t="str">
        <f>IF(IF(160&lt;=COUNTA(半紙!$B$11:$B$310),INDEX(半紙!$C$11:$C$310,160),IF(160&lt;=COUNTA(半紙!$B$11:$B$310)+COUNTA(条幅!$B$11:$B$310),INDEX(条幅!$C$11:$C$310,160-COUNTA(半紙!$B$11:$B$310)),IF(160&lt;=COUNTA(半紙!$B$11:$B$310)+COUNTA(条幅!$B$11:$B$310)+COUNTA(条幅4分の1!$B$11:$B$310),INDEX(条幅4分の1!$C$11:$C$310,160-COUNTA(半紙!$B$11:$B$310)-COUNTA(条幅!$B$11:$B$310)),"")))=0,"",IF(160&lt;=COUNTA(半紙!$B$11:$B$310),INDEX(半紙!$C$11:$C$310,160),IF(160&lt;=COUNTA(半紙!$B$11:$B$310)+COUNTA(条幅!$B$11:$B$310),INDEX(条幅!$C$11:$C$310,160-COUNTA(半紙!$B$11:$B$310)),IF(160&lt;=COUNTA(半紙!$B$11:$B$310)+COUNTA(条幅!$B$11:$B$310)+COUNTA(条幅4分の1!$B$11:$B$310),INDEX(条幅4分の1!$C$11:$C$310,160-COUNTA(半紙!$B$11:$B$310)-COUNTA(条幅!$B$11:$B$310)),""))))</f>
        <v/>
      </c>
      <c r="D165" s="38" t="str">
        <f>IF(IF(160&lt;=COUNTA(半紙!$B$11:$B$310),INDEX(半紙!$D$11:$D$310,160),IF(160&lt;=COUNTA(半紙!$B$11:$B$310)+COUNTA(条幅!$B$11:$B$310),INDEX(条幅!$D$11:$D$310,160-COUNTA(半紙!$B$11:$B$310)),IF(160&lt;=COUNTA(半紙!$B$11:$B$310)+COUNTA(条幅!$B$11:$B$310)+COUNTA(条幅4分の1!$B$11:$B$310),INDEX(条幅4分の1!$D$11:$D$310,160-COUNTA(半紙!$B$11:$B$310)-COUNTA(条幅!$B$11:$B$310)),"")))=0,"",IF(160&lt;=COUNTA(半紙!$B$11:$B$310),INDEX(半紙!$D$11:$D$310,160),IF(160&lt;=COUNTA(半紙!$B$11:$B$310)+COUNTA(条幅!$B$11:$B$310),INDEX(条幅!$D$11:$D$310,160-COUNTA(半紙!$B$11:$B$310)),IF(160&lt;=COUNTA(半紙!$B$11:$B$310)+COUNTA(条幅!$B$11:$B$310)+COUNTA(条幅4分の1!$B$11:$B$310),INDEX(条幅4分の1!$D$11:$D$310,160-COUNTA(半紙!$B$11:$B$310)-COUNTA(条幅!$B$11:$B$310)),""))))</f>
        <v/>
      </c>
      <c r="E165" s="38" t="str">
        <f>IF(IF(160&lt;=COUNTA(半紙!$B$11:$B$310),INDEX(半紙!$E$11:$E$310,160),IF(160&lt;=COUNTA(半紙!$B$11:$B$310)+COUNTA(条幅!$B$11:$B$310),INDEX(条幅!$E$11:$E$310,160-COUNTA(半紙!$B$11:$B$310)),IF(160&lt;=COUNTA(半紙!$B$11:$B$310)+COUNTA(条幅!$B$11:$B$310)+COUNTA(条幅4分の1!$B$11:$B$310),INDEX(条幅4分の1!$E$11:$E$310,160-COUNTA(半紙!$B$11:$B$310)-COUNTA(条幅!$B$11:$B$310)),"")))=0,"",IF(160&lt;=COUNTA(半紙!$B$11:$B$310),INDEX(半紙!$E$11:$E$310,160),IF(160&lt;=COUNTA(半紙!$B$11:$B$310)+COUNTA(条幅!$B$11:$B$310),INDEX(条幅!$E$11:$E$310,160-COUNTA(半紙!$B$11:$B$310)),IF(160&lt;=COUNTA(半紙!$B$11:$B$310)+COUNTA(条幅!$B$11:$B$310)+COUNTA(条幅4分の1!$B$11:$B$310),INDEX(条幅4分の1!$E$11:$E$310,160-COUNTA(半紙!$B$11:$B$310)-COUNTA(条幅!$B$11:$B$310)),""))))</f>
        <v/>
      </c>
      <c r="F165" s="38" t="str">
        <f>IF(IF(160&lt;=COUNTA(半紙!$B$11:$B$310),INDEX(半紙!$F$11:$F$310,160),IF(160&lt;=COUNTA(半紙!$B$11:$B$310)+COUNTA(条幅!$B$11:$B$310),INDEX(条幅!$F$11:$F$310,160-COUNTA(半紙!$B$11:$B$310)),IF(160&lt;=COUNTA(半紙!$B$11:$B$310)+COUNTA(条幅!$B$11:$B$310)+COUNTA(条幅4分の1!$B$11:$B$310),INDEX(条幅4分の1!$F$11:$F$310,160-COUNTA(半紙!$B$11:$B$310)-COUNTA(条幅!$B$11:$B$310)),"")))=0,"",IF(160&lt;=COUNTA(半紙!$B$11:$B$310),INDEX(半紙!$F$11:$F$310,160),IF(160&lt;=COUNTA(半紙!$B$11:$B$310)+COUNTA(条幅!$B$11:$B$310),INDEX(条幅!$F$11:$F$310,160-COUNTA(半紙!$B$11:$B$310)),IF(160&lt;=COUNTA(半紙!$B$11:$B$310)+COUNTA(条幅!$B$11:$B$310)+COUNTA(条幅4分の1!$B$11:$B$310),INDEX(条幅4分の1!$F$11:$F$310,160-COUNTA(半紙!$B$11:$B$310)-COUNTA(条幅!$B$11:$B$310)),""))))</f>
        <v/>
      </c>
      <c r="G165" s="38" t="str">
        <f>IF(IF(160&lt;=COUNTA(半紙!$B$11:$B$310),INDEX(半紙!$G$11:$G$310,160),IF(160&lt;=COUNTA(半紙!$B$11:$B$310)+COUNTA(条幅!$B$11:$B$310),INDEX(条幅!$G$11:$G$310,160-COUNTA(半紙!$B$11:$B$310)),IF(160&lt;=COUNTA(半紙!$B$11:$B$310)+COUNTA(条幅!$B$11:$B$310)+COUNTA(条幅4分の1!$B$11:$B$310),INDEX(条幅4分の1!$G$11:$G$310,160-COUNTA(半紙!$B$11:$B$310)-COUNTA(条幅!$B$11:$B$310)),"")))=0,"",IF(160&lt;=COUNTA(半紙!$B$11:$B$310),INDEX(半紙!$G$11:$G$310,160),IF(160&lt;=COUNTA(半紙!$B$11:$B$310)+COUNTA(条幅!$B$11:$B$310),INDEX(条幅!$G$11:$G$310,160-COUNTA(半紙!$B$11:$B$310)),IF(160&lt;=COUNTA(半紙!$B$11:$B$310)+COUNTA(条幅!$B$11:$B$310)+COUNTA(条幅4分の1!$B$11:$B$310),INDEX(条幅4分の1!$G$11:$G$310,160-COUNTA(半紙!$B$11:$B$310)-COUNTA(条幅!$B$11:$B$310)),""))))</f>
        <v/>
      </c>
      <c r="H165" s="38" t="str">
        <f>IF(IF(160&lt;=COUNTA(半紙!$B$11:$B$310),INDEX(半紙!$H$11:$H$310,160),IF(160&lt;=COUNTA(半紙!$B$11:$B$310)+COUNTA(条幅!$B$11:$B$310),INDEX(条幅!$H$11:$H$310,160-COUNTA(半紙!$B$11:$B$310)),IF(160&lt;=COUNTA(半紙!$B$11:$B$310)+COUNTA(条幅!$B$11:$B$310)+COUNTA(条幅4分の1!$B$11:$B$310),INDEX(条幅4分の1!$H$11:$H$310,160-COUNTA(半紙!$B$11:$B$310)-COUNTA(条幅!$B$11:$B$310)),"")))=0,"",IF(160&lt;=COUNTA(半紙!$B$11:$B$310),INDEX(半紙!$H$11:$H$310,160),IF(160&lt;=COUNTA(半紙!$B$11:$B$310)+COUNTA(条幅!$B$11:$B$310),INDEX(条幅!$H$11:$H$310,160-COUNTA(半紙!$B$11:$B$310)),IF(160&lt;=COUNTA(半紙!$B$11:$B$310)+COUNTA(条幅!$B$11:$B$310)+COUNTA(条幅4分の1!$B$11:$B$310),INDEX(条幅4分の1!$H$11:$H$310,160-COUNTA(半紙!$B$11:$B$310)-COUNTA(条幅!$B$11:$B$310)),""))))</f>
        <v/>
      </c>
      <c r="I165" s="38" t="str">
        <f>IF(IF(160&lt;=COUNTA(半紙!$B$11:$B$310),INDEX(半紙!$I$11:$I$310,160),IF(160&lt;=COUNTA(半紙!$B$11:$B$310)+COUNTA(条幅!$B$11:$B$310),INDEX(条幅!$I$11:$I$310,160-COUNTA(半紙!$B$11:$B$310)),IF(160&lt;=COUNTA(半紙!$B$11:$B$310)+COUNTA(条幅!$B$11:$B$310)+COUNTA(条幅4分の1!$B$11:$B$310),INDEX(条幅4分の1!$I$11:$I$310,160-COUNTA(半紙!$B$11:$B$310)-COUNTA(条幅!$B$11:$B$310)),"")))=0,"",IF(160&lt;=COUNTA(半紙!$B$11:$B$310),INDEX(半紙!$I$11:$I$310,160),IF(160&lt;=COUNTA(半紙!$B$11:$B$310)+COUNTA(条幅!$B$11:$B$310),INDEX(条幅!$I$11:$I$310,160-COUNTA(半紙!$B$11:$B$310)),IF(160&lt;=COUNTA(半紙!$B$11:$B$310)+COUNTA(条幅!$B$11:$B$310)+COUNTA(条幅4分の1!$B$11:$B$310),INDEX(条幅4分の1!$I$11:$I$310,160-COUNTA(半紙!$B$11:$B$310)-COUNTA(条幅!$B$11:$B$310)),""))))</f>
        <v/>
      </c>
      <c r="J165" s="38" t="str">
        <f>IF(IF(160&lt;=COUNTA(半紙!$B$11:$B$310),INDEX(半紙!$J$11:$J$310,160),IF(160&lt;=COUNTA(半紙!$B$11:$B$310)+COUNTA(条幅!$B$11:$B$310),INDEX(条幅!$J$11:$J$310,160-COUNTA(半紙!$B$11:$B$310)),IF(160&lt;=COUNTA(半紙!$B$11:$B$310)+COUNTA(条幅!$B$11:$B$310)+COUNTA(条幅4分の1!$B$11:$B$310),INDEX(条幅4分の1!$J$11:$J$310,160-COUNTA(半紙!$B$11:$B$310)-COUNTA(条幅!$B$11:$B$310)),"")))=0,"",IF(160&lt;=COUNTA(半紙!$B$11:$B$310),INDEX(半紙!$J$11:$J$310,160),IF(160&lt;=COUNTA(半紙!$B$11:$B$310)+COUNTA(条幅!$B$11:$B$310),INDEX(条幅!$J$11:$J$310,160-COUNTA(半紙!$B$11:$B$310)),IF(160&lt;=COUNTA(半紙!$B$11:$B$310)+COUNTA(条幅!$B$11:$B$310)+COUNTA(条幅4分の1!$B$11:$B$310),INDEX(条幅4分の1!$J$11:$J$310,160-COUNTA(半紙!$B$11:$B$310)-COUNTA(条幅!$B$11:$B$310)),""))))</f>
        <v/>
      </c>
      <c r="K165" s="38" t="str">
        <f>IF(IF(160&lt;=COUNTA(半紙!$B$11:$B$310),INDEX(半紙!$K$11:$K$310,160),IF(160&lt;=COUNTA(半紙!$B$11:$B$310)+COUNTA(条幅!$B$11:$B$310),INDEX(条幅!$K$11:$K$310,160-COUNTA(半紙!$B$11:$B$310)),IF(160&lt;=COUNTA(半紙!$B$11:$B$310)+COUNTA(条幅!$B$11:$B$310)+COUNTA(条幅4分の1!$B$11:$B$310),INDEX(条幅4分の1!$K$11:$K$310,160-COUNTA(半紙!$B$11:$B$310)-COUNTA(条幅!$B$11:$B$310)),"")))=0,"",IF(160&lt;=COUNTA(半紙!$B$11:$B$310),INDEX(半紙!$K$11:$K$310,160),IF(160&lt;=COUNTA(半紙!$B$11:$B$310)+COUNTA(条幅!$B$11:$B$310),INDEX(条幅!$K$11:$K$310,160-COUNTA(半紙!$B$11:$B$310)),IF(160&lt;=COUNTA(半紙!$B$11:$B$310)+COUNTA(条幅!$B$11:$B$310)+COUNTA(条幅4分の1!$B$11:$B$310),INDEX(条幅4分の1!$K$11:$K$310,160-COUNTA(半紙!$B$11:$B$310)-COUNTA(条幅!$B$11:$B$310)),""))))</f>
        <v/>
      </c>
      <c r="L165" s="48" t="str">
        <f>IF($B165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160))</f>
        <v/>
      </c>
    </row>
    <row r="166" spans="1:12" ht="15" customHeight="1">
      <c r="A166" s="37" t="str">
        <f>IF(161&lt;=COUNTA(半紙!$B$11:$B$310),"半紙",IF(161&lt;=COUNTA(半紙!$B$11:$B$310)+COUNTA(条幅!$B$11:$B$310),"条幅(半切)",IF(161&lt;=COUNTA(半紙!$B$11:$B$310)+COUNTA(条幅!$B$11:$B$310)+COUNTA(条幅4分の1!$B$11:$B$310),"条幅(1/4)","")))</f>
        <v/>
      </c>
      <c r="B166" s="38" t="str">
        <f>IF(IF(161&lt;=COUNTA(半紙!$B$11:$B$310),INDEX(半紙!$B$11:$B$310,161),IF(161&lt;=COUNTA(半紙!$B$11:$B$310)+COUNTA(条幅!$B$11:$B$310),INDEX(条幅!$B$11:$B$310,161-COUNTA(半紙!$B$11:$B$310)),IF(161&lt;=COUNTA(半紙!$B$11:$B$310)+COUNTA(条幅!$B$11:$B$310)+COUNTA(条幅4分の1!$B$11:$B$310),INDEX(条幅4分の1!$B$11:$B$310,161-COUNTA(半紙!$B$11:$B$310)-COUNTA(条幅!$B$11:$B$310)),"")))=0,"",IF(161&lt;=COUNTA(半紙!$B$11:$B$310),INDEX(半紙!$B$11:$B$310,161),IF(161&lt;=COUNTA(半紙!$B$11:$B$310)+COUNTA(条幅!$B$11:$B$310),INDEX(条幅!$B$11:$B$310,161-COUNTA(半紙!$B$11:$B$310)),IF(161&lt;=COUNTA(半紙!$B$11:$B$310)+COUNTA(条幅!$B$11:$B$310)+COUNTA(条幅4分の1!$B$11:$B$310),INDEX(条幅4分の1!$B$11:$B$310,161-COUNTA(半紙!$B$11:$B$310)-COUNTA(条幅!$B$11:$B$310)),""))))</f>
        <v/>
      </c>
      <c r="C166" s="38" t="str">
        <f>IF(IF(161&lt;=COUNTA(半紙!$B$11:$B$310),INDEX(半紙!$C$11:$C$310,161),IF(161&lt;=COUNTA(半紙!$B$11:$B$310)+COUNTA(条幅!$B$11:$B$310),INDEX(条幅!$C$11:$C$310,161-COUNTA(半紙!$B$11:$B$310)),IF(161&lt;=COUNTA(半紙!$B$11:$B$310)+COUNTA(条幅!$B$11:$B$310)+COUNTA(条幅4分の1!$B$11:$B$310),INDEX(条幅4分の1!$C$11:$C$310,161-COUNTA(半紙!$B$11:$B$310)-COUNTA(条幅!$B$11:$B$310)),"")))=0,"",IF(161&lt;=COUNTA(半紙!$B$11:$B$310),INDEX(半紙!$C$11:$C$310,161),IF(161&lt;=COUNTA(半紙!$B$11:$B$310)+COUNTA(条幅!$B$11:$B$310),INDEX(条幅!$C$11:$C$310,161-COUNTA(半紙!$B$11:$B$310)),IF(161&lt;=COUNTA(半紙!$B$11:$B$310)+COUNTA(条幅!$B$11:$B$310)+COUNTA(条幅4分の1!$B$11:$B$310),INDEX(条幅4分の1!$C$11:$C$310,161-COUNTA(半紙!$B$11:$B$310)-COUNTA(条幅!$B$11:$B$310)),""))))</f>
        <v/>
      </c>
      <c r="D166" s="38" t="str">
        <f>IF(IF(161&lt;=COUNTA(半紙!$B$11:$B$310),INDEX(半紙!$D$11:$D$310,161),IF(161&lt;=COUNTA(半紙!$B$11:$B$310)+COUNTA(条幅!$B$11:$B$310),INDEX(条幅!$D$11:$D$310,161-COUNTA(半紙!$B$11:$B$310)),IF(161&lt;=COUNTA(半紙!$B$11:$B$310)+COUNTA(条幅!$B$11:$B$310)+COUNTA(条幅4分の1!$B$11:$B$310),INDEX(条幅4分の1!$D$11:$D$310,161-COUNTA(半紙!$B$11:$B$310)-COUNTA(条幅!$B$11:$B$310)),"")))=0,"",IF(161&lt;=COUNTA(半紙!$B$11:$B$310),INDEX(半紙!$D$11:$D$310,161),IF(161&lt;=COUNTA(半紙!$B$11:$B$310)+COUNTA(条幅!$B$11:$B$310),INDEX(条幅!$D$11:$D$310,161-COUNTA(半紙!$B$11:$B$310)),IF(161&lt;=COUNTA(半紙!$B$11:$B$310)+COUNTA(条幅!$B$11:$B$310)+COUNTA(条幅4分の1!$B$11:$B$310),INDEX(条幅4分の1!$D$11:$D$310,161-COUNTA(半紙!$B$11:$B$310)-COUNTA(条幅!$B$11:$B$310)),""))))</f>
        <v/>
      </c>
      <c r="E166" s="38" t="str">
        <f>IF(IF(161&lt;=COUNTA(半紙!$B$11:$B$310),INDEX(半紙!$E$11:$E$310,161),IF(161&lt;=COUNTA(半紙!$B$11:$B$310)+COUNTA(条幅!$B$11:$B$310),INDEX(条幅!$E$11:$E$310,161-COUNTA(半紙!$B$11:$B$310)),IF(161&lt;=COUNTA(半紙!$B$11:$B$310)+COUNTA(条幅!$B$11:$B$310)+COUNTA(条幅4分の1!$B$11:$B$310),INDEX(条幅4分の1!$E$11:$E$310,161-COUNTA(半紙!$B$11:$B$310)-COUNTA(条幅!$B$11:$B$310)),"")))=0,"",IF(161&lt;=COUNTA(半紙!$B$11:$B$310),INDEX(半紙!$E$11:$E$310,161),IF(161&lt;=COUNTA(半紙!$B$11:$B$310)+COUNTA(条幅!$B$11:$B$310),INDEX(条幅!$E$11:$E$310,161-COUNTA(半紙!$B$11:$B$310)),IF(161&lt;=COUNTA(半紙!$B$11:$B$310)+COUNTA(条幅!$B$11:$B$310)+COUNTA(条幅4分の1!$B$11:$B$310),INDEX(条幅4分の1!$E$11:$E$310,161-COUNTA(半紙!$B$11:$B$310)-COUNTA(条幅!$B$11:$B$310)),""))))</f>
        <v/>
      </c>
      <c r="F166" s="38" t="str">
        <f>IF(IF(161&lt;=COUNTA(半紙!$B$11:$B$310),INDEX(半紙!$F$11:$F$310,161),IF(161&lt;=COUNTA(半紙!$B$11:$B$310)+COUNTA(条幅!$B$11:$B$310),INDEX(条幅!$F$11:$F$310,161-COUNTA(半紙!$B$11:$B$310)),IF(161&lt;=COUNTA(半紙!$B$11:$B$310)+COUNTA(条幅!$B$11:$B$310)+COUNTA(条幅4分の1!$B$11:$B$310),INDEX(条幅4分の1!$F$11:$F$310,161-COUNTA(半紙!$B$11:$B$310)-COUNTA(条幅!$B$11:$B$310)),"")))=0,"",IF(161&lt;=COUNTA(半紙!$B$11:$B$310),INDEX(半紙!$F$11:$F$310,161),IF(161&lt;=COUNTA(半紙!$B$11:$B$310)+COUNTA(条幅!$B$11:$B$310),INDEX(条幅!$F$11:$F$310,161-COUNTA(半紙!$B$11:$B$310)),IF(161&lt;=COUNTA(半紙!$B$11:$B$310)+COUNTA(条幅!$B$11:$B$310)+COUNTA(条幅4分の1!$B$11:$B$310),INDEX(条幅4分の1!$F$11:$F$310,161-COUNTA(半紙!$B$11:$B$310)-COUNTA(条幅!$B$11:$B$310)),""))))</f>
        <v/>
      </c>
      <c r="G166" s="38" t="str">
        <f>IF(IF(161&lt;=COUNTA(半紙!$B$11:$B$310),INDEX(半紙!$G$11:$G$310,161),IF(161&lt;=COUNTA(半紙!$B$11:$B$310)+COUNTA(条幅!$B$11:$B$310),INDEX(条幅!$G$11:$G$310,161-COUNTA(半紙!$B$11:$B$310)),IF(161&lt;=COUNTA(半紙!$B$11:$B$310)+COUNTA(条幅!$B$11:$B$310)+COUNTA(条幅4分の1!$B$11:$B$310),INDEX(条幅4分の1!$G$11:$G$310,161-COUNTA(半紙!$B$11:$B$310)-COUNTA(条幅!$B$11:$B$310)),"")))=0,"",IF(161&lt;=COUNTA(半紙!$B$11:$B$310),INDEX(半紙!$G$11:$G$310,161),IF(161&lt;=COUNTA(半紙!$B$11:$B$310)+COUNTA(条幅!$B$11:$B$310),INDEX(条幅!$G$11:$G$310,161-COUNTA(半紙!$B$11:$B$310)),IF(161&lt;=COUNTA(半紙!$B$11:$B$310)+COUNTA(条幅!$B$11:$B$310)+COUNTA(条幅4分の1!$B$11:$B$310),INDEX(条幅4分の1!$G$11:$G$310,161-COUNTA(半紙!$B$11:$B$310)-COUNTA(条幅!$B$11:$B$310)),""))))</f>
        <v/>
      </c>
      <c r="H166" s="38" t="str">
        <f>IF(IF(161&lt;=COUNTA(半紙!$B$11:$B$310),INDEX(半紙!$H$11:$H$310,161),IF(161&lt;=COUNTA(半紙!$B$11:$B$310)+COUNTA(条幅!$B$11:$B$310),INDEX(条幅!$H$11:$H$310,161-COUNTA(半紙!$B$11:$B$310)),IF(161&lt;=COUNTA(半紙!$B$11:$B$310)+COUNTA(条幅!$B$11:$B$310)+COUNTA(条幅4分の1!$B$11:$B$310),INDEX(条幅4分の1!$H$11:$H$310,161-COUNTA(半紙!$B$11:$B$310)-COUNTA(条幅!$B$11:$B$310)),"")))=0,"",IF(161&lt;=COUNTA(半紙!$B$11:$B$310),INDEX(半紙!$H$11:$H$310,161),IF(161&lt;=COUNTA(半紙!$B$11:$B$310)+COUNTA(条幅!$B$11:$B$310),INDEX(条幅!$H$11:$H$310,161-COUNTA(半紙!$B$11:$B$310)),IF(161&lt;=COUNTA(半紙!$B$11:$B$310)+COUNTA(条幅!$B$11:$B$310)+COUNTA(条幅4分の1!$B$11:$B$310),INDEX(条幅4分の1!$H$11:$H$310,161-COUNTA(半紙!$B$11:$B$310)-COUNTA(条幅!$B$11:$B$310)),""))))</f>
        <v/>
      </c>
      <c r="I166" s="38" t="str">
        <f>IF(IF(161&lt;=COUNTA(半紙!$B$11:$B$310),INDEX(半紙!$I$11:$I$310,161),IF(161&lt;=COUNTA(半紙!$B$11:$B$310)+COUNTA(条幅!$B$11:$B$310),INDEX(条幅!$I$11:$I$310,161-COUNTA(半紙!$B$11:$B$310)),IF(161&lt;=COUNTA(半紙!$B$11:$B$310)+COUNTA(条幅!$B$11:$B$310)+COUNTA(条幅4分の1!$B$11:$B$310),INDEX(条幅4分の1!$I$11:$I$310,161-COUNTA(半紙!$B$11:$B$310)-COUNTA(条幅!$B$11:$B$310)),"")))=0,"",IF(161&lt;=COUNTA(半紙!$B$11:$B$310),INDEX(半紙!$I$11:$I$310,161),IF(161&lt;=COUNTA(半紙!$B$11:$B$310)+COUNTA(条幅!$B$11:$B$310),INDEX(条幅!$I$11:$I$310,161-COUNTA(半紙!$B$11:$B$310)),IF(161&lt;=COUNTA(半紙!$B$11:$B$310)+COUNTA(条幅!$B$11:$B$310)+COUNTA(条幅4分の1!$B$11:$B$310),INDEX(条幅4分の1!$I$11:$I$310,161-COUNTA(半紙!$B$11:$B$310)-COUNTA(条幅!$B$11:$B$310)),""))))</f>
        <v/>
      </c>
      <c r="J166" s="38" t="str">
        <f>IF(IF(161&lt;=COUNTA(半紙!$B$11:$B$310),INDEX(半紙!$J$11:$J$310,161),IF(161&lt;=COUNTA(半紙!$B$11:$B$310)+COUNTA(条幅!$B$11:$B$310),INDEX(条幅!$J$11:$J$310,161-COUNTA(半紙!$B$11:$B$310)),IF(161&lt;=COUNTA(半紙!$B$11:$B$310)+COUNTA(条幅!$B$11:$B$310)+COUNTA(条幅4分の1!$B$11:$B$310),INDEX(条幅4分の1!$J$11:$J$310,161-COUNTA(半紙!$B$11:$B$310)-COUNTA(条幅!$B$11:$B$310)),"")))=0,"",IF(161&lt;=COUNTA(半紙!$B$11:$B$310),INDEX(半紙!$J$11:$J$310,161),IF(161&lt;=COUNTA(半紙!$B$11:$B$310)+COUNTA(条幅!$B$11:$B$310),INDEX(条幅!$J$11:$J$310,161-COUNTA(半紙!$B$11:$B$310)),IF(161&lt;=COUNTA(半紙!$B$11:$B$310)+COUNTA(条幅!$B$11:$B$310)+COUNTA(条幅4分の1!$B$11:$B$310),INDEX(条幅4分の1!$J$11:$J$310,161-COUNTA(半紙!$B$11:$B$310)-COUNTA(条幅!$B$11:$B$310)),""))))</f>
        <v/>
      </c>
      <c r="K166" s="38" t="str">
        <f>IF(IF(161&lt;=COUNTA(半紙!$B$11:$B$310),INDEX(半紙!$K$11:$K$310,161),IF(161&lt;=COUNTA(半紙!$B$11:$B$310)+COUNTA(条幅!$B$11:$B$310),INDEX(条幅!$K$11:$K$310,161-COUNTA(半紙!$B$11:$B$310)),IF(161&lt;=COUNTA(半紙!$B$11:$B$310)+COUNTA(条幅!$B$11:$B$310)+COUNTA(条幅4分の1!$B$11:$B$310),INDEX(条幅4分の1!$K$11:$K$310,161-COUNTA(半紙!$B$11:$B$310)-COUNTA(条幅!$B$11:$B$310)),"")))=0,"",IF(161&lt;=COUNTA(半紙!$B$11:$B$310),INDEX(半紙!$K$11:$K$310,161),IF(161&lt;=COUNTA(半紙!$B$11:$B$310)+COUNTA(条幅!$B$11:$B$310),INDEX(条幅!$K$11:$K$310,161-COUNTA(半紙!$B$11:$B$310)),IF(161&lt;=COUNTA(半紙!$B$11:$B$310)+COUNTA(条幅!$B$11:$B$310)+COUNTA(条幅4分の1!$B$11:$B$310),INDEX(条幅4分の1!$K$11:$K$310,161-COUNTA(半紙!$B$11:$B$310)-COUNTA(条幅!$B$11:$B$310)),""))))</f>
        <v/>
      </c>
      <c r="L166" s="48" t="str">
        <f>IF($B166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161))</f>
        <v/>
      </c>
    </row>
    <row r="167" spans="1:12" ht="15" customHeight="1">
      <c r="A167" s="37" t="str">
        <f>IF(162&lt;=COUNTA(半紙!$B$11:$B$310),"半紙",IF(162&lt;=COUNTA(半紙!$B$11:$B$310)+COUNTA(条幅!$B$11:$B$310),"条幅(半切)",IF(162&lt;=COUNTA(半紙!$B$11:$B$310)+COUNTA(条幅!$B$11:$B$310)+COUNTA(条幅4分の1!$B$11:$B$310),"条幅(1/4)","")))</f>
        <v/>
      </c>
      <c r="B167" s="38" t="str">
        <f>IF(IF(162&lt;=COUNTA(半紙!$B$11:$B$310),INDEX(半紙!$B$11:$B$310,162),IF(162&lt;=COUNTA(半紙!$B$11:$B$310)+COUNTA(条幅!$B$11:$B$310),INDEX(条幅!$B$11:$B$310,162-COUNTA(半紙!$B$11:$B$310)),IF(162&lt;=COUNTA(半紙!$B$11:$B$310)+COUNTA(条幅!$B$11:$B$310)+COUNTA(条幅4分の1!$B$11:$B$310),INDEX(条幅4分の1!$B$11:$B$310,162-COUNTA(半紙!$B$11:$B$310)-COUNTA(条幅!$B$11:$B$310)),"")))=0,"",IF(162&lt;=COUNTA(半紙!$B$11:$B$310),INDEX(半紙!$B$11:$B$310,162),IF(162&lt;=COUNTA(半紙!$B$11:$B$310)+COUNTA(条幅!$B$11:$B$310),INDEX(条幅!$B$11:$B$310,162-COUNTA(半紙!$B$11:$B$310)),IF(162&lt;=COUNTA(半紙!$B$11:$B$310)+COUNTA(条幅!$B$11:$B$310)+COUNTA(条幅4分の1!$B$11:$B$310),INDEX(条幅4分の1!$B$11:$B$310,162-COUNTA(半紙!$B$11:$B$310)-COUNTA(条幅!$B$11:$B$310)),""))))</f>
        <v/>
      </c>
      <c r="C167" s="38" t="str">
        <f>IF(IF(162&lt;=COUNTA(半紙!$B$11:$B$310),INDEX(半紙!$C$11:$C$310,162),IF(162&lt;=COUNTA(半紙!$B$11:$B$310)+COUNTA(条幅!$B$11:$B$310),INDEX(条幅!$C$11:$C$310,162-COUNTA(半紙!$B$11:$B$310)),IF(162&lt;=COUNTA(半紙!$B$11:$B$310)+COUNTA(条幅!$B$11:$B$310)+COUNTA(条幅4分の1!$B$11:$B$310),INDEX(条幅4分の1!$C$11:$C$310,162-COUNTA(半紙!$B$11:$B$310)-COUNTA(条幅!$B$11:$B$310)),"")))=0,"",IF(162&lt;=COUNTA(半紙!$B$11:$B$310),INDEX(半紙!$C$11:$C$310,162),IF(162&lt;=COUNTA(半紙!$B$11:$B$310)+COUNTA(条幅!$B$11:$B$310),INDEX(条幅!$C$11:$C$310,162-COUNTA(半紙!$B$11:$B$310)),IF(162&lt;=COUNTA(半紙!$B$11:$B$310)+COUNTA(条幅!$B$11:$B$310)+COUNTA(条幅4分の1!$B$11:$B$310),INDEX(条幅4分の1!$C$11:$C$310,162-COUNTA(半紙!$B$11:$B$310)-COUNTA(条幅!$B$11:$B$310)),""))))</f>
        <v/>
      </c>
      <c r="D167" s="38" t="str">
        <f>IF(IF(162&lt;=COUNTA(半紙!$B$11:$B$310),INDEX(半紙!$D$11:$D$310,162),IF(162&lt;=COUNTA(半紙!$B$11:$B$310)+COUNTA(条幅!$B$11:$B$310),INDEX(条幅!$D$11:$D$310,162-COUNTA(半紙!$B$11:$B$310)),IF(162&lt;=COUNTA(半紙!$B$11:$B$310)+COUNTA(条幅!$B$11:$B$310)+COUNTA(条幅4分の1!$B$11:$B$310),INDEX(条幅4分の1!$D$11:$D$310,162-COUNTA(半紙!$B$11:$B$310)-COUNTA(条幅!$B$11:$B$310)),"")))=0,"",IF(162&lt;=COUNTA(半紙!$B$11:$B$310),INDEX(半紙!$D$11:$D$310,162),IF(162&lt;=COUNTA(半紙!$B$11:$B$310)+COUNTA(条幅!$B$11:$B$310),INDEX(条幅!$D$11:$D$310,162-COUNTA(半紙!$B$11:$B$310)),IF(162&lt;=COUNTA(半紙!$B$11:$B$310)+COUNTA(条幅!$B$11:$B$310)+COUNTA(条幅4分の1!$B$11:$B$310),INDEX(条幅4分の1!$D$11:$D$310,162-COUNTA(半紙!$B$11:$B$310)-COUNTA(条幅!$B$11:$B$310)),""))))</f>
        <v/>
      </c>
      <c r="E167" s="38" t="str">
        <f>IF(IF(162&lt;=COUNTA(半紙!$B$11:$B$310),INDEX(半紙!$E$11:$E$310,162),IF(162&lt;=COUNTA(半紙!$B$11:$B$310)+COUNTA(条幅!$B$11:$B$310),INDEX(条幅!$E$11:$E$310,162-COUNTA(半紙!$B$11:$B$310)),IF(162&lt;=COUNTA(半紙!$B$11:$B$310)+COUNTA(条幅!$B$11:$B$310)+COUNTA(条幅4分の1!$B$11:$B$310),INDEX(条幅4分の1!$E$11:$E$310,162-COUNTA(半紙!$B$11:$B$310)-COUNTA(条幅!$B$11:$B$310)),"")))=0,"",IF(162&lt;=COUNTA(半紙!$B$11:$B$310),INDEX(半紙!$E$11:$E$310,162),IF(162&lt;=COUNTA(半紙!$B$11:$B$310)+COUNTA(条幅!$B$11:$B$310),INDEX(条幅!$E$11:$E$310,162-COUNTA(半紙!$B$11:$B$310)),IF(162&lt;=COUNTA(半紙!$B$11:$B$310)+COUNTA(条幅!$B$11:$B$310)+COUNTA(条幅4分の1!$B$11:$B$310),INDEX(条幅4分の1!$E$11:$E$310,162-COUNTA(半紙!$B$11:$B$310)-COUNTA(条幅!$B$11:$B$310)),""))))</f>
        <v/>
      </c>
      <c r="F167" s="38" t="str">
        <f>IF(IF(162&lt;=COUNTA(半紙!$B$11:$B$310),INDEX(半紙!$F$11:$F$310,162),IF(162&lt;=COUNTA(半紙!$B$11:$B$310)+COUNTA(条幅!$B$11:$B$310),INDEX(条幅!$F$11:$F$310,162-COUNTA(半紙!$B$11:$B$310)),IF(162&lt;=COUNTA(半紙!$B$11:$B$310)+COUNTA(条幅!$B$11:$B$310)+COUNTA(条幅4分の1!$B$11:$B$310),INDEX(条幅4分の1!$F$11:$F$310,162-COUNTA(半紙!$B$11:$B$310)-COUNTA(条幅!$B$11:$B$310)),"")))=0,"",IF(162&lt;=COUNTA(半紙!$B$11:$B$310),INDEX(半紙!$F$11:$F$310,162),IF(162&lt;=COUNTA(半紙!$B$11:$B$310)+COUNTA(条幅!$B$11:$B$310),INDEX(条幅!$F$11:$F$310,162-COUNTA(半紙!$B$11:$B$310)),IF(162&lt;=COUNTA(半紙!$B$11:$B$310)+COUNTA(条幅!$B$11:$B$310)+COUNTA(条幅4分の1!$B$11:$B$310),INDEX(条幅4分の1!$F$11:$F$310,162-COUNTA(半紙!$B$11:$B$310)-COUNTA(条幅!$B$11:$B$310)),""))))</f>
        <v/>
      </c>
      <c r="G167" s="38" t="str">
        <f>IF(IF(162&lt;=COUNTA(半紙!$B$11:$B$310),INDEX(半紙!$G$11:$G$310,162),IF(162&lt;=COUNTA(半紙!$B$11:$B$310)+COUNTA(条幅!$B$11:$B$310),INDEX(条幅!$G$11:$G$310,162-COUNTA(半紙!$B$11:$B$310)),IF(162&lt;=COUNTA(半紙!$B$11:$B$310)+COUNTA(条幅!$B$11:$B$310)+COUNTA(条幅4分の1!$B$11:$B$310),INDEX(条幅4分の1!$G$11:$G$310,162-COUNTA(半紙!$B$11:$B$310)-COUNTA(条幅!$B$11:$B$310)),"")))=0,"",IF(162&lt;=COUNTA(半紙!$B$11:$B$310),INDEX(半紙!$G$11:$G$310,162),IF(162&lt;=COUNTA(半紙!$B$11:$B$310)+COUNTA(条幅!$B$11:$B$310),INDEX(条幅!$G$11:$G$310,162-COUNTA(半紙!$B$11:$B$310)),IF(162&lt;=COUNTA(半紙!$B$11:$B$310)+COUNTA(条幅!$B$11:$B$310)+COUNTA(条幅4分の1!$B$11:$B$310),INDEX(条幅4分の1!$G$11:$G$310,162-COUNTA(半紙!$B$11:$B$310)-COUNTA(条幅!$B$11:$B$310)),""))))</f>
        <v/>
      </c>
      <c r="H167" s="38" t="str">
        <f>IF(IF(162&lt;=COUNTA(半紙!$B$11:$B$310),INDEX(半紙!$H$11:$H$310,162),IF(162&lt;=COUNTA(半紙!$B$11:$B$310)+COUNTA(条幅!$B$11:$B$310),INDEX(条幅!$H$11:$H$310,162-COUNTA(半紙!$B$11:$B$310)),IF(162&lt;=COUNTA(半紙!$B$11:$B$310)+COUNTA(条幅!$B$11:$B$310)+COUNTA(条幅4分の1!$B$11:$B$310),INDEX(条幅4分の1!$H$11:$H$310,162-COUNTA(半紙!$B$11:$B$310)-COUNTA(条幅!$B$11:$B$310)),"")))=0,"",IF(162&lt;=COUNTA(半紙!$B$11:$B$310),INDEX(半紙!$H$11:$H$310,162),IF(162&lt;=COUNTA(半紙!$B$11:$B$310)+COUNTA(条幅!$B$11:$B$310),INDEX(条幅!$H$11:$H$310,162-COUNTA(半紙!$B$11:$B$310)),IF(162&lt;=COUNTA(半紙!$B$11:$B$310)+COUNTA(条幅!$B$11:$B$310)+COUNTA(条幅4分の1!$B$11:$B$310),INDEX(条幅4分の1!$H$11:$H$310,162-COUNTA(半紙!$B$11:$B$310)-COUNTA(条幅!$B$11:$B$310)),""))))</f>
        <v/>
      </c>
      <c r="I167" s="38" t="str">
        <f>IF(IF(162&lt;=COUNTA(半紙!$B$11:$B$310),INDEX(半紙!$I$11:$I$310,162),IF(162&lt;=COUNTA(半紙!$B$11:$B$310)+COUNTA(条幅!$B$11:$B$310),INDEX(条幅!$I$11:$I$310,162-COUNTA(半紙!$B$11:$B$310)),IF(162&lt;=COUNTA(半紙!$B$11:$B$310)+COUNTA(条幅!$B$11:$B$310)+COUNTA(条幅4分の1!$B$11:$B$310),INDEX(条幅4分の1!$I$11:$I$310,162-COUNTA(半紙!$B$11:$B$310)-COUNTA(条幅!$B$11:$B$310)),"")))=0,"",IF(162&lt;=COUNTA(半紙!$B$11:$B$310),INDEX(半紙!$I$11:$I$310,162),IF(162&lt;=COUNTA(半紙!$B$11:$B$310)+COUNTA(条幅!$B$11:$B$310),INDEX(条幅!$I$11:$I$310,162-COUNTA(半紙!$B$11:$B$310)),IF(162&lt;=COUNTA(半紙!$B$11:$B$310)+COUNTA(条幅!$B$11:$B$310)+COUNTA(条幅4分の1!$B$11:$B$310),INDEX(条幅4分の1!$I$11:$I$310,162-COUNTA(半紙!$B$11:$B$310)-COUNTA(条幅!$B$11:$B$310)),""))))</f>
        <v/>
      </c>
      <c r="J167" s="38" t="str">
        <f>IF(IF(162&lt;=COUNTA(半紙!$B$11:$B$310),INDEX(半紙!$J$11:$J$310,162),IF(162&lt;=COUNTA(半紙!$B$11:$B$310)+COUNTA(条幅!$B$11:$B$310),INDEX(条幅!$J$11:$J$310,162-COUNTA(半紙!$B$11:$B$310)),IF(162&lt;=COUNTA(半紙!$B$11:$B$310)+COUNTA(条幅!$B$11:$B$310)+COUNTA(条幅4分の1!$B$11:$B$310),INDEX(条幅4分の1!$J$11:$J$310,162-COUNTA(半紙!$B$11:$B$310)-COUNTA(条幅!$B$11:$B$310)),"")))=0,"",IF(162&lt;=COUNTA(半紙!$B$11:$B$310),INDEX(半紙!$J$11:$J$310,162),IF(162&lt;=COUNTA(半紙!$B$11:$B$310)+COUNTA(条幅!$B$11:$B$310),INDEX(条幅!$J$11:$J$310,162-COUNTA(半紙!$B$11:$B$310)),IF(162&lt;=COUNTA(半紙!$B$11:$B$310)+COUNTA(条幅!$B$11:$B$310)+COUNTA(条幅4分の1!$B$11:$B$310),INDEX(条幅4分の1!$J$11:$J$310,162-COUNTA(半紙!$B$11:$B$310)-COUNTA(条幅!$B$11:$B$310)),""))))</f>
        <v/>
      </c>
      <c r="K167" s="38" t="str">
        <f>IF(IF(162&lt;=COUNTA(半紙!$B$11:$B$310),INDEX(半紙!$K$11:$K$310,162),IF(162&lt;=COUNTA(半紙!$B$11:$B$310)+COUNTA(条幅!$B$11:$B$310),INDEX(条幅!$K$11:$K$310,162-COUNTA(半紙!$B$11:$B$310)),IF(162&lt;=COUNTA(半紙!$B$11:$B$310)+COUNTA(条幅!$B$11:$B$310)+COUNTA(条幅4分の1!$B$11:$B$310),INDEX(条幅4分の1!$K$11:$K$310,162-COUNTA(半紙!$B$11:$B$310)-COUNTA(条幅!$B$11:$B$310)),"")))=0,"",IF(162&lt;=COUNTA(半紙!$B$11:$B$310),INDEX(半紙!$K$11:$K$310,162),IF(162&lt;=COUNTA(半紙!$B$11:$B$310)+COUNTA(条幅!$B$11:$B$310),INDEX(条幅!$K$11:$K$310,162-COUNTA(半紙!$B$11:$B$310)),IF(162&lt;=COUNTA(半紙!$B$11:$B$310)+COUNTA(条幅!$B$11:$B$310)+COUNTA(条幅4分の1!$B$11:$B$310),INDEX(条幅4分の1!$K$11:$K$310,162-COUNTA(半紙!$B$11:$B$310)-COUNTA(条幅!$B$11:$B$310)),""))))</f>
        <v/>
      </c>
      <c r="L167" s="48" t="str">
        <f>IF($B167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162))</f>
        <v/>
      </c>
    </row>
    <row r="168" spans="1:12" ht="15" customHeight="1">
      <c r="A168" s="37" t="str">
        <f>IF(163&lt;=COUNTA(半紙!$B$11:$B$310),"半紙",IF(163&lt;=COUNTA(半紙!$B$11:$B$310)+COUNTA(条幅!$B$11:$B$310),"条幅(半切)",IF(163&lt;=COUNTA(半紙!$B$11:$B$310)+COUNTA(条幅!$B$11:$B$310)+COUNTA(条幅4分の1!$B$11:$B$310),"条幅(1/4)","")))</f>
        <v/>
      </c>
      <c r="B168" s="38" t="str">
        <f>IF(IF(163&lt;=COUNTA(半紙!$B$11:$B$310),INDEX(半紙!$B$11:$B$310,163),IF(163&lt;=COUNTA(半紙!$B$11:$B$310)+COUNTA(条幅!$B$11:$B$310),INDEX(条幅!$B$11:$B$310,163-COUNTA(半紙!$B$11:$B$310)),IF(163&lt;=COUNTA(半紙!$B$11:$B$310)+COUNTA(条幅!$B$11:$B$310)+COUNTA(条幅4分の1!$B$11:$B$310),INDEX(条幅4分の1!$B$11:$B$310,163-COUNTA(半紙!$B$11:$B$310)-COUNTA(条幅!$B$11:$B$310)),"")))=0,"",IF(163&lt;=COUNTA(半紙!$B$11:$B$310),INDEX(半紙!$B$11:$B$310,163),IF(163&lt;=COUNTA(半紙!$B$11:$B$310)+COUNTA(条幅!$B$11:$B$310),INDEX(条幅!$B$11:$B$310,163-COUNTA(半紙!$B$11:$B$310)),IF(163&lt;=COUNTA(半紙!$B$11:$B$310)+COUNTA(条幅!$B$11:$B$310)+COUNTA(条幅4分の1!$B$11:$B$310),INDEX(条幅4分の1!$B$11:$B$310,163-COUNTA(半紙!$B$11:$B$310)-COUNTA(条幅!$B$11:$B$310)),""))))</f>
        <v/>
      </c>
      <c r="C168" s="38" t="str">
        <f>IF(IF(163&lt;=COUNTA(半紙!$B$11:$B$310),INDEX(半紙!$C$11:$C$310,163),IF(163&lt;=COUNTA(半紙!$B$11:$B$310)+COUNTA(条幅!$B$11:$B$310),INDEX(条幅!$C$11:$C$310,163-COUNTA(半紙!$B$11:$B$310)),IF(163&lt;=COUNTA(半紙!$B$11:$B$310)+COUNTA(条幅!$B$11:$B$310)+COUNTA(条幅4分の1!$B$11:$B$310),INDEX(条幅4分の1!$C$11:$C$310,163-COUNTA(半紙!$B$11:$B$310)-COUNTA(条幅!$B$11:$B$310)),"")))=0,"",IF(163&lt;=COUNTA(半紙!$B$11:$B$310),INDEX(半紙!$C$11:$C$310,163),IF(163&lt;=COUNTA(半紙!$B$11:$B$310)+COUNTA(条幅!$B$11:$B$310),INDEX(条幅!$C$11:$C$310,163-COUNTA(半紙!$B$11:$B$310)),IF(163&lt;=COUNTA(半紙!$B$11:$B$310)+COUNTA(条幅!$B$11:$B$310)+COUNTA(条幅4分の1!$B$11:$B$310),INDEX(条幅4分の1!$C$11:$C$310,163-COUNTA(半紙!$B$11:$B$310)-COUNTA(条幅!$B$11:$B$310)),""))))</f>
        <v/>
      </c>
      <c r="D168" s="38" t="str">
        <f>IF(IF(163&lt;=COUNTA(半紙!$B$11:$B$310),INDEX(半紙!$D$11:$D$310,163),IF(163&lt;=COUNTA(半紙!$B$11:$B$310)+COUNTA(条幅!$B$11:$B$310),INDEX(条幅!$D$11:$D$310,163-COUNTA(半紙!$B$11:$B$310)),IF(163&lt;=COUNTA(半紙!$B$11:$B$310)+COUNTA(条幅!$B$11:$B$310)+COUNTA(条幅4分の1!$B$11:$B$310),INDEX(条幅4分の1!$D$11:$D$310,163-COUNTA(半紙!$B$11:$B$310)-COUNTA(条幅!$B$11:$B$310)),"")))=0,"",IF(163&lt;=COUNTA(半紙!$B$11:$B$310),INDEX(半紙!$D$11:$D$310,163),IF(163&lt;=COUNTA(半紙!$B$11:$B$310)+COUNTA(条幅!$B$11:$B$310),INDEX(条幅!$D$11:$D$310,163-COUNTA(半紙!$B$11:$B$310)),IF(163&lt;=COUNTA(半紙!$B$11:$B$310)+COUNTA(条幅!$B$11:$B$310)+COUNTA(条幅4分の1!$B$11:$B$310),INDEX(条幅4分の1!$D$11:$D$310,163-COUNTA(半紙!$B$11:$B$310)-COUNTA(条幅!$B$11:$B$310)),""))))</f>
        <v/>
      </c>
      <c r="E168" s="38" t="str">
        <f>IF(IF(163&lt;=COUNTA(半紙!$B$11:$B$310),INDEX(半紙!$E$11:$E$310,163),IF(163&lt;=COUNTA(半紙!$B$11:$B$310)+COUNTA(条幅!$B$11:$B$310),INDEX(条幅!$E$11:$E$310,163-COUNTA(半紙!$B$11:$B$310)),IF(163&lt;=COUNTA(半紙!$B$11:$B$310)+COUNTA(条幅!$B$11:$B$310)+COUNTA(条幅4分の1!$B$11:$B$310),INDEX(条幅4分の1!$E$11:$E$310,163-COUNTA(半紙!$B$11:$B$310)-COUNTA(条幅!$B$11:$B$310)),"")))=0,"",IF(163&lt;=COUNTA(半紙!$B$11:$B$310),INDEX(半紙!$E$11:$E$310,163),IF(163&lt;=COUNTA(半紙!$B$11:$B$310)+COUNTA(条幅!$B$11:$B$310),INDEX(条幅!$E$11:$E$310,163-COUNTA(半紙!$B$11:$B$310)),IF(163&lt;=COUNTA(半紙!$B$11:$B$310)+COUNTA(条幅!$B$11:$B$310)+COUNTA(条幅4分の1!$B$11:$B$310),INDEX(条幅4分の1!$E$11:$E$310,163-COUNTA(半紙!$B$11:$B$310)-COUNTA(条幅!$B$11:$B$310)),""))))</f>
        <v/>
      </c>
      <c r="F168" s="38" t="str">
        <f>IF(IF(163&lt;=COUNTA(半紙!$B$11:$B$310),INDEX(半紙!$F$11:$F$310,163),IF(163&lt;=COUNTA(半紙!$B$11:$B$310)+COUNTA(条幅!$B$11:$B$310),INDEX(条幅!$F$11:$F$310,163-COUNTA(半紙!$B$11:$B$310)),IF(163&lt;=COUNTA(半紙!$B$11:$B$310)+COUNTA(条幅!$B$11:$B$310)+COUNTA(条幅4分の1!$B$11:$B$310),INDEX(条幅4分の1!$F$11:$F$310,163-COUNTA(半紙!$B$11:$B$310)-COUNTA(条幅!$B$11:$B$310)),"")))=0,"",IF(163&lt;=COUNTA(半紙!$B$11:$B$310),INDEX(半紙!$F$11:$F$310,163),IF(163&lt;=COUNTA(半紙!$B$11:$B$310)+COUNTA(条幅!$B$11:$B$310),INDEX(条幅!$F$11:$F$310,163-COUNTA(半紙!$B$11:$B$310)),IF(163&lt;=COUNTA(半紙!$B$11:$B$310)+COUNTA(条幅!$B$11:$B$310)+COUNTA(条幅4分の1!$B$11:$B$310),INDEX(条幅4分の1!$F$11:$F$310,163-COUNTA(半紙!$B$11:$B$310)-COUNTA(条幅!$B$11:$B$310)),""))))</f>
        <v/>
      </c>
      <c r="G168" s="38" t="str">
        <f>IF(IF(163&lt;=COUNTA(半紙!$B$11:$B$310),INDEX(半紙!$G$11:$G$310,163),IF(163&lt;=COUNTA(半紙!$B$11:$B$310)+COUNTA(条幅!$B$11:$B$310),INDEX(条幅!$G$11:$G$310,163-COUNTA(半紙!$B$11:$B$310)),IF(163&lt;=COUNTA(半紙!$B$11:$B$310)+COUNTA(条幅!$B$11:$B$310)+COUNTA(条幅4分の1!$B$11:$B$310),INDEX(条幅4分の1!$G$11:$G$310,163-COUNTA(半紙!$B$11:$B$310)-COUNTA(条幅!$B$11:$B$310)),"")))=0,"",IF(163&lt;=COUNTA(半紙!$B$11:$B$310),INDEX(半紙!$G$11:$G$310,163),IF(163&lt;=COUNTA(半紙!$B$11:$B$310)+COUNTA(条幅!$B$11:$B$310),INDEX(条幅!$G$11:$G$310,163-COUNTA(半紙!$B$11:$B$310)),IF(163&lt;=COUNTA(半紙!$B$11:$B$310)+COUNTA(条幅!$B$11:$B$310)+COUNTA(条幅4分の1!$B$11:$B$310),INDEX(条幅4分の1!$G$11:$G$310,163-COUNTA(半紙!$B$11:$B$310)-COUNTA(条幅!$B$11:$B$310)),""))))</f>
        <v/>
      </c>
      <c r="H168" s="38" t="str">
        <f>IF(IF(163&lt;=COUNTA(半紙!$B$11:$B$310),INDEX(半紙!$H$11:$H$310,163),IF(163&lt;=COUNTA(半紙!$B$11:$B$310)+COUNTA(条幅!$B$11:$B$310),INDEX(条幅!$H$11:$H$310,163-COUNTA(半紙!$B$11:$B$310)),IF(163&lt;=COUNTA(半紙!$B$11:$B$310)+COUNTA(条幅!$B$11:$B$310)+COUNTA(条幅4分の1!$B$11:$B$310),INDEX(条幅4分の1!$H$11:$H$310,163-COUNTA(半紙!$B$11:$B$310)-COUNTA(条幅!$B$11:$B$310)),"")))=0,"",IF(163&lt;=COUNTA(半紙!$B$11:$B$310),INDEX(半紙!$H$11:$H$310,163),IF(163&lt;=COUNTA(半紙!$B$11:$B$310)+COUNTA(条幅!$B$11:$B$310),INDEX(条幅!$H$11:$H$310,163-COUNTA(半紙!$B$11:$B$310)),IF(163&lt;=COUNTA(半紙!$B$11:$B$310)+COUNTA(条幅!$B$11:$B$310)+COUNTA(条幅4分の1!$B$11:$B$310),INDEX(条幅4分の1!$H$11:$H$310,163-COUNTA(半紙!$B$11:$B$310)-COUNTA(条幅!$B$11:$B$310)),""))))</f>
        <v/>
      </c>
      <c r="I168" s="38" t="str">
        <f>IF(IF(163&lt;=COUNTA(半紙!$B$11:$B$310),INDEX(半紙!$I$11:$I$310,163),IF(163&lt;=COUNTA(半紙!$B$11:$B$310)+COUNTA(条幅!$B$11:$B$310),INDEX(条幅!$I$11:$I$310,163-COUNTA(半紙!$B$11:$B$310)),IF(163&lt;=COUNTA(半紙!$B$11:$B$310)+COUNTA(条幅!$B$11:$B$310)+COUNTA(条幅4分の1!$B$11:$B$310),INDEX(条幅4分の1!$I$11:$I$310,163-COUNTA(半紙!$B$11:$B$310)-COUNTA(条幅!$B$11:$B$310)),"")))=0,"",IF(163&lt;=COUNTA(半紙!$B$11:$B$310),INDEX(半紙!$I$11:$I$310,163),IF(163&lt;=COUNTA(半紙!$B$11:$B$310)+COUNTA(条幅!$B$11:$B$310),INDEX(条幅!$I$11:$I$310,163-COUNTA(半紙!$B$11:$B$310)),IF(163&lt;=COUNTA(半紙!$B$11:$B$310)+COUNTA(条幅!$B$11:$B$310)+COUNTA(条幅4分の1!$B$11:$B$310),INDEX(条幅4分の1!$I$11:$I$310,163-COUNTA(半紙!$B$11:$B$310)-COUNTA(条幅!$B$11:$B$310)),""))))</f>
        <v/>
      </c>
      <c r="J168" s="38" t="str">
        <f>IF(IF(163&lt;=COUNTA(半紙!$B$11:$B$310),INDEX(半紙!$J$11:$J$310,163),IF(163&lt;=COUNTA(半紙!$B$11:$B$310)+COUNTA(条幅!$B$11:$B$310),INDEX(条幅!$J$11:$J$310,163-COUNTA(半紙!$B$11:$B$310)),IF(163&lt;=COUNTA(半紙!$B$11:$B$310)+COUNTA(条幅!$B$11:$B$310)+COUNTA(条幅4分の1!$B$11:$B$310),INDEX(条幅4分の1!$J$11:$J$310,163-COUNTA(半紙!$B$11:$B$310)-COUNTA(条幅!$B$11:$B$310)),"")))=0,"",IF(163&lt;=COUNTA(半紙!$B$11:$B$310),INDEX(半紙!$J$11:$J$310,163),IF(163&lt;=COUNTA(半紙!$B$11:$B$310)+COUNTA(条幅!$B$11:$B$310),INDEX(条幅!$J$11:$J$310,163-COUNTA(半紙!$B$11:$B$310)),IF(163&lt;=COUNTA(半紙!$B$11:$B$310)+COUNTA(条幅!$B$11:$B$310)+COUNTA(条幅4分の1!$B$11:$B$310),INDEX(条幅4分の1!$J$11:$J$310,163-COUNTA(半紙!$B$11:$B$310)-COUNTA(条幅!$B$11:$B$310)),""))))</f>
        <v/>
      </c>
      <c r="K168" s="38" t="str">
        <f>IF(IF(163&lt;=COUNTA(半紙!$B$11:$B$310),INDEX(半紙!$K$11:$K$310,163),IF(163&lt;=COUNTA(半紙!$B$11:$B$310)+COUNTA(条幅!$B$11:$B$310),INDEX(条幅!$K$11:$K$310,163-COUNTA(半紙!$B$11:$B$310)),IF(163&lt;=COUNTA(半紙!$B$11:$B$310)+COUNTA(条幅!$B$11:$B$310)+COUNTA(条幅4分の1!$B$11:$B$310),INDEX(条幅4分の1!$K$11:$K$310,163-COUNTA(半紙!$B$11:$B$310)-COUNTA(条幅!$B$11:$B$310)),"")))=0,"",IF(163&lt;=COUNTA(半紙!$B$11:$B$310),INDEX(半紙!$K$11:$K$310,163),IF(163&lt;=COUNTA(半紙!$B$11:$B$310)+COUNTA(条幅!$B$11:$B$310),INDEX(条幅!$K$11:$K$310,163-COUNTA(半紙!$B$11:$B$310)),IF(163&lt;=COUNTA(半紙!$B$11:$B$310)+COUNTA(条幅!$B$11:$B$310)+COUNTA(条幅4分の1!$B$11:$B$310),INDEX(条幅4分の1!$K$11:$K$310,163-COUNTA(半紙!$B$11:$B$310)-COUNTA(条幅!$B$11:$B$310)),""))))</f>
        <v/>
      </c>
      <c r="L168" s="48" t="str">
        <f>IF($B168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163))</f>
        <v/>
      </c>
    </row>
    <row r="169" spans="1:12" ht="15" customHeight="1">
      <c r="A169" s="37" t="str">
        <f>IF(164&lt;=COUNTA(半紙!$B$11:$B$310),"半紙",IF(164&lt;=COUNTA(半紙!$B$11:$B$310)+COUNTA(条幅!$B$11:$B$310),"条幅(半切)",IF(164&lt;=COUNTA(半紙!$B$11:$B$310)+COUNTA(条幅!$B$11:$B$310)+COUNTA(条幅4分の1!$B$11:$B$310),"条幅(1/4)","")))</f>
        <v/>
      </c>
      <c r="B169" s="38" t="str">
        <f>IF(IF(164&lt;=COUNTA(半紙!$B$11:$B$310),INDEX(半紙!$B$11:$B$310,164),IF(164&lt;=COUNTA(半紙!$B$11:$B$310)+COUNTA(条幅!$B$11:$B$310),INDEX(条幅!$B$11:$B$310,164-COUNTA(半紙!$B$11:$B$310)),IF(164&lt;=COUNTA(半紙!$B$11:$B$310)+COUNTA(条幅!$B$11:$B$310)+COUNTA(条幅4分の1!$B$11:$B$310),INDEX(条幅4分の1!$B$11:$B$310,164-COUNTA(半紙!$B$11:$B$310)-COUNTA(条幅!$B$11:$B$310)),"")))=0,"",IF(164&lt;=COUNTA(半紙!$B$11:$B$310),INDEX(半紙!$B$11:$B$310,164),IF(164&lt;=COUNTA(半紙!$B$11:$B$310)+COUNTA(条幅!$B$11:$B$310),INDEX(条幅!$B$11:$B$310,164-COUNTA(半紙!$B$11:$B$310)),IF(164&lt;=COUNTA(半紙!$B$11:$B$310)+COUNTA(条幅!$B$11:$B$310)+COUNTA(条幅4分の1!$B$11:$B$310),INDEX(条幅4分の1!$B$11:$B$310,164-COUNTA(半紙!$B$11:$B$310)-COUNTA(条幅!$B$11:$B$310)),""))))</f>
        <v/>
      </c>
      <c r="C169" s="38" t="str">
        <f>IF(IF(164&lt;=COUNTA(半紙!$B$11:$B$310),INDEX(半紙!$C$11:$C$310,164),IF(164&lt;=COUNTA(半紙!$B$11:$B$310)+COUNTA(条幅!$B$11:$B$310),INDEX(条幅!$C$11:$C$310,164-COUNTA(半紙!$B$11:$B$310)),IF(164&lt;=COUNTA(半紙!$B$11:$B$310)+COUNTA(条幅!$B$11:$B$310)+COUNTA(条幅4分の1!$B$11:$B$310),INDEX(条幅4分の1!$C$11:$C$310,164-COUNTA(半紙!$B$11:$B$310)-COUNTA(条幅!$B$11:$B$310)),"")))=0,"",IF(164&lt;=COUNTA(半紙!$B$11:$B$310),INDEX(半紙!$C$11:$C$310,164),IF(164&lt;=COUNTA(半紙!$B$11:$B$310)+COUNTA(条幅!$B$11:$B$310),INDEX(条幅!$C$11:$C$310,164-COUNTA(半紙!$B$11:$B$310)),IF(164&lt;=COUNTA(半紙!$B$11:$B$310)+COUNTA(条幅!$B$11:$B$310)+COUNTA(条幅4分の1!$B$11:$B$310),INDEX(条幅4分の1!$C$11:$C$310,164-COUNTA(半紙!$B$11:$B$310)-COUNTA(条幅!$B$11:$B$310)),""))))</f>
        <v/>
      </c>
      <c r="D169" s="38" t="str">
        <f>IF(IF(164&lt;=COUNTA(半紙!$B$11:$B$310),INDEX(半紙!$D$11:$D$310,164),IF(164&lt;=COUNTA(半紙!$B$11:$B$310)+COUNTA(条幅!$B$11:$B$310),INDEX(条幅!$D$11:$D$310,164-COUNTA(半紙!$B$11:$B$310)),IF(164&lt;=COUNTA(半紙!$B$11:$B$310)+COUNTA(条幅!$B$11:$B$310)+COUNTA(条幅4分の1!$B$11:$B$310),INDEX(条幅4分の1!$D$11:$D$310,164-COUNTA(半紙!$B$11:$B$310)-COUNTA(条幅!$B$11:$B$310)),"")))=0,"",IF(164&lt;=COUNTA(半紙!$B$11:$B$310),INDEX(半紙!$D$11:$D$310,164),IF(164&lt;=COUNTA(半紙!$B$11:$B$310)+COUNTA(条幅!$B$11:$B$310),INDEX(条幅!$D$11:$D$310,164-COUNTA(半紙!$B$11:$B$310)),IF(164&lt;=COUNTA(半紙!$B$11:$B$310)+COUNTA(条幅!$B$11:$B$310)+COUNTA(条幅4分の1!$B$11:$B$310),INDEX(条幅4分の1!$D$11:$D$310,164-COUNTA(半紙!$B$11:$B$310)-COUNTA(条幅!$B$11:$B$310)),""))))</f>
        <v/>
      </c>
      <c r="E169" s="38" t="str">
        <f>IF(IF(164&lt;=COUNTA(半紙!$B$11:$B$310),INDEX(半紙!$E$11:$E$310,164),IF(164&lt;=COUNTA(半紙!$B$11:$B$310)+COUNTA(条幅!$B$11:$B$310),INDEX(条幅!$E$11:$E$310,164-COUNTA(半紙!$B$11:$B$310)),IF(164&lt;=COUNTA(半紙!$B$11:$B$310)+COUNTA(条幅!$B$11:$B$310)+COUNTA(条幅4分の1!$B$11:$B$310),INDEX(条幅4分の1!$E$11:$E$310,164-COUNTA(半紙!$B$11:$B$310)-COUNTA(条幅!$B$11:$B$310)),"")))=0,"",IF(164&lt;=COUNTA(半紙!$B$11:$B$310),INDEX(半紙!$E$11:$E$310,164),IF(164&lt;=COUNTA(半紙!$B$11:$B$310)+COUNTA(条幅!$B$11:$B$310),INDEX(条幅!$E$11:$E$310,164-COUNTA(半紙!$B$11:$B$310)),IF(164&lt;=COUNTA(半紙!$B$11:$B$310)+COUNTA(条幅!$B$11:$B$310)+COUNTA(条幅4分の1!$B$11:$B$310),INDEX(条幅4分の1!$E$11:$E$310,164-COUNTA(半紙!$B$11:$B$310)-COUNTA(条幅!$B$11:$B$310)),""))))</f>
        <v/>
      </c>
      <c r="F169" s="38" t="str">
        <f>IF(IF(164&lt;=COUNTA(半紙!$B$11:$B$310),INDEX(半紙!$F$11:$F$310,164),IF(164&lt;=COUNTA(半紙!$B$11:$B$310)+COUNTA(条幅!$B$11:$B$310),INDEX(条幅!$F$11:$F$310,164-COUNTA(半紙!$B$11:$B$310)),IF(164&lt;=COUNTA(半紙!$B$11:$B$310)+COUNTA(条幅!$B$11:$B$310)+COUNTA(条幅4分の1!$B$11:$B$310),INDEX(条幅4分の1!$F$11:$F$310,164-COUNTA(半紙!$B$11:$B$310)-COUNTA(条幅!$B$11:$B$310)),"")))=0,"",IF(164&lt;=COUNTA(半紙!$B$11:$B$310),INDEX(半紙!$F$11:$F$310,164),IF(164&lt;=COUNTA(半紙!$B$11:$B$310)+COUNTA(条幅!$B$11:$B$310),INDEX(条幅!$F$11:$F$310,164-COUNTA(半紙!$B$11:$B$310)),IF(164&lt;=COUNTA(半紙!$B$11:$B$310)+COUNTA(条幅!$B$11:$B$310)+COUNTA(条幅4分の1!$B$11:$B$310),INDEX(条幅4分の1!$F$11:$F$310,164-COUNTA(半紙!$B$11:$B$310)-COUNTA(条幅!$B$11:$B$310)),""))))</f>
        <v/>
      </c>
      <c r="G169" s="38" t="str">
        <f>IF(IF(164&lt;=COUNTA(半紙!$B$11:$B$310),INDEX(半紙!$G$11:$G$310,164),IF(164&lt;=COUNTA(半紙!$B$11:$B$310)+COUNTA(条幅!$B$11:$B$310),INDEX(条幅!$G$11:$G$310,164-COUNTA(半紙!$B$11:$B$310)),IF(164&lt;=COUNTA(半紙!$B$11:$B$310)+COUNTA(条幅!$B$11:$B$310)+COUNTA(条幅4分の1!$B$11:$B$310),INDEX(条幅4分の1!$G$11:$G$310,164-COUNTA(半紙!$B$11:$B$310)-COUNTA(条幅!$B$11:$B$310)),"")))=0,"",IF(164&lt;=COUNTA(半紙!$B$11:$B$310),INDEX(半紙!$G$11:$G$310,164),IF(164&lt;=COUNTA(半紙!$B$11:$B$310)+COUNTA(条幅!$B$11:$B$310),INDEX(条幅!$G$11:$G$310,164-COUNTA(半紙!$B$11:$B$310)),IF(164&lt;=COUNTA(半紙!$B$11:$B$310)+COUNTA(条幅!$B$11:$B$310)+COUNTA(条幅4分の1!$B$11:$B$310),INDEX(条幅4分の1!$G$11:$G$310,164-COUNTA(半紙!$B$11:$B$310)-COUNTA(条幅!$B$11:$B$310)),""))))</f>
        <v/>
      </c>
      <c r="H169" s="38" t="str">
        <f>IF(IF(164&lt;=COUNTA(半紙!$B$11:$B$310),INDEX(半紙!$H$11:$H$310,164),IF(164&lt;=COUNTA(半紙!$B$11:$B$310)+COUNTA(条幅!$B$11:$B$310),INDEX(条幅!$H$11:$H$310,164-COUNTA(半紙!$B$11:$B$310)),IF(164&lt;=COUNTA(半紙!$B$11:$B$310)+COUNTA(条幅!$B$11:$B$310)+COUNTA(条幅4分の1!$B$11:$B$310),INDEX(条幅4分の1!$H$11:$H$310,164-COUNTA(半紙!$B$11:$B$310)-COUNTA(条幅!$B$11:$B$310)),"")))=0,"",IF(164&lt;=COUNTA(半紙!$B$11:$B$310),INDEX(半紙!$H$11:$H$310,164),IF(164&lt;=COUNTA(半紙!$B$11:$B$310)+COUNTA(条幅!$B$11:$B$310),INDEX(条幅!$H$11:$H$310,164-COUNTA(半紙!$B$11:$B$310)),IF(164&lt;=COUNTA(半紙!$B$11:$B$310)+COUNTA(条幅!$B$11:$B$310)+COUNTA(条幅4分の1!$B$11:$B$310),INDEX(条幅4分の1!$H$11:$H$310,164-COUNTA(半紙!$B$11:$B$310)-COUNTA(条幅!$B$11:$B$310)),""))))</f>
        <v/>
      </c>
      <c r="I169" s="38" t="str">
        <f>IF(IF(164&lt;=COUNTA(半紙!$B$11:$B$310),INDEX(半紙!$I$11:$I$310,164),IF(164&lt;=COUNTA(半紙!$B$11:$B$310)+COUNTA(条幅!$B$11:$B$310),INDEX(条幅!$I$11:$I$310,164-COUNTA(半紙!$B$11:$B$310)),IF(164&lt;=COUNTA(半紙!$B$11:$B$310)+COUNTA(条幅!$B$11:$B$310)+COUNTA(条幅4分の1!$B$11:$B$310),INDEX(条幅4分の1!$I$11:$I$310,164-COUNTA(半紙!$B$11:$B$310)-COUNTA(条幅!$B$11:$B$310)),"")))=0,"",IF(164&lt;=COUNTA(半紙!$B$11:$B$310),INDEX(半紙!$I$11:$I$310,164),IF(164&lt;=COUNTA(半紙!$B$11:$B$310)+COUNTA(条幅!$B$11:$B$310),INDEX(条幅!$I$11:$I$310,164-COUNTA(半紙!$B$11:$B$310)),IF(164&lt;=COUNTA(半紙!$B$11:$B$310)+COUNTA(条幅!$B$11:$B$310)+COUNTA(条幅4分の1!$B$11:$B$310),INDEX(条幅4分の1!$I$11:$I$310,164-COUNTA(半紙!$B$11:$B$310)-COUNTA(条幅!$B$11:$B$310)),""))))</f>
        <v/>
      </c>
      <c r="J169" s="38" t="str">
        <f>IF(IF(164&lt;=COUNTA(半紙!$B$11:$B$310),INDEX(半紙!$J$11:$J$310,164),IF(164&lt;=COUNTA(半紙!$B$11:$B$310)+COUNTA(条幅!$B$11:$B$310),INDEX(条幅!$J$11:$J$310,164-COUNTA(半紙!$B$11:$B$310)),IF(164&lt;=COUNTA(半紙!$B$11:$B$310)+COUNTA(条幅!$B$11:$B$310)+COUNTA(条幅4分の1!$B$11:$B$310),INDEX(条幅4分の1!$J$11:$J$310,164-COUNTA(半紙!$B$11:$B$310)-COUNTA(条幅!$B$11:$B$310)),"")))=0,"",IF(164&lt;=COUNTA(半紙!$B$11:$B$310),INDEX(半紙!$J$11:$J$310,164),IF(164&lt;=COUNTA(半紙!$B$11:$B$310)+COUNTA(条幅!$B$11:$B$310),INDEX(条幅!$J$11:$J$310,164-COUNTA(半紙!$B$11:$B$310)),IF(164&lt;=COUNTA(半紙!$B$11:$B$310)+COUNTA(条幅!$B$11:$B$310)+COUNTA(条幅4分の1!$B$11:$B$310),INDEX(条幅4分の1!$J$11:$J$310,164-COUNTA(半紙!$B$11:$B$310)-COUNTA(条幅!$B$11:$B$310)),""))))</f>
        <v/>
      </c>
      <c r="K169" s="38" t="str">
        <f>IF(IF(164&lt;=COUNTA(半紙!$B$11:$B$310),INDEX(半紙!$K$11:$K$310,164),IF(164&lt;=COUNTA(半紙!$B$11:$B$310)+COUNTA(条幅!$B$11:$B$310),INDEX(条幅!$K$11:$K$310,164-COUNTA(半紙!$B$11:$B$310)),IF(164&lt;=COUNTA(半紙!$B$11:$B$310)+COUNTA(条幅!$B$11:$B$310)+COUNTA(条幅4分の1!$B$11:$B$310),INDEX(条幅4分の1!$K$11:$K$310,164-COUNTA(半紙!$B$11:$B$310)-COUNTA(条幅!$B$11:$B$310)),"")))=0,"",IF(164&lt;=COUNTA(半紙!$B$11:$B$310),INDEX(半紙!$K$11:$K$310,164),IF(164&lt;=COUNTA(半紙!$B$11:$B$310)+COUNTA(条幅!$B$11:$B$310),INDEX(条幅!$K$11:$K$310,164-COUNTA(半紙!$B$11:$B$310)),IF(164&lt;=COUNTA(半紙!$B$11:$B$310)+COUNTA(条幅!$B$11:$B$310)+COUNTA(条幅4分の1!$B$11:$B$310),INDEX(条幅4分の1!$K$11:$K$310,164-COUNTA(半紙!$B$11:$B$310)-COUNTA(条幅!$B$11:$B$310)),""))))</f>
        <v/>
      </c>
      <c r="L169" s="48" t="str">
        <f>IF($B169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164))</f>
        <v/>
      </c>
    </row>
    <row r="170" spans="1:12" ht="15" customHeight="1">
      <c r="A170" s="37" t="str">
        <f>IF(165&lt;=COUNTA(半紙!$B$11:$B$310),"半紙",IF(165&lt;=COUNTA(半紙!$B$11:$B$310)+COUNTA(条幅!$B$11:$B$310),"条幅(半切)",IF(165&lt;=COUNTA(半紙!$B$11:$B$310)+COUNTA(条幅!$B$11:$B$310)+COUNTA(条幅4分の1!$B$11:$B$310),"条幅(1/4)","")))</f>
        <v/>
      </c>
      <c r="B170" s="38" t="str">
        <f>IF(IF(165&lt;=COUNTA(半紙!$B$11:$B$310),INDEX(半紙!$B$11:$B$310,165),IF(165&lt;=COUNTA(半紙!$B$11:$B$310)+COUNTA(条幅!$B$11:$B$310),INDEX(条幅!$B$11:$B$310,165-COUNTA(半紙!$B$11:$B$310)),IF(165&lt;=COUNTA(半紙!$B$11:$B$310)+COUNTA(条幅!$B$11:$B$310)+COUNTA(条幅4分の1!$B$11:$B$310),INDEX(条幅4分の1!$B$11:$B$310,165-COUNTA(半紙!$B$11:$B$310)-COUNTA(条幅!$B$11:$B$310)),"")))=0,"",IF(165&lt;=COUNTA(半紙!$B$11:$B$310),INDEX(半紙!$B$11:$B$310,165),IF(165&lt;=COUNTA(半紙!$B$11:$B$310)+COUNTA(条幅!$B$11:$B$310),INDEX(条幅!$B$11:$B$310,165-COUNTA(半紙!$B$11:$B$310)),IF(165&lt;=COUNTA(半紙!$B$11:$B$310)+COUNTA(条幅!$B$11:$B$310)+COUNTA(条幅4分の1!$B$11:$B$310),INDEX(条幅4分の1!$B$11:$B$310,165-COUNTA(半紙!$B$11:$B$310)-COUNTA(条幅!$B$11:$B$310)),""))))</f>
        <v/>
      </c>
      <c r="C170" s="38" t="str">
        <f>IF(IF(165&lt;=COUNTA(半紙!$B$11:$B$310),INDEX(半紙!$C$11:$C$310,165),IF(165&lt;=COUNTA(半紙!$B$11:$B$310)+COUNTA(条幅!$B$11:$B$310),INDEX(条幅!$C$11:$C$310,165-COUNTA(半紙!$B$11:$B$310)),IF(165&lt;=COUNTA(半紙!$B$11:$B$310)+COUNTA(条幅!$B$11:$B$310)+COUNTA(条幅4分の1!$B$11:$B$310),INDEX(条幅4分の1!$C$11:$C$310,165-COUNTA(半紙!$B$11:$B$310)-COUNTA(条幅!$B$11:$B$310)),"")))=0,"",IF(165&lt;=COUNTA(半紙!$B$11:$B$310),INDEX(半紙!$C$11:$C$310,165),IF(165&lt;=COUNTA(半紙!$B$11:$B$310)+COUNTA(条幅!$B$11:$B$310),INDEX(条幅!$C$11:$C$310,165-COUNTA(半紙!$B$11:$B$310)),IF(165&lt;=COUNTA(半紙!$B$11:$B$310)+COUNTA(条幅!$B$11:$B$310)+COUNTA(条幅4分の1!$B$11:$B$310),INDEX(条幅4分の1!$C$11:$C$310,165-COUNTA(半紙!$B$11:$B$310)-COUNTA(条幅!$B$11:$B$310)),""))))</f>
        <v/>
      </c>
      <c r="D170" s="38" t="str">
        <f>IF(IF(165&lt;=COUNTA(半紙!$B$11:$B$310),INDEX(半紙!$D$11:$D$310,165),IF(165&lt;=COUNTA(半紙!$B$11:$B$310)+COUNTA(条幅!$B$11:$B$310),INDEX(条幅!$D$11:$D$310,165-COUNTA(半紙!$B$11:$B$310)),IF(165&lt;=COUNTA(半紙!$B$11:$B$310)+COUNTA(条幅!$B$11:$B$310)+COUNTA(条幅4分の1!$B$11:$B$310),INDEX(条幅4分の1!$D$11:$D$310,165-COUNTA(半紙!$B$11:$B$310)-COUNTA(条幅!$B$11:$B$310)),"")))=0,"",IF(165&lt;=COUNTA(半紙!$B$11:$B$310),INDEX(半紙!$D$11:$D$310,165),IF(165&lt;=COUNTA(半紙!$B$11:$B$310)+COUNTA(条幅!$B$11:$B$310),INDEX(条幅!$D$11:$D$310,165-COUNTA(半紙!$B$11:$B$310)),IF(165&lt;=COUNTA(半紙!$B$11:$B$310)+COUNTA(条幅!$B$11:$B$310)+COUNTA(条幅4分の1!$B$11:$B$310),INDEX(条幅4分の1!$D$11:$D$310,165-COUNTA(半紙!$B$11:$B$310)-COUNTA(条幅!$B$11:$B$310)),""))))</f>
        <v/>
      </c>
      <c r="E170" s="38" t="str">
        <f>IF(IF(165&lt;=COUNTA(半紙!$B$11:$B$310),INDEX(半紙!$E$11:$E$310,165),IF(165&lt;=COUNTA(半紙!$B$11:$B$310)+COUNTA(条幅!$B$11:$B$310),INDEX(条幅!$E$11:$E$310,165-COUNTA(半紙!$B$11:$B$310)),IF(165&lt;=COUNTA(半紙!$B$11:$B$310)+COUNTA(条幅!$B$11:$B$310)+COUNTA(条幅4分の1!$B$11:$B$310),INDEX(条幅4分の1!$E$11:$E$310,165-COUNTA(半紙!$B$11:$B$310)-COUNTA(条幅!$B$11:$B$310)),"")))=0,"",IF(165&lt;=COUNTA(半紙!$B$11:$B$310),INDEX(半紙!$E$11:$E$310,165),IF(165&lt;=COUNTA(半紙!$B$11:$B$310)+COUNTA(条幅!$B$11:$B$310),INDEX(条幅!$E$11:$E$310,165-COUNTA(半紙!$B$11:$B$310)),IF(165&lt;=COUNTA(半紙!$B$11:$B$310)+COUNTA(条幅!$B$11:$B$310)+COUNTA(条幅4分の1!$B$11:$B$310),INDEX(条幅4分の1!$E$11:$E$310,165-COUNTA(半紙!$B$11:$B$310)-COUNTA(条幅!$B$11:$B$310)),""))))</f>
        <v/>
      </c>
      <c r="F170" s="38" t="str">
        <f>IF(IF(165&lt;=COUNTA(半紙!$B$11:$B$310),INDEX(半紙!$F$11:$F$310,165),IF(165&lt;=COUNTA(半紙!$B$11:$B$310)+COUNTA(条幅!$B$11:$B$310),INDEX(条幅!$F$11:$F$310,165-COUNTA(半紙!$B$11:$B$310)),IF(165&lt;=COUNTA(半紙!$B$11:$B$310)+COUNTA(条幅!$B$11:$B$310)+COUNTA(条幅4分の1!$B$11:$B$310),INDEX(条幅4分の1!$F$11:$F$310,165-COUNTA(半紙!$B$11:$B$310)-COUNTA(条幅!$B$11:$B$310)),"")))=0,"",IF(165&lt;=COUNTA(半紙!$B$11:$B$310),INDEX(半紙!$F$11:$F$310,165),IF(165&lt;=COUNTA(半紙!$B$11:$B$310)+COUNTA(条幅!$B$11:$B$310),INDEX(条幅!$F$11:$F$310,165-COUNTA(半紙!$B$11:$B$310)),IF(165&lt;=COUNTA(半紙!$B$11:$B$310)+COUNTA(条幅!$B$11:$B$310)+COUNTA(条幅4分の1!$B$11:$B$310),INDEX(条幅4分の1!$F$11:$F$310,165-COUNTA(半紙!$B$11:$B$310)-COUNTA(条幅!$B$11:$B$310)),""))))</f>
        <v/>
      </c>
      <c r="G170" s="38" t="str">
        <f>IF(IF(165&lt;=COUNTA(半紙!$B$11:$B$310),INDEX(半紙!$G$11:$G$310,165),IF(165&lt;=COUNTA(半紙!$B$11:$B$310)+COUNTA(条幅!$B$11:$B$310),INDEX(条幅!$G$11:$G$310,165-COUNTA(半紙!$B$11:$B$310)),IF(165&lt;=COUNTA(半紙!$B$11:$B$310)+COUNTA(条幅!$B$11:$B$310)+COUNTA(条幅4分の1!$B$11:$B$310),INDEX(条幅4分の1!$G$11:$G$310,165-COUNTA(半紙!$B$11:$B$310)-COUNTA(条幅!$B$11:$B$310)),"")))=0,"",IF(165&lt;=COUNTA(半紙!$B$11:$B$310),INDEX(半紙!$G$11:$G$310,165),IF(165&lt;=COUNTA(半紙!$B$11:$B$310)+COUNTA(条幅!$B$11:$B$310),INDEX(条幅!$G$11:$G$310,165-COUNTA(半紙!$B$11:$B$310)),IF(165&lt;=COUNTA(半紙!$B$11:$B$310)+COUNTA(条幅!$B$11:$B$310)+COUNTA(条幅4分の1!$B$11:$B$310),INDEX(条幅4分の1!$G$11:$G$310,165-COUNTA(半紙!$B$11:$B$310)-COUNTA(条幅!$B$11:$B$310)),""))))</f>
        <v/>
      </c>
      <c r="H170" s="38" t="str">
        <f>IF(IF(165&lt;=COUNTA(半紙!$B$11:$B$310),INDEX(半紙!$H$11:$H$310,165),IF(165&lt;=COUNTA(半紙!$B$11:$B$310)+COUNTA(条幅!$B$11:$B$310),INDEX(条幅!$H$11:$H$310,165-COUNTA(半紙!$B$11:$B$310)),IF(165&lt;=COUNTA(半紙!$B$11:$B$310)+COUNTA(条幅!$B$11:$B$310)+COUNTA(条幅4分の1!$B$11:$B$310),INDEX(条幅4分の1!$H$11:$H$310,165-COUNTA(半紙!$B$11:$B$310)-COUNTA(条幅!$B$11:$B$310)),"")))=0,"",IF(165&lt;=COUNTA(半紙!$B$11:$B$310),INDEX(半紙!$H$11:$H$310,165),IF(165&lt;=COUNTA(半紙!$B$11:$B$310)+COUNTA(条幅!$B$11:$B$310),INDEX(条幅!$H$11:$H$310,165-COUNTA(半紙!$B$11:$B$310)),IF(165&lt;=COUNTA(半紙!$B$11:$B$310)+COUNTA(条幅!$B$11:$B$310)+COUNTA(条幅4分の1!$B$11:$B$310),INDEX(条幅4分の1!$H$11:$H$310,165-COUNTA(半紙!$B$11:$B$310)-COUNTA(条幅!$B$11:$B$310)),""))))</f>
        <v/>
      </c>
      <c r="I170" s="38" t="str">
        <f>IF(IF(165&lt;=COUNTA(半紙!$B$11:$B$310),INDEX(半紙!$I$11:$I$310,165),IF(165&lt;=COUNTA(半紙!$B$11:$B$310)+COUNTA(条幅!$B$11:$B$310),INDEX(条幅!$I$11:$I$310,165-COUNTA(半紙!$B$11:$B$310)),IF(165&lt;=COUNTA(半紙!$B$11:$B$310)+COUNTA(条幅!$B$11:$B$310)+COUNTA(条幅4分の1!$B$11:$B$310),INDEX(条幅4分の1!$I$11:$I$310,165-COUNTA(半紙!$B$11:$B$310)-COUNTA(条幅!$B$11:$B$310)),"")))=0,"",IF(165&lt;=COUNTA(半紙!$B$11:$B$310),INDEX(半紙!$I$11:$I$310,165),IF(165&lt;=COUNTA(半紙!$B$11:$B$310)+COUNTA(条幅!$B$11:$B$310),INDEX(条幅!$I$11:$I$310,165-COUNTA(半紙!$B$11:$B$310)),IF(165&lt;=COUNTA(半紙!$B$11:$B$310)+COUNTA(条幅!$B$11:$B$310)+COUNTA(条幅4分の1!$B$11:$B$310),INDEX(条幅4分の1!$I$11:$I$310,165-COUNTA(半紙!$B$11:$B$310)-COUNTA(条幅!$B$11:$B$310)),""))))</f>
        <v/>
      </c>
      <c r="J170" s="38" t="str">
        <f>IF(IF(165&lt;=COUNTA(半紙!$B$11:$B$310),INDEX(半紙!$J$11:$J$310,165),IF(165&lt;=COUNTA(半紙!$B$11:$B$310)+COUNTA(条幅!$B$11:$B$310),INDEX(条幅!$J$11:$J$310,165-COUNTA(半紙!$B$11:$B$310)),IF(165&lt;=COUNTA(半紙!$B$11:$B$310)+COUNTA(条幅!$B$11:$B$310)+COUNTA(条幅4分の1!$B$11:$B$310),INDEX(条幅4分の1!$J$11:$J$310,165-COUNTA(半紙!$B$11:$B$310)-COUNTA(条幅!$B$11:$B$310)),"")))=0,"",IF(165&lt;=COUNTA(半紙!$B$11:$B$310),INDEX(半紙!$J$11:$J$310,165),IF(165&lt;=COUNTA(半紙!$B$11:$B$310)+COUNTA(条幅!$B$11:$B$310),INDEX(条幅!$J$11:$J$310,165-COUNTA(半紙!$B$11:$B$310)),IF(165&lt;=COUNTA(半紙!$B$11:$B$310)+COUNTA(条幅!$B$11:$B$310)+COUNTA(条幅4分の1!$B$11:$B$310),INDEX(条幅4分の1!$J$11:$J$310,165-COUNTA(半紙!$B$11:$B$310)-COUNTA(条幅!$B$11:$B$310)),""))))</f>
        <v/>
      </c>
      <c r="K170" s="38" t="str">
        <f>IF(IF(165&lt;=COUNTA(半紙!$B$11:$B$310),INDEX(半紙!$K$11:$K$310,165),IF(165&lt;=COUNTA(半紙!$B$11:$B$310)+COUNTA(条幅!$B$11:$B$310),INDEX(条幅!$K$11:$K$310,165-COUNTA(半紙!$B$11:$B$310)),IF(165&lt;=COUNTA(半紙!$B$11:$B$310)+COUNTA(条幅!$B$11:$B$310)+COUNTA(条幅4分の1!$B$11:$B$310),INDEX(条幅4分の1!$K$11:$K$310,165-COUNTA(半紙!$B$11:$B$310)-COUNTA(条幅!$B$11:$B$310)),"")))=0,"",IF(165&lt;=COUNTA(半紙!$B$11:$B$310),INDEX(半紙!$K$11:$K$310,165),IF(165&lt;=COUNTA(半紙!$B$11:$B$310)+COUNTA(条幅!$B$11:$B$310),INDEX(条幅!$K$11:$K$310,165-COUNTA(半紙!$B$11:$B$310)),IF(165&lt;=COUNTA(半紙!$B$11:$B$310)+COUNTA(条幅!$B$11:$B$310)+COUNTA(条幅4分の1!$B$11:$B$310),INDEX(条幅4分の1!$K$11:$K$310,165-COUNTA(半紙!$B$11:$B$310)-COUNTA(条幅!$B$11:$B$310)),""))))</f>
        <v/>
      </c>
      <c r="L170" s="48" t="str">
        <f>IF($B170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165))</f>
        <v/>
      </c>
    </row>
    <row r="171" spans="1:12" ht="15" customHeight="1">
      <c r="A171" s="37" t="str">
        <f>IF(166&lt;=COUNTA(半紙!$B$11:$B$310),"半紙",IF(166&lt;=COUNTA(半紙!$B$11:$B$310)+COUNTA(条幅!$B$11:$B$310),"条幅(半切)",IF(166&lt;=COUNTA(半紙!$B$11:$B$310)+COUNTA(条幅!$B$11:$B$310)+COUNTA(条幅4分の1!$B$11:$B$310),"条幅(1/4)","")))</f>
        <v/>
      </c>
      <c r="B171" s="38" t="str">
        <f>IF(IF(166&lt;=COUNTA(半紙!$B$11:$B$310),INDEX(半紙!$B$11:$B$310,166),IF(166&lt;=COUNTA(半紙!$B$11:$B$310)+COUNTA(条幅!$B$11:$B$310),INDEX(条幅!$B$11:$B$310,166-COUNTA(半紙!$B$11:$B$310)),IF(166&lt;=COUNTA(半紙!$B$11:$B$310)+COUNTA(条幅!$B$11:$B$310)+COUNTA(条幅4分の1!$B$11:$B$310),INDEX(条幅4分の1!$B$11:$B$310,166-COUNTA(半紙!$B$11:$B$310)-COUNTA(条幅!$B$11:$B$310)),"")))=0,"",IF(166&lt;=COUNTA(半紙!$B$11:$B$310),INDEX(半紙!$B$11:$B$310,166),IF(166&lt;=COUNTA(半紙!$B$11:$B$310)+COUNTA(条幅!$B$11:$B$310),INDEX(条幅!$B$11:$B$310,166-COUNTA(半紙!$B$11:$B$310)),IF(166&lt;=COUNTA(半紙!$B$11:$B$310)+COUNTA(条幅!$B$11:$B$310)+COUNTA(条幅4分の1!$B$11:$B$310),INDEX(条幅4分の1!$B$11:$B$310,166-COUNTA(半紙!$B$11:$B$310)-COUNTA(条幅!$B$11:$B$310)),""))))</f>
        <v/>
      </c>
      <c r="C171" s="38" t="str">
        <f>IF(IF(166&lt;=COUNTA(半紙!$B$11:$B$310),INDEX(半紙!$C$11:$C$310,166),IF(166&lt;=COUNTA(半紙!$B$11:$B$310)+COUNTA(条幅!$B$11:$B$310),INDEX(条幅!$C$11:$C$310,166-COUNTA(半紙!$B$11:$B$310)),IF(166&lt;=COUNTA(半紙!$B$11:$B$310)+COUNTA(条幅!$B$11:$B$310)+COUNTA(条幅4分の1!$B$11:$B$310),INDEX(条幅4分の1!$C$11:$C$310,166-COUNTA(半紙!$B$11:$B$310)-COUNTA(条幅!$B$11:$B$310)),"")))=0,"",IF(166&lt;=COUNTA(半紙!$B$11:$B$310),INDEX(半紙!$C$11:$C$310,166),IF(166&lt;=COUNTA(半紙!$B$11:$B$310)+COUNTA(条幅!$B$11:$B$310),INDEX(条幅!$C$11:$C$310,166-COUNTA(半紙!$B$11:$B$310)),IF(166&lt;=COUNTA(半紙!$B$11:$B$310)+COUNTA(条幅!$B$11:$B$310)+COUNTA(条幅4分の1!$B$11:$B$310),INDEX(条幅4分の1!$C$11:$C$310,166-COUNTA(半紙!$B$11:$B$310)-COUNTA(条幅!$B$11:$B$310)),""))))</f>
        <v/>
      </c>
      <c r="D171" s="38" t="str">
        <f>IF(IF(166&lt;=COUNTA(半紙!$B$11:$B$310),INDEX(半紙!$D$11:$D$310,166),IF(166&lt;=COUNTA(半紙!$B$11:$B$310)+COUNTA(条幅!$B$11:$B$310),INDEX(条幅!$D$11:$D$310,166-COUNTA(半紙!$B$11:$B$310)),IF(166&lt;=COUNTA(半紙!$B$11:$B$310)+COUNTA(条幅!$B$11:$B$310)+COUNTA(条幅4分の1!$B$11:$B$310),INDEX(条幅4分の1!$D$11:$D$310,166-COUNTA(半紙!$B$11:$B$310)-COUNTA(条幅!$B$11:$B$310)),"")))=0,"",IF(166&lt;=COUNTA(半紙!$B$11:$B$310),INDEX(半紙!$D$11:$D$310,166),IF(166&lt;=COUNTA(半紙!$B$11:$B$310)+COUNTA(条幅!$B$11:$B$310),INDEX(条幅!$D$11:$D$310,166-COUNTA(半紙!$B$11:$B$310)),IF(166&lt;=COUNTA(半紙!$B$11:$B$310)+COUNTA(条幅!$B$11:$B$310)+COUNTA(条幅4分の1!$B$11:$B$310),INDEX(条幅4分の1!$D$11:$D$310,166-COUNTA(半紙!$B$11:$B$310)-COUNTA(条幅!$B$11:$B$310)),""))))</f>
        <v/>
      </c>
      <c r="E171" s="38" t="str">
        <f>IF(IF(166&lt;=COUNTA(半紙!$B$11:$B$310),INDEX(半紙!$E$11:$E$310,166),IF(166&lt;=COUNTA(半紙!$B$11:$B$310)+COUNTA(条幅!$B$11:$B$310),INDEX(条幅!$E$11:$E$310,166-COUNTA(半紙!$B$11:$B$310)),IF(166&lt;=COUNTA(半紙!$B$11:$B$310)+COUNTA(条幅!$B$11:$B$310)+COUNTA(条幅4分の1!$B$11:$B$310),INDEX(条幅4分の1!$E$11:$E$310,166-COUNTA(半紙!$B$11:$B$310)-COUNTA(条幅!$B$11:$B$310)),"")))=0,"",IF(166&lt;=COUNTA(半紙!$B$11:$B$310),INDEX(半紙!$E$11:$E$310,166),IF(166&lt;=COUNTA(半紙!$B$11:$B$310)+COUNTA(条幅!$B$11:$B$310),INDEX(条幅!$E$11:$E$310,166-COUNTA(半紙!$B$11:$B$310)),IF(166&lt;=COUNTA(半紙!$B$11:$B$310)+COUNTA(条幅!$B$11:$B$310)+COUNTA(条幅4分の1!$B$11:$B$310),INDEX(条幅4分の1!$E$11:$E$310,166-COUNTA(半紙!$B$11:$B$310)-COUNTA(条幅!$B$11:$B$310)),""))))</f>
        <v/>
      </c>
      <c r="F171" s="38" t="str">
        <f>IF(IF(166&lt;=COUNTA(半紙!$B$11:$B$310),INDEX(半紙!$F$11:$F$310,166),IF(166&lt;=COUNTA(半紙!$B$11:$B$310)+COUNTA(条幅!$B$11:$B$310),INDEX(条幅!$F$11:$F$310,166-COUNTA(半紙!$B$11:$B$310)),IF(166&lt;=COUNTA(半紙!$B$11:$B$310)+COUNTA(条幅!$B$11:$B$310)+COUNTA(条幅4分の1!$B$11:$B$310),INDEX(条幅4分の1!$F$11:$F$310,166-COUNTA(半紙!$B$11:$B$310)-COUNTA(条幅!$B$11:$B$310)),"")))=0,"",IF(166&lt;=COUNTA(半紙!$B$11:$B$310),INDEX(半紙!$F$11:$F$310,166),IF(166&lt;=COUNTA(半紙!$B$11:$B$310)+COUNTA(条幅!$B$11:$B$310),INDEX(条幅!$F$11:$F$310,166-COUNTA(半紙!$B$11:$B$310)),IF(166&lt;=COUNTA(半紙!$B$11:$B$310)+COUNTA(条幅!$B$11:$B$310)+COUNTA(条幅4分の1!$B$11:$B$310),INDEX(条幅4分の1!$F$11:$F$310,166-COUNTA(半紙!$B$11:$B$310)-COUNTA(条幅!$B$11:$B$310)),""))))</f>
        <v/>
      </c>
      <c r="G171" s="38" t="str">
        <f>IF(IF(166&lt;=COUNTA(半紙!$B$11:$B$310),INDEX(半紙!$G$11:$G$310,166),IF(166&lt;=COUNTA(半紙!$B$11:$B$310)+COUNTA(条幅!$B$11:$B$310),INDEX(条幅!$G$11:$G$310,166-COUNTA(半紙!$B$11:$B$310)),IF(166&lt;=COUNTA(半紙!$B$11:$B$310)+COUNTA(条幅!$B$11:$B$310)+COUNTA(条幅4分の1!$B$11:$B$310),INDEX(条幅4分の1!$G$11:$G$310,166-COUNTA(半紙!$B$11:$B$310)-COUNTA(条幅!$B$11:$B$310)),"")))=0,"",IF(166&lt;=COUNTA(半紙!$B$11:$B$310),INDEX(半紙!$G$11:$G$310,166),IF(166&lt;=COUNTA(半紙!$B$11:$B$310)+COUNTA(条幅!$B$11:$B$310),INDEX(条幅!$G$11:$G$310,166-COUNTA(半紙!$B$11:$B$310)),IF(166&lt;=COUNTA(半紙!$B$11:$B$310)+COUNTA(条幅!$B$11:$B$310)+COUNTA(条幅4分の1!$B$11:$B$310),INDEX(条幅4分の1!$G$11:$G$310,166-COUNTA(半紙!$B$11:$B$310)-COUNTA(条幅!$B$11:$B$310)),""))))</f>
        <v/>
      </c>
      <c r="H171" s="38" t="str">
        <f>IF(IF(166&lt;=COUNTA(半紙!$B$11:$B$310),INDEX(半紙!$H$11:$H$310,166),IF(166&lt;=COUNTA(半紙!$B$11:$B$310)+COUNTA(条幅!$B$11:$B$310),INDEX(条幅!$H$11:$H$310,166-COUNTA(半紙!$B$11:$B$310)),IF(166&lt;=COUNTA(半紙!$B$11:$B$310)+COUNTA(条幅!$B$11:$B$310)+COUNTA(条幅4分の1!$B$11:$B$310),INDEX(条幅4分の1!$H$11:$H$310,166-COUNTA(半紙!$B$11:$B$310)-COUNTA(条幅!$B$11:$B$310)),"")))=0,"",IF(166&lt;=COUNTA(半紙!$B$11:$B$310),INDEX(半紙!$H$11:$H$310,166),IF(166&lt;=COUNTA(半紙!$B$11:$B$310)+COUNTA(条幅!$B$11:$B$310),INDEX(条幅!$H$11:$H$310,166-COUNTA(半紙!$B$11:$B$310)),IF(166&lt;=COUNTA(半紙!$B$11:$B$310)+COUNTA(条幅!$B$11:$B$310)+COUNTA(条幅4分の1!$B$11:$B$310),INDEX(条幅4分の1!$H$11:$H$310,166-COUNTA(半紙!$B$11:$B$310)-COUNTA(条幅!$B$11:$B$310)),""))))</f>
        <v/>
      </c>
      <c r="I171" s="38" t="str">
        <f>IF(IF(166&lt;=COUNTA(半紙!$B$11:$B$310),INDEX(半紙!$I$11:$I$310,166),IF(166&lt;=COUNTA(半紙!$B$11:$B$310)+COUNTA(条幅!$B$11:$B$310),INDEX(条幅!$I$11:$I$310,166-COUNTA(半紙!$B$11:$B$310)),IF(166&lt;=COUNTA(半紙!$B$11:$B$310)+COUNTA(条幅!$B$11:$B$310)+COUNTA(条幅4分の1!$B$11:$B$310),INDEX(条幅4分の1!$I$11:$I$310,166-COUNTA(半紙!$B$11:$B$310)-COUNTA(条幅!$B$11:$B$310)),"")))=0,"",IF(166&lt;=COUNTA(半紙!$B$11:$B$310),INDEX(半紙!$I$11:$I$310,166),IF(166&lt;=COUNTA(半紙!$B$11:$B$310)+COUNTA(条幅!$B$11:$B$310),INDEX(条幅!$I$11:$I$310,166-COUNTA(半紙!$B$11:$B$310)),IF(166&lt;=COUNTA(半紙!$B$11:$B$310)+COUNTA(条幅!$B$11:$B$310)+COUNTA(条幅4分の1!$B$11:$B$310),INDEX(条幅4分の1!$I$11:$I$310,166-COUNTA(半紙!$B$11:$B$310)-COUNTA(条幅!$B$11:$B$310)),""))))</f>
        <v/>
      </c>
      <c r="J171" s="38" t="str">
        <f>IF(IF(166&lt;=COUNTA(半紙!$B$11:$B$310),INDEX(半紙!$J$11:$J$310,166),IF(166&lt;=COUNTA(半紙!$B$11:$B$310)+COUNTA(条幅!$B$11:$B$310),INDEX(条幅!$J$11:$J$310,166-COUNTA(半紙!$B$11:$B$310)),IF(166&lt;=COUNTA(半紙!$B$11:$B$310)+COUNTA(条幅!$B$11:$B$310)+COUNTA(条幅4分の1!$B$11:$B$310),INDEX(条幅4分の1!$J$11:$J$310,166-COUNTA(半紙!$B$11:$B$310)-COUNTA(条幅!$B$11:$B$310)),"")))=0,"",IF(166&lt;=COUNTA(半紙!$B$11:$B$310),INDEX(半紙!$J$11:$J$310,166),IF(166&lt;=COUNTA(半紙!$B$11:$B$310)+COUNTA(条幅!$B$11:$B$310),INDEX(条幅!$J$11:$J$310,166-COUNTA(半紙!$B$11:$B$310)),IF(166&lt;=COUNTA(半紙!$B$11:$B$310)+COUNTA(条幅!$B$11:$B$310)+COUNTA(条幅4分の1!$B$11:$B$310),INDEX(条幅4分の1!$J$11:$J$310,166-COUNTA(半紙!$B$11:$B$310)-COUNTA(条幅!$B$11:$B$310)),""))))</f>
        <v/>
      </c>
      <c r="K171" s="38" t="str">
        <f>IF(IF(166&lt;=COUNTA(半紙!$B$11:$B$310),INDEX(半紙!$K$11:$K$310,166),IF(166&lt;=COUNTA(半紙!$B$11:$B$310)+COUNTA(条幅!$B$11:$B$310),INDEX(条幅!$K$11:$K$310,166-COUNTA(半紙!$B$11:$B$310)),IF(166&lt;=COUNTA(半紙!$B$11:$B$310)+COUNTA(条幅!$B$11:$B$310)+COUNTA(条幅4分の1!$B$11:$B$310),INDEX(条幅4分の1!$K$11:$K$310,166-COUNTA(半紙!$B$11:$B$310)-COUNTA(条幅!$B$11:$B$310)),"")))=0,"",IF(166&lt;=COUNTA(半紙!$B$11:$B$310),INDEX(半紙!$K$11:$K$310,166),IF(166&lt;=COUNTA(半紙!$B$11:$B$310)+COUNTA(条幅!$B$11:$B$310),INDEX(条幅!$K$11:$K$310,166-COUNTA(半紙!$B$11:$B$310)),IF(166&lt;=COUNTA(半紙!$B$11:$B$310)+COUNTA(条幅!$B$11:$B$310)+COUNTA(条幅4分の1!$B$11:$B$310),INDEX(条幅4分の1!$K$11:$K$310,166-COUNTA(半紙!$B$11:$B$310)-COUNTA(条幅!$B$11:$B$310)),""))))</f>
        <v/>
      </c>
      <c r="L171" s="48" t="str">
        <f>IF($B171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166))</f>
        <v/>
      </c>
    </row>
    <row r="172" spans="1:12" ht="15" customHeight="1">
      <c r="A172" s="37" t="str">
        <f>IF(167&lt;=COUNTA(半紙!$B$11:$B$310),"半紙",IF(167&lt;=COUNTA(半紙!$B$11:$B$310)+COUNTA(条幅!$B$11:$B$310),"条幅(半切)",IF(167&lt;=COUNTA(半紙!$B$11:$B$310)+COUNTA(条幅!$B$11:$B$310)+COUNTA(条幅4分の1!$B$11:$B$310),"条幅(1/4)","")))</f>
        <v/>
      </c>
      <c r="B172" s="38" t="str">
        <f>IF(IF(167&lt;=COUNTA(半紙!$B$11:$B$310),INDEX(半紙!$B$11:$B$310,167),IF(167&lt;=COUNTA(半紙!$B$11:$B$310)+COUNTA(条幅!$B$11:$B$310),INDEX(条幅!$B$11:$B$310,167-COUNTA(半紙!$B$11:$B$310)),IF(167&lt;=COUNTA(半紙!$B$11:$B$310)+COUNTA(条幅!$B$11:$B$310)+COUNTA(条幅4分の1!$B$11:$B$310),INDEX(条幅4分の1!$B$11:$B$310,167-COUNTA(半紙!$B$11:$B$310)-COUNTA(条幅!$B$11:$B$310)),"")))=0,"",IF(167&lt;=COUNTA(半紙!$B$11:$B$310),INDEX(半紙!$B$11:$B$310,167),IF(167&lt;=COUNTA(半紙!$B$11:$B$310)+COUNTA(条幅!$B$11:$B$310),INDEX(条幅!$B$11:$B$310,167-COUNTA(半紙!$B$11:$B$310)),IF(167&lt;=COUNTA(半紙!$B$11:$B$310)+COUNTA(条幅!$B$11:$B$310)+COUNTA(条幅4分の1!$B$11:$B$310),INDEX(条幅4分の1!$B$11:$B$310,167-COUNTA(半紙!$B$11:$B$310)-COUNTA(条幅!$B$11:$B$310)),""))))</f>
        <v/>
      </c>
      <c r="C172" s="38" t="str">
        <f>IF(IF(167&lt;=COUNTA(半紙!$B$11:$B$310),INDEX(半紙!$C$11:$C$310,167),IF(167&lt;=COUNTA(半紙!$B$11:$B$310)+COUNTA(条幅!$B$11:$B$310),INDEX(条幅!$C$11:$C$310,167-COUNTA(半紙!$B$11:$B$310)),IF(167&lt;=COUNTA(半紙!$B$11:$B$310)+COUNTA(条幅!$B$11:$B$310)+COUNTA(条幅4分の1!$B$11:$B$310),INDEX(条幅4分の1!$C$11:$C$310,167-COUNTA(半紙!$B$11:$B$310)-COUNTA(条幅!$B$11:$B$310)),"")))=0,"",IF(167&lt;=COUNTA(半紙!$B$11:$B$310),INDEX(半紙!$C$11:$C$310,167),IF(167&lt;=COUNTA(半紙!$B$11:$B$310)+COUNTA(条幅!$B$11:$B$310),INDEX(条幅!$C$11:$C$310,167-COUNTA(半紙!$B$11:$B$310)),IF(167&lt;=COUNTA(半紙!$B$11:$B$310)+COUNTA(条幅!$B$11:$B$310)+COUNTA(条幅4分の1!$B$11:$B$310),INDEX(条幅4分の1!$C$11:$C$310,167-COUNTA(半紙!$B$11:$B$310)-COUNTA(条幅!$B$11:$B$310)),""))))</f>
        <v/>
      </c>
      <c r="D172" s="38" t="str">
        <f>IF(IF(167&lt;=COUNTA(半紙!$B$11:$B$310),INDEX(半紙!$D$11:$D$310,167),IF(167&lt;=COUNTA(半紙!$B$11:$B$310)+COUNTA(条幅!$B$11:$B$310),INDEX(条幅!$D$11:$D$310,167-COUNTA(半紙!$B$11:$B$310)),IF(167&lt;=COUNTA(半紙!$B$11:$B$310)+COUNTA(条幅!$B$11:$B$310)+COUNTA(条幅4分の1!$B$11:$B$310),INDEX(条幅4分の1!$D$11:$D$310,167-COUNTA(半紙!$B$11:$B$310)-COUNTA(条幅!$B$11:$B$310)),"")))=0,"",IF(167&lt;=COUNTA(半紙!$B$11:$B$310),INDEX(半紙!$D$11:$D$310,167),IF(167&lt;=COUNTA(半紙!$B$11:$B$310)+COUNTA(条幅!$B$11:$B$310),INDEX(条幅!$D$11:$D$310,167-COUNTA(半紙!$B$11:$B$310)),IF(167&lt;=COUNTA(半紙!$B$11:$B$310)+COUNTA(条幅!$B$11:$B$310)+COUNTA(条幅4分の1!$B$11:$B$310),INDEX(条幅4分の1!$D$11:$D$310,167-COUNTA(半紙!$B$11:$B$310)-COUNTA(条幅!$B$11:$B$310)),""))))</f>
        <v/>
      </c>
      <c r="E172" s="38" t="str">
        <f>IF(IF(167&lt;=COUNTA(半紙!$B$11:$B$310),INDEX(半紙!$E$11:$E$310,167),IF(167&lt;=COUNTA(半紙!$B$11:$B$310)+COUNTA(条幅!$B$11:$B$310),INDEX(条幅!$E$11:$E$310,167-COUNTA(半紙!$B$11:$B$310)),IF(167&lt;=COUNTA(半紙!$B$11:$B$310)+COUNTA(条幅!$B$11:$B$310)+COUNTA(条幅4分の1!$B$11:$B$310),INDEX(条幅4分の1!$E$11:$E$310,167-COUNTA(半紙!$B$11:$B$310)-COUNTA(条幅!$B$11:$B$310)),"")))=0,"",IF(167&lt;=COUNTA(半紙!$B$11:$B$310),INDEX(半紙!$E$11:$E$310,167),IF(167&lt;=COUNTA(半紙!$B$11:$B$310)+COUNTA(条幅!$B$11:$B$310),INDEX(条幅!$E$11:$E$310,167-COUNTA(半紙!$B$11:$B$310)),IF(167&lt;=COUNTA(半紙!$B$11:$B$310)+COUNTA(条幅!$B$11:$B$310)+COUNTA(条幅4分の1!$B$11:$B$310),INDEX(条幅4分の1!$E$11:$E$310,167-COUNTA(半紙!$B$11:$B$310)-COUNTA(条幅!$B$11:$B$310)),""))))</f>
        <v/>
      </c>
      <c r="F172" s="38" t="str">
        <f>IF(IF(167&lt;=COUNTA(半紙!$B$11:$B$310),INDEX(半紙!$F$11:$F$310,167),IF(167&lt;=COUNTA(半紙!$B$11:$B$310)+COUNTA(条幅!$B$11:$B$310),INDEX(条幅!$F$11:$F$310,167-COUNTA(半紙!$B$11:$B$310)),IF(167&lt;=COUNTA(半紙!$B$11:$B$310)+COUNTA(条幅!$B$11:$B$310)+COUNTA(条幅4分の1!$B$11:$B$310),INDEX(条幅4分の1!$F$11:$F$310,167-COUNTA(半紙!$B$11:$B$310)-COUNTA(条幅!$B$11:$B$310)),"")))=0,"",IF(167&lt;=COUNTA(半紙!$B$11:$B$310),INDEX(半紙!$F$11:$F$310,167),IF(167&lt;=COUNTA(半紙!$B$11:$B$310)+COUNTA(条幅!$B$11:$B$310),INDEX(条幅!$F$11:$F$310,167-COUNTA(半紙!$B$11:$B$310)),IF(167&lt;=COUNTA(半紙!$B$11:$B$310)+COUNTA(条幅!$B$11:$B$310)+COUNTA(条幅4分の1!$B$11:$B$310),INDEX(条幅4分の1!$F$11:$F$310,167-COUNTA(半紙!$B$11:$B$310)-COUNTA(条幅!$B$11:$B$310)),""))))</f>
        <v/>
      </c>
      <c r="G172" s="38" t="str">
        <f>IF(IF(167&lt;=COUNTA(半紙!$B$11:$B$310),INDEX(半紙!$G$11:$G$310,167),IF(167&lt;=COUNTA(半紙!$B$11:$B$310)+COUNTA(条幅!$B$11:$B$310),INDEX(条幅!$G$11:$G$310,167-COUNTA(半紙!$B$11:$B$310)),IF(167&lt;=COUNTA(半紙!$B$11:$B$310)+COUNTA(条幅!$B$11:$B$310)+COUNTA(条幅4分の1!$B$11:$B$310),INDEX(条幅4分の1!$G$11:$G$310,167-COUNTA(半紙!$B$11:$B$310)-COUNTA(条幅!$B$11:$B$310)),"")))=0,"",IF(167&lt;=COUNTA(半紙!$B$11:$B$310),INDEX(半紙!$G$11:$G$310,167),IF(167&lt;=COUNTA(半紙!$B$11:$B$310)+COUNTA(条幅!$B$11:$B$310),INDEX(条幅!$G$11:$G$310,167-COUNTA(半紙!$B$11:$B$310)),IF(167&lt;=COUNTA(半紙!$B$11:$B$310)+COUNTA(条幅!$B$11:$B$310)+COUNTA(条幅4分の1!$B$11:$B$310),INDEX(条幅4分の1!$G$11:$G$310,167-COUNTA(半紙!$B$11:$B$310)-COUNTA(条幅!$B$11:$B$310)),""))))</f>
        <v/>
      </c>
      <c r="H172" s="38" t="str">
        <f>IF(IF(167&lt;=COUNTA(半紙!$B$11:$B$310),INDEX(半紙!$H$11:$H$310,167),IF(167&lt;=COUNTA(半紙!$B$11:$B$310)+COUNTA(条幅!$B$11:$B$310),INDEX(条幅!$H$11:$H$310,167-COUNTA(半紙!$B$11:$B$310)),IF(167&lt;=COUNTA(半紙!$B$11:$B$310)+COUNTA(条幅!$B$11:$B$310)+COUNTA(条幅4分の1!$B$11:$B$310),INDEX(条幅4分の1!$H$11:$H$310,167-COUNTA(半紙!$B$11:$B$310)-COUNTA(条幅!$B$11:$B$310)),"")))=0,"",IF(167&lt;=COUNTA(半紙!$B$11:$B$310),INDEX(半紙!$H$11:$H$310,167),IF(167&lt;=COUNTA(半紙!$B$11:$B$310)+COUNTA(条幅!$B$11:$B$310),INDEX(条幅!$H$11:$H$310,167-COUNTA(半紙!$B$11:$B$310)),IF(167&lt;=COUNTA(半紙!$B$11:$B$310)+COUNTA(条幅!$B$11:$B$310)+COUNTA(条幅4分の1!$B$11:$B$310),INDEX(条幅4分の1!$H$11:$H$310,167-COUNTA(半紙!$B$11:$B$310)-COUNTA(条幅!$B$11:$B$310)),""))))</f>
        <v/>
      </c>
      <c r="I172" s="38" t="str">
        <f>IF(IF(167&lt;=COUNTA(半紙!$B$11:$B$310),INDEX(半紙!$I$11:$I$310,167),IF(167&lt;=COUNTA(半紙!$B$11:$B$310)+COUNTA(条幅!$B$11:$B$310),INDEX(条幅!$I$11:$I$310,167-COUNTA(半紙!$B$11:$B$310)),IF(167&lt;=COUNTA(半紙!$B$11:$B$310)+COUNTA(条幅!$B$11:$B$310)+COUNTA(条幅4分の1!$B$11:$B$310),INDEX(条幅4分の1!$I$11:$I$310,167-COUNTA(半紙!$B$11:$B$310)-COUNTA(条幅!$B$11:$B$310)),"")))=0,"",IF(167&lt;=COUNTA(半紙!$B$11:$B$310),INDEX(半紙!$I$11:$I$310,167),IF(167&lt;=COUNTA(半紙!$B$11:$B$310)+COUNTA(条幅!$B$11:$B$310),INDEX(条幅!$I$11:$I$310,167-COUNTA(半紙!$B$11:$B$310)),IF(167&lt;=COUNTA(半紙!$B$11:$B$310)+COUNTA(条幅!$B$11:$B$310)+COUNTA(条幅4分の1!$B$11:$B$310),INDEX(条幅4分の1!$I$11:$I$310,167-COUNTA(半紙!$B$11:$B$310)-COUNTA(条幅!$B$11:$B$310)),""))))</f>
        <v/>
      </c>
      <c r="J172" s="38" t="str">
        <f>IF(IF(167&lt;=COUNTA(半紙!$B$11:$B$310),INDEX(半紙!$J$11:$J$310,167),IF(167&lt;=COUNTA(半紙!$B$11:$B$310)+COUNTA(条幅!$B$11:$B$310),INDEX(条幅!$J$11:$J$310,167-COUNTA(半紙!$B$11:$B$310)),IF(167&lt;=COUNTA(半紙!$B$11:$B$310)+COUNTA(条幅!$B$11:$B$310)+COUNTA(条幅4分の1!$B$11:$B$310),INDEX(条幅4分の1!$J$11:$J$310,167-COUNTA(半紙!$B$11:$B$310)-COUNTA(条幅!$B$11:$B$310)),"")))=0,"",IF(167&lt;=COUNTA(半紙!$B$11:$B$310),INDEX(半紙!$J$11:$J$310,167),IF(167&lt;=COUNTA(半紙!$B$11:$B$310)+COUNTA(条幅!$B$11:$B$310),INDEX(条幅!$J$11:$J$310,167-COUNTA(半紙!$B$11:$B$310)),IF(167&lt;=COUNTA(半紙!$B$11:$B$310)+COUNTA(条幅!$B$11:$B$310)+COUNTA(条幅4分の1!$B$11:$B$310),INDEX(条幅4分の1!$J$11:$J$310,167-COUNTA(半紙!$B$11:$B$310)-COUNTA(条幅!$B$11:$B$310)),""))))</f>
        <v/>
      </c>
      <c r="K172" s="38" t="str">
        <f>IF(IF(167&lt;=COUNTA(半紙!$B$11:$B$310),INDEX(半紙!$K$11:$K$310,167),IF(167&lt;=COUNTA(半紙!$B$11:$B$310)+COUNTA(条幅!$B$11:$B$310),INDEX(条幅!$K$11:$K$310,167-COUNTA(半紙!$B$11:$B$310)),IF(167&lt;=COUNTA(半紙!$B$11:$B$310)+COUNTA(条幅!$B$11:$B$310)+COUNTA(条幅4分の1!$B$11:$B$310),INDEX(条幅4分の1!$K$11:$K$310,167-COUNTA(半紙!$B$11:$B$310)-COUNTA(条幅!$B$11:$B$310)),"")))=0,"",IF(167&lt;=COUNTA(半紙!$B$11:$B$310),INDEX(半紙!$K$11:$K$310,167),IF(167&lt;=COUNTA(半紙!$B$11:$B$310)+COUNTA(条幅!$B$11:$B$310),INDEX(条幅!$K$11:$K$310,167-COUNTA(半紙!$B$11:$B$310)),IF(167&lt;=COUNTA(半紙!$B$11:$B$310)+COUNTA(条幅!$B$11:$B$310)+COUNTA(条幅4分の1!$B$11:$B$310),INDEX(条幅4分の1!$K$11:$K$310,167-COUNTA(半紙!$B$11:$B$310)-COUNTA(条幅!$B$11:$B$310)),""))))</f>
        <v/>
      </c>
      <c r="L172" s="48" t="str">
        <f>IF($B172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167))</f>
        <v/>
      </c>
    </row>
    <row r="173" spans="1:12" ht="15" customHeight="1">
      <c r="A173" s="37" t="str">
        <f>IF(168&lt;=COUNTA(半紙!$B$11:$B$310),"半紙",IF(168&lt;=COUNTA(半紙!$B$11:$B$310)+COUNTA(条幅!$B$11:$B$310),"条幅(半切)",IF(168&lt;=COUNTA(半紙!$B$11:$B$310)+COUNTA(条幅!$B$11:$B$310)+COUNTA(条幅4分の1!$B$11:$B$310),"条幅(1/4)","")))</f>
        <v/>
      </c>
      <c r="B173" s="38" t="str">
        <f>IF(IF(168&lt;=COUNTA(半紙!$B$11:$B$310),INDEX(半紙!$B$11:$B$310,168),IF(168&lt;=COUNTA(半紙!$B$11:$B$310)+COUNTA(条幅!$B$11:$B$310),INDEX(条幅!$B$11:$B$310,168-COUNTA(半紙!$B$11:$B$310)),IF(168&lt;=COUNTA(半紙!$B$11:$B$310)+COUNTA(条幅!$B$11:$B$310)+COUNTA(条幅4分の1!$B$11:$B$310),INDEX(条幅4分の1!$B$11:$B$310,168-COUNTA(半紙!$B$11:$B$310)-COUNTA(条幅!$B$11:$B$310)),"")))=0,"",IF(168&lt;=COUNTA(半紙!$B$11:$B$310),INDEX(半紙!$B$11:$B$310,168),IF(168&lt;=COUNTA(半紙!$B$11:$B$310)+COUNTA(条幅!$B$11:$B$310),INDEX(条幅!$B$11:$B$310,168-COUNTA(半紙!$B$11:$B$310)),IF(168&lt;=COUNTA(半紙!$B$11:$B$310)+COUNTA(条幅!$B$11:$B$310)+COUNTA(条幅4分の1!$B$11:$B$310),INDEX(条幅4分の1!$B$11:$B$310,168-COUNTA(半紙!$B$11:$B$310)-COUNTA(条幅!$B$11:$B$310)),""))))</f>
        <v/>
      </c>
      <c r="C173" s="38" t="str">
        <f>IF(IF(168&lt;=COUNTA(半紙!$B$11:$B$310),INDEX(半紙!$C$11:$C$310,168),IF(168&lt;=COUNTA(半紙!$B$11:$B$310)+COUNTA(条幅!$B$11:$B$310),INDEX(条幅!$C$11:$C$310,168-COUNTA(半紙!$B$11:$B$310)),IF(168&lt;=COUNTA(半紙!$B$11:$B$310)+COUNTA(条幅!$B$11:$B$310)+COUNTA(条幅4分の1!$B$11:$B$310),INDEX(条幅4分の1!$C$11:$C$310,168-COUNTA(半紙!$B$11:$B$310)-COUNTA(条幅!$B$11:$B$310)),"")))=0,"",IF(168&lt;=COUNTA(半紙!$B$11:$B$310),INDEX(半紙!$C$11:$C$310,168),IF(168&lt;=COUNTA(半紙!$B$11:$B$310)+COUNTA(条幅!$B$11:$B$310),INDEX(条幅!$C$11:$C$310,168-COUNTA(半紙!$B$11:$B$310)),IF(168&lt;=COUNTA(半紙!$B$11:$B$310)+COUNTA(条幅!$B$11:$B$310)+COUNTA(条幅4分の1!$B$11:$B$310),INDEX(条幅4分の1!$C$11:$C$310,168-COUNTA(半紙!$B$11:$B$310)-COUNTA(条幅!$B$11:$B$310)),""))))</f>
        <v/>
      </c>
      <c r="D173" s="38" t="str">
        <f>IF(IF(168&lt;=COUNTA(半紙!$B$11:$B$310),INDEX(半紙!$D$11:$D$310,168),IF(168&lt;=COUNTA(半紙!$B$11:$B$310)+COUNTA(条幅!$B$11:$B$310),INDEX(条幅!$D$11:$D$310,168-COUNTA(半紙!$B$11:$B$310)),IF(168&lt;=COUNTA(半紙!$B$11:$B$310)+COUNTA(条幅!$B$11:$B$310)+COUNTA(条幅4分の1!$B$11:$B$310),INDEX(条幅4分の1!$D$11:$D$310,168-COUNTA(半紙!$B$11:$B$310)-COUNTA(条幅!$B$11:$B$310)),"")))=0,"",IF(168&lt;=COUNTA(半紙!$B$11:$B$310),INDEX(半紙!$D$11:$D$310,168),IF(168&lt;=COUNTA(半紙!$B$11:$B$310)+COUNTA(条幅!$B$11:$B$310),INDEX(条幅!$D$11:$D$310,168-COUNTA(半紙!$B$11:$B$310)),IF(168&lt;=COUNTA(半紙!$B$11:$B$310)+COUNTA(条幅!$B$11:$B$310)+COUNTA(条幅4分の1!$B$11:$B$310),INDEX(条幅4分の1!$D$11:$D$310,168-COUNTA(半紙!$B$11:$B$310)-COUNTA(条幅!$B$11:$B$310)),""))))</f>
        <v/>
      </c>
      <c r="E173" s="38" t="str">
        <f>IF(IF(168&lt;=COUNTA(半紙!$B$11:$B$310),INDEX(半紙!$E$11:$E$310,168),IF(168&lt;=COUNTA(半紙!$B$11:$B$310)+COUNTA(条幅!$B$11:$B$310),INDEX(条幅!$E$11:$E$310,168-COUNTA(半紙!$B$11:$B$310)),IF(168&lt;=COUNTA(半紙!$B$11:$B$310)+COUNTA(条幅!$B$11:$B$310)+COUNTA(条幅4分の1!$B$11:$B$310),INDEX(条幅4分の1!$E$11:$E$310,168-COUNTA(半紙!$B$11:$B$310)-COUNTA(条幅!$B$11:$B$310)),"")))=0,"",IF(168&lt;=COUNTA(半紙!$B$11:$B$310),INDEX(半紙!$E$11:$E$310,168),IF(168&lt;=COUNTA(半紙!$B$11:$B$310)+COUNTA(条幅!$B$11:$B$310),INDEX(条幅!$E$11:$E$310,168-COUNTA(半紙!$B$11:$B$310)),IF(168&lt;=COUNTA(半紙!$B$11:$B$310)+COUNTA(条幅!$B$11:$B$310)+COUNTA(条幅4分の1!$B$11:$B$310),INDEX(条幅4分の1!$E$11:$E$310,168-COUNTA(半紙!$B$11:$B$310)-COUNTA(条幅!$B$11:$B$310)),""))))</f>
        <v/>
      </c>
      <c r="F173" s="38" t="str">
        <f>IF(IF(168&lt;=COUNTA(半紙!$B$11:$B$310),INDEX(半紙!$F$11:$F$310,168),IF(168&lt;=COUNTA(半紙!$B$11:$B$310)+COUNTA(条幅!$B$11:$B$310),INDEX(条幅!$F$11:$F$310,168-COUNTA(半紙!$B$11:$B$310)),IF(168&lt;=COUNTA(半紙!$B$11:$B$310)+COUNTA(条幅!$B$11:$B$310)+COUNTA(条幅4分の1!$B$11:$B$310),INDEX(条幅4分の1!$F$11:$F$310,168-COUNTA(半紙!$B$11:$B$310)-COUNTA(条幅!$B$11:$B$310)),"")))=0,"",IF(168&lt;=COUNTA(半紙!$B$11:$B$310),INDEX(半紙!$F$11:$F$310,168),IF(168&lt;=COUNTA(半紙!$B$11:$B$310)+COUNTA(条幅!$B$11:$B$310),INDEX(条幅!$F$11:$F$310,168-COUNTA(半紙!$B$11:$B$310)),IF(168&lt;=COUNTA(半紙!$B$11:$B$310)+COUNTA(条幅!$B$11:$B$310)+COUNTA(条幅4分の1!$B$11:$B$310),INDEX(条幅4分の1!$F$11:$F$310,168-COUNTA(半紙!$B$11:$B$310)-COUNTA(条幅!$B$11:$B$310)),""))))</f>
        <v/>
      </c>
      <c r="G173" s="38" t="str">
        <f>IF(IF(168&lt;=COUNTA(半紙!$B$11:$B$310),INDEX(半紙!$G$11:$G$310,168),IF(168&lt;=COUNTA(半紙!$B$11:$B$310)+COUNTA(条幅!$B$11:$B$310),INDEX(条幅!$G$11:$G$310,168-COUNTA(半紙!$B$11:$B$310)),IF(168&lt;=COUNTA(半紙!$B$11:$B$310)+COUNTA(条幅!$B$11:$B$310)+COUNTA(条幅4分の1!$B$11:$B$310),INDEX(条幅4分の1!$G$11:$G$310,168-COUNTA(半紙!$B$11:$B$310)-COUNTA(条幅!$B$11:$B$310)),"")))=0,"",IF(168&lt;=COUNTA(半紙!$B$11:$B$310),INDEX(半紙!$G$11:$G$310,168),IF(168&lt;=COUNTA(半紙!$B$11:$B$310)+COUNTA(条幅!$B$11:$B$310),INDEX(条幅!$G$11:$G$310,168-COUNTA(半紙!$B$11:$B$310)),IF(168&lt;=COUNTA(半紙!$B$11:$B$310)+COUNTA(条幅!$B$11:$B$310)+COUNTA(条幅4分の1!$B$11:$B$310),INDEX(条幅4分の1!$G$11:$G$310,168-COUNTA(半紙!$B$11:$B$310)-COUNTA(条幅!$B$11:$B$310)),""))))</f>
        <v/>
      </c>
      <c r="H173" s="38" t="str">
        <f>IF(IF(168&lt;=COUNTA(半紙!$B$11:$B$310),INDEX(半紙!$H$11:$H$310,168),IF(168&lt;=COUNTA(半紙!$B$11:$B$310)+COUNTA(条幅!$B$11:$B$310),INDEX(条幅!$H$11:$H$310,168-COUNTA(半紙!$B$11:$B$310)),IF(168&lt;=COUNTA(半紙!$B$11:$B$310)+COUNTA(条幅!$B$11:$B$310)+COUNTA(条幅4分の1!$B$11:$B$310),INDEX(条幅4分の1!$H$11:$H$310,168-COUNTA(半紙!$B$11:$B$310)-COUNTA(条幅!$B$11:$B$310)),"")))=0,"",IF(168&lt;=COUNTA(半紙!$B$11:$B$310),INDEX(半紙!$H$11:$H$310,168),IF(168&lt;=COUNTA(半紙!$B$11:$B$310)+COUNTA(条幅!$B$11:$B$310),INDEX(条幅!$H$11:$H$310,168-COUNTA(半紙!$B$11:$B$310)),IF(168&lt;=COUNTA(半紙!$B$11:$B$310)+COUNTA(条幅!$B$11:$B$310)+COUNTA(条幅4分の1!$B$11:$B$310),INDEX(条幅4分の1!$H$11:$H$310,168-COUNTA(半紙!$B$11:$B$310)-COUNTA(条幅!$B$11:$B$310)),""))))</f>
        <v/>
      </c>
      <c r="I173" s="38" t="str">
        <f>IF(IF(168&lt;=COUNTA(半紙!$B$11:$B$310),INDEX(半紙!$I$11:$I$310,168),IF(168&lt;=COUNTA(半紙!$B$11:$B$310)+COUNTA(条幅!$B$11:$B$310),INDEX(条幅!$I$11:$I$310,168-COUNTA(半紙!$B$11:$B$310)),IF(168&lt;=COUNTA(半紙!$B$11:$B$310)+COUNTA(条幅!$B$11:$B$310)+COUNTA(条幅4分の1!$B$11:$B$310),INDEX(条幅4分の1!$I$11:$I$310,168-COUNTA(半紙!$B$11:$B$310)-COUNTA(条幅!$B$11:$B$310)),"")))=0,"",IF(168&lt;=COUNTA(半紙!$B$11:$B$310),INDEX(半紙!$I$11:$I$310,168),IF(168&lt;=COUNTA(半紙!$B$11:$B$310)+COUNTA(条幅!$B$11:$B$310),INDEX(条幅!$I$11:$I$310,168-COUNTA(半紙!$B$11:$B$310)),IF(168&lt;=COUNTA(半紙!$B$11:$B$310)+COUNTA(条幅!$B$11:$B$310)+COUNTA(条幅4分の1!$B$11:$B$310),INDEX(条幅4分の1!$I$11:$I$310,168-COUNTA(半紙!$B$11:$B$310)-COUNTA(条幅!$B$11:$B$310)),""))))</f>
        <v/>
      </c>
      <c r="J173" s="38" t="str">
        <f>IF(IF(168&lt;=COUNTA(半紙!$B$11:$B$310),INDEX(半紙!$J$11:$J$310,168),IF(168&lt;=COUNTA(半紙!$B$11:$B$310)+COUNTA(条幅!$B$11:$B$310),INDEX(条幅!$J$11:$J$310,168-COUNTA(半紙!$B$11:$B$310)),IF(168&lt;=COUNTA(半紙!$B$11:$B$310)+COUNTA(条幅!$B$11:$B$310)+COUNTA(条幅4分の1!$B$11:$B$310),INDEX(条幅4分の1!$J$11:$J$310,168-COUNTA(半紙!$B$11:$B$310)-COUNTA(条幅!$B$11:$B$310)),"")))=0,"",IF(168&lt;=COUNTA(半紙!$B$11:$B$310),INDEX(半紙!$J$11:$J$310,168),IF(168&lt;=COUNTA(半紙!$B$11:$B$310)+COUNTA(条幅!$B$11:$B$310),INDEX(条幅!$J$11:$J$310,168-COUNTA(半紙!$B$11:$B$310)),IF(168&lt;=COUNTA(半紙!$B$11:$B$310)+COUNTA(条幅!$B$11:$B$310)+COUNTA(条幅4分の1!$B$11:$B$310),INDEX(条幅4分の1!$J$11:$J$310,168-COUNTA(半紙!$B$11:$B$310)-COUNTA(条幅!$B$11:$B$310)),""))))</f>
        <v/>
      </c>
      <c r="K173" s="38" t="str">
        <f>IF(IF(168&lt;=COUNTA(半紙!$B$11:$B$310),INDEX(半紙!$K$11:$K$310,168),IF(168&lt;=COUNTA(半紙!$B$11:$B$310)+COUNTA(条幅!$B$11:$B$310),INDEX(条幅!$K$11:$K$310,168-COUNTA(半紙!$B$11:$B$310)),IF(168&lt;=COUNTA(半紙!$B$11:$B$310)+COUNTA(条幅!$B$11:$B$310)+COUNTA(条幅4分の1!$B$11:$B$310),INDEX(条幅4分の1!$K$11:$K$310,168-COUNTA(半紙!$B$11:$B$310)-COUNTA(条幅!$B$11:$B$310)),"")))=0,"",IF(168&lt;=COUNTA(半紙!$B$11:$B$310),INDEX(半紙!$K$11:$K$310,168),IF(168&lt;=COUNTA(半紙!$B$11:$B$310)+COUNTA(条幅!$B$11:$B$310),INDEX(条幅!$K$11:$K$310,168-COUNTA(半紙!$B$11:$B$310)),IF(168&lt;=COUNTA(半紙!$B$11:$B$310)+COUNTA(条幅!$B$11:$B$310)+COUNTA(条幅4分の1!$B$11:$B$310),INDEX(条幅4分の1!$K$11:$K$310,168-COUNTA(半紙!$B$11:$B$310)-COUNTA(条幅!$B$11:$B$310)),""))))</f>
        <v/>
      </c>
      <c r="L173" s="48" t="str">
        <f>IF($B173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168))</f>
        <v/>
      </c>
    </row>
    <row r="174" spans="1:12" ht="15" customHeight="1">
      <c r="A174" s="37" t="str">
        <f>IF(169&lt;=COUNTA(半紙!$B$11:$B$310),"半紙",IF(169&lt;=COUNTA(半紙!$B$11:$B$310)+COUNTA(条幅!$B$11:$B$310),"条幅(半切)",IF(169&lt;=COUNTA(半紙!$B$11:$B$310)+COUNTA(条幅!$B$11:$B$310)+COUNTA(条幅4分の1!$B$11:$B$310),"条幅(1/4)","")))</f>
        <v/>
      </c>
      <c r="B174" s="38" t="str">
        <f>IF(IF(169&lt;=COUNTA(半紙!$B$11:$B$310),INDEX(半紙!$B$11:$B$310,169),IF(169&lt;=COUNTA(半紙!$B$11:$B$310)+COUNTA(条幅!$B$11:$B$310),INDEX(条幅!$B$11:$B$310,169-COUNTA(半紙!$B$11:$B$310)),IF(169&lt;=COUNTA(半紙!$B$11:$B$310)+COUNTA(条幅!$B$11:$B$310)+COUNTA(条幅4分の1!$B$11:$B$310),INDEX(条幅4分の1!$B$11:$B$310,169-COUNTA(半紙!$B$11:$B$310)-COUNTA(条幅!$B$11:$B$310)),"")))=0,"",IF(169&lt;=COUNTA(半紙!$B$11:$B$310),INDEX(半紙!$B$11:$B$310,169),IF(169&lt;=COUNTA(半紙!$B$11:$B$310)+COUNTA(条幅!$B$11:$B$310),INDEX(条幅!$B$11:$B$310,169-COUNTA(半紙!$B$11:$B$310)),IF(169&lt;=COUNTA(半紙!$B$11:$B$310)+COUNTA(条幅!$B$11:$B$310)+COUNTA(条幅4分の1!$B$11:$B$310),INDEX(条幅4分の1!$B$11:$B$310,169-COUNTA(半紙!$B$11:$B$310)-COUNTA(条幅!$B$11:$B$310)),""))))</f>
        <v/>
      </c>
      <c r="C174" s="38" t="str">
        <f>IF(IF(169&lt;=COUNTA(半紙!$B$11:$B$310),INDEX(半紙!$C$11:$C$310,169),IF(169&lt;=COUNTA(半紙!$B$11:$B$310)+COUNTA(条幅!$B$11:$B$310),INDEX(条幅!$C$11:$C$310,169-COUNTA(半紙!$B$11:$B$310)),IF(169&lt;=COUNTA(半紙!$B$11:$B$310)+COUNTA(条幅!$B$11:$B$310)+COUNTA(条幅4分の1!$B$11:$B$310),INDEX(条幅4分の1!$C$11:$C$310,169-COUNTA(半紙!$B$11:$B$310)-COUNTA(条幅!$B$11:$B$310)),"")))=0,"",IF(169&lt;=COUNTA(半紙!$B$11:$B$310),INDEX(半紙!$C$11:$C$310,169),IF(169&lt;=COUNTA(半紙!$B$11:$B$310)+COUNTA(条幅!$B$11:$B$310),INDEX(条幅!$C$11:$C$310,169-COUNTA(半紙!$B$11:$B$310)),IF(169&lt;=COUNTA(半紙!$B$11:$B$310)+COUNTA(条幅!$B$11:$B$310)+COUNTA(条幅4分の1!$B$11:$B$310),INDEX(条幅4分の1!$C$11:$C$310,169-COUNTA(半紙!$B$11:$B$310)-COUNTA(条幅!$B$11:$B$310)),""))))</f>
        <v/>
      </c>
      <c r="D174" s="38" t="str">
        <f>IF(IF(169&lt;=COUNTA(半紙!$B$11:$B$310),INDEX(半紙!$D$11:$D$310,169),IF(169&lt;=COUNTA(半紙!$B$11:$B$310)+COUNTA(条幅!$B$11:$B$310),INDEX(条幅!$D$11:$D$310,169-COUNTA(半紙!$B$11:$B$310)),IF(169&lt;=COUNTA(半紙!$B$11:$B$310)+COUNTA(条幅!$B$11:$B$310)+COUNTA(条幅4分の1!$B$11:$B$310),INDEX(条幅4分の1!$D$11:$D$310,169-COUNTA(半紙!$B$11:$B$310)-COUNTA(条幅!$B$11:$B$310)),"")))=0,"",IF(169&lt;=COUNTA(半紙!$B$11:$B$310),INDEX(半紙!$D$11:$D$310,169),IF(169&lt;=COUNTA(半紙!$B$11:$B$310)+COUNTA(条幅!$B$11:$B$310),INDEX(条幅!$D$11:$D$310,169-COUNTA(半紙!$B$11:$B$310)),IF(169&lt;=COUNTA(半紙!$B$11:$B$310)+COUNTA(条幅!$B$11:$B$310)+COUNTA(条幅4分の1!$B$11:$B$310),INDEX(条幅4分の1!$D$11:$D$310,169-COUNTA(半紙!$B$11:$B$310)-COUNTA(条幅!$B$11:$B$310)),""))))</f>
        <v/>
      </c>
      <c r="E174" s="38" t="str">
        <f>IF(IF(169&lt;=COUNTA(半紙!$B$11:$B$310),INDEX(半紙!$E$11:$E$310,169),IF(169&lt;=COUNTA(半紙!$B$11:$B$310)+COUNTA(条幅!$B$11:$B$310),INDEX(条幅!$E$11:$E$310,169-COUNTA(半紙!$B$11:$B$310)),IF(169&lt;=COUNTA(半紙!$B$11:$B$310)+COUNTA(条幅!$B$11:$B$310)+COUNTA(条幅4分の1!$B$11:$B$310),INDEX(条幅4分の1!$E$11:$E$310,169-COUNTA(半紙!$B$11:$B$310)-COUNTA(条幅!$B$11:$B$310)),"")))=0,"",IF(169&lt;=COUNTA(半紙!$B$11:$B$310),INDEX(半紙!$E$11:$E$310,169),IF(169&lt;=COUNTA(半紙!$B$11:$B$310)+COUNTA(条幅!$B$11:$B$310),INDEX(条幅!$E$11:$E$310,169-COUNTA(半紙!$B$11:$B$310)),IF(169&lt;=COUNTA(半紙!$B$11:$B$310)+COUNTA(条幅!$B$11:$B$310)+COUNTA(条幅4分の1!$B$11:$B$310),INDEX(条幅4分の1!$E$11:$E$310,169-COUNTA(半紙!$B$11:$B$310)-COUNTA(条幅!$B$11:$B$310)),""))))</f>
        <v/>
      </c>
      <c r="F174" s="38" t="str">
        <f>IF(IF(169&lt;=COUNTA(半紙!$B$11:$B$310),INDEX(半紙!$F$11:$F$310,169),IF(169&lt;=COUNTA(半紙!$B$11:$B$310)+COUNTA(条幅!$B$11:$B$310),INDEX(条幅!$F$11:$F$310,169-COUNTA(半紙!$B$11:$B$310)),IF(169&lt;=COUNTA(半紙!$B$11:$B$310)+COUNTA(条幅!$B$11:$B$310)+COUNTA(条幅4分の1!$B$11:$B$310),INDEX(条幅4分の1!$F$11:$F$310,169-COUNTA(半紙!$B$11:$B$310)-COUNTA(条幅!$B$11:$B$310)),"")))=0,"",IF(169&lt;=COUNTA(半紙!$B$11:$B$310),INDEX(半紙!$F$11:$F$310,169),IF(169&lt;=COUNTA(半紙!$B$11:$B$310)+COUNTA(条幅!$B$11:$B$310),INDEX(条幅!$F$11:$F$310,169-COUNTA(半紙!$B$11:$B$310)),IF(169&lt;=COUNTA(半紙!$B$11:$B$310)+COUNTA(条幅!$B$11:$B$310)+COUNTA(条幅4分の1!$B$11:$B$310),INDEX(条幅4分の1!$F$11:$F$310,169-COUNTA(半紙!$B$11:$B$310)-COUNTA(条幅!$B$11:$B$310)),""))))</f>
        <v/>
      </c>
      <c r="G174" s="38" t="str">
        <f>IF(IF(169&lt;=COUNTA(半紙!$B$11:$B$310),INDEX(半紙!$G$11:$G$310,169),IF(169&lt;=COUNTA(半紙!$B$11:$B$310)+COUNTA(条幅!$B$11:$B$310),INDEX(条幅!$G$11:$G$310,169-COUNTA(半紙!$B$11:$B$310)),IF(169&lt;=COUNTA(半紙!$B$11:$B$310)+COUNTA(条幅!$B$11:$B$310)+COUNTA(条幅4分の1!$B$11:$B$310),INDEX(条幅4分の1!$G$11:$G$310,169-COUNTA(半紙!$B$11:$B$310)-COUNTA(条幅!$B$11:$B$310)),"")))=0,"",IF(169&lt;=COUNTA(半紙!$B$11:$B$310),INDEX(半紙!$G$11:$G$310,169),IF(169&lt;=COUNTA(半紙!$B$11:$B$310)+COUNTA(条幅!$B$11:$B$310),INDEX(条幅!$G$11:$G$310,169-COUNTA(半紙!$B$11:$B$310)),IF(169&lt;=COUNTA(半紙!$B$11:$B$310)+COUNTA(条幅!$B$11:$B$310)+COUNTA(条幅4分の1!$B$11:$B$310),INDEX(条幅4分の1!$G$11:$G$310,169-COUNTA(半紙!$B$11:$B$310)-COUNTA(条幅!$B$11:$B$310)),""))))</f>
        <v/>
      </c>
      <c r="H174" s="38" t="str">
        <f>IF(IF(169&lt;=COUNTA(半紙!$B$11:$B$310),INDEX(半紙!$H$11:$H$310,169),IF(169&lt;=COUNTA(半紙!$B$11:$B$310)+COUNTA(条幅!$B$11:$B$310),INDEX(条幅!$H$11:$H$310,169-COUNTA(半紙!$B$11:$B$310)),IF(169&lt;=COUNTA(半紙!$B$11:$B$310)+COUNTA(条幅!$B$11:$B$310)+COUNTA(条幅4分の1!$B$11:$B$310),INDEX(条幅4分の1!$H$11:$H$310,169-COUNTA(半紙!$B$11:$B$310)-COUNTA(条幅!$B$11:$B$310)),"")))=0,"",IF(169&lt;=COUNTA(半紙!$B$11:$B$310),INDEX(半紙!$H$11:$H$310,169),IF(169&lt;=COUNTA(半紙!$B$11:$B$310)+COUNTA(条幅!$B$11:$B$310),INDEX(条幅!$H$11:$H$310,169-COUNTA(半紙!$B$11:$B$310)),IF(169&lt;=COUNTA(半紙!$B$11:$B$310)+COUNTA(条幅!$B$11:$B$310)+COUNTA(条幅4分の1!$B$11:$B$310),INDEX(条幅4分の1!$H$11:$H$310,169-COUNTA(半紙!$B$11:$B$310)-COUNTA(条幅!$B$11:$B$310)),""))))</f>
        <v/>
      </c>
      <c r="I174" s="38" t="str">
        <f>IF(IF(169&lt;=COUNTA(半紙!$B$11:$B$310),INDEX(半紙!$I$11:$I$310,169),IF(169&lt;=COUNTA(半紙!$B$11:$B$310)+COUNTA(条幅!$B$11:$B$310),INDEX(条幅!$I$11:$I$310,169-COUNTA(半紙!$B$11:$B$310)),IF(169&lt;=COUNTA(半紙!$B$11:$B$310)+COUNTA(条幅!$B$11:$B$310)+COUNTA(条幅4分の1!$B$11:$B$310),INDEX(条幅4分の1!$I$11:$I$310,169-COUNTA(半紙!$B$11:$B$310)-COUNTA(条幅!$B$11:$B$310)),"")))=0,"",IF(169&lt;=COUNTA(半紙!$B$11:$B$310),INDEX(半紙!$I$11:$I$310,169),IF(169&lt;=COUNTA(半紙!$B$11:$B$310)+COUNTA(条幅!$B$11:$B$310),INDEX(条幅!$I$11:$I$310,169-COUNTA(半紙!$B$11:$B$310)),IF(169&lt;=COUNTA(半紙!$B$11:$B$310)+COUNTA(条幅!$B$11:$B$310)+COUNTA(条幅4分の1!$B$11:$B$310),INDEX(条幅4分の1!$I$11:$I$310,169-COUNTA(半紙!$B$11:$B$310)-COUNTA(条幅!$B$11:$B$310)),""))))</f>
        <v/>
      </c>
      <c r="J174" s="38" t="str">
        <f>IF(IF(169&lt;=COUNTA(半紙!$B$11:$B$310),INDEX(半紙!$J$11:$J$310,169),IF(169&lt;=COUNTA(半紙!$B$11:$B$310)+COUNTA(条幅!$B$11:$B$310),INDEX(条幅!$J$11:$J$310,169-COUNTA(半紙!$B$11:$B$310)),IF(169&lt;=COUNTA(半紙!$B$11:$B$310)+COUNTA(条幅!$B$11:$B$310)+COUNTA(条幅4分の1!$B$11:$B$310),INDEX(条幅4分の1!$J$11:$J$310,169-COUNTA(半紙!$B$11:$B$310)-COUNTA(条幅!$B$11:$B$310)),"")))=0,"",IF(169&lt;=COUNTA(半紙!$B$11:$B$310),INDEX(半紙!$J$11:$J$310,169),IF(169&lt;=COUNTA(半紙!$B$11:$B$310)+COUNTA(条幅!$B$11:$B$310),INDEX(条幅!$J$11:$J$310,169-COUNTA(半紙!$B$11:$B$310)),IF(169&lt;=COUNTA(半紙!$B$11:$B$310)+COUNTA(条幅!$B$11:$B$310)+COUNTA(条幅4分の1!$B$11:$B$310),INDEX(条幅4分の1!$J$11:$J$310,169-COUNTA(半紙!$B$11:$B$310)-COUNTA(条幅!$B$11:$B$310)),""))))</f>
        <v/>
      </c>
      <c r="K174" s="38" t="str">
        <f>IF(IF(169&lt;=COUNTA(半紙!$B$11:$B$310),INDEX(半紙!$K$11:$K$310,169),IF(169&lt;=COUNTA(半紙!$B$11:$B$310)+COUNTA(条幅!$B$11:$B$310),INDEX(条幅!$K$11:$K$310,169-COUNTA(半紙!$B$11:$B$310)),IF(169&lt;=COUNTA(半紙!$B$11:$B$310)+COUNTA(条幅!$B$11:$B$310)+COUNTA(条幅4分の1!$B$11:$B$310),INDEX(条幅4分の1!$K$11:$K$310,169-COUNTA(半紙!$B$11:$B$310)-COUNTA(条幅!$B$11:$B$310)),"")))=0,"",IF(169&lt;=COUNTA(半紙!$B$11:$B$310),INDEX(半紙!$K$11:$K$310,169),IF(169&lt;=COUNTA(半紙!$B$11:$B$310)+COUNTA(条幅!$B$11:$B$310),INDEX(条幅!$K$11:$K$310,169-COUNTA(半紙!$B$11:$B$310)),IF(169&lt;=COUNTA(半紙!$B$11:$B$310)+COUNTA(条幅!$B$11:$B$310)+COUNTA(条幅4分の1!$B$11:$B$310),INDEX(条幅4分の1!$K$11:$K$310,169-COUNTA(半紙!$B$11:$B$310)-COUNTA(条幅!$B$11:$B$310)),""))))</f>
        <v/>
      </c>
      <c r="L174" s="48" t="str">
        <f>IF($B174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169))</f>
        <v/>
      </c>
    </row>
    <row r="175" spans="1:12" ht="15" customHeight="1">
      <c r="A175" s="37" t="str">
        <f>IF(170&lt;=COUNTA(半紙!$B$11:$B$310),"半紙",IF(170&lt;=COUNTA(半紙!$B$11:$B$310)+COUNTA(条幅!$B$11:$B$310),"条幅(半切)",IF(170&lt;=COUNTA(半紙!$B$11:$B$310)+COUNTA(条幅!$B$11:$B$310)+COUNTA(条幅4分の1!$B$11:$B$310),"条幅(1/4)","")))</f>
        <v/>
      </c>
      <c r="B175" s="38" t="str">
        <f>IF(IF(170&lt;=COUNTA(半紙!$B$11:$B$310),INDEX(半紙!$B$11:$B$310,170),IF(170&lt;=COUNTA(半紙!$B$11:$B$310)+COUNTA(条幅!$B$11:$B$310),INDEX(条幅!$B$11:$B$310,170-COUNTA(半紙!$B$11:$B$310)),IF(170&lt;=COUNTA(半紙!$B$11:$B$310)+COUNTA(条幅!$B$11:$B$310)+COUNTA(条幅4分の1!$B$11:$B$310),INDEX(条幅4分の1!$B$11:$B$310,170-COUNTA(半紙!$B$11:$B$310)-COUNTA(条幅!$B$11:$B$310)),"")))=0,"",IF(170&lt;=COUNTA(半紙!$B$11:$B$310),INDEX(半紙!$B$11:$B$310,170),IF(170&lt;=COUNTA(半紙!$B$11:$B$310)+COUNTA(条幅!$B$11:$B$310),INDEX(条幅!$B$11:$B$310,170-COUNTA(半紙!$B$11:$B$310)),IF(170&lt;=COUNTA(半紙!$B$11:$B$310)+COUNTA(条幅!$B$11:$B$310)+COUNTA(条幅4分の1!$B$11:$B$310),INDEX(条幅4分の1!$B$11:$B$310,170-COUNTA(半紙!$B$11:$B$310)-COUNTA(条幅!$B$11:$B$310)),""))))</f>
        <v/>
      </c>
      <c r="C175" s="38" t="str">
        <f>IF(IF(170&lt;=COUNTA(半紙!$B$11:$B$310),INDEX(半紙!$C$11:$C$310,170),IF(170&lt;=COUNTA(半紙!$B$11:$B$310)+COUNTA(条幅!$B$11:$B$310),INDEX(条幅!$C$11:$C$310,170-COUNTA(半紙!$B$11:$B$310)),IF(170&lt;=COUNTA(半紙!$B$11:$B$310)+COUNTA(条幅!$B$11:$B$310)+COUNTA(条幅4分の1!$B$11:$B$310),INDEX(条幅4分の1!$C$11:$C$310,170-COUNTA(半紙!$B$11:$B$310)-COUNTA(条幅!$B$11:$B$310)),"")))=0,"",IF(170&lt;=COUNTA(半紙!$B$11:$B$310),INDEX(半紙!$C$11:$C$310,170),IF(170&lt;=COUNTA(半紙!$B$11:$B$310)+COUNTA(条幅!$B$11:$B$310),INDEX(条幅!$C$11:$C$310,170-COUNTA(半紙!$B$11:$B$310)),IF(170&lt;=COUNTA(半紙!$B$11:$B$310)+COUNTA(条幅!$B$11:$B$310)+COUNTA(条幅4分の1!$B$11:$B$310),INDEX(条幅4分の1!$C$11:$C$310,170-COUNTA(半紙!$B$11:$B$310)-COUNTA(条幅!$B$11:$B$310)),""))))</f>
        <v/>
      </c>
      <c r="D175" s="38" t="str">
        <f>IF(IF(170&lt;=COUNTA(半紙!$B$11:$B$310),INDEX(半紙!$D$11:$D$310,170),IF(170&lt;=COUNTA(半紙!$B$11:$B$310)+COUNTA(条幅!$B$11:$B$310),INDEX(条幅!$D$11:$D$310,170-COUNTA(半紙!$B$11:$B$310)),IF(170&lt;=COUNTA(半紙!$B$11:$B$310)+COUNTA(条幅!$B$11:$B$310)+COUNTA(条幅4分の1!$B$11:$B$310),INDEX(条幅4分の1!$D$11:$D$310,170-COUNTA(半紙!$B$11:$B$310)-COUNTA(条幅!$B$11:$B$310)),"")))=0,"",IF(170&lt;=COUNTA(半紙!$B$11:$B$310),INDEX(半紙!$D$11:$D$310,170),IF(170&lt;=COUNTA(半紙!$B$11:$B$310)+COUNTA(条幅!$B$11:$B$310),INDEX(条幅!$D$11:$D$310,170-COUNTA(半紙!$B$11:$B$310)),IF(170&lt;=COUNTA(半紙!$B$11:$B$310)+COUNTA(条幅!$B$11:$B$310)+COUNTA(条幅4分の1!$B$11:$B$310),INDEX(条幅4分の1!$D$11:$D$310,170-COUNTA(半紙!$B$11:$B$310)-COUNTA(条幅!$B$11:$B$310)),""))))</f>
        <v/>
      </c>
      <c r="E175" s="38" t="str">
        <f>IF(IF(170&lt;=COUNTA(半紙!$B$11:$B$310),INDEX(半紙!$E$11:$E$310,170),IF(170&lt;=COUNTA(半紙!$B$11:$B$310)+COUNTA(条幅!$B$11:$B$310),INDEX(条幅!$E$11:$E$310,170-COUNTA(半紙!$B$11:$B$310)),IF(170&lt;=COUNTA(半紙!$B$11:$B$310)+COUNTA(条幅!$B$11:$B$310)+COUNTA(条幅4分の1!$B$11:$B$310),INDEX(条幅4分の1!$E$11:$E$310,170-COUNTA(半紙!$B$11:$B$310)-COUNTA(条幅!$B$11:$B$310)),"")))=0,"",IF(170&lt;=COUNTA(半紙!$B$11:$B$310),INDEX(半紙!$E$11:$E$310,170),IF(170&lt;=COUNTA(半紙!$B$11:$B$310)+COUNTA(条幅!$B$11:$B$310),INDEX(条幅!$E$11:$E$310,170-COUNTA(半紙!$B$11:$B$310)),IF(170&lt;=COUNTA(半紙!$B$11:$B$310)+COUNTA(条幅!$B$11:$B$310)+COUNTA(条幅4分の1!$B$11:$B$310),INDEX(条幅4分の1!$E$11:$E$310,170-COUNTA(半紙!$B$11:$B$310)-COUNTA(条幅!$B$11:$B$310)),""))))</f>
        <v/>
      </c>
      <c r="F175" s="38" t="str">
        <f>IF(IF(170&lt;=COUNTA(半紙!$B$11:$B$310),INDEX(半紙!$F$11:$F$310,170),IF(170&lt;=COUNTA(半紙!$B$11:$B$310)+COUNTA(条幅!$B$11:$B$310),INDEX(条幅!$F$11:$F$310,170-COUNTA(半紙!$B$11:$B$310)),IF(170&lt;=COUNTA(半紙!$B$11:$B$310)+COUNTA(条幅!$B$11:$B$310)+COUNTA(条幅4分の1!$B$11:$B$310),INDEX(条幅4分の1!$F$11:$F$310,170-COUNTA(半紙!$B$11:$B$310)-COUNTA(条幅!$B$11:$B$310)),"")))=0,"",IF(170&lt;=COUNTA(半紙!$B$11:$B$310),INDEX(半紙!$F$11:$F$310,170),IF(170&lt;=COUNTA(半紙!$B$11:$B$310)+COUNTA(条幅!$B$11:$B$310),INDEX(条幅!$F$11:$F$310,170-COUNTA(半紙!$B$11:$B$310)),IF(170&lt;=COUNTA(半紙!$B$11:$B$310)+COUNTA(条幅!$B$11:$B$310)+COUNTA(条幅4分の1!$B$11:$B$310),INDEX(条幅4分の1!$F$11:$F$310,170-COUNTA(半紙!$B$11:$B$310)-COUNTA(条幅!$B$11:$B$310)),""))))</f>
        <v/>
      </c>
      <c r="G175" s="38" t="str">
        <f>IF(IF(170&lt;=COUNTA(半紙!$B$11:$B$310),INDEX(半紙!$G$11:$G$310,170),IF(170&lt;=COUNTA(半紙!$B$11:$B$310)+COUNTA(条幅!$B$11:$B$310),INDEX(条幅!$G$11:$G$310,170-COUNTA(半紙!$B$11:$B$310)),IF(170&lt;=COUNTA(半紙!$B$11:$B$310)+COUNTA(条幅!$B$11:$B$310)+COUNTA(条幅4分の1!$B$11:$B$310),INDEX(条幅4分の1!$G$11:$G$310,170-COUNTA(半紙!$B$11:$B$310)-COUNTA(条幅!$B$11:$B$310)),"")))=0,"",IF(170&lt;=COUNTA(半紙!$B$11:$B$310),INDEX(半紙!$G$11:$G$310,170),IF(170&lt;=COUNTA(半紙!$B$11:$B$310)+COUNTA(条幅!$B$11:$B$310),INDEX(条幅!$G$11:$G$310,170-COUNTA(半紙!$B$11:$B$310)),IF(170&lt;=COUNTA(半紙!$B$11:$B$310)+COUNTA(条幅!$B$11:$B$310)+COUNTA(条幅4分の1!$B$11:$B$310),INDEX(条幅4分の1!$G$11:$G$310,170-COUNTA(半紙!$B$11:$B$310)-COUNTA(条幅!$B$11:$B$310)),""))))</f>
        <v/>
      </c>
      <c r="H175" s="38" t="str">
        <f>IF(IF(170&lt;=COUNTA(半紙!$B$11:$B$310),INDEX(半紙!$H$11:$H$310,170),IF(170&lt;=COUNTA(半紙!$B$11:$B$310)+COUNTA(条幅!$B$11:$B$310),INDEX(条幅!$H$11:$H$310,170-COUNTA(半紙!$B$11:$B$310)),IF(170&lt;=COUNTA(半紙!$B$11:$B$310)+COUNTA(条幅!$B$11:$B$310)+COUNTA(条幅4分の1!$B$11:$B$310),INDEX(条幅4分の1!$H$11:$H$310,170-COUNTA(半紙!$B$11:$B$310)-COUNTA(条幅!$B$11:$B$310)),"")))=0,"",IF(170&lt;=COUNTA(半紙!$B$11:$B$310),INDEX(半紙!$H$11:$H$310,170),IF(170&lt;=COUNTA(半紙!$B$11:$B$310)+COUNTA(条幅!$B$11:$B$310),INDEX(条幅!$H$11:$H$310,170-COUNTA(半紙!$B$11:$B$310)),IF(170&lt;=COUNTA(半紙!$B$11:$B$310)+COUNTA(条幅!$B$11:$B$310)+COUNTA(条幅4分の1!$B$11:$B$310),INDEX(条幅4分の1!$H$11:$H$310,170-COUNTA(半紙!$B$11:$B$310)-COUNTA(条幅!$B$11:$B$310)),""))))</f>
        <v/>
      </c>
      <c r="I175" s="38" t="str">
        <f>IF(IF(170&lt;=COUNTA(半紙!$B$11:$B$310),INDEX(半紙!$I$11:$I$310,170),IF(170&lt;=COUNTA(半紙!$B$11:$B$310)+COUNTA(条幅!$B$11:$B$310),INDEX(条幅!$I$11:$I$310,170-COUNTA(半紙!$B$11:$B$310)),IF(170&lt;=COUNTA(半紙!$B$11:$B$310)+COUNTA(条幅!$B$11:$B$310)+COUNTA(条幅4分の1!$B$11:$B$310),INDEX(条幅4分の1!$I$11:$I$310,170-COUNTA(半紙!$B$11:$B$310)-COUNTA(条幅!$B$11:$B$310)),"")))=0,"",IF(170&lt;=COUNTA(半紙!$B$11:$B$310),INDEX(半紙!$I$11:$I$310,170),IF(170&lt;=COUNTA(半紙!$B$11:$B$310)+COUNTA(条幅!$B$11:$B$310),INDEX(条幅!$I$11:$I$310,170-COUNTA(半紙!$B$11:$B$310)),IF(170&lt;=COUNTA(半紙!$B$11:$B$310)+COUNTA(条幅!$B$11:$B$310)+COUNTA(条幅4分の1!$B$11:$B$310),INDEX(条幅4分の1!$I$11:$I$310,170-COUNTA(半紙!$B$11:$B$310)-COUNTA(条幅!$B$11:$B$310)),""))))</f>
        <v/>
      </c>
      <c r="J175" s="38" t="str">
        <f>IF(IF(170&lt;=COUNTA(半紙!$B$11:$B$310),INDEX(半紙!$J$11:$J$310,170),IF(170&lt;=COUNTA(半紙!$B$11:$B$310)+COUNTA(条幅!$B$11:$B$310),INDEX(条幅!$J$11:$J$310,170-COUNTA(半紙!$B$11:$B$310)),IF(170&lt;=COUNTA(半紙!$B$11:$B$310)+COUNTA(条幅!$B$11:$B$310)+COUNTA(条幅4分の1!$B$11:$B$310),INDEX(条幅4分の1!$J$11:$J$310,170-COUNTA(半紙!$B$11:$B$310)-COUNTA(条幅!$B$11:$B$310)),"")))=0,"",IF(170&lt;=COUNTA(半紙!$B$11:$B$310),INDEX(半紙!$J$11:$J$310,170),IF(170&lt;=COUNTA(半紙!$B$11:$B$310)+COUNTA(条幅!$B$11:$B$310),INDEX(条幅!$J$11:$J$310,170-COUNTA(半紙!$B$11:$B$310)),IF(170&lt;=COUNTA(半紙!$B$11:$B$310)+COUNTA(条幅!$B$11:$B$310)+COUNTA(条幅4分の1!$B$11:$B$310),INDEX(条幅4分の1!$J$11:$J$310,170-COUNTA(半紙!$B$11:$B$310)-COUNTA(条幅!$B$11:$B$310)),""))))</f>
        <v/>
      </c>
      <c r="K175" s="38" t="str">
        <f>IF(IF(170&lt;=COUNTA(半紙!$B$11:$B$310),INDEX(半紙!$K$11:$K$310,170),IF(170&lt;=COUNTA(半紙!$B$11:$B$310)+COUNTA(条幅!$B$11:$B$310),INDEX(条幅!$K$11:$K$310,170-COUNTA(半紙!$B$11:$B$310)),IF(170&lt;=COUNTA(半紙!$B$11:$B$310)+COUNTA(条幅!$B$11:$B$310)+COUNTA(条幅4分の1!$B$11:$B$310),INDEX(条幅4分の1!$K$11:$K$310,170-COUNTA(半紙!$B$11:$B$310)-COUNTA(条幅!$B$11:$B$310)),"")))=0,"",IF(170&lt;=COUNTA(半紙!$B$11:$B$310),INDEX(半紙!$K$11:$K$310,170),IF(170&lt;=COUNTA(半紙!$B$11:$B$310)+COUNTA(条幅!$B$11:$B$310),INDEX(条幅!$K$11:$K$310,170-COUNTA(半紙!$B$11:$B$310)),IF(170&lt;=COUNTA(半紙!$B$11:$B$310)+COUNTA(条幅!$B$11:$B$310)+COUNTA(条幅4分の1!$B$11:$B$310),INDEX(条幅4分の1!$K$11:$K$310,170-COUNTA(半紙!$B$11:$B$310)-COUNTA(条幅!$B$11:$B$310)),""))))</f>
        <v/>
      </c>
      <c r="L175" s="48" t="str">
        <f>IF($B175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170))</f>
        <v/>
      </c>
    </row>
    <row r="176" spans="1:12" ht="15" customHeight="1">
      <c r="A176" s="37" t="str">
        <f>IF(171&lt;=COUNTA(半紙!$B$11:$B$310),"半紙",IF(171&lt;=COUNTA(半紙!$B$11:$B$310)+COUNTA(条幅!$B$11:$B$310),"条幅(半切)",IF(171&lt;=COUNTA(半紙!$B$11:$B$310)+COUNTA(条幅!$B$11:$B$310)+COUNTA(条幅4分の1!$B$11:$B$310),"条幅(1/4)","")))</f>
        <v/>
      </c>
      <c r="B176" s="38" t="str">
        <f>IF(IF(171&lt;=COUNTA(半紙!$B$11:$B$310),INDEX(半紙!$B$11:$B$310,171),IF(171&lt;=COUNTA(半紙!$B$11:$B$310)+COUNTA(条幅!$B$11:$B$310),INDEX(条幅!$B$11:$B$310,171-COUNTA(半紙!$B$11:$B$310)),IF(171&lt;=COUNTA(半紙!$B$11:$B$310)+COUNTA(条幅!$B$11:$B$310)+COUNTA(条幅4分の1!$B$11:$B$310),INDEX(条幅4分の1!$B$11:$B$310,171-COUNTA(半紙!$B$11:$B$310)-COUNTA(条幅!$B$11:$B$310)),"")))=0,"",IF(171&lt;=COUNTA(半紙!$B$11:$B$310),INDEX(半紙!$B$11:$B$310,171),IF(171&lt;=COUNTA(半紙!$B$11:$B$310)+COUNTA(条幅!$B$11:$B$310),INDEX(条幅!$B$11:$B$310,171-COUNTA(半紙!$B$11:$B$310)),IF(171&lt;=COUNTA(半紙!$B$11:$B$310)+COUNTA(条幅!$B$11:$B$310)+COUNTA(条幅4分の1!$B$11:$B$310),INDEX(条幅4分の1!$B$11:$B$310,171-COUNTA(半紙!$B$11:$B$310)-COUNTA(条幅!$B$11:$B$310)),""))))</f>
        <v/>
      </c>
      <c r="C176" s="38" t="str">
        <f>IF(IF(171&lt;=COUNTA(半紙!$B$11:$B$310),INDEX(半紙!$C$11:$C$310,171),IF(171&lt;=COUNTA(半紙!$B$11:$B$310)+COUNTA(条幅!$B$11:$B$310),INDEX(条幅!$C$11:$C$310,171-COUNTA(半紙!$B$11:$B$310)),IF(171&lt;=COUNTA(半紙!$B$11:$B$310)+COUNTA(条幅!$B$11:$B$310)+COUNTA(条幅4分の1!$B$11:$B$310),INDEX(条幅4分の1!$C$11:$C$310,171-COUNTA(半紙!$B$11:$B$310)-COUNTA(条幅!$B$11:$B$310)),"")))=0,"",IF(171&lt;=COUNTA(半紙!$B$11:$B$310),INDEX(半紙!$C$11:$C$310,171),IF(171&lt;=COUNTA(半紙!$B$11:$B$310)+COUNTA(条幅!$B$11:$B$310),INDEX(条幅!$C$11:$C$310,171-COUNTA(半紙!$B$11:$B$310)),IF(171&lt;=COUNTA(半紙!$B$11:$B$310)+COUNTA(条幅!$B$11:$B$310)+COUNTA(条幅4分の1!$B$11:$B$310),INDEX(条幅4分の1!$C$11:$C$310,171-COUNTA(半紙!$B$11:$B$310)-COUNTA(条幅!$B$11:$B$310)),""))))</f>
        <v/>
      </c>
      <c r="D176" s="38" t="str">
        <f>IF(IF(171&lt;=COUNTA(半紙!$B$11:$B$310),INDEX(半紙!$D$11:$D$310,171),IF(171&lt;=COUNTA(半紙!$B$11:$B$310)+COUNTA(条幅!$B$11:$B$310),INDEX(条幅!$D$11:$D$310,171-COUNTA(半紙!$B$11:$B$310)),IF(171&lt;=COUNTA(半紙!$B$11:$B$310)+COUNTA(条幅!$B$11:$B$310)+COUNTA(条幅4分の1!$B$11:$B$310),INDEX(条幅4分の1!$D$11:$D$310,171-COUNTA(半紙!$B$11:$B$310)-COUNTA(条幅!$B$11:$B$310)),"")))=0,"",IF(171&lt;=COUNTA(半紙!$B$11:$B$310),INDEX(半紙!$D$11:$D$310,171),IF(171&lt;=COUNTA(半紙!$B$11:$B$310)+COUNTA(条幅!$B$11:$B$310),INDEX(条幅!$D$11:$D$310,171-COUNTA(半紙!$B$11:$B$310)),IF(171&lt;=COUNTA(半紙!$B$11:$B$310)+COUNTA(条幅!$B$11:$B$310)+COUNTA(条幅4分の1!$B$11:$B$310),INDEX(条幅4分の1!$D$11:$D$310,171-COUNTA(半紙!$B$11:$B$310)-COUNTA(条幅!$B$11:$B$310)),""))))</f>
        <v/>
      </c>
      <c r="E176" s="38" t="str">
        <f>IF(IF(171&lt;=COUNTA(半紙!$B$11:$B$310),INDEX(半紙!$E$11:$E$310,171),IF(171&lt;=COUNTA(半紙!$B$11:$B$310)+COUNTA(条幅!$B$11:$B$310),INDEX(条幅!$E$11:$E$310,171-COUNTA(半紙!$B$11:$B$310)),IF(171&lt;=COUNTA(半紙!$B$11:$B$310)+COUNTA(条幅!$B$11:$B$310)+COUNTA(条幅4分の1!$B$11:$B$310),INDEX(条幅4分の1!$E$11:$E$310,171-COUNTA(半紙!$B$11:$B$310)-COUNTA(条幅!$B$11:$B$310)),"")))=0,"",IF(171&lt;=COUNTA(半紙!$B$11:$B$310),INDEX(半紙!$E$11:$E$310,171),IF(171&lt;=COUNTA(半紙!$B$11:$B$310)+COUNTA(条幅!$B$11:$B$310),INDEX(条幅!$E$11:$E$310,171-COUNTA(半紙!$B$11:$B$310)),IF(171&lt;=COUNTA(半紙!$B$11:$B$310)+COUNTA(条幅!$B$11:$B$310)+COUNTA(条幅4分の1!$B$11:$B$310),INDEX(条幅4分の1!$E$11:$E$310,171-COUNTA(半紙!$B$11:$B$310)-COUNTA(条幅!$B$11:$B$310)),""))))</f>
        <v/>
      </c>
      <c r="F176" s="38" t="str">
        <f>IF(IF(171&lt;=COUNTA(半紙!$B$11:$B$310),INDEX(半紙!$F$11:$F$310,171),IF(171&lt;=COUNTA(半紙!$B$11:$B$310)+COUNTA(条幅!$B$11:$B$310),INDEX(条幅!$F$11:$F$310,171-COUNTA(半紙!$B$11:$B$310)),IF(171&lt;=COUNTA(半紙!$B$11:$B$310)+COUNTA(条幅!$B$11:$B$310)+COUNTA(条幅4分の1!$B$11:$B$310),INDEX(条幅4分の1!$F$11:$F$310,171-COUNTA(半紙!$B$11:$B$310)-COUNTA(条幅!$B$11:$B$310)),"")))=0,"",IF(171&lt;=COUNTA(半紙!$B$11:$B$310),INDEX(半紙!$F$11:$F$310,171),IF(171&lt;=COUNTA(半紙!$B$11:$B$310)+COUNTA(条幅!$B$11:$B$310),INDEX(条幅!$F$11:$F$310,171-COUNTA(半紙!$B$11:$B$310)),IF(171&lt;=COUNTA(半紙!$B$11:$B$310)+COUNTA(条幅!$B$11:$B$310)+COUNTA(条幅4分の1!$B$11:$B$310),INDEX(条幅4分の1!$F$11:$F$310,171-COUNTA(半紙!$B$11:$B$310)-COUNTA(条幅!$B$11:$B$310)),""))))</f>
        <v/>
      </c>
      <c r="G176" s="38" t="str">
        <f>IF(IF(171&lt;=COUNTA(半紙!$B$11:$B$310),INDEX(半紙!$G$11:$G$310,171),IF(171&lt;=COUNTA(半紙!$B$11:$B$310)+COUNTA(条幅!$B$11:$B$310),INDEX(条幅!$G$11:$G$310,171-COUNTA(半紙!$B$11:$B$310)),IF(171&lt;=COUNTA(半紙!$B$11:$B$310)+COUNTA(条幅!$B$11:$B$310)+COUNTA(条幅4分の1!$B$11:$B$310),INDEX(条幅4分の1!$G$11:$G$310,171-COUNTA(半紙!$B$11:$B$310)-COUNTA(条幅!$B$11:$B$310)),"")))=0,"",IF(171&lt;=COUNTA(半紙!$B$11:$B$310),INDEX(半紙!$G$11:$G$310,171),IF(171&lt;=COUNTA(半紙!$B$11:$B$310)+COUNTA(条幅!$B$11:$B$310),INDEX(条幅!$G$11:$G$310,171-COUNTA(半紙!$B$11:$B$310)),IF(171&lt;=COUNTA(半紙!$B$11:$B$310)+COUNTA(条幅!$B$11:$B$310)+COUNTA(条幅4分の1!$B$11:$B$310),INDEX(条幅4分の1!$G$11:$G$310,171-COUNTA(半紙!$B$11:$B$310)-COUNTA(条幅!$B$11:$B$310)),""))))</f>
        <v/>
      </c>
      <c r="H176" s="38" t="str">
        <f>IF(IF(171&lt;=COUNTA(半紙!$B$11:$B$310),INDEX(半紙!$H$11:$H$310,171),IF(171&lt;=COUNTA(半紙!$B$11:$B$310)+COUNTA(条幅!$B$11:$B$310),INDEX(条幅!$H$11:$H$310,171-COUNTA(半紙!$B$11:$B$310)),IF(171&lt;=COUNTA(半紙!$B$11:$B$310)+COUNTA(条幅!$B$11:$B$310)+COUNTA(条幅4分の1!$B$11:$B$310),INDEX(条幅4分の1!$H$11:$H$310,171-COUNTA(半紙!$B$11:$B$310)-COUNTA(条幅!$B$11:$B$310)),"")))=0,"",IF(171&lt;=COUNTA(半紙!$B$11:$B$310),INDEX(半紙!$H$11:$H$310,171),IF(171&lt;=COUNTA(半紙!$B$11:$B$310)+COUNTA(条幅!$B$11:$B$310),INDEX(条幅!$H$11:$H$310,171-COUNTA(半紙!$B$11:$B$310)),IF(171&lt;=COUNTA(半紙!$B$11:$B$310)+COUNTA(条幅!$B$11:$B$310)+COUNTA(条幅4分の1!$B$11:$B$310),INDEX(条幅4分の1!$H$11:$H$310,171-COUNTA(半紙!$B$11:$B$310)-COUNTA(条幅!$B$11:$B$310)),""))))</f>
        <v/>
      </c>
      <c r="I176" s="38" t="str">
        <f>IF(IF(171&lt;=COUNTA(半紙!$B$11:$B$310),INDEX(半紙!$I$11:$I$310,171),IF(171&lt;=COUNTA(半紙!$B$11:$B$310)+COUNTA(条幅!$B$11:$B$310),INDEX(条幅!$I$11:$I$310,171-COUNTA(半紙!$B$11:$B$310)),IF(171&lt;=COUNTA(半紙!$B$11:$B$310)+COUNTA(条幅!$B$11:$B$310)+COUNTA(条幅4分の1!$B$11:$B$310),INDEX(条幅4分の1!$I$11:$I$310,171-COUNTA(半紙!$B$11:$B$310)-COUNTA(条幅!$B$11:$B$310)),"")))=0,"",IF(171&lt;=COUNTA(半紙!$B$11:$B$310),INDEX(半紙!$I$11:$I$310,171),IF(171&lt;=COUNTA(半紙!$B$11:$B$310)+COUNTA(条幅!$B$11:$B$310),INDEX(条幅!$I$11:$I$310,171-COUNTA(半紙!$B$11:$B$310)),IF(171&lt;=COUNTA(半紙!$B$11:$B$310)+COUNTA(条幅!$B$11:$B$310)+COUNTA(条幅4分の1!$B$11:$B$310),INDEX(条幅4分の1!$I$11:$I$310,171-COUNTA(半紙!$B$11:$B$310)-COUNTA(条幅!$B$11:$B$310)),""))))</f>
        <v/>
      </c>
      <c r="J176" s="38" t="str">
        <f>IF(IF(171&lt;=COUNTA(半紙!$B$11:$B$310),INDEX(半紙!$J$11:$J$310,171),IF(171&lt;=COUNTA(半紙!$B$11:$B$310)+COUNTA(条幅!$B$11:$B$310),INDEX(条幅!$J$11:$J$310,171-COUNTA(半紙!$B$11:$B$310)),IF(171&lt;=COUNTA(半紙!$B$11:$B$310)+COUNTA(条幅!$B$11:$B$310)+COUNTA(条幅4分の1!$B$11:$B$310),INDEX(条幅4分の1!$J$11:$J$310,171-COUNTA(半紙!$B$11:$B$310)-COUNTA(条幅!$B$11:$B$310)),"")))=0,"",IF(171&lt;=COUNTA(半紙!$B$11:$B$310),INDEX(半紙!$J$11:$J$310,171),IF(171&lt;=COUNTA(半紙!$B$11:$B$310)+COUNTA(条幅!$B$11:$B$310),INDEX(条幅!$J$11:$J$310,171-COUNTA(半紙!$B$11:$B$310)),IF(171&lt;=COUNTA(半紙!$B$11:$B$310)+COUNTA(条幅!$B$11:$B$310)+COUNTA(条幅4分の1!$B$11:$B$310),INDEX(条幅4分の1!$J$11:$J$310,171-COUNTA(半紙!$B$11:$B$310)-COUNTA(条幅!$B$11:$B$310)),""))))</f>
        <v/>
      </c>
      <c r="K176" s="38" t="str">
        <f>IF(IF(171&lt;=COUNTA(半紙!$B$11:$B$310),INDEX(半紙!$K$11:$K$310,171),IF(171&lt;=COUNTA(半紙!$B$11:$B$310)+COUNTA(条幅!$B$11:$B$310),INDEX(条幅!$K$11:$K$310,171-COUNTA(半紙!$B$11:$B$310)),IF(171&lt;=COUNTA(半紙!$B$11:$B$310)+COUNTA(条幅!$B$11:$B$310)+COUNTA(条幅4分の1!$B$11:$B$310),INDEX(条幅4分の1!$K$11:$K$310,171-COUNTA(半紙!$B$11:$B$310)-COUNTA(条幅!$B$11:$B$310)),"")))=0,"",IF(171&lt;=COUNTA(半紙!$B$11:$B$310),INDEX(半紙!$K$11:$K$310,171),IF(171&lt;=COUNTA(半紙!$B$11:$B$310)+COUNTA(条幅!$B$11:$B$310),INDEX(条幅!$K$11:$K$310,171-COUNTA(半紙!$B$11:$B$310)),IF(171&lt;=COUNTA(半紙!$B$11:$B$310)+COUNTA(条幅!$B$11:$B$310)+COUNTA(条幅4分の1!$B$11:$B$310),INDEX(条幅4分の1!$K$11:$K$310,171-COUNTA(半紙!$B$11:$B$310)-COUNTA(条幅!$B$11:$B$310)),""))))</f>
        <v/>
      </c>
      <c r="L176" s="48" t="str">
        <f>IF($B176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171))</f>
        <v/>
      </c>
    </row>
    <row r="177" spans="1:12" ht="15" customHeight="1">
      <c r="A177" s="37" t="str">
        <f>IF(172&lt;=COUNTA(半紙!$B$11:$B$310),"半紙",IF(172&lt;=COUNTA(半紙!$B$11:$B$310)+COUNTA(条幅!$B$11:$B$310),"条幅(半切)",IF(172&lt;=COUNTA(半紙!$B$11:$B$310)+COUNTA(条幅!$B$11:$B$310)+COUNTA(条幅4分の1!$B$11:$B$310),"条幅(1/4)","")))</f>
        <v/>
      </c>
      <c r="B177" s="38" t="str">
        <f>IF(IF(172&lt;=COUNTA(半紙!$B$11:$B$310),INDEX(半紙!$B$11:$B$310,172),IF(172&lt;=COUNTA(半紙!$B$11:$B$310)+COUNTA(条幅!$B$11:$B$310),INDEX(条幅!$B$11:$B$310,172-COUNTA(半紙!$B$11:$B$310)),IF(172&lt;=COUNTA(半紙!$B$11:$B$310)+COUNTA(条幅!$B$11:$B$310)+COUNTA(条幅4分の1!$B$11:$B$310),INDEX(条幅4分の1!$B$11:$B$310,172-COUNTA(半紙!$B$11:$B$310)-COUNTA(条幅!$B$11:$B$310)),"")))=0,"",IF(172&lt;=COUNTA(半紙!$B$11:$B$310),INDEX(半紙!$B$11:$B$310,172),IF(172&lt;=COUNTA(半紙!$B$11:$B$310)+COUNTA(条幅!$B$11:$B$310),INDEX(条幅!$B$11:$B$310,172-COUNTA(半紙!$B$11:$B$310)),IF(172&lt;=COUNTA(半紙!$B$11:$B$310)+COUNTA(条幅!$B$11:$B$310)+COUNTA(条幅4分の1!$B$11:$B$310),INDEX(条幅4分の1!$B$11:$B$310,172-COUNTA(半紙!$B$11:$B$310)-COUNTA(条幅!$B$11:$B$310)),""))))</f>
        <v/>
      </c>
      <c r="C177" s="38" t="str">
        <f>IF(IF(172&lt;=COUNTA(半紙!$B$11:$B$310),INDEX(半紙!$C$11:$C$310,172),IF(172&lt;=COUNTA(半紙!$B$11:$B$310)+COUNTA(条幅!$B$11:$B$310),INDEX(条幅!$C$11:$C$310,172-COUNTA(半紙!$B$11:$B$310)),IF(172&lt;=COUNTA(半紙!$B$11:$B$310)+COUNTA(条幅!$B$11:$B$310)+COUNTA(条幅4分の1!$B$11:$B$310),INDEX(条幅4分の1!$C$11:$C$310,172-COUNTA(半紙!$B$11:$B$310)-COUNTA(条幅!$B$11:$B$310)),"")))=0,"",IF(172&lt;=COUNTA(半紙!$B$11:$B$310),INDEX(半紙!$C$11:$C$310,172),IF(172&lt;=COUNTA(半紙!$B$11:$B$310)+COUNTA(条幅!$B$11:$B$310),INDEX(条幅!$C$11:$C$310,172-COUNTA(半紙!$B$11:$B$310)),IF(172&lt;=COUNTA(半紙!$B$11:$B$310)+COUNTA(条幅!$B$11:$B$310)+COUNTA(条幅4分の1!$B$11:$B$310),INDEX(条幅4分の1!$C$11:$C$310,172-COUNTA(半紙!$B$11:$B$310)-COUNTA(条幅!$B$11:$B$310)),""))))</f>
        <v/>
      </c>
      <c r="D177" s="38" t="str">
        <f>IF(IF(172&lt;=COUNTA(半紙!$B$11:$B$310),INDEX(半紙!$D$11:$D$310,172),IF(172&lt;=COUNTA(半紙!$B$11:$B$310)+COUNTA(条幅!$B$11:$B$310),INDEX(条幅!$D$11:$D$310,172-COUNTA(半紙!$B$11:$B$310)),IF(172&lt;=COUNTA(半紙!$B$11:$B$310)+COUNTA(条幅!$B$11:$B$310)+COUNTA(条幅4分の1!$B$11:$B$310),INDEX(条幅4分の1!$D$11:$D$310,172-COUNTA(半紙!$B$11:$B$310)-COUNTA(条幅!$B$11:$B$310)),"")))=0,"",IF(172&lt;=COUNTA(半紙!$B$11:$B$310),INDEX(半紙!$D$11:$D$310,172),IF(172&lt;=COUNTA(半紙!$B$11:$B$310)+COUNTA(条幅!$B$11:$B$310),INDEX(条幅!$D$11:$D$310,172-COUNTA(半紙!$B$11:$B$310)),IF(172&lt;=COUNTA(半紙!$B$11:$B$310)+COUNTA(条幅!$B$11:$B$310)+COUNTA(条幅4分の1!$B$11:$B$310),INDEX(条幅4分の1!$D$11:$D$310,172-COUNTA(半紙!$B$11:$B$310)-COUNTA(条幅!$B$11:$B$310)),""))))</f>
        <v/>
      </c>
      <c r="E177" s="38" t="str">
        <f>IF(IF(172&lt;=COUNTA(半紙!$B$11:$B$310),INDEX(半紙!$E$11:$E$310,172),IF(172&lt;=COUNTA(半紙!$B$11:$B$310)+COUNTA(条幅!$B$11:$B$310),INDEX(条幅!$E$11:$E$310,172-COUNTA(半紙!$B$11:$B$310)),IF(172&lt;=COUNTA(半紙!$B$11:$B$310)+COUNTA(条幅!$B$11:$B$310)+COUNTA(条幅4分の1!$B$11:$B$310),INDEX(条幅4分の1!$E$11:$E$310,172-COUNTA(半紙!$B$11:$B$310)-COUNTA(条幅!$B$11:$B$310)),"")))=0,"",IF(172&lt;=COUNTA(半紙!$B$11:$B$310),INDEX(半紙!$E$11:$E$310,172),IF(172&lt;=COUNTA(半紙!$B$11:$B$310)+COUNTA(条幅!$B$11:$B$310),INDEX(条幅!$E$11:$E$310,172-COUNTA(半紙!$B$11:$B$310)),IF(172&lt;=COUNTA(半紙!$B$11:$B$310)+COUNTA(条幅!$B$11:$B$310)+COUNTA(条幅4分の1!$B$11:$B$310),INDEX(条幅4分の1!$E$11:$E$310,172-COUNTA(半紙!$B$11:$B$310)-COUNTA(条幅!$B$11:$B$310)),""))))</f>
        <v/>
      </c>
      <c r="F177" s="38" t="str">
        <f>IF(IF(172&lt;=COUNTA(半紙!$B$11:$B$310),INDEX(半紙!$F$11:$F$310,172),IF(172&lt;=COUNTA(半紙!$B$11:$B$310)+COUNTA(条幅!$B$11:$B$310),INDEX(条幅!$F$11:$F$310,172-COUNTA(半紙!$B$11:$B$310)),IF(172&lt;=COUNTA(半紙!$B$11:$B$310)+COUNTA(条幅!$B$11:$B$310)+COUNTA(条幅4分の1!$B$11:$B$310),INDEX(条幅4分の1!$F$11:$F$310,172-COUNTA(半紙!$B$11:$B$310)-COUNTA(条幅!$B$11:$B$310)),"")))=0,"",IF(172&lt;=COUNTA(半紙!$B$11:$B$310),INDEX(半紙!$F$11:$F$310,172),IF(172&lt;=COUNTA(半紙!$B$11:$B$310)+COUNTA(条幅!$B$11:$B$310),INDEX(条幅!$F$11:$F$310,172-COUNTA(半紙!$B$11:$B$310)),IF(172&lt;=COUNTA(半紙!$B$11:$B$310)+COUNTA(条幅!$B$11:$B$310)+COUNTA(条幅4分の1!$B$11:$B$310),INDEX(条幅4分の1!$F$11:$F$310,172-COUNTA(半紙!$B$11:$B$310)-COUNTA(条幅!$B$11:$B$310)),""))))</f>
        <v/>
      </c>
      <c r="G177" s="38" t="str">
        <f>IF(IF(172&lt;=COUNTA(半紙!$B$11:$B$310),INDEX(半紙!$G$11:$G$310,172),IF(172&lt;=COUNTA(半紙!$B$11:$B$310)+COUNTA(条幅!$B$11:$B$310),INDEX(条幅!$G$11:$G$310,172-COUNTA(半紙!$B$11:$B$310)),IF(172&lt;=COUNTA(半紙!$B$11:$B$310)+COUNTA(条幅!$B$11:$B$310)+COUNTA(条幅4分の1!$B$11:$B$310),INDEX(条幅4分の1!$G$11:$G$310,172-COUNTA(半紙!$B$11:$B$310)-COUNTA(条幅!$B$11:$B$310)),"")))=0,"",IF(172&lt;=COUNTA(半紙!$B$11:$B$310),INDEX(半紙!$G$11:$G$310,172),IF(172&lt;=COUNTA(半紙!$B$11:$B$310)+COUNTA(条幅!$B$11:$B$310),INDEX(条幅!$G$11:$G$310,172-COUNTA(半紙!$B$11:$B$310)),IF(172&lt;=COUNTA(半紙!$B$11:$B$310)+COUNTA(条幅!$B$11:$B$310)+COUNTA(条幅4分の1!$B$11:$B$310),INDEX(条幅4分の1!$G$11:$G$310,172-COUNTA(半紙!$B$11:$B$310)-COUNTA(条幅!$B$11:$B$310)),""))))</f>
        <v/>
      </c>
      <c r="H177" s="38" t="str">
        <f>IF(IF(172&lt;=COUNTA(半紙!$B$11:$B$310),INDEX(半紙!$H$11:$H$310,172),IF(172&lt;=COUNTA(半紙!$B$11:$B$310)+COUNTA(条幅!$B$11:$B$310),INDEX(条幅!$H$11:$H$310,172-COUNTA(半紙!$B$11:$B$310)),IF(172&lt;=COUNTA(半紙!$B$11:$B$310)+COUNTA(条幅!$B$11:$B$310)+COUNTA(条幅4分の1!$B$11:$B$310),INDEX(条幅4分の1!$H$11:$H$310,172-COUNTA(半紙!$B$11:$B$310)-COUNTA(条幅!$B$11:$B$310)),"")))=0,"",IF(172&lt;=COUNTA(半紙!$B$11:$B$310),INDEX(半紙!$H$11:$H$310,172),IF(172&lt;=COUNTA(半紙!$B$11:$B$310)+COUNTA(条幅!$B$11:$B$310),INDEX(条幅!$H$11:$H$310,172-COUNTA(半紙!$B$11:$B$310)),IF(172&lt;=COUNTA(半紙!$B$11:$B$310)+COUNTA(条幅!$B$11:$B$310)+COUNTA(条幅4分の1!$B$11:$B$310),INDEX(条幅4分の1!$H$11:$H$310,172-COUNTA(半紙!$B$11:$B$310)-COUNTA(条幅!$B$11:$B$310)),""))))</f>
        <v/>
      </c>
      <c r="I177" s="38" t="str">
        <f>IF(IF(172&lt;=COUNTA(半紙!$B$11:$B$310),INDEX(半紙!$I$11:$I$310,172),IF(172&lt;=COUNTA(半紙!$B$11:$B$310)+COUNTA(条幅!$B$11:$B$310),INDEX(条幅!$I$11:$I$310,172-COUNTA(半紙!$B$11:$B$310)),IF(172&lt;=COUNTA(半紙!$B$11:$B$310)+COUNTA(条幅!$B$11:$B$310)+COUNTA(条幅4分の1!$B$11:$B$310),INDEX(条幅4分の1!$I$11:$I$310,172-COUNTA(半紙!$B$11:$B$310)-COUNTA(条幅!$B$11:$B$310)),"")))=0,"",IF(172&lt;=COUNTA(半紙!$B$11:$B$310),INDEX(半紙!$I$11:$I$310,172),IF(172&lt;=COUNTA(半紙!$B$11:$B$310)+COUNTA(条幅!$B$11:$B$310),INDEX(条幅!$I$11:$I$310,172-COUNTA(半紙!$B$11:$B$310)),IF(172&lt;=COUNTA(半紙!$B$11:$B$310)+COUNTA(条幅!$B$11:$B$310)+COUNTA(条幅4分の1!$B$11:$B$310),INDEX(条幅4分の1!$I$11:$I$310,172-COUNTA(半紙!$B$11:$B$310)-COUNTA(条幅!$B$11:$B$310)),""))))</f>
        <v/>
      </c>
      <c r="J177" s="38" t="str">
        <f>IF(IF(172&lt;=COUNTA(半紙!$B$11:$B$310),INDEX(半紙!$J$11:$J$310,172),IF(172&lt;=COUNTA(半紙!$B$11:$B$310)+COUNTA(条幅!$B$11:$B$310),INDEX(条幅!$J$11:$J$310,172-COUNTA(半紙!$B$11:$B$310)),IF(172&lt;=COUNTA(半紙!$B$11:$B$310)+COUNTA(条幅!$B$11:$B$310)+COUNTA(条幅4分の1!$B$11:$B$310),INDEX(条幅4分の1!$J$11:$J$310,172-COUNTA(半紙!$B$11:$B$310)-COUNTA(条幅!$B$11:$B$310)),"")))=0,"",IF(172&lt;=COUNTA(半紙!$B$11:$B$310),INDEX(半紙!$J$11:$J$310,172),IF(172&lt;=COUNTA(半紙!$B$11:$B$310)+COUNTA(条幅!$B$11:$B$310),INDEX(条幅!$J$11:$J$310,172-COUNTA(半紙!$B$11:$B$310)),IF(172&lt;=COUNTA(半紙!$B$11:$B$310)+COUNTA(条幅!$B$11:$B$310)+COUNTA(条幅4分の1!$B$11:$B$310),INDEX(条幅4分の1!$J$11:$J$310,172-COUNTA(半紙!$B$11:$B$310)-COUNTA(条幅!$B$11:$B$310)),""))))</f>
        <v/>
      </c>
      <c r="K177" s="38" t="str">
        <f>IF(IF(172&lt;=COUNTA(半紙!$B$11:$B$310),INDEX(半紙!$K$11:$K$310,172),IF(172&lt;=COUNTA(半紙!$B$11:$B$310)+COUNTA(条幅!$B$11:$B$310),INDEX(条幅!$K$11:$K$310,172-COUNTA(半紙!$B$11:$B$310)),IF(172&lt;=COUNTA(半紙!$B$11:$B$310)+COUNTA(条幅!$B$11:$B$310)+COUNTA(条幅4分の1!$B$11:$B$310),INDEX(条幅4分の1!$K$11:$K$310,172-COUNTA(半紙!$B$11:$B$310)-COUNTA(条幅!$B$11:$B$310)),"")))=0,"",IF(172&lt;=COUNTA(半紙!$B$11:$B$310),INDEX(半紙!$K$11:$K$310,172),IF(172&lt;=COUNTA(半紙!$B$11:$B$310)+COUNTA(条幅!$B$11:$B$310),INDEX(条幅!$K$11:$K$310,172-COUNTA(半紙!$B$11:$B$310)),IF(172&lt;=COUNTA(半紙!$B$11:$B$310)+COUNTA(条幅!$B$11:$B$310)+COUNTA(条幅4分の1!$B$11:$B$310),INDEX(条幅4分の1!$K$11:$K$310,172-COUNTA(半紙!$B$11:$B$310)-COUNTA(条幅!$B$11:$B$310)),""))))</f>
        <v/>
      </c>
      <c r="L177" s="48" t="str">
        <f>IF($B177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172))</f>
        <v/>
      </c>
    </row>
    <row r="178" spans="1:12" ht="15" customHeight="1">
      <c r="A178" s="37" t="str">
        <f>IF(173&lt;=COUNTA(半紙!$B$11:$B$310),"半紙",IF(173&lt;=COUNTA(半紙!$B$11:$B$310)+COUNTA(条幅!$B$11:$B$310),"条幅(半切)",IF(173&lt;=COUNTA(半紙!$B$11:$B$310)+COUNTA(条幅!$B$11:$B$310)+COUNTA(条幅4分の1!$B$11:$B$310),"条幅(1/4)","")))</f>
        <v/>
      </c>
      <c r="B178" s="38" t="str">
        <f>IF(IF(173&lt;=COUNTA(半紙!$B$11:$B$310),INDEX(半紙!$B$11:$B$310,173),IF(173&lt;=COUNTA(半紙!$B$11:$B$310)+COUNTA(条幅!$B$11:$B$310),INDEX(条幅!$B$11:$B$310,173-COUNTA(半紙!$B$11:$B$310)),IF(173&lt;=COUNTA(半紙!$B$11:$B$310)+COUNTA(条幅!$B$11:$B$310)+COUNTA(条幅4分の1!$B$11:$B$310),INDEX(条幅4分の1!$B$11:$B$310,173-COUNTA(半紙!$B$11:$B$310)-COUNTA(条幅!$B$11:$B$310)),"")))=0,"",IF(173&lt;=COUNTA(半紙!$B$11:$B$310),INDEX(半紙!$B$11:$B$310,173),IF(173&lt;=COUNTA(半紙!$B$11:$B$310)+COUNTA(条幅!$B$11:$B$310),INDEX(条幅!$B$11:$B$310,173-COUNTA(半紙!$B$11:$B$310)),IF(173&lt;=COUNTA(半紙!$B$11:$B$310)+COUNTA(条幅!$B$11:$B$310)+COUNTA(条幅4分の1!$B$11:$B$310),INDEX(条幅4分の1!$B$11:$B$310,173-COUNTA(半紙!$B$11:$B$310)-COUNTA(条幅!$B$11:$B$310)),""))))</f>
        <v/>
      </c>
      <c r="C178" s="38" t="str">
        <f>IF(IF(173&lt;=COUNTA(半紙!$B$11:$B$310),INDEX(半紙!$C$11:$C$310,173),IF(173&lt;=COUNTA(半紙!$B$11:$B$310)+COUNTA(条幅!$B$11:$B$310),INDEX(条幅!$C$11:$C$310,173-COUNTA(半紙!$B$11:$B$310)),IF(173&lt;=COUNTA(半紙!$B$11:$B$310)+COUNTA(条幅!$B$11:$B$310)+COUNTA(条幅4分の1!$B$11:$B$310),INDEX(条幅4分の1!$C$11:$C$310,173-COUNTA(半紙!$B$11:$B$310)-COUNTA(条幅!$B$11:$B$310)),"")))=0,"",IF(173&lt;=COUNTA(半紙!$B$11:$B$310),INDEX(半紙!$C$11:$C$310,173),IF(173&lt;=COUNTA(半紙!$B$11:$B$310)+COUNTA(条幅!$B$11:$B$310),INDEX(条幅!$C$11:$C$310,173-COUNTA(半紙!$B$11:$B$310)),IF(173&lt;=COUNTA(半紙!$B$11:$B$310)+COUNTA(条幅!$B$11:$B$310)+COUNTA(条幅4分の1!$B$11:$B$310),INDEX(条幅4分の1!$C$11:$C$310,173-COUNTA(半紙!$B$11:$B$310)-COUNTA(条幅!$B$11:$B$310)),""))))</f>
        <v/>
      </c>
      <c r="D178" s="38" t="str">
        <f>IF(IF(173&lt;=COUNTA(半紙!$B$11:$B$310),INDEX(半紙!$D$11:$D$310,173),IF(173&lt;=COUNTA(半紙!$B$11:$B$310)+COUNTA(条幅!$B$11:$B$310),INDEX(条幅!$D$11:$D$310,173-COUNTA(半紙!$B$11:$B$310)),IF(173&lt;=COUNTA(半紙!$B$11:$B$310)+COUNTA(条幅!$B$11:$B$310)+COUNTA(条幅4分の1!$B$11:$B$310),INDEX(条幅4分の1!$D$11:$D$310,173-COUNTA(半紙!$B$11:$B$310)-COUNTA(条幅!$B$11:$B$310)),"")))=0,"",IF(173&lt;=COUNTA(半紙!$B$11:$B$310),INDEX(半紙!$D$11:$D$310,173),IF(173&lt;=COUNTA(半紙!$B$11:$B$310)+COUNTA(条幅!$B$11:$B$310),INDEX(条幅!$D$11:$D$310,173-COUNTA(半紙!$B$11:$B$310)),IF(173&lt;=COUNTA(半紙!$B$11:$B$310)+COUNTA(条幅!$B$11:$B$310)+COUNTA(条幅4分の1!$B$11:$B$310),INDEX(条幅4分の1!$D$11:$D$310,173-COUNTA(半紙!$B$11:$B$310)-COUNTA(条幅!$B$11:$B$310)),""))))</f>
        <v/>
      </c>
      <c r="E178" s="38" t="str">
        <f>IF(IF(173&lt;=COUNTA(半紙!$B$11:$B$310),INDEX(半紙!$E$11:$E$310,173),IF(173&lt;=COUNTA(半紙!$B$11:$B$310)+COUNTA(条幅!$B$11:$B$310),INDEX(条幅!$E$11:$E$310,173-COUNTA(半紙!$B$11:$B$310)),IF(173&lt;=COUNTA(半紙!$B$11:$B$310)+COUNTA(条幅!$B$11:$B$310)+COUNTA(条幅4分の1!$B$11:$B$310),INDEX(条幅4分の1!$E$11:$E$310,173-COUNTA(半紙!$B$11:$B$310)-COUNTA(条幅!$B$11:$B$310)),"")))=0,"",IF(173&lt;=COUNTA(半紙!$B$11:$B$310),INDEX(半紙!$E$11:$E$310,173),IF(173&lt;=COUNTA(半紙!$B$11:$B$310)+COUNTA(条幅!$B$11:$B$310),INDEX(条幅!$E$11:$E$310,173-COUNTA(半紙!$B$11:$B$310)),IF(173&lt;=COUNTA(半紙!$B$11:$B$310)+COUNTA(条幅!$B$11:$B$310)+COUNTA(条幅4分の1!$B$11:$B$310),INDEX(条幅4分の1!$E$11:$E$310,173-COUNTA(半紙!$B$11:$B$310)-COUNTA(条幅!$B$11:$B$310)),""))))</f>
        <v/>
      </c>
      <c r="F178" s="38" t="str">
        <f>IF(IF(173&lt;=COUNTA(半紙!$B$11:$B$310),INDEX(半紙!$F$11:$F$310,173),IF(173&lt;=COUNTA(半紙!$B$11:$B$310)+COUNTA(条幅!$B$11:$B$310),INDEX(条幅!$F$11:$F$310,173-COUNTA(半紙!$B$11:$B$310)),IF(173&lt;=COUNTA(半紙!$B$11:$B$310)+COUNTA(条幅!$B$11:$B$310)+COUNTA(条幅4分の1!$B$11:$B$310),INDEX(条幅4分の1!$F$11:$F$310,173-COUNTA(半紙!$B$11:$B$310)-COUNTA(条幅!$B$11:$B$310)),"")))=0,"",IF(173&lt;=COUNTA(半紙!$B$11:$B$310),INDEX(半紙!$F$11:$F$310,173),IF(173&lt;=COUNTA(半紙!$B$11:$B$310)+COUNTA(条幅!$B$11:$B$310),INDEX(条幅!$F$11:$F$310,173-COUNTA(半紙!$B$11:$B$310)),IF(173&lt;=COUNTA(半紙!$B$11:$B$310)+COUNTA(条幅!$B$11:$B$310)+COUNTA(条幅4分の1!$B$11:$B$310),INDEX(条幅4分の1!$F$11:$F$310,173-COUNTA(半紙!$B$11:$B$310)-COUNTA(条幅!$B$11:$B$310)),""))))</f>
        <v/>
      </c>
      <c r="G178" s="38" t="str">
        <f>IF(IF(173&lt;=COUNTA(半紙!$B$11:$B$310),INDEX(半紙!$G$11:$G$310,173),IF(173&lt;=COUNTA(半紙!$B$11:$B$310)+COUNTA(条幅!$B$11:$B$310),INDEX(条幅!$G$11:$G$310,173-COUNTA(半紙!$B$11:$B$310)),IF(173&lt;=COUNTA(半紙!$B$11:$B$310)+COUNTA(条幅!$B$11:$B$310)+COUNTA(条幅4分の1!$B$11:$B$310),INDEX(条幅4分の1!$G$11:$G$310,173-COUNTA(半紙!$B$11:$B$310)-COUNTA(条幅!$B$11:$B$310)),"")))=0,"",IF(173&lt;=COUNTA(半紙!$B$11:$B$310),INDEX(半紙!$G$11:$G$310,173),IF(173&lt;=COUNTA(半紙!$B$11:$B$310)+COUNTA(条幅!$B$11:$B$310),INDEX(条幅!$G$11:$G$310,173-COUNTA(半紙!$B$11:$B$310)),IF(173&lt;=COUNTA(半紙!$B$11:$B$310)+COUNTA(条幅!$B$11:$B$310)+COUNTA(条幅4分の1!$B$11:$B$310),INDEX(条幅4分の1!$G$11:$G$310,173-COUNTA(半紙!$B$11:$B$310)-COUNTA(条幅!$B$11:$B$310)),""))))</f>
        <v/>
      </c>
      <c r="H178" s="38" t="str">
        <f>IF(IF(173&lt;=COUNTA(半紙!$B$11:$B$310),INDEX(半紙!$H$11:$H$310,173),IF(173&lt;=COUNTA(半紙!$B$11:$B$310)+COUNTA(条幅!$B$11:$B$310),INDEX(条幅!$H$11:$H$310,173-COUNTA(半紙!$B$11:$B$310)),IF(173&lt;=COUNTA(半紙!$B$11:$B$310)+COUNTA(条幅!$B$11:$B$310)+COUNTA(条幅4分の1!$B$11:$B$310),INDEX(条幅4分の1!$H$11:$H$310,173-COUNTA(半紙!$B$11:$B$310)-COUNTA(条幅!$B$11:$B$310)),"")))=0,"",IF(173&lt;=COUNTA(半紙!$B$11:$B$310),INDEX(半紙!$H$11:$H$310,173),IF(173&lt;=COUNTA(半紙!$B$11:$B$310)+COUNTA(条幅!$B$11:$B$310),INDEX(条幅!$H$11:$H$310,173-COUNTA(半紙!$B$11:$B$310)),IF(173&lt;=COUNTA(半紙!$B$11:$B$310)+COUNTA(条幅!$B$11:$B$310)+COUNTA(条幅4分の1!$B$11:$B$310),INDEX(条幅4分の1!$H$11:$H$310,173-COUNTA(半紙!$B$11:$B$310)-COUNTA(条幅!$B$11:$B$310)),""))))</f>
        <v/>
      </c>
      <c r="I178" s="38" t="str">
        <f>IF(IF(173&lt;=COUNTA(半紙!$B$11:$B$310),INDEX(半紙!$I$11:$I$310,173),IF(173&lt;=COUNTA(半紙!$B$11:$B$310)+COUNTA(条幅!$B$11:$B$310),INDEX(条幅!$I$11:$I$310,173-COUNTA(半紙!$B$11:$B$310)),IF(173&lt;=COUNTA(半紙!$B$11:$B$310)+COUNTA(条幅!$B$11:$B$310)+COUNTA(条幅4分の1!$B$11:$B$310),INDEX(条幅4分の1!$I$11:$I$310,173-COUNTA(半紙!$B$11:$B$310)-COUNTA(条幅!$B$11:$B$310)),"")))=0,"",IF(173&lt;=COUNTA(半紙!$B$11:$B$310),INDEX(半紙!$I$11:$I$310,173),IF(173&lt;=COUNTA(半紙!$B$11:$B$310)+COUNTA(条幅!$B$11:$B$310),INDEX(条幅!$I$11:$I$310,173-COUNTA(半紙!$B$11:$B$310)),IF(173&lt;=COUNTA(半紙!$B$11:$B$310)+COUNTA(条幅!$B$11:$B$310)+COUNTA(条幅4分の1!$B$11:$B$310),INDEX(条幅4分の1!$I$11:$I$310,173-COUNTA(半紙!$B$11:$B$310)-COUNTA(条幅!$B$11:$B$310)),""))))</f>
        <v/>
      </c>
      <c r="J178" s="38" t="str">
        <f>IF(IF(173&lt;=COUNTA(半紙!$B$11:$B$310),INDEX(半紙!$J$11:$J$310,173),IF(173&lt;=COUNTA(半紙!$B$11:$B$310)+COUNTA(条幅!$B$11:$B$310),INDEX(条幅!$J$11:$J$310,173-COUNTA(半紙!$B$11:$B$310)),IF(173&lt;=COUNTA(半紙!$B$11:$B$310)+COUNTA(条幅!$B$11:$B$310)+COUNTA(条幅4分の1!$B$11:$B$310),INDEX(条幅4分の1!$J$11:$J$310,173-COUNTA(半紙!$B$11:$B$310)-COUNTA(条幅!$B$11:$B$310)),"")))=0,"",IF(173&lt;=COUNTA(半紙!$B$11:$B$310),INDEX(半紙!$J$11:$J$310,173),IF(173&lt;=COUNTA(半紙!$B$11:$B$310)+COUNTA(条幅!$B$11:$B$310),INDEX(条幅!$J$11:$J$310,173-COUNTA(半紙!$B$11:$B$310)),IF(173&lt;=COUNTA(半紙!$B$11:$B$310)+COUNTA(条幅!$B$11:$B$310)+COUNTA(条幅4分の1!$B$11:$B$310),INDEX(条幅4分の1!$J$11:$J$310,173-COUNTA(半紙!$B$11:$B$310)-COUNTA(条幅!$B$11:$B$310)),""))))</f>
        <v/>
      </c>
      <c r="K178" s="38" t="str">
        <f>IF(IF(173&lt;=COUNTA(半紙!$B$11:$B$310),INDEX(半紙!$K$11:$K$310,173),IF(173&lt;=COUNTA(半紙!$B$11:$B$310)+COUNTA(条幅!$B$11:$B$310),INDEX(条幅!$K$11:$K$310,173-COUNTA(半紙!$B$11:$B$310)),IF(173&lt;=COUNTA(半紙!$B$11:$B$310)+COUNTA(条幅!$B$11:$B$310)+COUNTA(条幅4分の1!$B$11:$B$310),INDEX(条幅4分の1!$K$11:$K$310,173-COUNTA(半紙!$B$11:$B$310)-COUNTA(条幅!$B$11:$B$310)),"")))=0,"",IF(173&lt;=COUNTA(半紙!$B$11:$B$310),INDEX(半紙!$K$11:$K$310,173),IF(173&lt;=COUNTA(半紙!$B$11:$B$310)+COUNTA(条幅!$B$11:$B$310),INDEX(条幅!$K$11:$K$310,173-COUNTA(半紙!$B$11:$B$310)),IF(173&lt;=COUNTA(半紙!$B$11:$B$310)+COUNTA(条幅!$B$11:$B$310)+COUNTA(条幅4分の1!$B$11:$B$310),INDEX(条幅4分の1!$K$11:$K$310,173-COUNTA(半紙!$B$11:$B$310)-COUNTA(条幅!$B$11:$B$310)),""))))</f>
        <v/>
      </c>
      <c r="L178" s="48" t="str">
        <f>IF($B178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173))</f>
        <v/>
      </c>
    </row>
    <row r="179" spans="1:12" ht="15" customHeight="1">
      <c r="A179" s="37" t="str">
        <f>IF(174&lt;=COUNTA(半紙!$B$11:$B$310),"半紙",IF(174&lt;=COUNTA(半紙!$B$11:$B$310)+COUNTA(条幅!$B$11:$B$310),"条幅(半切)",IF(174&lt;=COUNTA(半紙!$B$11:$B$310)+COUNTA(条幅!$B$11:$B$310)+COUNTA(条幅4分の1!$B$11:$B$310),"条幅(1/4)","")))</f>
        <v/>
      </c>
      <c r="B179" s="38" t="str">
        <f>IF(IF(174&lt;=COUNTA(半紙!$B$11:$B$310),INDEX(半紙!$B$11:$B$310,174),IF(174&lt;=COUNTA(半紙!$B$11:$B$310)+COUNTA(条幅!$B$11:$B$310),INDEX(条幅!$B$11:$B$310,174-COUNTA(半紙!$B$11:$B$310)),IF(174&lt;=COUNTA(半紙!$B$11:$B$310)+COUNTA(条幅!$B$11:$B$310)+COUNTA(条幅4分の1!$B$11:$B$310),INDEX(条幅4分の1!$B$11:$B$310,174-COUNTA(半紙!$B$11:$B$310)-COUNTA(条幅!$B$11:$B$310)),"")))=0,"",IF(174&lt;=COUNTA(半紙!$B$11:$B$310),INDEX(半紙!$B$11:$B$310,174),IF(174&lt;=COUNTA(半紙!$B$11:$B$310)+COUNTA(条幅!$B$11:$B$310),INDEX(条幅!$B$11:$B$310,174-COUNTA(半紙!$B$11:$B$310)),IF(174&lt;=COUNTA(半紙!$B$11:$B$310)+COUNTA(条幅!$B$11:$B$310)+COUNTA(条幅4分の1!$B$11:$B$310),INDEX(条幅4分の1!$B$11:$B$310,174-COUNTA(半紙!$B$11:$B$310)-COUNTA(条幅!$B$11:$B$310)),""))))</f>
        <v/>
      </c>
      <c r="C179" s="38" t="str">
        <f>IF(IF(174&lt;=COUNTA(半紙!$B$11:$B$310),INDEX(半紙!$C$11:$C$310,174),IF(174&lt;=COUNTA(半紙!$B$11:$B$310)+COUNTA(条幅!$B$11:$B$310),INDEX(条幅!$C$11:$C$310,174-COUNTA(半紙!$B$11:$B$310)),IF(174&lt;=COUNTA(半紙!$B$11:$B$310)+COUNTA(条幅!$B$11:$B$310)+COUNTA(条幅4分の1!$B$11:$B$310),INDEX(条幅4分の1!$C$11:$C$310,174-COUNTA(半紙!$B$11:$B$310)-COUNTA(条幅!$B$11:$B$310)),"")))=0,"",IF(174&lt;=COUNTA(半紙!$B$11:$B$310),INDEX(半紙!$C$11:$C$310,174),IF(174&lt;=COUNTA(半紙!$B$11:$B$310)+COUNTA(条幅!$B$11:$B$310),INDEX(条幅!$C$11:$C$310,174-COUNTA(半紙!$B$11:$B$310)),IF(174&lt;=COUNTA(半紙!$B$11:$B$310)+COUNTA(条幅!$B$11:$B$310)+COUNTA(条幅4分の1!$B$11:$B$310),INDEX(条幅4分の1!$C$11:$C$310,174-COUNTA(半紙!$B$11:$B$310)-COUNTA(条幅!$B$11:$B$310)),""))))</f>
        <v/>
      </c>
      <c r="D179" s="38" t="str">
        <f>IF(IF(174&lt;=COUNTA(半紙!$B$11:$B$310),INDEX(半紙!$D$11:$D$310,174),IF(174&lt;=COUNTA(半紙!$B$11:$B$310)+COUNTA(条幅!$B$11:$B$310),INDEX(条幅!$D$11:$D$310,174-COUNTA(半紙!$B$11:$B$310)),IF(174&lt;=COUNTA(半紙!$B$11:$B$310)+COUNTA(条幅!$B$11:$B$310)+COUNTA(条幅4分の1!$B$11:$B$310),INDEX(条幅4分の1!$D$11:$D$310,174-COUNTA(半紙!$B$11:$B$310)-COUNTA(条幅!$B$11:$B$310)),"")))=0,"",IF(174&lt;=COUNTA(半紙!$B$11:$B$310),INDEX(半紙!$D$11:$D$310,174),IF(174&lt;=COUNTA(半紙!$B$11:$B$310)+COUNTA(条幅!$B$11:$B$310),INDEX(条幅!$D$11:$D$310,174-COUNTA(半紙!$B$11:$B$310)),IF(174&lt;=COUNTA(半紙!$B$11:$B$310)+COUNTA(条幅!$B$11:$B$310)+COUNTA(条幅4分の1!$B$11:$B$310),INDEX(条幅4分の1!$D$11:$D$310,174-COUNTA(半紙!$B$11:$B$310)-COUNTA(条幅!$B$11:$B$310)),""))))</f>
        <v/>
      </c>
      <c r="E179" s="38" t="str">
        <f>IF(IF(174&lt;=COUNTA(半紙!$B$11:$B$310),INDEX(半紙!$E$11:$E$310,174),IF(174&lt;=COUNTA(半紙!$B$11:$B$310)+COUNTA(条幅!$B$11:$B$310),INDEX(条幅!$E$11:$E$310,174-COUNTA(半紙!$B$11:$B$310)),IF(174&lt;=COUNTA(半紙!$B$11:$B$310)+COUNTA(条幅!$B$11:$B$310)+COUNTA(条幅4分の1!$B$11:$B$310),INDEX(条幅4分の1!$E$11:$E$310,174-COUNTA(半紙!$B$11:$B$310)-COUNTA(条幅!$B$11:$B$310)),"")))=0,"",IF(174&lt;=COUNTA(半紙!$B$11:$B$310),INDEX(半紙!$E$11:$E$310,174),IF(174&lt;=COUNTA(半紙!$B$11:$B$310)+COUNTA(条幅!$B$11:$B$310),INDEX(条幅!$E$11:$E$310,174-COUNTA(半紙!$B$11:$B$310)),IF(174&lt;=COUNTA(半紙!$B$11:$B$310)+COUNTA(条幅!$B$11:$B$310)+COUNTA(条幅4分の1!$B$11:$B$310),INDEX(条幅4分の1!$E$11:$E$310,174-COUNTA(半紙!$B$11:$B$310)-COUNTA(条幅!$B$11:$B$310)),""))))</f>
        <v/>
      </c>
      <c r="F179" s="38" t="str">
        <f>IF(IF(174&lt;=COUNTA(半紙!$B$11:$B$310),INDEX(半紙!$F$11:$F$310,174),IF(174&lt;=COUNTA(半紙!$B$11:$B$310)+COUNTA(条幅!$B$11:$B$310),INDEX(条幅!$F$11:$F$310,174-COUNTA(半紙!$B$11:$B$310)),IF(174&lt;=COUNTA(半紙!$B$11:$B$310)+COUNTA(条幅!$B$11:$B$310)+COUNTA(条幅4分の1!$B$11:$B$310),INDEX(条幅4分の1!$F$11:$F$310,174-COUNTA(半紙!$B$11:$B$310)-COUNTA(条幅!$B$11:$B$310)),"")))=0,"",IF(174&lt;=COUNTA(半紙!$B$11:$B$310),INDEX(半紙!$F$11:$F$310,174),IF(174&lt;=COUNTA(半紙!$B$11:$B$310)+COUNTA(条幅!$B$11:$B$310),INDEX(条幅!$F$11:$F$310,174-COUNTA(半紙!$B$11:$B$310)),IF(174&lt;=COUNTA(半紙!$B$11:$B$310)+COUNTA(条幅!$B$11:$B$310)+COUNTA(条幅4分の1!$B$11:$B$310),INDEX(条幅4分の1!$F$11:$F$310,174-COUNTA(半紙!$B$11:$B$310)-COUNTA(条幅!$B$11:$B$310)),""))))</f>
        <v/>
      </c>
      <c r="G179" s="38" t="str">
        <f>IF(IF(174&lt;=COUNTA(半紙!$B$11:$B$310),INDEX(半紙!$G$11:$G$310,174),IF(174&lt;=COUNTA(半紙!$B$11:$B$310)+COUNTA(条幅!$B$11:$B$310),INDEX(条幅!$G$11:$G$310,174-COUNTA(半紙!$B$11:$B$310)),IF(174&lt;=COUNTA(半紙!$B$11:$B$310)+COUNTA(条幅!$B$11:$B$310)+COUNTA(条幅4分の1!$B$11:$B$310),INDEX(条幅4分の1!$G$11:$G$310,174-COUNTA(半紙!$B$11:$B$310)-COUNTA(条幅!$B$11:$B$310)),"")))=0,"",IF(174&lt;=COUNTA(半紙!$B$11:$B$310),INDEX(半紙!$G$11:$G$310,174),IF(174&lt;=COUNTA(半紙!$B$11:$B$310)+COUNTA(条幅!$B$11:$B$310),INDEX(条幅!$G$11:$G$310,174-COUNTA(半紙!$B$11:$B$310)),IF(174&lt;=COUNTA(半紙!$B$11:$B$310)+COUNTA(条幅!$B$11:$B$310)+COUNTA(条幅4分の1!$B$11:$B$310),INDEX(条幅4分の1!$G$11:$G$310,174-COUNTA(半紙!$B$11:$B$310)-COUNTA(条幅!$B$11:$B$310)),""))))</f>
        <v/>
      </c>
      <c r="H179" s="38" t="str">
        <f>IF(IF(174&lt;=COUNTA(半紙!$B$11:$B$310),INDEX(半紙!$H$11:$H$310,174),IF(174&lt;=COUNTA(半紙!$B$11:$B$310)+COUNTA(条幅!$B$11:$B$310),INDEX(条幅!$H$11:$H$310,174-COUNTA(半紙!$B$11:$B$310)),IF(174&lt;=COUNTA(半紙!$B$11:$B$310)+COUNTA(条幅!$B$11:$B$310)+COUNTA(条幅4分の1!$B$11:$B$310),INDEX(条幅4分の1!$H$11:$H$310,174-COUNTA(半紙!$B$11:$B$310)-COUNTA(条幅!$B$11:$B$310)),"")))=0,"",IF(174&lt;=COUNTA(半紙!$B$11:$B$310),INDEX(半紙!$H$11:$H$310,174),IF(174&lt;=COUNTA(半紙!$B$11:$B$310)+COUNTA(条幅!$B$11:$B$310),INDEX(条幅!$H$11:$H$310,174-COUNTA(半紙!$B$11:$B$310)),IF(174&lt;=COUNTA(半紙!$B$11:$B$310)+COUNTA(条幅!$B$11:$B$310)+COUNTA(条幅4分の1!$B$11:$B$310),INDEX(条幅4分の1!$H$11:$H$310,174-COUNTA(半紙!$B$11:$B$310)-COUNTA(条幅!$B$11:$B$310)),""))))</f>
        <v/>
      </c>
      <c r="I179" s="38" t="str">
        <f>IF(IF(174&lt;=COUNTA(半紙!$B$11:$B$310),INDEX(半紙!$I$11:$I$310,174),IF(174&lt;=COUNTA(半紙!$B$11:$B$310)+COUNTA(条幅!$B$11:$B$310),INDEX(条幅!$I$11:$I$310,174-COUNTA(半紙!$B$11:$B$310)),IF(174&lt;=COUNTA(半紙!$B$11:$B$310)+COUNTA(条幅!$B$11:$B$310)+COUNTA(条幅4分の1!$B$11:$B$310),INDEX(条幅4分の1!$I$11:$I$310,174-COUNTA(半紙!$B$11:$B$310)-COUNTA(条幅!$B$11:$B$310)),"")))=0,"",IF(174&lt;=COUNTA(半紙!$B$11:$B$310),INDEX(半紙!$I$11:$I$310,174),IF(174&lt;=COUNTA(半紙!$B$11:$B$310)+COUNTA(条幅!$B$11:$B$310),INDEX(条幅!$I$11:$I$310,174-COUNTA(半紙!$B$11:$B$310)),IF(174&lt;=COUNTA(半紙!$B$11:$B$310)+COUNTA(条幅!$B$11:$B$310)+COUNTA(条幅4分の1!$B$11:$B$310),INDEX(条幅4分の1!$I$11:$I$310,174-COUNTA(半紙!$B$11:$B$310)-COUNTA(条幅!$B$11:$B$310)),""))))</f>
        <v/>
      </c>
      <c r="J179" s="38" t="str">
        <f>IF(IF(174&lt;=COUNTA(半紙!$B$11:$B$310),INDEX(半紙!$J$11:$J$310,174),IF(174&lt;=COUNTA(半紙!$B$11:$B$310)+COUNTA(条幅!$B$11:$B$310),INDEX(条幅!$J$11:$J$310,174-COUNTA(半紙!$B$11:$B$310)),IF(174&lt;=COUNTA(半紙!$B$11:$B$310)+COUNTA(条幅!$B$11:$B$310)+COUNTA(条幅4分の1!$B$11:$B$310),INDEX(条幅4分の1!$J$11:$J$310,174-COUNTA(半紙!$B$11:$B$310)-COUNTA(条幅!$B$11:$B$310)),"")))=0,"",IF(174&lt;=COUNTA(半紙!$B$11:$B$310),INDEX(半紙!$J$11:$J$310,174),IF(174&lt;=COUNTA(半紙!$B$11:$B$310)+COUNTA(条幅!$B$11:$B$310),INDEX(条幅!$J$11:$J$310,174-COUNTA(半紙!$B$11:$B$310)),IF(174&lt;=COUNTA(半紙!$B$11:$B$310)+COUNTA(条幅!$B$11:$B$310)+COUNTA(条幅4分の1!$B$11:$B$310),INDEX(条幅4分の1!$J$11:$J$310,174-COUNTA(半紙!$B$11:$B$310)-COUNTA(条幅!$B$11:$B$310)),""))))</f>
        <v/>
      </c>
      <c r="K179" s="38" t="str">
        <f>IF(IF(174&lt;=COUNTA(半紙!$B$11:$B$310),INDEX(半紙!$K$11:$K$310,174),IF(174&lt;=COUNTA(半紙!$B$11:$B$310)+COUNTA(条幅!$B$11:$B$310),INDEX(条幅!$K$11:$K$310,174-COUNTA(半紙!$B$11:$B$310)),IF(174&lt;=COUNTA(半紙!$B$11:$B$310)+COUNTA(条幅!$B$11:$B$310)+COUNTA(条幅4分の1!$B$11:$B$310),INDEX(条幅4分の1!$K$11:$K$310,174-COUNTA(半紙!$B$11:$B$310)-COUNTA(条幅!$B$11:$B$310)),"")))=0,"",IF(174&lt;=COUNTA(半紙!$B$11:$B$310),INDEX(半紙!$K$11:$K$310,174),IF(174&lt;=COUNTA(半紙!$B$11:$B$310)+COUNTA(条幅!$B$11:$B$310),INDEX(条幅!$K$11:$K$310,174-COUNTA(半紙!$B$11:$B$310)),IF(174&lt;=COUNTA(半紙!$B$11:$B$310)+COUNTA(条幅!$B$11:$B$310)+COUNTA(条幅4分の1!$B$11:$B$310),INDEX(条幅4分の1!$K$11:$K$310,174-COUNTA(半紙!$B$11:$B$310)-COUNTA(条幅!$B$11:$B$310)),""))))</f>
        <v/>
      </c>
      <c r="L179" s="48" t="str">
        <f>IF($B179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174))</f>
        <v/>
      </c>
    </row>
    <row r="180" spans="1:12" ht="15" customHeight="1">
      <c r="A180" s="37" t="str">
        <f>IF(175&lt;=COUNTA(半紙!$B$11:$B$310),"半紙",IF(175&lt;=COUNTA(半紙!$B$11:$B$310)+COUNTA(条幅!$B$11:$B$310),"条幅(半切)",IF(175&lt;=COUNTA(半紙!$B$11:$B$310)+COUNTA(条幅!$B$11:$B$310)+COUNTA(条幅4分の1!$B$11:$B$310),"条幅(1/4)","")))</f>
        <v/>
      </c>
      <c r="B180" s="38" t="str">
        <f>IF(IF(175&lt;=COUNTA(半紙!$B$11:$B$310),INDEX(半紙!$B$11:$B$310,175),IF(175&lt;=COUNTA(半紙!$B$11:$B$310)+COUNTA(条幅!$B$11:$B$310),INDEX(条幅!$B$11:$B$310,175-COUNTA(半紙!$B$11:$B$310)),IF(175&lt;=COUNTA(半紙!$B$11:$B$310)+COUNTA(条幅!$B$11:$B$310)+COUNTA(条幅4分の1!$B$11:$B$310),INDEX(条幅4分の1!$B$11:$B$310,175-COUNTA(半紙!$B$11:$B$310)-COUNTA(条幅!$B$11:$B$310)),"")))=0,"",IF(175&lt;=COUNTA(半紙!$B$11:$B$310),INDEX(半紙!$B$11:$B$310,175),IF(175&lt;=COUNTA(半紙!$B$11:$B$310)+COUNTA(条幅!$B$11:$B$310),INDEX(条幅!$B$11:$B$310,175-COUNTA(半紙!$B$11:$B$310)),IF(175&lt;=COUNTA(半紙!$B$11:$B$310)+COUNTA(条幅!$B$11:$B$310)+COUNTA(条幅4分の1!$B$11:$B$310),INDEX(条幅4分の1!$B$11:$B$310,175-COUNTA(半紙!$B$11:$B$310)-COUNTA(条幅!$B$11:$B$310)),""))))</f>
        <v/>
      </c>
      <c r="C180" s="38" t="str">
        <f>IF(IF(175&lt;=COUNTA(半紙!$B$11:$B$310),INDEX(半紙!$C$11:$C$310,175),IF(175&lt;=COUNTA(半紙!$B$11:$B$310)+COUNTA(条幅!$B$11:$B$310),INDEX(条幅!$C$11:$C$310,175-COUNTA(半紙!$B$11:$B$310)),IF(175&lt;=COUNTA(半紙!$B$11:$B$310)+COUNTA(条幅!$B$11:$B$310)+COUNTA(条幅4分の1!$B$11:$B$310),INDEX(条幅4分の1!$C$11:$C$310,175-COUNTA(半紙!$B$11:$B$310)-COUNTA(条幅!$B$11:$B$310)),"")))=0,"",IF(175&lt;=COUNTA(半紙!$B$11:$B$310),INDEX(半紙!$C$11:$C$310,175),IF(175&lt;=COUNTA(半紙!$B$11:$B$310)+COUNTA(条幅!$B$11:$B$310),INDEX(条幅!$C$11:$C$310,175-COUNTA(半紙!$B$11:$B$310)),IF(175&lt;=COUNTA(半紙!$B$11:$B$310)+COUNTA(条幅!$B$11:$B$310)+COUNTA(条幅4分の1!$B$11:$B$310),INDEX(条幅4分の1!$C$11:$C$310,175-COUNTA(半紙!$B$11:$B$310)-COUNTA(条幅!$B$11:$B$310)),""))))</f>
        <v/>
      </c>
      <c r="D180" s="38" t="str">
        <f>IF(IF(175&lt;=COUNTA(半紙!$B$11:$B$310),INDEX(半紙!$D$11:$D$310,175),IF(175&lt;=COUNTA(半紙!$B$11:$B$310)+COUNTA(条幅!$B$11:$B$310),INDEX(条幅!$D$11:$D$310,175-COUNTA(半紙!$B$11:$B$310)),IF(175&lt;=COUNTA(半紙!$B$11:$B$310)+COUNTA(条幅!$B$11:$B$310)+COUNTA(条幅4分の1!$B$11:$B$310),INDEX(条幅4分の1!$D$11:$D$310,175-COUNTA(半紙!$B$11:$B$310)-COUNTA(条幅!$B$11:$B$310)),"")))=0,"",IF(175&lt;=COUNTA(半紙!$B$11:$B$310),INDEX(半紙!$D$11:$D$310,175),IF(175&lt;=COUNTA(半紙!$B$11:$B$310)+COUNTA(条幅!$B$11:$B$310),INDEX(条幅!$D$11:$D$310,175-COUNTA(半紙!$B$11:$B$310)),IF(175&lt;=COUNTA(半紙!$B$11:$B$310)+COUNTA(条幅!$B$11:$B$310)+COUNTA(条幅4分の1!$B$11:$B$310),INDEX(条幅4分の1!$D$11:$D$310,175-COUNTA(半紙!$B$11:$B$310)-COUNTA(条幅!$B$11:$B$310)),""))))</f>
        <v/>
      </c>
      <c r="E180" s="38" t="str">
        <f>IF(IF(175&lt;=COUNTA(半紙!$B$11:$B$310),INDEX(半紙!$E$11:$E$310,175),IF(175&lt;=COUNTA(半紙!$B$11:$B$310)+COUNTA(条幅!$B$11:$B$310),INDEX(条幅!$E$11:$E$310,175-COUNTA(半紙!$B$11:$B$310)),IF(175&lt;=COUNTA(半紙!$B$11:$B$310)+COUNTA(条幅!$B$11:$B$310)+COUNTA(条幅4分の1!$B$11:$B$310),INDEX(条幅4分の1!$E$11:$E$310,175-COUNTA(半紙!$B$11:$B$310)-COUNTA(条幅!$B$11:$B$310)),"")))=0,"",IF(175&lt;=COUNTA(半紙!$B$11:$B$310),INDEX(半紙!$E$11:$E$310,175),IF(175&lt;=COUNTA(半紙!$B$11:$B$310)+COUNTA(条幅!$B$11:$B$310),INDEX(条幅!$E$11:$E$310,175-COUNTA(半紙!$B$11:$B$310)),IF(175&lt;=COUNTA(半紙!$B$11:$B$310)+COUNTA(条幅!$B$11:$B$310)+COUNTA(条幅4分の1!$B$11:$B$310),INDEX(条幅4分の1!$E$11:$E$310,175-COUNTA(半紙!$B$11:$B$310)-COUNTA(条幅!$B$11:$B$310)),""))))</f>
        <v/>
      </c>
      <c r="F180" s="38" t="str">
        <f>IF(IF(175&lt;=COUNTA(半紙!$B$11:$B$310),INDEX(半紙!$F$11:$F$310,175),IF(175&lt;=COUNTA(半紙!$B$11:$B$310)+COUNTA(条幅!$B$11:$B$310),INDEX(条幅!$F$11:$F$310,175-COUNTA(半紙!$B$11:$B$310)),IF(175&lt;=COUNTA(半紙!$B$11:$B$310)+COUNTA(条幅!$B$11:$B$310)+COUNTA(条幅4分の1!$B$11:$B$310),INDEX(条幅4分の1!$F$11:$F$310,175-COUNTA(半紙!$B$11:$B$310)-COUNTA(条幅!$B$11:$B$310)),"")))=0,"",IF(175&lt;=COUNTA(半紙!$B$11:$B$310),INDEX(半紙!$F$11:$F$310,175),IF(175&lt;=COUNTA(半紙!$B$11:$B$310)+COUNTA(条幅!$B$11:$B$310),INDEX(条幅!$F$11:$F$310,175-COUNTA(半紙!$B$11:$B$310)),IF(175&lt;=COUNTA(半紙!$B$11:$B$310)+COUNTA(条幅!$B$11:$B$310)+COUNTA(条幅4分の1!$B$11:$B$310),INDEX(条幅4分の1!$F$11:$F$310,175-COUNTA(半紙!$B$11:$B$310)-COUNTA(条幅!$B$11:$B$310)),""))))</f>
        <v/>
      </c>
      <c r="G180" s="38" t="str">
        <f>IF(IF(175&lt;=COUNTA(半紙!$B$11:$B$310),INDEX(半紙!$G$11:$G$310,175),IF(175&lt;=COUNTA(半紙!$B$11:$B$310)+COUNTA(条幅!$B$11:$B$310),INDEX(条幅!$G$11:$G$310,175-COUNTA(半紙!$B$11:$B$310)),IF(175&lt;=COUNTA(半紙!$B$11:$B$310)+COUNTA(条幅!$B$11:$B$310)+COUNTA(条幅4分の1!$B$11:$B$310),INDEX(条幅4分の1!$G$11:$G$310,175-COUNTA(半紙!$B$11:$B$310)-COUNTA(条幅!$B$11:$B$310)),"")))=0,"",IF(175&lt;=COUNTA(半紙!$B$11:$B$310),INDEX(半紙!$G$11:$G$310,175),IF(175&lt;=COUNTA(半紙!$B$11:$B$310)+COUNTA(条幅!$B$11:$B$310),INDEX(条幅!$G$11:$G$310,175-COUNTA(半紙!$B$11:$B$310)),IF(175&lt;=COUNTA(半紙!$B$11:$B$310)+COUNTA(条幅!$B$11:$B$310)+COUNTA(条幅4分の1!$B$11:$B$310),INDEX(条幅4分の1!$G$11:$G$310,175-COUNTA(半紙!$B$11:$B$310)-COUNTA(条幅!$B$11:$B$310)),""))))</f>
        <v/>
      </c>
      <c r="H180" s="38" t="str">
        <f>IF(IF(175&lt;=COUNTA(半紙!$B$11:$B$310),INDEX(半紙!$H$11:$H$310,175),IF(175&lt;=COUNTA(半紙!$B$11:$B$310)+COUNTA(条幅!$B$11:$B$310),INDEX(条幅!$H$11:$H$310,175-COUNTA(半紙!$B$11:$B$310)),IF(175&lt;=COUNTA(半紙!$B$11:$B$310)+COUNTA(条幅!$B$11:$B$310)+COUNTA(条幅4分の1!$B$11:$B$310),INDEX(条幅4分の1!$H$11:$H$310,175-COUNTA(半紙!$B$11:$B$310)-COUNTA(条幅!$B$11:$B$310)),"")))=0,"",IF(175&lt;=COUNTA(半紙!$B$11:$B$310),INDEX(半紙!$H$11:$H$310,175),IF(175&lt;=COUNTA(半紙!$B$11:$B$310)+COUNTA(条幅!$B$11:$B$310),INDEX(条幅!$H$11:$H$310,175-COUNTA(半紙!$B$11:$B$310)),IF(175&lt;=COUNTA(半紙!$B$11:$B$310)+COUNTA(条幅!$B$11:$B$310)+COUNTA(条幅4分の1!$B$11:$B$310),INDEX(条幅4分の1!$H$11:$H$310,175-COUNTA(半紙!$B$11:$B$310)-COUNTA(条幅!$B$11:$B$310)),""))))</f>
        <v/>
      </c>
      <c r="I180" s="38" t="str">
        <f>IF(IF(175&lt;=COUNTA(半紙!$B$11:$B$310),INDEX(半紙!$I$11:$I$310,175),IF(175&lt;=COUNTA(半紙!$B$11:$B$310)+COUNTA(条幅!$B$11:$B$310),INDEX(条幅!$I$11:$I$310,175-COUNTA(半紙!$B$11:$B$310)),IF(175&lt;=COUNTA(半紙!$B$11:$B$310)+COUNTA(条幅!$B$11:$B$310)+COUNTA(条幅4分の1!$B$11:$B$310),INDEX(条幅4分の1!$I$11:$I$310,175-COUNTA(半紙!$B$11:$B$310)-COUNTA(条幅!$B$11:$B$310)),"")))=0,"",IF(175&lt;=COUNTA(半紙!$B$11:$B$310),INDEX(半紙!$I$11:$I$310,175),IF(175&lt;=COUNTA(半紙!$B$11:$B$310)+COUNTA(条幅!$B$11:$B$310),INDEX(条幅!$I$11:$I$310,175-COUNTA(半紙!$B$11:$B$310)),IF(175&lt;=COUNTA(半紙!$B$11:$B$310)+COUNTA(条幅!$B$11:$B$310)+COUNTA(条幅4分の1!$B$11:$B$310),INDEX(条幅4分の1!$I$11:$I$310,175-COUNTA(半紙!$B$11:$B$310)-COUNTA(条幅!$B$11:$B$310)),""))))</f>
        <v/>
      </c>
      <c r="J180" s="38" t="str">
        <f>IF(IF(175&lt;=COUNTA(半紙!$B$11:$B$310),INDEX(半紙!$J$11:$J$310,175),IF(175&lt;=COUNTA(半紙!$B$11:$B$310)+COUNTA(条幅!$B$11:$B$310),INDEX(条幅!$J$11:$J$310,175-COUNTA(半紙!$B$11:$B$310)),IF(175&lt;=COUNTA(半紙!$B$11:$B$310)+COUNTA(条幅!$B$11:$B$310)+COUNTA(条幅4分の1!$B$11:$B$310),INDEX(条幅4分の1!$J$11:$J$310,175-COUNTA(半紙!$B$11:$B$310)-COUNTA(条幅!$B$11:$B$310)),"")))=0,"",IF(175&lt;=COUNTA(半紙!$B$11:$B$310),INDEX(半紙!$J$11:$J$310,175),IF(175&lt;=COUNTA(半紙!$B$11:$B$310)+COUNTA(条幅!$B$11:$B$310),INDEX(条幅!$J$11:$J$310,175-COUNTA(半紙!$B$11:$B$310)),IF(175&lt;=COUNTA(半紙!$B$11:$B$310)+COUNTA(条幅!$B$11:$B$310)+COUNTA(条幅4分の1!$B$11:$B$310),INDEX(条幅4分の1!$J$11:$J$310,175-COUNTA(半紙!$B$11:$B$310)-COUNTA(条幅!$B$11:$B$310)),""))))</f>
        <v/>
      </c>
      <c r="K180" s="38" t="str">
        <f>IF(IF(175&lt;=COUNTA(半紙!$B$11:$B$310),INDEX(半紙!$K$11:$K$310,175),IF(175&lt;=COUNTA(半紙!$B$11:$B$310)+COUNTA(条幅!$B$11:$B$310),INDEX(条幅!$K$11:$K$310,175-COUNTA(半紙!$B$11:$B$310)),IF(175&lt;=COUNTA(半紙!$B$11:$B$310)+COUNTA(条幅!$B$11:$B$310)+COUNTA(条幅4分の1!$B$11:$B$310),INDEX(条幅4分の1!$K$11:$K$310,175-COUNTA(半紙!$B$11:$B$310)-COUNTA(条幅!$B$11:$B$310)),"")))=0,"",IF(175&lt;=COUNTA(半紙!$B$11:$B$310),INDEX(半紙!$K$11:$K$310,175),IF(175&lt;=COUNTA(半紙!$B$11:$B$310)+COUNTA(条幅!$B$11:$B$310),INDEX(条幅!$K$11:$K$310,175-COUNTA(半紙!$B$11:$B$310)),IF(175&lt;=COUNTA(半紙!$B$11:$B$310)+COUNTA(条幅!$B$11:$B$310)+COUNTA(条幅4分の1!$B$11:$B$310),INDEX(条幅4分の1!$K$11:$K$310,175-COUNTA(半紙!$B$11:$B$310)-COUNTA(条幅!$B$11:$B$310)),""))))</f>
        <v/>
      </c>
      <c r="L180" s="48" t="str">
        <f>IF($B180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175))</f>
        <v/>
      </c>
    </row>
    <row r="181" spans="1:12" ht="15" customHeight="1">
      <c r="A181" s="37" t="str">
        <f>IF(176&lt;=COUNTA(半紙!$B$11:$B$310),"半紙",IF(176&lt;=COUNTA(半紙!$B$11:$B$310)+COUNTA(条幅!$B$11:$B$310),"条幅(半切)",IF(176&lt;=COUNTA(半紙!$B$11:$B$310)+COUNTA(条幅!$B$11:$B$310)+COUNTA(条幅4分の1!$B$11:$B$310),"条幅(1/4)","")))</f>
        <v/>
      </c>
      <c r="B181" s="38" t="str">
        <f>IF(IF(176&lt;=COUNTA(半紙!$B$11:$B$310),INDEX(半紙!$B$11:$B$310,176),IF(176&lt;=COUNTA(半紙!$B$11:$B$310)+COUNTA(条幅!$B$11:$B$310),INDEX(条幅!$B$11:$B$310,176-COUNTA(半紙!$B$11:$B$310)),IF(176&lt;=COUNTA(半紙!$B$11:$B$310)+COUNTA(条幅!$B$11:$B$310)+COUNTA(条幅4分の1!$B$11:$B$310),INDEX(条幅4分の1!$B$11:$B$310,176-COUNTA(半紙!$B$11:$B$310)-COUNTA(条幅!$B$11:$B$310)),"")))=0,"",IF(176&lt;=COUNTA(半紙!$B$11:$B$310),INDEX(半紙!$B$11:$B$310,176),IF(176&lt;=COUNTA(半紙!$B$11:$B$310)+COUNTA(条幅!$B$11:$B$310),INDEX(条幅!$B$11:$B$310,176-COUNTA(半紙!$B$11:$B$310)),IF(176&lt;=COUNTA(半紙!$B$11:$B$310)+COUNTA(条幅!$B$11:$B$310)+COUNTA(条幅4分の1!$B$11:$B$310),INDEX(条幅4分の1!$B$11:$B$310,176-COUNTA(半紙!$B$11:$B$310)-COUNTA(条幅!$B$11:$B$310)),""))))</f>
        <v/>
      </c>
      <c r="C181" s="38" t="str">
        <f>IF(IF(176&lt;=COUNTA(半紙!$B$11:$B$310),INDEX(半紙!$C$11:$C$310,176),IF(176&lt;=COUNTA(半紙!$B$11:$B$310)+COUNTA(条幅!$B$11:$B$310),INDEX(条幅!$C$11:$C$310,176-COUNTA(半紙!$B$11:$B$310)),IF(176&lt;=COUNTA(半紙!$B$11:$B$310)+COUNTA(条幅!$B$11:$B$310)+COUNTA(条幅4分の1!$B$11:$B$310),INDEX(条幅4分の1!$C$11:$C$310,176-COUNTA(半紙!$B$11:$B$310)-COUNTA(条幅!$B$11:$B$310)),"")))=0,"",IF(176&lt;=COUNTA(半紙!$B$11:$B$310),INDEX(半紙!$C$11:$C$310,176),IF(176&lt;=COUNTA(半紙!$B$11:$B$310)+COUNTA(条幅!$B$11:$B$310),INDEX(条幅!$C$11:$C$310,176-COUNTA(半紙!$B$11:$B$310)),IF(176&lt;=COUNTA(半紙!$B$11:$B$310)+COUNTA(条幅!$B$11:$B$310)+COUNTA(条幅4分の1!$B$11:$B$310),INDEX(条幅4分の1!$C$11:$C$310,176-COUNTA(半紙!$B$11:$B$310)-COUNTA(条幅!$B$11:$B$310)),""))))</f>
        <v/>
      </c>
      <c r="D181" s="38" t="str">
        <f>IF(IF(176&lt;=COUNTA(半紙!$B$11:$B$310),INDEX(半紙!$D$11:$D$310,176),IF(176&lt;=COUNTA(半紙!$B$11:$B$310)+COUNTA(条幅!$B$11:$B$310),INDEX(条幅!$D$11:$D$310,176-COUNTA(半紙!$B$11:$B$310)),IF(176&lt;=COUNTA(半紙!$B$11:$B$310)+COUNTA(条幅!$B$11:$B$310)+COUNTA(条幅4分の1!$B$11:$B$310),INDEX(条幅4分の1!$D$11:$D$310,176-COUNTA(半紙!$B$11:$B$310)-COUNTA(条幅!$B$11:$B$310)),"")))=0,"",IF(176&lt;=COUNTA(半紙!$B$11:$B$310),INDEX(半紙!$D$11:$D$310,176),IF(176&lt;=COUNTA(半紙!$B$11:$B$310)+COUNTA(条幅!$B$11:$B$310),INDEX(条幅!$D$11:$D$310,176-COUNTA(半紙!$B$11:$B$310)),IF(176&lt;=COUNTA(半紙!$B$11:$B$310)+COUNTA(条幅!$B$11:$B$310)+COUNTA(条幅4分の1!$B$11:$B$310),INDEX(条幅4分の1!$D$11:$D$310,176-COUNTA(半紙!$B$11:$B$310)-COUNTA(条幅!$B$11:$B$310)),""))))</f>
        <v/>
      </c>
      <c r="E181" s="38" t="str">
        <f>IF(IF(176&lt;=COUNTA(半紙!$B$11:$B$310),INDEX(半紙!$E$11:$E$310,176),IF(176&lt;=COUNTA(半紙!$B$11:$B$310)+COUNTA(条幅!$B$11:$B$310),INDEX(条幅!$E$11:$E$310,176-COUNTA(半紙!$B$11:$B$310)),IF(176&lt;=COUNTA(半紙!$B$11:$B$310)+COUNTA(条幅!$B$11:$B$310)+COUNTA(条幅4分の1!$B$11:$B$310),INDEX(条幅4分の1!$E$11:$E$310,176-COUNTA(半紙!$B$11:$B$310)-COUNTA(条幅!$B$11:$B$310)),"")))=0,"",IF(176&lt;=COUNTA(半紙!$B$11:$B$310),INDEX(半紙!$E$11:$E$310,176),IF(176&lt;=COUNTA(半紙!$B$11:$B$310)+COUNTA(条幅!$B$11:$B$310),INDEX(条幅!$E$11:$E$310,176-COUNTA(半紙!$B$11:$B$310)),IF(176&lt;=COUNTA(半紙!$B$11:$B$310)+COUNTA(条幅!$B$11:$B$310)+COUNTA(条幅4分の1!$B$11:$B$310),INDEX(条幅4分の1!$E$11:$E$310,176-COUNTA(半紙!$B$11:$B$310)-COUNTA(条幅!$B$11:$B$310)),""))))</f>
        <v/>
      </c>
      <c r="F181" s="38" t="str">
        <f>IF(IF(176&lt;=COUNTA(半紙!$B$11:$B$310),INDEX(半紙!$F$11:$F$310,176),IF(176&lt;=COUNTA(半紙!$B$11:$B$310)+COUNTA(条幅!$B$11:$B$310),INDEX(条幅!$F$11:$F$310,176-COUNTA(半紙!$B$11:$B$310)),IF(176&lt;=COUNTA(半紙!$B$11:$B$310)+COUNTA(条幅!$B$11:$B$310)+COUNTA(条幅4分の1!$B$11:$B$310),INDEX(条幅4分の1!$F$11:$F$310,176-COUNTA(半紙!$B$11:$B$310)-COUNTA(条幅!$B$11:$B$310)),"")))=0,"",IF(176&lt;=COUNTA(半紙!$B$11:$B$310),INDEX(半紙!$F$11:$F$310,176),IF(176&lt;=COUNTA(半紙!$B$11:$B$310)+COUNTA(条幅!$B$11:$B$310),INDEX(条幅!$F$11:$F$310,176-COUNTA(半紙!$B$11:$B$310)),IF(176&lt;=COUNTA(半紙!$B$11:$B$310)+COUNTA(条幅!$B$11:$B$310)+COUNTA(条幅4分の1!$B$11:$B$310),INDEX(条幅4分の1!$F$11:$F$310,176-COUNTA(半紙!$B$11:$B$310)-COUNTA(条幅!$B$11:$B$310)),""))))</f>
        <v/>
      </c>
      <c r="G181" s="38" t="str">
        <f>IF(IF(176&lt;=COUNTA(半紙!$B$11:$B$310),INDEX(半紙!$G$11:$G$310,176),IF(176&lt;=COUNTA(半紙!$B$11:$B$310)+COUNTA(条幅!$B$11:$B$310),INDEX(条幅!$G$11:$G$310,176-COUNTA(半紙!$B$11:$B$310)),IF(176&lt;=COUNTA(半紙!$B$11:$B$310)+COUNTA(条幅!$B$11:$B$310)+COUNTA(条幅4分の1!$B$11:$B$310),INDEX(条幅4分の1!$G$11:$G$310,176-COUNTA(半紙!$B$11:$B$310)-COUNTA(条幅!$B$11:$B$310)),"")))=0,"",IF(176&lt;=COUNTA(半紙!$B$11:$B$310),INDEX(半紙!$G$11:$G$310,176),IF(176&lt;=COUNTA(半紙!$B$11:$B$310)+COUNTA(条幅!$B$11:$B$310),INDEX(条幅!$G$11:$G$310,176-COUNTA(半紙!$B$11:$B$310)),IF(176&lt;=COUNTA(半紙!$B$11:$B$310)+COUNTA(条幅!$B$11:$B$310)+COUNTA(条幅4分の1!$B$11:$B$310),INDEX(条幅4分の1!$G$11:$G$310,176-COUNTA(半紙!$B$11:$B$310)-COUNTA(条幅!$B$11:$B$310)),""))))</f>
        <v/>
      </c>
      <c r="H181" s="38" t="str">
        <f>IF(IF(176&lt;=COUNTA(半紙!$B$11:$B$310),INDEX(半紙!$H$11:$H$310,176),IF(176&lt;=COUNTA(半紙!$B$11:$B$310)+COUNTA(条幅!$B$11:$B$310),INDEX(条幅!$H$11:$H$310,176-COUNTA(半紙!$B$11:$B$310)),IF(176&lt;=COUNTA(半紙!$B$11:$B$310)+COUNTA(条幅!$B$11:$B$310)+COUNTA(条幅4分の1!$B$11:$B$310),INDEX(条幅4分の1!$H$11:$H$310,176-COUNTA(半紙!$B$11:$B$310)-COUNTA(条幅!$B$11:$B$310)),"")))=0,"",IF(176&lt;=COUNTA(半紙!$B$11:$B$310),INDEX(半紙!$H$11:$H$310,176),IF(176&lt;=COUNTA(半紙!$B$11:$B$310)+COUNTA(条幅!$B$11:$B$310),INDEX(条幅!$H$11:$H$310,176-COUNTA(半紙!$B$11:$B$310)),IF(176&lt;=COUNTA(半紙!$B$11:$B$310)+COUNTA(条幅!$B$11:$B$310)+COUNTA(条幅4分の1!$B$11:$B$310),INDEX(条幅4分の1!$H$11:$H$310,176-COUNTA(半紙!$B$11:$B$310)-COUNTA(条幅!$B$11:$B$310)),""))))</f>
        <v/>
      </c>
      <c r="I181" s="38" t="str">
        <f>IF(IF(176&lt;=COUNTA(半紙!$B$11:$B$310),INDEX(半紙!$I$11:$I$310,176),IF(176&lt;=COUNTA(半紙!$B$11:$B$310)+COUNTA(条幅!$B$11:$B$310),INDEX(条幅!$I$11:$I$310,176-COUNTA(半紙!$B$11:$B$310)),IF(176&lt;=COUNTA(半紙!$B$11:$B$310)+COUNTA(条幅!$B$11:$B$310)+COUNTA(条幅4分の1!$B$11:$B$310),INDEX(条幅4分の1!$I$11:$I$310,176-COUNTA(半紙!$B$11:$B$310)-COUNTA(条幅!$B$11:$B$310)),"")))=0,"",IF(176&lt;=COUNTA(半紙!$B$11:$B$310),INDEX(半紙!$I$11:$I$310,176),IF(176&lt;=COUNTA(半紙!$B$11:$B$310)+COUNTA(条幅!$B$11:$B$310),INDEX(条幅!$I$11:$I$310,176-COUNTA(半紙!$B$11:$B$310)),IF(176&lt;=COUNTA(半紙!$B$11:$B$310)+COUNTA(条幅!$B$11:$B$310)+COUNTA(条幅4分の1!$B$11:$B$310),INDEX(条幅4分の1!$I$11:$I$310,176-COUNTA(半紙!$B$11:$B$310)-COUNTA(条幅!$B$11:$B$310)),""))))</f>
        <v/>
      </c>
      <c r="J181" s="38" t="str">
        <f>IF(IF(176&lt;=COUNTA(半紙!$B$11:$B$310),INDEX(半紙!$J$11:$J$310,176),IF(176&lt;=COUNTA(半紙!$B$11:$B$310)+COUNTA(条幅!$B$11:$B$310),INDEX(条幅!$J$11:$J$310,176-COUNTA(半紙!$B$11:$B$310)),IF(176&lt;=COUNTA(半紙!$B$11:$B$310)+COUNTA(条幅!$B$11:$B$310)+COUNTA(条幅4分の1!$B$11:$B$310),INDEX(条幅4分の1!$J$11:$J$310,176-COUNTA(半紙!$B$11:$B$310)-COUNTA(条幅!$B$11:$B$310)),"")))=0,"",IF(176&lt;=COUNTA(半紙!$B$11:$B$310),INDEX(半紙!$J$11:$J$310,176),IF(176&lt;=COUNTA(半紙!$B$11:$B$310)+COUNTA(条幅!$B$11:$B$310),INDEX(条幅!$J$11:$J$310,176-COUNTA(半紙!$B$11:$B$310)),IF(176&lt;=COUNTA(半紙!$B$11:$B$310)+COUNTA(条幅!$B$11:$B$310)+COUNTA(条幅4分の1!$B$11:$B$310),INDEX(条幅4分の1!$J$11:$J$310,176-COUNTA(半紙!$B$11:$B$310)-COUNTA(条幅!$B$11:$B$310)),""))))</f>
        <v/>
      </c>
      <c r="K181" s="38" t="str">
        <f>IF(IF(176&lt;=COUNTA(半紙!$B$11:$B$310),INDEX(半紙!$K$11:$K$310,176),IF(176&lt;=COUNTA(半紙!$B$11:$B$310)+COUNTA(条幅!$B$11:$B$310),INDEX(条幅!$K$11:$K$310,176-COUNTA(半紙!$B$11:$B$310)),IF(176&lt;=COUNTA(半紙!$B$11:$B$310)+COUNTA(条幅!$B$11:$B$310)+COUNTA(条幅4分の1!$B$11:$B$310),INDEX(条幅4分の1!$K$11:$K$310,176-COUNTA(半紙!$B$11:$B$310)-COUNTA(条幅!$B$11:$B$310)),"")))=0,"",IF(176&lt;=COUNTA(半紙!$B$11:$B$310),INDEX(半紙!$K$11:$K$310,176),IF(176&lt;=COUNTA(半紙!$B$11:$B$310)+COUNTA(条幅!$B$11:$B$310),INDEX(条幅!$K$11:$K$310,176-COUNTA(半紙!$B$11:$B$310)),IF(176&lt;=COUNTA(半紙!$B$11:$B$310)+COUNTA(条幅!$B$11:$B$310)+COUNTA(条幅4分の1!$B$11:$B$310),INDEX(条幅4分の1!$K$11:$K$310,176-COUNTA(半紙!$B$11:$B$310)-COUNTA(条幅!$B$11:$B$310)),""))))</f>
        <v/>
      </c>
      <c r="L181" s="48" t="str">
        <f>IF($B181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176))</f>
        <v/>
      </c>
    </row>
    <row r="182" spans="1:12" ht="15" customHeight="1">
      <c r="A182" s="37" t="str">
        <f>IF(177&lt;=COUNTA(半紙!$B$11:$B$310),"半紙",IF(177&lt;=COUNTA(半紙!$B$11:$B$310)+COUNTA(条幅!$B$11:$B$310),"条幅(半切)",IF(177&lt;=COUNTA(半紙!$B$11:$B$310)+COUNTA(条幅!$B$11:$B$310)+COUNTA(条幅4分の1!$B$11:$B$310),"条幅(1/4)","")))</f>
        <v/>
      </c>
      <c r="B182" s="38" t="str">
        <f>IF(IF(177&lt;=COUNTA(半紙!$B$11:$B$310),INDEX(半紙!$B$11:$B$310,177),IF(177&lt;=COUNTA(半紙!$B$11:$B$310)+COUNTA(条幅!$B$11:$B$310),INDEX(条幅!$B$11:$B$310,177-COUNTA(半紙!$B$11:$B$310)),IF(177&lt;=COUNTA(半紙!$B$11:$B$310)+COUNTA(条幅!$B$11:$B$310)+COUNTA(条幅4分の1!$B$11:$B$310),INDEX(条幅4分の1!$B$11:$B$310,177-COUNTA(半紙!$B$11:$B$310)-COUNTA(条幅!$B$11:$B$310)),"")))=0,"",IF(177&lt;=COUNTA(半紙!$B$11:$B$310),INDEX(半紙!$B$11:$B$310,177),IF(177&lt;=COUNTA(半紙!$B$11:$B$310)+COUNTA(条幅!$B$11:$B$310),INDEX(条幅!$B$11:$B$310,177-COUNTA(半紙!$B$11:$B$310)),IF(177&lt;=COUNTA(半紙!$B$11:$B$310)+COUNTA(条幅!$B$11:$B$310)+COUNTA(条幅4分の1!$B$11:$B$310),INDEX(条幅4分の1!$B$11:$B$310,177-COUNTA(半紙!$B$11:$B$310)-COUNTA(条幅!$B$11:$B$310)),""))))</f>
        <v/>
      </c>
      <c r="C182" s="38" t="str">
        <f>IF(IF(177&lt;=COUNTA(半紙!$B$11:$B$310),INDEX(半紙!$C$11:$C$310,177),IF(177&lt;=COUNTA(半紙!$B$11:$B$310)+COUNTA(条幅!$B$11:$B$310),INDEX(条幅!$C$11:$C$310,177-COUNTA(半紙!$B$11:$B$310)),IF(177&lt;=COUNTA(半紙!$B$11:$B$310)+COUNTA(条幅!$B$11:$B$310)+COUNTA(条幅4分の1!$B$11:$B$310),INDEX(条幅4分の1!$C$11:$C$310,177-COUNTA(半紙!$B$11:$B$310)-COUNTA(条幅!$B$11:$B$310)),"")))=0,"",IF(177&lt;=COUNTA(半紙!$B$11:$B$310),INDEX(半紙!$C$11:$C$310,177),IF(177&lt;=COUNTA(半紙!$B$11:$B$310)+COUNTA(条幅!$B$11:$B$310),INDEX(条幅!$C$11:$C$310,177-COUNTA(半紙!$B$11:$B$310)),IF(177&lt;=COUNTA(半紙!$B$11:$B$310)+COUNTA(条幅!$B$11:$B$310)+COUNTA(条幅4分の1!$B$11:$B$310),INDEX(条幅4分の1!$C$11:$C$310,177-COUNTA(半紙!$B$11:$B$310)-COUNTA(条幅!$B$11:$B$310)),""))))</f>
        <v/>
      </c>
      <c r="D182" s="38" t="str">
        <f>IF(IF(177&lt;=COUNTA(半紙!$B$11:$B$310),INDEX(半紙!$D$11:$D$310,177),IF(177&lt;=COUNTA(半紙!$B$11:$B$310)+COUNTA(条幅!$B$11:$B$310),INDEX(条幅!$D$11:$D$310,177-COUNTA(半紙!$B$11:$B$310)),IF(177&lt;=COUNTA(半紙!$B$11:$B$310)+COUNTA(条幅!$B$11:$B$310)+COUNTA(条幅4分の1!$B$11:$B$310),INDEX(条幅4分の1!$D$11:$D$310,177-COUNTA(半紙!$B$11:$B$310)-COUNTA(条幅!$B$11:$B$310)),"")))=0,"",IF(177&lt;=COUNTA(半紙!$B$11:$B$310),INDEX(半紙!$D$11:$D$310,177),IF(177&lt;=COUNTA(半紙!$B$11:$B$310)+COUNTA(条幅!$B$11:$B$310),INDEX(条幅!$D$11:$D$310,177-COUNTA(半紙!$B$11:$B$310)),IF(177&lt;=COUNTA(半紙!$B$11:$B$310)+COUNTA(条幅!$B$11:$B$310)+COUNTA(条幅4分の1!$B$11:$B$310),INDEX(条幅4分の1!$D$11:$D$310,177-COUNTA(半紙!$B$11:$B$310)-COUNTA(条幅!$B$11:$B$310)),""))))</f>
        <v/>
      </c>
      <c r="E182" s="38" t="str">
        <f>IF(IF(177&lt;=COUNTA(半紙!$B$11:$B$310),INDEX(半紙!$E$11:$E$310,177),IF(177&lt;=COUNTA(半紙!$B$11:$B$310)+COUNTA(条幅!$B$11:$B$310),INDEX(条幅!$E$11:$E$310,177-COUNTA(半紙!$B$11:$B$310)),IF(177&lt;=COUNTA(半紙!$B$11:$B$310)+COUNTA(条幅!$B$11:$B$310)+COUNTA(条幅4分の1!$B$11:$B$310),INDEX(条幅4分の1!$E$11:$E$310,177-COUNTA(半紙!$B$11:$B$310)-COUNTA(条幅!$B$11:$B$310)),"")))=0,"",IF(177&lt;=COUNTA(半紙!$B$11:$B$310),INDEX(半紙!$E$11:$E$310,177),IF(177&lt;=COUNTA(半紙!$B$11:$B$310)+COUNTA(条幅!$B$11:$B$310),INDEX(条幅!$E$11:$E$310,177-COUNTA(半紙!$B$11:$B$310)),IF(177&lt;=COUNTA(半紙!$B$11:$B$310)+COUNTA(条幅!$B$11:$B$310)+COUNTA(条幅4分の1!$B$11:$B$310),INDEX(条幅4分の1!$E$11:$E$310,177-COUNTA(半紙!$B$11:$B$310)-COUNTA(条幅!$B$11:$B$310)),""))))</f>
        <v/>
      </c>
      <c r="F182" s="38" t="str">
        <f>IF(IF(177&lt;=COUNTA(半紙!$B$11:$B$310),INDEX(半紙!$F$11:$F$310,177),IF(177&lt;=COUNTA(半紙!$B$11:$B$310)+COUNTA(条幅!$B$11:$B$310),INDEX(条幅!$F$11:$F$310,177-COUNTA(半紙!$B$11:$B$310)),IF(177&lt;=COUNTA(半紙!$B$11:$B$310)+COUNTA(条幅!$B$11:$B$310)+COUNTA(条幅4分の1!$B$11:$B$310),INDEX(条幅4分の1!$F$11:$F$310,177-COUNTA(半紙!$B$11:$B$310)-COUNTA(条幅!$B$11:$B$310)),"")))=0,"",IF(177&lt;=COUNTA(半紙!$B$11:$B$310),INDEX(半紙!$F$11:$F$310,177),IF(177&lt;=COUNTA(半紙!$B$11:$B$310)+COUNTA(条幅!$B$11:$B$310),INDEX(条幅!$F$11:$F$310,177-COUNTA(半紙!$B$11:$B$310)),IF(177&lt;=COUNTA(半紙!$B$11:$B$310)+COUNTA(条幅!$B$11:$B$310)+COUNTA(条幅4分の1!$B$11:$B$310),INDEX(条幅4分の1!$F$11:$F$310,177-COUNTA(半紙!$B$11:$B$310)-COUNTA(条幅!$B$11:$B$310)),""))))</f>
        <v/>
      </c>
      <c r="G182" s="38" t="str">
        <f>IF(IF(177&lt;=COUNTA(半紙!$B$11:$B$310),INDEX(半紙!$G$11:$G$310,177),IF(177&lt;=COUNTA(半紙!$B$11:$B$310)+COUNTA(条幅!$B$11:$B$310),INDEX(条幅!$G$11:$G$310,177-COUNTA(半紙!$B$11:$B$310)),IF(177&lt;=COUNTA(半紙!$B$11:$B$310)+COUNTA(条幅!$B$11:$B$310)+COUNTA(条幅4分の1!$B$11:$B$310),INDEX(条幅4分の1!$G$11:$G$310,177-COUNTA(半紙!$B$11:$B$310)-COUNTA(条幅!$B$11:$B$310)),"")))=0,"",IF(177&lt;=COUNTA(半紙!$B$11:$B$310),INDEX(半紙!$G$11:$G$310,177),IF(177&lt;=COUNTA(半紙!$B$11:$B$310)+COUNTA(条幅!$B$11:$B$310),INDEX(条幅!$G$11:$G$310,177-COUNTA(半紙!$B$11:$B$310)),IF(177&lt;=COUNTA(半紙!$B$11:$B$310)+COUNTA(条幅!$B$11:$B$310)+COUNTA(条幅4分の1!$B$11:$B$310),INDEX(条幅4分の1!$G$11:$G$310,177-COUNTA(半紙!$B$11:$B$310)-COUNTA(条幅!$B$11:$B$310)),""))))</f>
        <v/>
      </c>
      <c r="H182" s="38" t="str">
        <f>IF(IF(177&lt;=COUNTA(半紙!$B$11:$B$310),INDEX(半紙!$H$11:$H$310,177),IF(177&lt;=COUNTA(半紙!$B$11:$B$310)+COUNTA(条幅!$B$11:$B$310),INDEX(条幅!$H$11:$H$310,177-COUNTA(半紙!$B$11:$B$310)),IF(177&lt;=COUNTA(半紙!$B$11:$B$310)+COUNTA(条幅!$B$11:$B$310)+COUNTA(条幅4分の1!$B$11:$B$310),INDEX(条幅4分の1!$H$11:$H$310,177-COUNTA(半紙!$B$11:$B$310)-COUNTA(条幅!$B$11:$B$310)),"")))=0,"",IF(177&lt;=COUNTA(半紙!$B$11:$B$310),INDEX(半紙!$H$11:$H$310,177),IF(177&lt;=COUNTA(半紙!$B$11:$B$310)+COUNTA(条幅!$B$11:$B$310),INDEX(条幅!$H$11:$H$310,177-COUNTA(半紙!$B$11:$B$310)),IF(177&lt;=COUNTA(半紙!$B$11:$B$310)+COUNTA(条幅!$B$11:$B$310)+COUNTA(条幅4分の1!$B$11:$B$310),INDEX(条幅4分の1!$H$11:$H$310,177-COUNTA(半紙!$B$11:$B$310)-COUNTA(条幅!$B$11:$B$310)),""))))</f>
        <v/>
      </c>
      <c r="I182" s="38" t="str">
        <f>IF(IF(177&lt;=COUNTA(半紙!$B$11:$B$310),INDEX(半紙!$I$11:$I$310,177),IF(177&lt;=COUNTA(半紙!$B$11:$B$310)+COUNTA(条幅!$B$11:$B$310),INDEX(条幅!$I$11:$I$310,177-COUNTA(半紙!$B$11:$B$310)),IF(177&lt;=COUNTA(半紙!$B$11:$B$310)+COUNTA(条幅!$B$11:$B$310)+COUNTA(条幅4分の1!$B$11:$B$310),INDEX(条幅4分の1!$I$11:$I$310,177-COUNTA(半紙!$B$11:$B$310)-COUNTA(条幅!$B$11:$B$310)),"")))=0,"",IF(177&lt;=COUNTA(半紙!$B$11:$B$310),INDEX(半紙!$I$11:$I$310,177),IF(177&lt;=COUNTA(半紙!$B$11:$B$310)+COUNTA(条幅!$B$11:$B$310),INDEX(条幅!$I$11:$I$310,177-COUNTA(半紙!$B$11:$B$310)),IF(177&lt;=COUNTA(半紙!$B$11:$B$310)+COUNTA(条幅!$B$11:$B$310)+COUNTA(条幅4分の1!$B$11:$B$310),INDEX(条幅4分の1!$I$11:$I$310,177-COUNTA(半紙!$B$11:$B$310)-COUNTA(条幅!$B$11:$B$310)),""))))</f>
        <v/>
      </c>
      <c r="J182" s="38" t="str">
        <f>IF(IF(177&lt;=COUNTA(半紙!$B$11:$B$310),INDEX(半紙!$J$11:$J$310,177),IF(177&lt;=COUNTA(半紙!$B$11:$B$310)+COUNTA(条幅!$B$11:$B$310),INDEX(条幅!$J$11:$J$310,177-COUNTA(半紙!$B$11:$B$310)),IF(177&lt;=COUNTA(半紙!$B$11:$B$310)+COUNTA(条幅!$B$11:$B$310)+COUNTA(条幅4分の1!$B$11:$B$310),INDEX(条幅4分の1!$J$11:$J$310,177-COUNTA(半紙!$B$11:$B$310)-COUNTA(条幅!$B$11:$B$310)),"")))=0,"",IF(177&lt;=COUNTA(半紙!$B$11:$B$310),INDEX(半紙!$J$11:$J$310,177),IF(177&lt;=COUNTA(半紙!$B$11:$B$310)+COUNTA(条幅!$B$11:$B$310),INDEX(条幅!$J$11:$J$310,177-COUNTA(半紙!$B$11:$B$310)),IF(177&lt;=COUNTA(半紙!$B$11:$B$310)+COUNTA(条幅!$B$11:$B$310)+COUNTA(条幅4分の1!$B$11:$B$310),INDEX(条幅4分の1!$J$11:$J$310,177-COUNTA(半紙!$B$11:$B$310)-COUNTA(条幅!$B$11:$B$310)),""))))</f>
        <v/>
      </c>
      <c r="K182" s="38" t="str">
        <f>IF(IF(177&lt;=COUNTA(半紙!$B$11:$B$310),INDEX(半紙!$K$11:$K$310,177),IF(177&lt;=COUNTA(半紙!$B$11:$B$310)+COUNTA(条幅!$B$11:$B$310),INDEX(条幅!$K$11:$K$310,177-COUNTA(半紙!$B$11:$B$310)),IF(177&lt;=COUNTA(半紙!$B$11:$B$310)+COUNTA(条幅!$B$11:$B$310)+COUNTA(条幅4分の1!$B$11:$B$310),INDEX(条幅4分の1!$K$11:$K$310,177-COUNTA(半紙!$B$11:$B$310)-COUNTA(条幅!$B$11:$B$310)),"")))=0,"",IF(177&lt;=COUNTA(半紙!$B$11:$B$310),INDEX(半紙!$K$11:$K$310,177),IF(177&lt;=COUNTA(半紙!$B$11:$B$310)+COUNTA(条幅!$B$11:$B$310),INDEX(条幅!$K$11:$K$310,177-COUNTA(半紙!$B$11:$B$310)),IF(177&lt;=COUNTA(半紙!$B$11:$B$310)+COUNTA(条幅!$B$11:$B$310)+COUNTA(条幅4分の1!$B$11:$B$310),INDEX(条幅4分の1!$K$11:$K$310,177-COUNTA(半紙!$B$11:$B$310)-COUNTA(条幅!$B$11:$B$310)),""))))</f>
        <v/>
      </c>
      <c r="L182" s="48" t="str">
        <f>IF($B182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177))</f>
        <v/>
      </c>
    </row>
    <row r="183" spans="1:12" ht="15" customHeight="1">
      <c r="A183" s="37" t="str">
        <f>IF(178&lt;=COUNTA(半紙!$B$11:$B$310),"半紙",IF(178&lt;=COUNTA(半紙!$B$11:$B$310)+COUNTA(条幅!$B$11:$B$310),"条幅(半切)",IF(178&lt;=COUNTA(半紙!$B$11:$B$310)+COUNTA(条幅!$B$11:$B$310)+COUNTA(条幅4分の1!$B$11:$B$310),"条幅(1/4)","")))</f>
        <v/>
      </c>
      <c r="B183" s="38" t="str">
        <f>IF(IF(178&lt;=COUNTA(半紙!$B$11:$B$310),INDEX(半紙!$B$11:$B$310,178),IF(178&lt;=COUNTA(半紙!$B$11:$B$310)+COUNTA(条幅!$B$11:$B$310),INDEX(条幅!$B$11:$B$310,178-COUNTA(半紙!$B$11:$B$310)),IF(178&lt;=COUNTA(半紙!$B$11:$B$310)+COUNTA(条幅!$B$11:$B$310)+COUNTA(条幅4分の1!$B$11:$B$310),INDEX(条幅4分の1!$B$11:$B$310,178-COUNTA(半紙!$B$11:$B$310)-COUNTA(条幅!$B$11:$B$310)),"")))=0,"",IF(178&lt;=COUNTA(半紙!$B$11:$B$310),INDEX(半紙!$B$11:$B$310,178),IF(178&lt;=COUNTA(半紙!$B$11:$B$310)+COUNTA(条幅!$B$11:$B$310),INDEX(条幅!$B$11:$B$310,178-COUNTA(半紙!$B$11:$B$310)),IF(178&lt;=COUNTA(半紙!$B$11:$B$310)+COUNTA(条幅!$B$11:$B$310)+COUNTA(条幅4分の1!$B$11:$B$310),INDEX(条幅4分の1!$B$11:$B$310,178-COUNTA(半紙!$B$11:$B$310)-COUNTA(条幅!$B$11:$B$310)),""))))</f>
        <v/>
      </c>
      <c r="C183" s="38" t="str">
        <f>IF(IF(178&lt;=COUNTA(半紙!$B$11:$B$310),INDEX(半紙!$C$11:$C$310,178),IF(178&lt;=COUNTA(半紙!$B$11:$B$310)+COUNTA(条幅!$B$11:$B$310),INDEX(条幅!$C$11:$C$310,178-COUNTA(半紙!$B$11:$B$310)),IF(178&lt;=COUNTA(半紙!$B$11:$B$310)+COUNTA(条幅!$B$11:$B$310)+COUNTA(条幅4分の1!$B$11:$B$310),INDEX(条幅4分の1!$C$11:$C$310,178-COUNTA(半紙!$B$11:$B$310)-COUNTA(条幅!$B$11:$B$310)),"")))=0,"",IF(178&lt;=COUNTA(半紙!$B$11:$B$310),INDEX(半紙!$C$11:$C$310,178),IF(178&lt;=COUNTA(半紙!$B$11:$B$310)+COUNTA(条幅!$B$11:$B$310),INDEX(条幅!$C$11:$C$310,178-COUNTA(半紙!$B$11:$B$310)),IF(178&lt;=COUNTA(半紙!$B$11:$B$310)+COUNTA(条幅!$B$11:$B$310)+COUNTA(条幅4分の1!$B$11:$B$310),INDEX(条幅4分の1!$C$11:$C$310,178-COUNTA(半紙!$B$11:$B$310)-COUNTA(条幅!$B$11:$B$310)),""))))</f>
        <v/>
      </c>
      <c r="D183" s="38" t="str">
        <f>IF(IF(178&lt;=COUNTA(半紙!$B$11:$B$310),INDEX(半紙!$D$11:$D$310,178),IF(178&lt;=COUNTA(半紙!$B$11:$B$310)+COUNTA(条幅!$B$11:$B$310),INDEX(条幅!$D$11:$D$310,178-COUNTA(半紙!$B$11:$B$310)),IF(178&lt;=COUNTA(半紙!$B$11:$B$310)+COUNTA(条幅!$B$11:$B$310)+COUNTA(条幅4分の1!$B$11:$B$310),INDEX(条幅4分の1!$D$11:$D$310,178-COUNTA(半紙!$B$11:$B$310)-COUNTA(条幅!$B$11:$B$310)),"")))=0,"",IF(178&lt;=COUNTA(半紙!$B$11:$B$310),INDEX(半紙!$D$11:$D$310,178),IF(178&lt;=COUNTA(半紙!$B$11:$B$310)+COUNTA(条幅!$B$11:$B$310),INDEX(条幅!$D$11:$D$310,178-COUNTA(半紙!$B$11:$B$310)),IF(178&lt;=COUNTA(半紙!$B$11:$B$310)+COUNTA(条幅!$B$11:$B$310)+COUNTA(条幅4分の1!$B$11:$B$310),INDEX(条幅4分の1!$D$11:$D$310,178-COUNTA(半紙!$B$11:$B$310)-COUNTA(条幅!$B$11:$B$310)),""))))</f>
        <v/>
      </c>
      <c r="E183" s="38" t="str">
        <f>IF(IF(178&lt;=COUNTA(半紙!$B$11:$B$310),INDEX(半紙!$E$11:$E$310,178),IF(178&lt;=COUNTA(半紙!$B$11:$B$310)+COUNTA(条幅!$B$11:$B$310),INDEX(条幅!$E$11:$E$310,178-COUNTA(半紙!$B$11:$B$310)),IF(178&lt;=COUNTA(半紙!$B$11:$B$310)+COUNTA(条幅!$B$11:$B$310)+COUNTA(条幅4分の1!$B$11:$B$310),INDEX(条幅4分の1!$E$11:$E$310,178-COUNTA(半紙!$B$11:$B$310)-COUNTA(条幅!$B$11:$B$310)),"")))=0,"",IF(178&lt;=COUNTA(半紙!$B$11:$B$310),INDEX(半紙!$E$11:$E$310,178),IF(178&lt;=COUNTA(半紙!$B$11:$B$310)+COUNTA(条幅!$B$11:$B$310),INDEX(条幅!$E$11:$E$310,178-COUNTA(半紙!$B$11:$B$310)),IF(178&lt;=COUNTA(半紙!$B$11:$B$310)+COUNTA(条幅!$B$11:$B$310)+COUNTA(条幅4分の1!$B$11:$B$310),INDEX(条幅4分の1!$E$11:$E$310,178-COUNTA(半紙!$B$11:$B$310)-COUNTA(条幅!$B$11:$B$310)),""))))</f>
        <v/>
      </c>
      <c r="F183" s="38" t="str">
        <f>IF(IF(178&lt;=COUNTA(半紙!$B$11:$B$310),INDEX(半紙!$F$11:$F$310,178),IF(178&lt;=COUNTA(半紙!$B$11:$B$310)+COUNTA(条幅!$B$11:$B$310),INDEX(条幅!$F$11:$F$310,178-COUNTA(半紙!$B$11:$B$310)),IF(178&lt;=COUNTA(半紙!$B$11:$B$310)+COUNTA(条幅!$B$11:$B$310)+COUNTA(条幅4分の1!$B$11:$B$310),INDEX(条幅4分の1!$F$11:$F$310,178-COUNTA(半紙!$B$11:$B$310)-COUNTA(条幅!$B$11:$B$310)),"")))=0,"",IF(178&lt;=COUNTA(半紙!$B$11:$B$310),INDEX(半紙!$F$11:$F$310,178),IF(178&lt;=COUNTA(半紙!$B$11:$B$310)+COUNTA(条幅!$B$11:$B$310),INDEX(条幅!$F$11:$F$310,178-COUNTA(半紙!$B$11:$B$310)),IF(178&lt;=COUNTA(半紙!$B$11:$B$310)+COUNTA(条幅!$B$11:$B$310)+COUNTA(条幅4分の1!$B$11:$B$310),INDEX(条幅4分の1!$F$11:$F$310,178-COUNTA(半紙!$B$11:$B$310)-COUNTA(条幅!$B$11:$B$310)),""))))</f>
        <v/>
      </c>
      <c r="G183" s="38" t="str">
        <f>IF(IF(178&lt;=COUNTA(半紙!$B$11:$B$310),INDEX(半紙!$G$11:$G$310,178),IF(178&lt;=COUNTA(半紙!$B$11:$B$310)+COUNTA(条幅!$B$11:$B$310),INDEX(条幅!$G$11:$G$310,178-COUNTA(半紙!$B$11:$B$310)),IF(178&lt;=COUNTA(半紙!$B$11:$B$310)+COUNTA(条幅!$B$11:$B$310)+COUNTA(条幅4分の1!$B$11:$B$310),INDEX(条幅4分の1!$G$11:$G$310,178-COUNTA(半紙!$B$11:$B$310)-COUNTA(条幅!$B$11:$B$310)),"")))=0,"",IF(178&lt;=COUNTA(半紙!$B$11:$B$310),INDEX(半紙!$G$11:$G$310,178),IF(178&lt;=COUNTA(半紙!$B$11:$B$310)+COUNTA(条幅!$B$11:$B$310),INDEX(条幅!$G$11:$G$310,178-COUNTA(半紙!$B$11:$B$310)),IF(178&lt;=COUNTA(半紙!$B$11:$B$310)+COUNTA(条幅!$B$11:$B$310)+COUNTA(条幅4分の1!$B$11:$B$310),INDEX(条幅4分の1!$G$11:$G$310,178-COUNTA(半紙!$B$11:$B$310)-COUNTA(条幅!$B$11:$B$310)),""))))</f>
        <v/>
      </c>
      <c r="H183" s="38" t="str">
        <f>IF(IF(178&lt;=COUNTA(半紙!$B$11:$B$310),INDEX(半紙!$H$11:$H$310,178),IF(178&lt;=COUNTA(半紙!$B$11:$B$310)+COUNTA(条幅!$B$11:$B$310),INDEX(条幅!$H$11:$H$310,178-COUNTA(半紙!$B$11:$B$310)),IF(178&lt;=COUNTA(半紙!$B$11:$B$310)+COUNTA(条幅!$B$11:$B$310)+COUNTA(条幅4分の1!$B$11:$B$310),INDEX(条幅4分の1!$H$11:$H$310,178-COUNTA(半紙!$B$11:$B$310)-COUNTA(条幅!$B$11:$B$310)),"")))=0,"",IF(178&lt;=COUNTA(半紙!$B$11:$B$310),INDEX(半紙!$H$11:$H$310,178),IF(178&lt;=COUNTA(半紙!$B$11:$B$310)+COUNTA(条幅!$B$11:$B$310),INDEX(条幅!$H$11:$H$310,178-COUNTA(半紙!$B$11:$B$310)),IF(178&lt;=COUNTA(半紙!$B$11:$B$310)+COUNTA(条幅!$B$11:$B$310)+COUNTA(条幅4分の1!$B$11:$B$310),INDEX(条幅4分の1!$H$11:$H$310,178-COUNTA(半紙!$B$11:$B$310)-COUNTA(条幅!$B$11:$B$310)),""))))</f>
        <v/>
      </c>
      <c r="I183" s="38" t="str">
        <f>IF(IF(178&lt;=COUNTA(半紙!$B$11:$B$310),INDEX(半紙!$I$11:$I$310,178),IF(178&lt;=COUNTA(半紙!$B$11:$B$310)+COUNTA(条幅!$B$11:$B$310),INDEX(条幅!$I$11:$I$310,178-COUNTA(半紙!$B$11:$B$310)),IF(178&lt;=COUNTA(半紙!$B$11:$B$310)+COUNTA(条幅!$B$11:$B$310)+COUNTA(条幅4分の1!$B$11:$B$310),INDEX(条幅4分の1!$I$11:$I$310,178-COUNTA(半紙!$B$11:$B$310)-COUNTA(条幅!$B$11:$B$310)),"")))=0,"",IF(178&lt;=COUNTA(半紙!$B$11:$B$310),INDEX(半紙!$I$11:$I$310,178),IF(178&lt;=COUNTA(半紙!$B$11:$B$310)+COUNTA(条幅!$B$11:$B$310),INDEX(条幅!$I$11:$I$310,178-COUNTA(半紙!$B$11:$B$310)),IF(178&lt;=COUNTA(半紙!$B$11:$B$310)+COUNTA(条幅!$B$11:$B$310)+COUNTA(条幅4分の1!$B$11:$B$310),INDEX(条幅4分の1!$I$11:$I$310,178-COUNTA(半紙!$B$11:$B$310)-COUNTA(条幅!$B$11:$B$310)),""))))</f>
        <v/>
      </c>
      <c r="J183" s="38" t="str">
        <f>IF(IF(178&lt;=COUNTA(半紙!$B$11:$B$310),INDEX(半紙!$J$11:$J$310,178),IF(178&lt;=COUNTA(半紙!$B$11:$B$310)+COUNTA(条幅!$B$11:$B$310),INDEX(条幅!$J$11:$J$310,178-COUNTA(半紙!$B$11:$B$310)),IF(178&lt;=COUNTA(半紙!$B$11:$B$310)+COUNTA(条幅!$B$11:$B$310)+COUNTA(条幅4分の1!$B$11:$B$310),INDEX(条幅4分の1!$J$11:$J$310,178-COUNTA(半紙!$B$11:$B$310)-COUNTA(条幅!$B$11:$B$310)),"")))=0,"",IF(178&lt;=COUNTA(半紙!$B$11:$B$310),INDEX(半紙!$J$11:$J$310,178),IF(178&lt;=COUNTA(半紙!$B$11:$B$310)+COUNTA(条幅!$B$11:$B$310),INDEX(条幅!$J$11:$J$310,178-COUNTA(半紙!$B$11:$B$310)),IF(178&lt;=COUNTA(半紙!$B$11:$B$310)+COUNTA(条幅!$B$11:$B$310)+COUNTA(条幅4分の1!$B$11:$B$310),INDEX(条幅4分の1!$J$11:$J$310,178-COUNTA(半紙!$B$11:$B$310)-COUNTA(条幅!$B$11:$B$310)),""))))</f>
        <v/>
      </c>
      <c r="K183" s="38" t="str">
        <f>IF(IF(178&lt;=COUNTA(半紙!$B$11:$B$310),INDEX(半紙!$K$11:$K$310,178),IF(178&lt;=COUNTA(半紙!$B$11:$B$310)+COUNTA(条幅!$B$11:$B$310),INDEX(条幅!$K$11:$K$310,178-COUNTA(半紙!$B$11:$B$310)),IF(178&lt;=COUNTA(半紙!$B$11:$B$310)+COUNTA(条幅!$B$11:$B$310)+COUNTA(条幅4分の1!$B$11:$B$310),INDEX(条幅4分の1!$K$11:$K$310,178-COUNTA(半紙!$B$11:$B$310)-COUNTA(条幅!$B$11:$B$310)),"")))=0,"",IF(178&lt;=COUNTA(半紙!$B$11:$B$310),INDEX(半紙!$K$11:$K$310,178),IF(178&lt;=COUNTA(半紙!$B$11:$B$310)+COUNTA(条幅!$B$11:$B$310),INDEX(条幅!$K$11:$K$310,178-COUNTA(半紙!$B$11:$B$310)),IF(178&lt;=COUNTA(半紙!$B$11:$B$310)+COUNTA(条幅!$B$11:$B$310)+COUNTA(条幅4分の1!$B$11:$B$310),INDEX(条幅4分の1!$K$11:$K$310,178-COUNTA(半紙!$B$11:$B$310)-COUNTA(条幅!$B$11:$B$310)),""))))</f>
        <v/>
      </c>
      <c r="L183" s="48" t="str">
        <f>IF($B183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178))</f>
        <v/>
      </c>
    </row>
    <row r="184" spans="1:12" ht="15" customHeight="1">
      <c r="A184" s="37" t="str">
        <f>IF(179&lt;=COUNTA(半紙!$B$11:$B$310),"半紙",IF(179&lt;=COUNTA(半紙!$B$11:$B$310)+COUNTA(条幅!$B$11:$B$310),"条幅(半切)",IF(179&lt;=COUNTA(半紙!$B$11:$B$310)+COUNTA(条幅!$B$11:$B$310)+COUNTA(条幅4分の1!$B$11:$B$310),"条幅(1/4)","")))</f>
        <v/>
      </c>
      <c r="B184" s="38" t="str">
        <f>IF(IF(179&lt;=COUNTA(半紙!$B$11:$B$310),INDEX(半紙!$B$11:$B$310,179),IF(179&lt;=COUNTA(半紙!$B$11:$B$310)+COUNTA(条幅!$B$11:$B$310),INDEX(条幅!$B$11:$B$310,179-COUNTA(半紙!$B$11:$B$310)),IF(179&lt;=COUNTA(半紙!$B$11:$B$310)+COUNTA(条幅!$B$11:$B$310)+COUNTA(条幅4分の1!$B$11:$B$310),INDEX(条幅4分の1!$B$11:$B$310,179-COUNTA(半紙!$B$11:$B$310)-COUNTA(条幅!$B$11:$B$310)),"")))=0,"",IF(179&lt;=COUNTA(半紙!$B$11:$B$310),INDEX(半紙!$B$11:$B$310,179),IF(179&lt;=COUNTA(半紙!$B$11:$B$310)+COUNTA(条幅!$B$11:$B$310),INDEX(条幅!$B$11:$B$310,179-COUNTA(半紙!$B$11:$B$310)),IF(179&lt;=COUNTA(半紙!$B$11:$B$310)+COUNTA(条幅!$B$11:$B$310)+COUNTA(条幅4分の1!$B$11:$B$310),INDEX(条幅4分の1!$B$11:$B$310,179-COUNTA(半紙!$B$11:$B$310)-COUNTA(条幅!$B$11:$B$310)),""))))</f>
        <v/>
      </c>
      <c r="C184" s="38" t="str">
        <f>IF(IF(179&lt;=COUNTA(半紙!$B$11:$B$310),INDEX(半紙!$C$11:$C$310,179),IF(179&lt;=COUNTA(半紙!$B$11:$B$310)+COUNTA(条幅!$B$11:$B$310),INDEX(条幅!$C$11:$C$310,179-COUNTA(半紙!$B$11:$B$310)),IF(179&lt;=COUNTA(半紙!$B$11:$B$310)+COUNTA(条幅!$B$11:$B$310)+COUNTA(条幅4分の1!$B$11:$B$310),INDEX(条幅4分の1!$C$11:$C$310,179-COUNTA(半紙!$B$11:$B$310)-COUNTA(条幅!$B$11:$B$310)),"")))=0,"",IF(179&lt;=COUNTA(半紙!$B$11:$B$310),INDEX(半紙!$C$11:$C$310,179),IF(179&lt;=COUNTA(半紙!$B$11:$B$310)+COUNTA(条幅!$B$11:$B$310),INDEX(条幅!$C$11:$C$310,179-COUNTA(半紙!$B$11:$B$310)),IF(179&lt;=COUNTA(半紙!$B$11:$B$310)+COUNTA(条幅!$B$11:$B$310)+COUNTA(条幅4分の1!$B$11:$B$310),INDEX(条幅4分の1!$C$11:$C$310,179-COUNTA(半紙!$B$11:$B$310)-COUNTA(条幅!$B$11:$B$310)),""))))</f>
        <v/>
      </c>
      <c r="D184" s="38" t="str">
        <f>IF(IF(179&lt;=COUNTA(半紙!$B$11:$B$310),INDEX(半紙!$D$11:$D$310,179),IF(179&lt;=COUNTA(半紙!$B$11:$B$310)+COUNTA(条幅!$B$11:$B$310),INDEX(条幅!$D$11:$D$310,179-COUNTA(半紙!$B$11:$B$310)),IF(179&lt;=COUNTA(半紙!$B$11:$B$310)+COUNTA(条幅!$B$11:$B$310)+COUNTA(条幅4分の1!$B$11:$B$310),INDEX(条幅4分の1!$D$11:$D$310,179-COUNTA(半紙!$B$11:$B$310)-COUNTA(条幅!$B$11:$B$310)),"")))=0,"",IF(179&lt;=COUNTA(半紙!$B$11:$B$310),INDEX(半紙!$D$11:$D$310,179),IF(179&lt;=COUNTA(半紙!$B$11:$B$310)+COUNTA(条幅!$B$11:$B$310),INDEX(条幅!$D$11:$D$310,179-COUNTA(半紙!$B$11:$B$310)),IF(179&lt;=COUNTA(半紙!$B$11:$B$310)+COUNTA(条幅!$B$11:$B$310)+COUNTA(条幅4分の1!$B$11:$B$310),INDEX(条幅4分の1!$D$11:$D$310,179-COUNTA(半紙!$B$11:$B$310)-COUNTA(条幅!$B$11:$B$310)),""))))</f>
        <v/>
      </c>
      <c r="E184" s="38" t="str">
        <f>IF(IF(179&lt;=COUNTA(半紙!$B$11:$B$310),INDEX(半紙!$E$11:$E$310,179),IF(179&lt;=COUNTA(半紙!$B$11:$B$310)+COUNTA(条幅!$B$11:$B$310),INDEX(条幅!$E$11:$E$310,179-COUNTA(半紙!$B$11:$B$310)),IF(179&lt;=COUNTA(半紙!$B$11:$B$310)+COUNTA(条幅!$B$11:$B$310)+COUNTA(条幅4分の1!$B$11:$B$310),INDEX(条幅4分の1!$E$11:$E$310,179-COUNTA(半紙!$B$11:$B$310)-COUNTA(条幅!$B$11:$B$310)),"")))=0,"",IF(179&lt;=COUNTA(半紙!$B$11:$B$310),INDEX(半紙!$E$11:$E$310,179),IF(179&lt;=COUNTA(半紙!$B$11:$B$310)+COUNTA(条幅!$B$11:$B$310),INDEX(条幅!$E$11:$E$310,179-COUNTA(半紙!$B$11:$B$310)),IF(179&lt;=COUNTA(半紙!$B$11:$B$310)+COUNTA(条幅!$B$11:$B$310)+COUNTA(条幅4分の1!$B$11:$B$310),INDEX(条幅4分の1!$E$11:$E$310,179-COUNTA(半紙!$B$11:$B$310)-COUNTA(条幅!$B$11:$B$310)),""))))</f>
        <v/>
      </c>
      <c r="F184" s="38" t="str">
        <f>IF(IF(179&lt;=COUNTA(半紙!$B$11:$B$310),INDEX(半紙!$F$11:$F$310,179),IF(179&lt;=COUNTA(半紙!$B$11:$B$310)+COUNTA(条幅!$B$11:$B$310),INDEX(条幅!$F$11:$F$310,179-COUNTA(半紙!$B$11:$B$310)),IF(179&lt;=COUNTA(半紙!$B$11:$B$310)+COUNTA(条幅!$B$11:$B$310)+COUNTA(条幅4分の1!$B$11:$B$310),INDEX(条幅4分の1!$F$11:$F$310,179-COUNTA(半紙!$B$11:$B$310)-COUNTA(条幅!$B$11:$B$310)),"")))=0,"",IF(179&lt;=COUNTA(半紙!$B$11:$B$310),INDEX(半紙!$F$11:$F$310,179),IF(179&lt;=COUNTA(半紙!$B$11:$B$310)+COUNTA(条幅!$B$11:$B$310),INDEX(条幅!$F$11:$F$310,179-COUNTA(半紙!$B$11:$B$310)),IF(179&lt;=COUNTA(半紙!$B$11:$B$310)+COUNTA(条幅!$B$11:$B$310)+COUNTA(条幅4分の1!$B$11:$B$310),INDEX(条幅4分の1!$F$11:$F$310,179-COUNTA(半紙!$B$11:$B$310)-COUNTA(条幅!$B$11:$B$310)),""))))</f>
        <v/>
      </c>
      <c r="G184" s="38" t="str">
        <f>IF(IF(179&lt;=COUNTA(半紙!$B$11:$B$310),INDEX(半紙!$G$11:$G$310,179),IF(179&lt;=COUNTA(半紙!$B$11:$B$310)+COUNTA(条幅!$B$11:$B$310),INDEX(条幅!$G$11:$G$310,179-COUNTA(半紙!$B$11:$B$310)),IF(179&lt;=COUNTA(半紙!$B$11:$B$310)+COUNTA(条幅!$B$11:$B$310)+COUNTA(条幅4分の1!$B$11:$B$310),INDEX(条幅4分の1!$G$11:$G$310,179-COUNTA(半紙!$B$11:$B$310)-COUNTA(条幅!$B$11:$B$310)),"")))=0,"",IF(179&lt;=COUNTA(半紙!$B$11:$B$310),INDEX(半紙!$G$11:$G$310,179),IF(179&lt;=COUNTA(半紙!$B$11:$B$310)+COUNTA(条幅!$B$11:$B$310),INDEX(条幅!$G$11:$G$310,179-COUNTA(半紙!$B$11:$B$310)),IF(179&lt;=COUNTA(半紙!$B$11:$B$310)+COUNTA(条幅!$B$11:$B$310)+COUNTA(条幅4分の1!$B$11:$B$310),INDEX(条幅4分の1!$G$11:$G$310,179-COUNTA(半紙!$B$11:$B$310)-COUNTA(条幅!$B$11:$B$310)),""))))</f>
        <v/>
      </c>
      <c r="H184" s="38" t="str">
        <f>IF(IF(179&lt;=COUNTA(半紙!$B$11:$B$310),INDEX(半紙!$H$11:$H$310,179),IF(179&lt;=COUNTA(半紙!$B$11:$B$310)+COUNTA(条幅!$B$11:$B$310),INDEX(条幅!$H$11:$H$310,179-COUNTA(半紙!$B$11:$B$310)),IF(179&lt;=COUNTA(半紙!$B$11:$B$310)+COUNTA(条幅!$B$11:$B$310)+COUNTA(条幅4分の1!$B$11:$B$310),INDEX(条幅4分の1!$H$11:$H$310,179-COUNTA(半紙!$B$11:$B$310)-COUNTA(条幅!$B$11:$B$310)),"")))=0,"",IF(179&lt;=COUNTA(半紙!$B$11:$B$310),INDEX(半紙!$H$11:$H$310,179),IF(179&lt;=COUNTA(半紙!$B$11:$B$310)+COUNTA(条幅!$B$11:$B$310),INDEX(条幅!$H$11:$H$310,179-COUNTA(半紙!$B$11:$B$310)),IF(179&lt;=COUNTA(半紙!$B$11:$B$310)+COUNTA(条幅!$B$11:$B$310)+COUNTA(条幅4分の1!$B$11:$B$310),INDEX(条幅4分の1!$H$11:$H$310,179-COUNTA(半紙!$B$11:$B$310)-COUNTA(条幅!$B$11:$B$310)),""))))</f>
        <v/>
      </c>
      <c r="I184" s="38" t="str">
        <f>IF(IF(179&lt;=COUNTA(半紙!$B$11:$B$310),INDEX(半紙!$I$11:$I$310,179),IF(179&lt;=COUNTA(半紙!$B$11:$B$310)+COUNTA(条幅!$B$11:$B$310),INDEX(条幅!$I$11:$I$310,179-COUNTA(半紙!$B$11:$B$310)),IF(179&lt;=COUNTA(半紙!$B$11:$B$310)+COUNTA(条幅!$B$11:$B$310)+COUNTA(条幅4分の1!$B$11:$B$310),INDEX(条幅4分の1!$I$11:$I$310,179-COUNTA(半紙!$B$11:$B$310)-COUNTA(条幅!$B$11:$B$310)),"")))=0,"",IF(179&lt;=COUNTA(半紙!$B$11:$B$310),INDEX(半紙!$I$11:$I$310,179),IF(179&lt;=COUNTA(半紙!$B$11:$B$310)+COUNTA(条幅!$B$11:$B$310),INDEX(条幅!$I$11:$I$310,179-COUNTA(半紙!$B$11:$B$310)),IF(179&lt;=COUNTA(半紙!$B$11:$B$310)+COUNTA(条幅!$B$11:$B$310)+COUNTA(条幅4分の1!$B$11:$B$310),INDEX(条幅4分の1!$I$11:$I$310,179-COUNTA(半紙!$B$11:$B$310)-COUNTA(条幅!$B$11:$B$310)),""))))</f>
        <v/>
      </c>
      <c r="J184" s="38" t="str">
        <f>IF(IF(179&lt;=COUNTA(半紙!$B$11:$B$310),INDEX(半紙!$J$11:$J$310,179),IF(179&lt;=COUNTA(半紙!$B$11:$B$310)+COUNTA(条幅!$B$11:$B$310),INDEX(条幅!$J$11:$J$310,179-COUNTA(半紙!$B$11:$B$310)),IF(179&lt;=COUNTA(半紙!$B$11:$B$310)+COUNTA(条幅!$B$11:$B$310)+COUNTA(条幅4分の1!$B$11:$B$310),INDEX(条幅4分の1!$J$11:$J$310,179-COUNTA(半紙!$B$11:$B$310)-COUNTA(条幅!$B$11:$B$310)),"")))=0,"",IF(179&lt;=COUNTA(半紙!$B$11:$B$310),INDEX(半紙!$J$11:$J$310,179),IF(179&lt;=COUNTA(半紙!$B$11:$B$310)+COUNTA(条幅!$B$11:$B$310),INDEX(条幅!$J$11:$J$310,179-COUNTA(半紙!$B$11:$B$310)),IF(179&lt;=COUNTA(半紙!$B$11:$B$310)+COUNTA(条幅!$B$11:$B$310)+COUNTA(条幅4分の1!$B$11:$B$310),INDEX(条幅4分の1!$J$11:$J$310,179-COUNTA(半紙!$B$11:$B$310)-COUNTA(条幅!$B$11:$B$310)),""))))</f>
        <v/>
      </c>
      <c r="K184" s="38" t="str">
        <f>IF(IF(179&lt;=COUNTA(半紙!$B$11:$B$310),INDEX(半紙!$K$11:$K$310,179),IF(179&lt;=COUNTA(半紙!$B$11:$B$310)+COUNTA(条幅!$B$11:$B$310),INDEX(条幅!$K$11:$K$310,179-COUNTA(半紙!$B$11:$B$310)),IF(179&lt;=COUNTA(半紙!$B$11:$B$310)+COUNTA(条幅!$B$11:$B$310)+COUNTA(条幅4分の1!$B$11:$B$310),INDEX(条幅4分の1!$K$11:$K$310,179-COUNTA(半紙!$B$11:$B$310)-COUNTA(条幅!$B$11:$B$310)),"")))=0,"",IF(179&lt;=COUNTA(半紙!$B$11:$B$310),INDEX(半紙!$K$11:$K$310,179),IF(179&lt;=COUNTA(半紙!$B$11:$B$310)+COUNTA(条幅!$B$11:$B$310),INDEX(条幅!$K$11:$K$310,179-COUNTA(半紙!$B$11:$B$310)),IF(179&lt;=COUNTA(半紙!$B$11:$B$310)+COUNTA(条幅!$B$11:$B$310)+COUNTA(条幅4分の1!$B$11:$B$310),INDEX(条幅4分の1!$K$11:$K$310,179-COUNTA(半紙!$B$11:$B$310)-COUNTA(条幅!$B$11:$B$310)),""))))</f>
        <v/>
      </c>
      <c r="L184" s="48" t="str">
        <f>IF($B184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179))</f>
        <v/>
      </c>
    </row>
    <row r="185" spans="1:12" ht="15" customHeight="1">
      <c r="A185" s="37" t="str">
        <f>IF(180&lt;=COUNTA(半紙!$B$11:$B$310),"半紙",IF(180&lt;=COUNTA(半紙!$B$11:$B$310)+COUNTA(条幅!$B$11:$B$310),"条幅(半切)",IF(180&lt;=COUNTA(半紙!$B$11:$B$310)+COUNTA(条幅!$B$11:$B$310)+COUNTA(条幅4分の1!$B$11:$B$310),"条幅(1/4)","")))</f>
        <v/>
      </c>
      <c r="B185" s="38" t="str">
        <f>IF(IF(180&lt;=COUNTA(半紙!$B$11:$B$310),INDEX(半紙!$B$11:$B$310,180),IF(180&lt;=COUNTA(半紙!$B$11:$B$310)+COUNTA(条幅!$B$11:$B$310),INDEX(条幅!$B$11:$B$310,180-COUNTA(半紙!$B$11:$B$310)),IF(180&lt;=COUNTA(半紙!$B$11:$B$310)+COUNTA(条幅!$B$11:$B$310)+COUNTA(条幅4分の1!$B$11:$B$310),INDEX(条幅4分の1!$B$11:$B$310,180-COUNTA(半紙!$B$11:$B$310)-COUNTA(条幅!$B$11:$B$310)),"")))=0,"",IF(180&lt;=COUNTA(半紙!$B$11:$B$310),INDEX(半紙!$B$11:$B$310,180),IF(180&lt;=COUNTA(半紙!$B$11:$B$310)+COUNTA(条幅!$B$11:$B$310),INDEX(条幅!$B$11:$B$310,180-COUNTA(半紙!$B$11:$B$310)),IF(180&lt;=COUNTA(半紙!$B$11:$B$310)+COUNTA(条幅!$B$11:$B$310)+COUNTA(条幅4分の1!$B$11:$B$310),INDEX(条幅4分の1!$B$11:$B$310,180-COUNTA(半紙!$B$11:$B$310)-COUNTA(条幅!$B$11:$B$310)),""))))</f>
        <v/>
      </c>
      <c r="C185" s="38" t="str">
        <f>IF(IF(180&lt;=COUNTA(半紙!$B$11:$B$310),INDEX(半紙!$C$11:$C$310,180),IF(180&lt;=COUNTA(半紙!$B$11:$B$310)+COUNTA(条幅!$B$11:$B$310),INDEX(条幅!$C$11:$C$310,180-COUNTA(半紙!$B$11:$B$310)),IF(180&lt;=COUNTA(半紙!$B$11:$B$310)+COUNTA(条幅!$B$11:$B$310)+COUNTA(条幅4分の1!$B$11:$B$310),INDEX(条幅4分の1!$C$11:$C$310,180-COUNTA(半紙!$B$11:$B$310)-COUNTA(条幅!$B$11:$B$310)),"")))=0,"",IF(180&lt;=COUNTA(半紙!$B$11:$B$310),INDEX(半紙!$C$11:$C$310,180),IF(180&lt;=COUNTA(半紙!$B$11:$B$310)+COUNTA(条幅!$B$11:$B$310),INDEX(条幅!$C$11:$C$310,180-COUNTA(半紙!$B$11:$B$310)),IF(180&lt;=COUNTA(半紙!$B$11:$B$310)+COUNTA(条幅!$B$11:$B$310)+COUNTA(条幅4分の1!$B$11:$B$310),INDEX(条幅4分の1!$C$11:$C$310,180-COUNTA(半紙!$B$11:$B$310)-COUNTA(条幅!$B$11:$B$310)),""))))</f>
        <v/>
      </c>
      <c r="D185" s="38" t="str">
        <f>IF(IF(180&lt;=COUNTA(半紙!$B$11:$B$310),INDEX(半紙!$D$11:$D$310,180),IF(180&lt;=COUNTA(半紙!$B$11:$B$310)+COUNTA(条幅!$B$11:$B$310),INDEX(条幅!$D$11:$D$310,180-COUNTA(半紙!$B$11:$B$310)),IF(180&lt;=COUNTA(半紙!$B$11:$B$310)+COUNTA(条幅!$B$11:$B$310)+COUNTA(条幅4分の1!$B$11:$B$310),INDEX(条幅4分の1!$D$11:$D$310,180-COUNTA(半紙!$B$11:$B$310)-COUNTA(条幅!$B$11:$B$310)),"")))=0,"",IF(180&lt;=COUNTA(半紙!$B$11:$B$310),INDEX(半紙!$D$11:$D$310,180),IF(180&lt;=COUNTA(半紙!$B$11:$B$310)+COUNTA(条幅!$B$11:$B$310),INDEX(条幅!$D$11:$D$310,180-COUNTA(半紙!$B$11:$B$310)),IF(180&lt;=COUNTA(半紙!$B$11:$B$310)+COUNTA(条幅!$B$11:$B$310)+COUNTA(条幅4分の1!$B$11:$B$310),INDEX(条幅4分の1!$D$11:$D$310,180-COUNTA(半紙!$B$11:$B$310)-COUNTA(条幅!$B$11:$B$310)),""))))</f>
        <v/>
      </c>
      <c r="E185" s="38" t="str">
        <f>IF(IF(180&lt;=COUNTA(半紙!$B$11:$B$310),INDEX(半紙!$E$11:$E$310,180),IF(180&lt;=COUNTA(半紙!$B$11:$B$310)+COUNTA(条幅!$B$11:$B$310),INDEX(条幅!$E$11:$E$310,180-COUNTA(半紙!$B$11:$B$310)),IF(180&lt;=COUNTA(半紙!$B$11:$B$310)+COUNTA(条幅!$B$11:$B$310)+COUNTA(条幅4分の1!$B$11:$B$310),INDEX(条幅4分の1!$E$11:$E$310,180-COUNTA(半紙!$B$11:$B$310)-COUNTA(条幅!$B$11:$B$310)),"")))=0,"",IF(180&lt;=COUNTA(半紙!$B$11:$B$310),INDEX(半紙!$E$11:$E$310,180),IF(180&lt;=COUNTA(半紙!$B$11:$B$310)+COUNTA(条幅!$B$11:$B$310),INDEX(条幅!$E$11:$E$310,180-COUNTA(半紙!$B$11:$B$310)),IF(180&lt;=COUNTA(半紙!$B$11:$B$310)+COUNTA(条幅!$B$11:$B$310)+COUNTA(条幅4分の1!$B$11:$B$310),INDEX(条幅4分の1!$E$11:$E$310,180-COUNTA(半紙!$B$11:$B$310)-COUNTA(条幅!$B$11:$B$310)),""))))</f>
        <v/>
      </c>
      <c r="F185" s="38" t="str">
        <f>IF(IF(180&lt;=COUNTA(半紙!$B$11:$B$310),INDEX(半紙!$F$11:$F$310,180),IF(180&lt;=COUNTA(半紙!$B$11:$B$310)+COUNTA(条幅!$B$11:$B$310),INDEX(条幅!$F$11:$F$310,180-COUNTA(半紙!$B$11:$B$310)),IF(180&lt;=COUNTA(半紙!$B$11:$B$310)+COUNTA(条幅!$B$11:$B$310)+COUNTA(条幅4分の1!$B$11:$B$310),INDEX(条幅4分の1!$F$11:$F$310,180-COUNTA(半紙!$B$11:$B$310)-COUNTA(条幅!$B$11:$B$310)),"")))=0,"",IF(180&lt;=COUNTA(半紙!$B$11:$B$310),INDEX(半紙!$F$11:$F$310,180),IF(180&lt;=COUNTA(半紙!$B$11:$B$310)+COUNTA(条幅!$B$11:$B$310),INDEX(条幅!$F$11:$F$310,180-COUNTA(半紙!$B$11:$B$310)),IF(180&lt;=COUNTA(半紙!$B$11:$B$310)+COUNTA(条幅!$B$11:$B$310)+COUNTA(条幅4分の1!$B$11:$B$310),INDEX(条幅4分の1!$F$11:$F$310,180-COUNTA(半紙!$B$11:$B$310)-COUNTA(条幅!$B$11:$B$310)),""))))</f>
        <v/>
      </c>
      <c r="G185" s="38" t="str">
        <f>IF(IF(180&lt;=COUNTA(半紙!$B$11:$B$310),INDEX(半紙!$G$11:$G$310,180),IF(180&lt;=COUNTA(半紙!$B$11:$B$310)+COUNTA(条幅!$B$11:$B$310),INDEX(条幅!$G$11:$G$310,180-COUNTA(半紙!$B$11:$B$310)),IF(180&lt;=COUNTA(半紙!$B$11:$B$310)+COUNTA(条幅!$B$11:$B$310)+COUNTA(条幅4分の1!$B$11:$B$310),INDEX(条幅4分の1!$G$11:$G$310,180-COUNTA(半紙!$B$11:$B$310)-COUNTA(条幅!$B$11:$B$310)),"")))=0,"",IF(180&lt;=COUNTA(半紙!$B$11:$B$310),INDEX(半紙!$G$11:$G$310,180),IF(180&lt;=COUNTA(半紙!$B$11:$B$310)+COUNTA(条幅!$B$11:$B$310),INDEX(条幅!$G$11:$G$310,180-COUNTA(半紙!$B$11:$B$310)),IF(180&lt;=COUNTA(半紙!$B$11:$B$310)+COUNTA(条幅!$B$11:$B$310)+COUNTA(条幅4分の1!$B$11:$B$310),INDEX(条幅4分の1!$G$11:$G$310,180-COUNTA(半紙!$B$11:$B$310)-COUNTA(条幅!$B$11:$B$310)),""))))</f>
        <v/>
      </c>
      <c r="H185" s="38" t="str">
        <f>IF(IF(180&lt;=COUNTA(半紙!$B$11:$B$310),INDEX(半紙!$H$11:$H$310,180),IF(180&lt;=COUNTA(半紙!$B$11:$B$310)+COUNTA(条幅!$B$11:$B$310),INDEX(条幅!$H$11:$H$310,180-COUNTA(半紙!$B$11:$B$310)),IF(180&lt;=COUNTA(半紙!$B$11:$B$310)+COUNTA(条幅!$B$11:$B$310)+COUNTA(条幅4分の1!$B$11:$B$310),INDEX(条幅4分の1!$H$11:$H$310,180-COUNTA(半紙!$B$11:$B$310)-COUNTA(条幅!$B$11:$B$310)),"")))=0,"",IF(180&lt;=COUNTA(半紙!$B$11:$B$310),INDEX(半紙!$H$11:$H$310,180),IF(180&lt;=COUNTA(半紙!$B$11:$B$310)+COUNTA(条幅!$B$11:$B$310),INDEX(条幅!$H$11:$H$310,180-COUNTA(半紙!$B$11:$B$310)),IF(180&lt;=COUNTA(半紙!$B$11:$B$310)+COUNTA(条幅!$B$11:$B$310)+COUNTA(条幅4分の1!$B$11:$B$310),INDEX(条幅4分の1!$H$11:$H$310,180-COUNTA(半紙!$B$11:$B$310)-COUNTA(条幅!$B$11:$B$310)),""))))</f>
        <v/>
      </c>
      <c r="I185" s="38" t="str">
        <f>IF(IF(180&lt;=COUNTA(半紙!$B$11:$B$310),INDEX(半紙!$I$11:$I$310,180),IF(180&lt;=COUNTA(半紙!$B$11:$B$310)+COUNTA(条幅!$B$11:$B$310),INDEX(条幅!$I$11:$I$310,180-COUNTA(半紙!$B$11:$B$310)),IF(180&lt;=COUNTA(半紙!$B$11:$B$310)+COUNTA(条幅!$B$11:$B$310)+COUNTA(条幅4分の1!$B$11:$B$310),INDEX(条幅4分の1!$I$11:$I$310,180-COUNTA(半紙!$B$11:$B$310)-COUNTA(条幅!$B$11:$B$310)),"")))=0,"",IF(180&lt;=COUNTA(半紙!$B$11:$B$310),INDEX(半紙!$I$11:$I$310,180),IF(180&lt;=COUNTA(半紙!$B$11:$B$310)+COUNTA(条幅!$B$11:$B$310),INDEX(条幅!$I$11:$I$310,180-COUNTA(半紙!$B$11:$B$310)),IF(180&lt;=COUNTA(半紙!$B$11:$B$310)+COUNTA(条幅!$B$11:$B$310)+COUNTA(条幅4分の1!$B$11:$B$310),INDEX(条幅4分の1!$I$11:$I$310,180-COUNTA(半紙!$B$11:$B$310)-COUNTA(条幅!$B$11:$B$310)),""))))</f>
        <v/>
      </c>
      <c r="J185" s="38" t="str">
        <f>IF(IF(180&lt;=COUNTA(半紙!$B$11:$B$310),INDEX(半紙!$J$11:$J$310,180),IF(180&lt;=COUNTA(半紙!$B$11:$B$310)+COUNTA(条幅!$B$11:$B$310),INDEX(条幅!$J$11:$J$310,180-COUNTA(半紙!$B$11:$B$310)),IF(180&lt;=COUNTA(半紙!$B$11:$B$310)+COUNTA(条幅!$B$11:$B$310)+COUNTA(条幅4分の1!$B$11:$B$310),INDEX(条幅4分の1!$J$11:$J$310,180-COUNTA(半紙!$B$11:$B$310)-COUNTA(条幅!$B$11:$B$310)),"")))=0,"",IF(180&lt;=COUNTA(半紙!$B$11:$B$310),INDEX(半紙!$J$11:$J$310,180),IF(180&lt;=COUNTA(半紙!$B$11:$B$310)+COUNTA(条幅!$B$11:$B$310),INDEX(条幅!$J$11:$J$310,180-COUNTA(半紙!$B$11:$B$310)),IF(180&lt;=COUNTA(半紙!$B$11:$B$310)+COUNTA(条幅!$B$11:$B$310)+COUNTA(条幅4分の1!$B$11:$B$310),INDEX(条幅4分の1!$J$11:$J$310,180-COUNTA(半紙!$B$11:$B$310)-COUNTA(条幅!$B$11:$B$310)),""))))</f>
        <v/>
      </c>
      <c r="K185" s="38" t="str">
        <f>IF(IF(180&lt;=COUNTA(半紙!$B$11:$B$310),INDEX(半紙!$K$11:$K$310,180),IF(180&lt;=COUNTA(半紙!$B$11:$B$310)+COUNTA(条幅!$B$11:$B$310),INDEX(条幅!$K$11:$K$310,180-COUNTA(半紙!$B$11:$B$310)),IF(180&lt;=COUNTA(半紙!$B$11:$B$310)+COUNTA(条幅!$B$11:$B$310)+COUNTA(条幅4分の1!$B$11:$B$310),INDEX(条幅4分の1!$K$11:$K$310,180-COUNTA(半紙!$B$11:$B$310)-COUNTA(条幅!$B$11:$B$310)),"")))=0,"",IF(180&lt;=COUNTA(半紙!$B$11:$B$310),INDEX(半紙!$K$11:$K$310,180),IF(180&lt;=COUNTA(半紙!$B$11:$B$310)+COUNTA(条幅!$B$11:$B$310),INDEX(条幅!$K$11:$K$310,180-COUNTA(半紙!$B$11:$B$310)),IF(180&lt;=COUNTA(半紙!$B$11:$B$310)+COUNTA(条幅!$B$11:$B$310)+COUNTA(条幅4分の1!$B$11:$B$310),INDEX(条幅4分の1!$K$11:$K$310,180-COUNTA(半紙!$B$11:$B$310)-COUNTA(条幅!$B$11:$B$310)),""))))</f>
        <v/>
      </c>
      <c r="L185" s="48" t="str">
        <f>IF($B185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180))</f>
        <v/>
      </c>
    </row>
    <row r="186" spans="1:12" ht="15" customHeight="1">
      <c r="A186" s="37" t="str">
        <f>IF(181&lt;=COUNTA(半紙!$B$11:$B$310),"半紙",IF(181&lt;=COUNTA(半紙!$B$11:$B$310)+COUNTA(条幅!$B$11:$B$310),"条幅(半切)",IF(181&lt;=COUNTA(半紙!$B$11:$B$310)+COUNTA(条幅!$B$11:$B$310)+COUNTA(条幅4分の1!$B$11:$B$310),"条幅(1/4)","")))</f>
        <v/>
      </c>
      <c r="B186" s="38" t="str">
        <f>IF(IF(181&lt;=COUNTA(半紙!$B$11:$B$310),INDEX(半紙!$B$11:$B$310,181),IF(181&lt;=COUNTA(半紙!$B$11:$B$310)+COUNTA(条幅!$B$11:$B$310),INDEX(条幅!$B$11:$B$310,181-COUNTA(半紙!$B$11:$B$310)),IF(181&lt;=COUNTA(半紙!$B$11:$B$310)+COUNTA(条幅!$B$11:$B$310)+COUNTA(条幅4分の1!$B$11:$B$310),INDEX(条幅4分の1!$B$11:$B$310,181-COUNTA(半紙!$B$11:$B$310)-COUNTA(条幅!$B$11:$B$310)),"")))=0,"",IF(181&lt;=COUNTA(半紙!$B$11:$B$310),INDEX(半紙!$B$11:$B$310,181),IF(181&lt;=COUNTA(半紙!$B$11:$B$310)+COUNTA(条幅!$B$11:$B$310),INDEX(条幅!$B$11:$B$310,181-COUNTA(半紙!$B$11:$B$310)),IF(181&lt;=COUNTA(半紙!$B$11:$B$310)+COUNTA(条幅!$B$11:$B$310)+COUNTA(条幅4分の1!$B$11:$B$310),INDEX(条幅4分の1!$B$11:$B$310,181-COUNTA(半紙!$B$11:$B$310)-COUNTA(条幅!$B$11:$B$310)),""))))</f>
        <v/>
      </c>
      <c r="C186" s="38" t="str">
        <f>IF(IF(181&lt;=COUNTA(半紙!$B$11:$B$310),INDEX(半紙!$C$11:$C$310,181),IF(181&lt;=COUNTA(半紙!$B$11:$B$310)+COUNTA(条幅!$B$11:$B$310),INDEX(条幅!$C$11:$C$310,181-COUNTA(半紙!$B$11:$B$310)),IF(181&lt;=COUNTA(半紙!$B$11:$B$310)+COUNTA(条幅!$B$11:$B$310)+COUNTA(条幅4分の1!$B$11:$B$310),INDEX(条幅4分の1!$C$11:$C$310,181-COUNTA(半紙!$B$11:$B$310)-COUNTA(条幅!$B$11:$B$310)),"")))=0,"",IF(181&lt;=COUNTA(半紙!$B$11:$B$310),INDEX(半紙!$C$11:$C$310,181),IF(181&lt;=COUNTA(半紙!$B$11:$B$310)+COUNTA(条幅!$B$11:$B$310),INDEX(条幅!$C$11:$C$310,181-COUNTA(半紙!$B$11:$B$310)),IF(181&lt;=COUNTA(半紙!$B$11:$B$310)+COUNTA(条幅!$B$11:$B$310)+COUNTA(条幅4分の1!$B$11:$B$310),INDEX(条幅4分の1!$C$11:$C$310,181-COUNTA(半紙!$B$11:$B$310)-COUNTA(条幅!$B$11:$B$310)),""))))</f>
        <v/>
      </c>
      <c r="D186" s="38" t="str">
        <f>IF(IF(181&lt;=COUNTA(半紙!$B$11:$B$310),INDEX(半紙!$D$11:$D$310,181),IF(181&lt;=COUNTA(半紙!$B$11:$B$310)+COUNTA(条幅!$B$11:$B$310),INDEX(条幅!$D$11:$D$310,181-COUNTA(半紙!$B$11:$B$310)),IF(181&lt;=COUNTA(半紙!$B$11:$B$310)+COUNTA(条幅!$B$11:$B$310)+COUNTA(条幅4分の1!$B$11:$B$310),INDEX(条幅4分の1!$D$11:$D$310,181-COUNTA(半紙!$B$11:$B$310)-COUNTA(条幅!$B$11:$B$310)),"")))=0,"",IF(181&lt;=COUNTA(半紙!$B$11:$B$310),INDEX(半紙!$D$11:$D$310,181),IF(181&lt;=COUNTA(半紙!$B$11:$B$310)+COUNTA(条幅!$B$11:$B$310),INDEX(条幅!$D$11:$D$310,181-COUNTA(半紙!$B$11:$B$310)),IF(181&lt;=COUNTA(半紙!$B$11:$B$310)+COUNTA(条幅!$B$11:$B$310)+COUNTA(条幅4分の1!$B$11:$B$310),INDEX(条幅4分の1!$D$11:$D$310,181-COUNTA(半紙!$B$11:$B$310)-COUNTA(条幅!$B$11:$B$310)),""))))</f>
        <v/>
      </c>
      <c r="E186" s="38" t="str">
        <f>IF(IF(181&lt;=COUNTA(半紙!$B$11:$B$310),INDEX(半紙!$E$11:$E$310,181),IF(181&lt;=COUNTA(半紙!$B$11:$B$310)+COUNTA(条幅!$B$11:$B$310),INDEX(条幅!$E$11:$E$310,181-COUNTA(半紙!$B$11:$B$310)),IF(181&lt;=COUNTA(半紙!$B$11:$B$310)+COUNTA(条幅!$B$11:$B$310)+COUNTA(条幅4分の1!$B$11:$B$310),INDEX(条幅4分の1!$E$11:$E$310,181-COUNTA(半紙!$B$11:$B$310)-COUNTA(条幅!$B$11:$B$310)),"")))=0,"",IF(181&lt;=COUNTA(半紙!$B$11:$B$310),INDEX(半紙!$E$11:$E$310,181),IF(181&lt;=COUNTA(半紙!$B$11:$B$310)+COUNTA(条幅!$B$11:$B$310),INDEX(条幅!$E$11:$E$310,181-COUNTA(半紙!$B$11:$B$310)),IF(181&lt;=COUNTA(半紙!$B$11:$B$310)+COUNTA(条幅!$B$11:$B$310)+COUNTA(条幅4分の1!$B$11:$B$310),INDEX(条幅4分の1!$E$11:$E$310,181-COUNTA(半紙!$B$11:$B$310)-COUNTA(条幅!$B$11:$B$310)),""))))</f>
        <v/>
      </c>
      <c r="F186" s="38" t="str">
        <f>IF(IF(181&lt;=COUNTA(半紙!$B$11:$B$310),INDEX(半紙!$F$11:$F$310,181),IF(181&lt;=COUNTA(半紙!$B$11:$B$310)+COUNTA(条幅!$B$11:$B$310),INDEX(条幅!$F$11:$F$310,181-COUNTA(半紙!$B$11:$B$310)),IF(181&lt;=COUNTA(半紙!$B$11:$B$310)+COUNTA(条幅!$B$11:$B$310)+COUNTA(条幅4分の1!$B$11:$B$310),INDEX(条幅4分の1!$F$11:$F$310,181-COUNTA(半紙!$B$11:$B$310)-COUNTA(条幅!$B$11:$B$310)),"")))=0,"",IF(181&lt;=COUNTA(半紙!$B$11:$B$310),INDEX(半紙!$F$11:$F$310,181),IF(181&lt;=COUNTA(半紙!$B$11:$B$310)+COUNTA(条幅!$B$11:$B$310),INDEX(条幅!$F$11:$F$310,181-COUNTA(半紙!$B$11:$B$310)),IF(181&lt;=COUNTA(半紙!$B$11:$B$310)+COUNTA(条幅!$B$11:$B$310)+COUNTA(条幅4分の1!$B$11:$B$310),INDEX(条幅4分の1!$F$11:$F$310,181-COUNTA(半紙!$B$11:$B$310)-COUNTA(条幅!$B$11:$B$310)),""))))</f>
        <v/>
      </c>
      <c r="G186" s="38" t="str">
        <f>IF(IF(181&lt;=COUNTA(半紙!$B$11:$B$310),INDEX(半紙!$G$11:$G$310,181),IF(181&lt;=COUNTA(半紙!$B$11:$B$310)+COUNTA(条幅!$B$11:$B$310),INDEX(条幅!$G$11:$G$310,181-COUNTA(半紙!$B$11:$B$310)),IF(181&lt;=COUNTA(半紙!$B$11:$B$310)+COUNTA(条幅!$B$11:$B$310)+COUNTA(条幅4分の1!$B$11:$B$310),INDEX(条幅4分の1!$G$11:$G$310,181-COUNTA(半紙!$B$11:$B$310)-COUNTA(条幅!$B$11:$B$310)),"")))=0,"",IF(181&lt;=COUNTA(半紙!$B$11:$B$310),INDEX(半紙!$G$11:$G$310,181),IF(181&lt;=COUNTA(半紙!$B$11:$B$310)+COUNTA(条幅!$B$11:$B$310),INDEX(条幅!$G$11:$G$310,181-COUNTA(半紙!$B$11:$B$310)),IF(181&lt;=COUNTA(半紙!$B$11:$B$310)+COUNTA(条幅!$B$11:$B$310)+COUNTA(条幅4分の1!$B$11:$B$310),INDEX(条幅4分の1!$G$11:$G$310,181-COUNTA(半紙!$B$11:$B$310)-COUNTA(条幅!$B$11:$B$310)),""))))</f>
        <v/>
      </c>
      <c r="H186" s="38" t="str">
        <f>IF(IF(181&lt;=COUNTA(半紙!$B$11:$B$310),INDEX(半紙!$H$11:$H$310,181),IF(181&lt;=COUNTA(半紙!$B$11:$B$310)+COUNTA(条幅!$B$11:$B$310),INDEX(条幅!$H$11:$H$310,181-COUNTA(半紙!$B$11:$B$310)),IF(181&lt;=COUNTA(半紙!$B$11:$B$310)+COUNTA(条幅!$B$11:$B$310)+COUNTA(条幅4分の1!$B$11:$B$310),INDEX(条幅4分の1!$H$11:$H$310,181-COUNTA(半紙!$B$11:$B$310)-COUNTA(条幅!$B$11:$B$310)),"")))=0,"",IF(181&lt;=COUNTA(半紙!$B$11:$B$310),INDEX(半紙!$H$11:$H$310,181),IF(181&lt;=COUNTA(半紙!$B$11:$B$310)+COUNTA(条幅!$B$11:$B$310),INDEX(条幅!$H$11:$H$310,181-COUNTA(半紙!$B$11:$B$310)),IF(181&lt;=COUNTA(半紙!$B$11:$B$310)+COUNTA(条幅!$B$11:$B$310)+COUNTA(条幅4分の1!$B$11:$B$310),INDEX(条幅4分の1!$H$11:$H$310,181-COUNTA(半紙!$B$11:$B$310)-COUNTA(条幅!$B$11:$B$310)),""))))</f>
        <v/>
      </c>
      <c r="I186" s="38" t="str">
        <f>IF(IF(181&lt;=COUNTA(半紙!$B$11:$B$310),INDEX(半紙!$I$11:$I$310,181),IF(181&lt;=COUNTA(半紙!$B$11:$B$310)+COUNTA(条幅!$B$11:$B$310),INDEX(条幅!$I$11:$I$310,181-COUNTA(半紙!$B$11:$B$310)),IF(181&lt;=COUNTA(半紙!$B$11:$B$310)+COUNTA(条幅!$B$11:$B$310)+COUNTA(条幅4分の1!$B$11:$B$310),INDEX(条幅4分の1!$I$11:$I$310,181-COUNTA(半紙!$B$11:$B$310)-COUNTA(条幅!$B$11:$B$310)),"")))=0,"",IF(181&lt;=COUNTA(半紙!$B$11:$B$310),INDEX(半紙!$I$11:$I$310,181),IF(181&lt;=COUNTA(半紙!$B$11:$B$310)+COUNTA(条幅!$B$11:$B$310),INDEX(条幅!$I$11:$I$310,181-COUNTA(半紙!$B$11:$B$310)),IF(181&lt;=COUNTA(半紙!$B$11:$B$310)+COUNTA(条幅!$B$11:$B$310)+COUNTA(条幅4分の1!$B$11:$B$310),INDEX(条幅4分の1!$I$11:$I$310,181-COUNTA(半紙!$B$11:$B$310)-COUNTA(条幅!$B$11:$B$310)),""))))</f>
        <v/>
      </c>
      <c r="J186" s="38" t="str">
        <f>IF(IF(181&lt;=COUNTA(半紙!$B$11:$B$310),INDEX(半紙!$J$11:$J$310,181),IF(181&lt;=COUNTA(半紙!$B$11:$B$310)+COUNTA(条幅!$B$11:$B$310),INDEX(条幅!$J$11:$J$310,181-COUNTA(半紙!$B$11:$B$310)),IF(181&lt;=COUNTA(半紙!$B$11:$B$310)+COUNTA(条幅!$B$11:$B$310)+COUNTA(条幅4分の1!$B$11:$B$310),INDEX(条幅4分の1!$J$11:$J$310,181-COUNTA(半紙!$B$11:$B$310)-COUNTA(条幅!$B$11:$B$310)),"")))=0,"",IF(181&lt;=COUNTA(半紙!$B$11:$B$310),INDEX(半紙!$J$11:$J$310,181),IF(181&lt;=COUNTA(半紙!$B$11:$B$310)+COUNTA(条幅!$B$11:$B$310),INDEX(条幅!$J$11:$J$310,181-COUNTA(半紙!$B$11:$B$310)),IF(181&lt;=COUNTA(半紙!$B$11:$B$310)+COUNTA(条幅!$B$11:$B$310)+COUNTA(条幅4分の1!$B$11:$B$310),INDEX(条幅4分の1!$J$11:$J$310,181-COUNTA(半紙!$B$11:$B$310)-COUNTA(条幅!$B$11:$B$310)),""))))</f>
        <v/>
      </c>
      <c r="K186" s="38" t="str">
        <f>IF(IF(181&lt;=COUNTA(半紙!$B$11:$B$310),INDEX(半紙!$K$11:$K$310,181),IF(181&lt;=COUNTA(半紙!$B$11:$B$310)+COUNTA(条幅!$B$11:$B$310),INDEX(条幅!$K$11:$K$310,181-COUNTA(半紙!$B$11:$B$310)),IF(181&lt;=COUNTA(半紙!$B$11:$B$310)+COUNTA(条幅!$B$11:$B$310)+COUNTA(条幅4分の1!$B$11:$B$310),INDEX(条幅4分の1!$K$11:$K$310,181-COUNTA(半紙!$B$11:$B$310)-COUNTA(条幅!$B$11:$B$310)),"")))=0,"",IF(181&lt;=COUNTA(半紙!$B$11:$B$310),INDEX(半紙!$K$11:$K$310,181),IF(181&lt;=COUNTA(半紙!$B$11:$B$310)+COUNTA(条幅!$B$11:$B$310),INDEX(条幅!$K$11:$K$310,181-COUNTA(半紙!$B$11:$B$310)),IF(181&lt;=COUNTA(半紙!$B$11:$B$310)+COUNTA(条幅!$B$11:$B$310)+COUNTA(条幅4分の1!$B$11:$B$310),INDEX(条幅4分の1!$K$11:$K$310,181-COUNTA(半紙!$B$11:$B$310)-COUNTA(条幅!$B$11:$B$310)),""))))</f>
        <v/>
      </c>
      <c r="L186" s="48" t="str">
        <f>IF($B186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181))</f>
        <v/>
      </c>
    </row>
    <row r="187" spans="1:12" ht="15" customHeight="1">
      <c r="A187" s="37" t="str">
        <f>IF(182&lt;=COUNTA(半紙!$B$11:$B$310),"半紙",IF(182&lt;=COUNTA(半紙!$B$11:$B$310)+COUNTA(条幅!$B$11:$B$310),"条幅(半切)",IF(182&lt;=COUNTA(半紙!$B$11:$B$310)+COUNTA(条幅!$B$11:$B$310)+COUNTA(条幅4分の1!$B$11:$B$310),"条幅(1/4)","")))</f>
        <v/>
      </c>
      <c r="B187" s="38" t="str">
        <f>IF(IF(182&lt;=COUNTA(半紙!$B$11:$B$310),INDEX(半紙!$B$11:$B$310,182),IF(182&lt;=COUNTA(半紙!$B$11:$B$310)+COUNTA(条幅!$B$11:$B$310),INDEX(条幅!$B$11:$B$310,182-COUNTA(半紙!$B$11:$B$310)),IF(182&lt;=COUNTA(半紙!$B$11:$B$310)+COUNTA(条幅!$B$11:$B$310)+COUNTA(条幅4分の1!$B$11:$B$310),INDEX(条幅4分の1!$B$11:$B$310,182-COUNTA(半紙!$B$11:$B$310)-COUNTA(条幅!$B$11:$B$310)),"")))=0,"",IF(182&lt;=COUNTA(半紙!$B$11:$B$310),INDEX(半紙!$B$11:$B$310,182),IF(182&lt;=COUNTA(半紙!$B$11:$B$310)+COUNTA(条幅!$B$11:$B$310),INDEX(条幅!$B$11:$B$310,182-COUNTA(半紙!$B$11:$B$310)),IF(182&lt;=COUNTA(半紙!$B$11:$B$310)+COUNTA(条幅!$B$11:$B$310)+COUNTA(条幅4分の1!$B$11:$B$310),INDEX(条幅4分の1!$B$11:$B$310,182-COUNTA(半紙!$B$11:$B$310)-COUNTA(条幅!$B$11:$B$310)),""))))</f>
        <v/>
      </c>
      <c r="C187" s="38" t="str">
        <f>IF(IF(182&lt;=COUNTA(半紙!$B$11:$B$310),INDEX(半紙!$C$11:$C$310,182),IF(182&lt;=COUNTA(半紙!$B$11:$B$310)+COUNTA(条幅!$B$11:$B$310),INDEX(条幅!$C$11:$C$310,182-COUNTA(半紙!$B$11:$B$310)),IF(182&lt;=COUNTA(半紙!$B$11:$B$310)+COUNTA(条幅!$B$11:$B$310)+COUNTA(条幅4分の1!$B$11:$B$310),INDEX(条幅4分の1!$C$11:$C$310,182-COUNTA(半紙!$B$11:$B$310)-COUNTA(条幅!$B$11:$B$310)),"")))=0,"",IF(182&lt;=COUNTA(半紙!$B$11:$B$310),INDEX(半紙!$C$11:$C$310,182),IF(182&lt;=COUNTA(半紙!$B$11:$B$310)+COUNTA(条幅!$B$11:$B$310),INDEX(条幅!$C$11:$C$310,182-COUNTA(半紙!$B$11:$B$310)),IF(182&lt;=COUNTA(半紙!$B$11:$B$310)+COUNTA(条幅!$B$11:$B$310)+COUNTA(条幅4分の1!$B$11:$B$310),INDEX(条幅4分の1!$C$11:$C$310,182-COUNTA(半紙!$B$11:$B$310)-COUNTA(条幅!$B$11:$B$310)),""))))</f>
        <v/>
      </c>
      <c r="D187" s="38" t="str">
        <f>IF(IF(182&lt;=COUNTA(半紙!$B$11:$B$310),INDEX(半紙!$D$11:$D$310,182),IF(182&lt;=COUNTA(半紙!$B$11:$B$310)+COUNTA(条幅!$B$11:$B$310),INDEX(条幅!$D$11:$D$310,182-COUNTA(半紙!$B$11:$B$310)),IF(182&lt;=COUNTA(半紙!$B$11:$B$310)+COUNTA(条幅!$B$11:$B$310)+COUNTA(条幅4分の1!$B$11:$B$310),INDEX(条幅4分の1!$D$11:$D$310,182-COUNTA(半紙!$B$11:$B$310)-COUNTA(条幅!$B$11:$B$310)),"")))=0,"",IF(182&lt;=COUNTA(半紙!$B$11:$B$310),INDEX(半紙!$D$11:$D$310,182),IF(182&lt;=COUNTA(半紙!$B$11:$B$310)+COUNTA(条幅!$B$11:$B$310),INDEX(条幅!$D$11:$D$310,182-COUNTA(半紙!$B$11:$B$310)),IF(182&lt;=COUNTA(半紙!$B$11:$B$310)+COUNTA(条幅!$B$11:$B$310)+COUNTA(条幅4分の1!$B$11:$B$310),INDEX(条幅4分の1!$D$11:$D$310,182-COUNTA(半紙!$B$11:$B$310)-COUNTA(条幅!$B$11:$B$310)),""))))</f>
        <v/>
      </c>
      <c r="E187" s="38" t="str">
        <f>IF(IF(182&lt;=COUNTA(半紙!$B$11:$B$310),INDEX(半紙!$E$11:$E$310,182),IF(182&lt;=COUNTA(半紙!$B$11:$B$310)+COUNTA(条幅!$B$11:$B$310),INDEX(条幅!$E$11:$E$310,182-COUNTA(半紙!$B$11:$B$310)),IF(182&lt;=COUNTA(半紙!$B$11:$B$310)+COUNTA(条幅!$B$11:$B$310)+COUNTA(条幅4分の1!$B$11:$B$310),INDEX(条幅4分の1!$E$11:$E$310,182-COUNTA(半紙!$B$11:$B$310)-COUNTA(条幅!$B$11:$B$310)),"")))=0,"",IF(182&lt;=COUNTA(半紙!$B$11:$B$310),INDEX(半紙!$E$11:$E$310,182),IF(182&lt;=COUNTA(半紙!$B$11:$B$310)+COUNTA(条幅!$B$11:$B$310),INDEX(条幅!$E$11:$E$310,182-COUNTA(半紙!$B$11:$B$310)),IF(182&lt;=COUNTA(半紙!$B$11:$B$310)+COUNTA(条幅!$B$11:$B$310)+COUNTA(条幅4分の1!$B$11:$B$310),INDEX(条幅4分の1!$E$11:$E$310,182-COUNTA(半紙!$B$11:$B$310)-COUNTA(条幅!$B$11:$B$310)),""))))</f>
        <v/>
      </c>
      <c r="F187" s="38" t="str">
        <f>IF(IF(182&lt;=COUNTA(半紙!$B$11:$B$310),INDEX(半紙!$F$11:$F$310,182),IF(182&lt;=COUNTA(半紙!$B$11:$B$310)+COUNTA(条幅!$B$11:$B$310),INDEX(条幅!$F$11:$F$310,182-COUNTA(半紙!$B$11:$B$310)),IF(182&lt;=COUNTA(半紙!$B$11:$B$310)+COUNTA(条幅!$B$11:$B$310)+COUNTA(条幅4分の1!$B$11:$B$310),INDEX(条幅4分の1!$F$11:$F$310,182-COUNTA(半紙!$B$11:$B$310)-COUNTA(条幅!$B$11:$B$310)),"")))=0,"",IF(182&lt;=COUNTA(半紙!$B$11:$B$310),INDEX(半紙!$F$11:$F$310,182),IF(182&lt;=COUNTA(半紙!$B$11:$B$310)+COUNTA(条幅!$B$11:$B$310),INDEX(条幅!$F$11:$F$310,182-COUNTA(半紙!$B$11:$B$310)),IF(182&lt;=COUNTA(半紙!$B$11:$B$310)+COUNTA(条幅!$B$11:$B$310)+COUNTA(条幅4分の1!$B$11:$B$310),INDEX(条幅4分の1!$F$11:$F$310,182-COUNTA(半紙!$B$11:$B$310)-COUNTA(条幅!$B$11:$B$310)),""))))</f>
        <v/>
      </c>
      <c r="G187" s="38" t="str">
        <f>IF(IF(182&lt;=COUNTA(半紙!$B$11:$B$310),INDEX(半紙!$G$11:$G$310,182),IF(182&lt;=COUNTA(半紙!$B$11:$B$310)+COUNTA(条幅!$B$11:$B$310),INDEX(条幅!$G$11:$G$310,182-COUNTA(半紙!$B$11:$B$310)),IF(182&lt;=COUNTA(半紙!$B$11:$B$310)+COUNTA(条幅!$B$11:$B$310)+COUNTA(条幅4分の1!$B$11:$B$310),INDEX(条幅4分の1!$G$11:$G$310,182-COUNTA(半紙!$B$11:$B$310)-COUNTA(条幅!$B$11:$B$310)),"")))=0,"",IF(182&lt;=COUNTA(半紙!$B$11:$B$310),INDEX(半紙!$G$11:$G$310,182),IF(182&lt;=COUNTA(半紙!$B$11:$B$310)+COUNTA(条幅!$B$11:$B$310),INDEX(条幅!$G$11:$G$310,182-COUNTA(半紙!$B$11:$B$310)),IF(182&lt;=COUNTA(半紙!$B$11:$B$310)+COUNTA(条幅!$B$11:$B$310)+COUNTA(条幅4分の1!$B$11:$B$310),INDEX(条幅4分の1!$G$11:$G$310,182-COUNTA(半紙!$B$11:$B$310)-COUNTA(条幅!$B$11:$B$310)),""))))</f>
        <v/>
      </c>
      <c r="H187" s="38" t="str">
        <f>IF(IF(182&lt;=COUNTA(半紙!$B$11:$B$310),INDEX(半紙!$H$11:$H$310,182),IF(182&lt;=COUNTA(半紙!$B$11:$B$310)+COUNTA(条幅!$B$11:$B$310),INDEX(条幅!$H$11:$H$310,182-COUNTA(半紙!$B$11:$B$310)),IF(182&lt;=COUNTA(半紙!$B$11:$B$310)+COUNTA(条幅!$B$11:$B$310)+COUNTA(条幅4分の1!$B$11:$B$310),INDEX(条幅4分の1!$H$11:$H$310,182-COUNTA(半紙!$B$11:$B$310)-COUNTA(条幅!$B$11:$B$310)),"")))=0,"",IF(182&lt;=COUNTA(半紙!$B$11:$B$310),INDEX(半紙!$H$11:$H$310,182),IF(182&lt;=COUNTA(半紙!$B$11:$B$310)+COUNTA(条幅!$B$11:$B$310),INDEX(条幅!$H$11:$H$310,182-COUNTA(半紙!$B$11:$B$310)),IF(182&lt;=COUNTA(半紙!$B$11:$B$310)+COUNTA(条幅!$B$11:$B$310)+COUNTA(条幅4分の1!$B$11:$B$310),INDEX(条幅4分の1!$H$11:$H$310,182-COUNTA(半紙!$B$11:$B$310)-COUNTA(条幅!$B$11:$B$310)),""))))</f>
        <v/>
      </c>
      <c r="I187" s="38" t="str">
        <f>IF(IF(182&lt;=COUNTA(半紙!$B$11:$B$310),INDEX(半紙!$I$11:$I$310,182),IF(182&lt;=COUNTA(半紙!$B$11:$B$310)+COUNTA(条幅!$B$11:$B$310),INDEX(条幅!$I$11:$I$310,182-COUNTA(半紙!$B$11:$B$310)),IF(182&lt;=COUNTA(半紙!$B$11:$B$310)+COUNTA(条幅!$B$11:$B$310)+COUNTA(条幅4分の1!$B$11:$B$310),INDEX(条幅4分の1!$I$11:$I$310,182-COUNTA(半紙!$B$11:$B$310)-COUNTA(条幅!$B$11:$B$310)),"")))=0,"",IF(182&lt;=COUNTA(半紙!$B$11:$B$310),INDEX(半紙!$I$11:$I$310,182),IF(182&lt;=COUNTA(半紙!$B$11:$B$310)+COUNTA(条幅!$B$11:$B$310),INDEX(条幅!$I$11:$I$310,182-COUNTA(半紙!$B$11:$B$310)),IF(182&lt;=COUNTA(半紙!$B$11:$B$310)+COUNTA(条幅!$B$11:$B$310)+COUNTA(条幅4分の1!$B$11:$B$310),INDEX(条幅4分の1!$I$11:$I$310,182-COUNTA(半紙!$B$11:$B$310)-COUNTA(条幅!$B$11:$B$310)),""))))</f>
        <v/>
      </c>
      <c r="J187" s="38" t="str">
        <f>IF(IF(182&lt;=COUNTA(半紙!$B$11:$B$310),INDEX(半紙!$J$11:$J$310,182),IF(182&lt;=COUNTA(半紙!$B$11:$B$310)+COUNTA(条幅!$B$11:$B$310),INDEX(条幅!$J$11:$J$310,182-COUNTA(半紙!$B$11:$B$310)),IF(182&lt;=COUNTA(半紙!$B$11:$B$310)+COUNTA(条幅!$B$11:$B$310)+COUNTA(条幅4分の1!$B$11:$B$310),INDEX(条幅4分の1!$J$11:$J$310,182-COUNTA(半紙!$B$11:$B$310)-COUNTA(条幅!$B$11:$B$310)),"")))=0,"",IF(182&lt;=COUNTA(半紙!$B$11:$B$310),INDEX(半紙!$J$11:$J$310,182),IF(182&lt;=COUNTA(半紙!$B$11:$B$310)+COUNTA(条幅!$B$11:$B$310),INDEX(条幅!$J$11:$J$310,182-COUNTA(半紙!$B$11:$B$310)),IF(182&lt;=COUNTA(半紙!$B$11:$B$310)+COUNTA(条幅!$B$11:$B$310)+COUNTA(条幅4分の1!$B$11:$B$310),INDEX(条幅4分の1!$J$11:$J$310,182-COUNTA(半紙!$B$11:$B$310)-COUNTA(条幅!$B$11:$B$310)),""))))</f>
        <v/>
      </c>
      <c r="K187" s="38" t="str">
        <f>IF(IF(182&lt;=COUNTA(半紙!$B$11:$B$310),INDEX(半紙!$K$11:$K$310,182),IF(182&lt;=COUNTA(半紙!$B$11:$B$310)+COUNTA(条幅!$B$11:$B$310),INDEX(条幅!$K$11:$K$310,182-COUNTA(半紙!$B$11:$B$310)),IF(182&lt;=COUNTA(半紙!$B$11:$B$310)+COUNTA(条幅!$B$11:$B$310)+COUNTA(条幅4分の1!$B$11:$B$310),INDEX(条幅4分の1!$K$11:$K$310,182-COUNTA(半紙!$B$11:$B$310)-COUNTA(条幅!$B$11:$B$310)),"")))=0,"",IF(182&lt;=COUNTA(半紙!$B$11:$B$310),INDEX(半紙!$K$11:$K$310,182),IF(182&lt;=COUNTA(半紙!$B$11:$B$310)+COUNTA(条幅!$B$11:$B$310),INDEX(条幅!$K$11:$K$310,182-COUNTA(半紙!$B$11:$B$310)),IF(182&lt;=COUNTA(半紙!$B$11:$B$310)+COUNTA(条幅!$B$11:$B$310)+COUNTA(条幅4分の1!$B$11:$B$310),INDEX(条幅4分の1!$K$11:$K$310,182-COUNTA(半紙!$B$11:$B$310)-COUNTA(条幅!$B$11:$B$310)),""))))</f>
        <v/>
      </c>
      <c r="L187" s="48" t="str">
        <f>IF($B187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182))</f>
        <v/>
      </c>
    </row>
    <row r="188" spans="1:12" ht="15" customHeight="1">
      <c r="A188" s="37" t="str">
        <f>IF(183&lt;=COUNTA(半紙!$B$11:$B$310),"半紙",IF(183&lt;=COUNTA(半紙!$B$11:$B$310)+COUNTA(条幅!$B$11:$B$310),"条幅(半切)",IF(183&lt;=COUNTA(半紙!$B$11:$B$310)+COUNTA(条幅!$B$11:$B$310)+COUNTA(条幅4分の1!$B$11:$B$310),"条幅(1/4)","")))</f>
        <v/>
      </c>
      <c r="B188" s="38" t="str">
        <f>IF(IF(183&lt;=COUNTA(半紙!$B$11:$B$310),INDEX(半紙!$B$11:$B$310,183),IF(183&lt;=COUNTA(半紙!$B$11:$B$310)+COUNTA(条幅!$B$11:$B$310),INDEX(条幅!$B$11:$B$310,183-COUNTA(半紙!$B$11:$B$310)),IF(183&lt;=COUNTA(半紙!$B$11:$B$310)+COUNTA(条幅!$B$11:$B$310)+COUNTA(条幅4分の1!$B$11:$B$310),INDEX(条幅4分の1!$B$11:$B$310,183-COUNTA(半紙!$B$11:$B$310)-COUNTA(条幅!$B$11:$B$310)),"")))=0,"",IF(183&lt;=COUNTA(半紙!$B$11:$B$310),INDEX(半紙!$B$11:$B$310,183),IF(183&lt;=COUNTA(半紙!$B$11:$B$310)+COUNTA(条幅!$B$11:$B$310),INDEX(条幅!$B$11:$B$310,183-COUNTA(半紙!$B$11:$B$310)),IF(183&lt;=COUNTA(半紙!$B$11:$B$310)+COUNTA(条幅!$B$11:$B$310)+COUNTA(条幅4分の1!$B$11:$B$310),INDEX(条幅4分の1!$B$11:$B$310,183-COUNTA(半紙!$B$11:$B$310)-COUNTA(条幅!$B$11:$B$310)),""))))</f>
        <v/>
      </c>
      <c r="C188" s="38" t="str">
        <f>IF(IF(183&lt;=COUNTA(半紙!$B$11:$B$310),INDEX(半紙!$C$11:$C$310,183),IF(183&lt;=COUNTA(半紙!$B$11:$B$310)+COUNTA(条幅!$B$11:$B$310),INDEX(条幅!$C$11:$C$310,183-COUNTA(半紙!$B$11:$B$310)),IF(183&lt;=COUNTA(半紙!$B$11:$B$310)+COUNTA(条幅!$B$11:$B$310)+COUNTA(条幅4分の1!$B$11:$B$310),INDEX(条幅4分の1!$C$11:$C$310,183-COUNTA(半紙!$B$11:$B$310)-COUNTA(条幅!$B$11:$B$310)),"")))=0,"",IF(183&lt;=COUNTA(半紙!$B$11:$B$310),INDEX(半紙!$C$11:$C$310,183),IF(183&lt;=COUNTA(半紙!$B$11:$B$310)+COUNTA(条幅!$B$11:$B$310),INDEX(条幅!$C$11:$C$310,183-COUNTA(半紙!$B$11:$B$310)),IF(183&lt;=COUNTA(半紙!$B$11:$B$310)+COUNTA(条幅!$B$11:$B$310)+COUNTA(条幅4分の1!$B$11:$B$310),INDEX(条幅4分の1!$C$11:$C$310,183-COUNTA(半紙!$B$11:$B$310)-COUNTA(条幅!$B$11:$B$310)),""))))</f>
        <v/>
      </c>
      <c r="D188" s="38" t="str">
        <f>IF(IF(183&lt;=COUNTA(半紙!$B$11:$B$310),INDEX(半紙!$D$11:$D$310,183),IF(183&lt;=COUNTA(半紙!$B$11:$B$310)+COUNTA(条幅!$B$11:$B$310),INDEX(条幅!$D$11:$D$310,183-COUNTA(半紙!$B$11:$B$310)),IF(183&lt;=COUNTA(半紙!$B$11:$B$310)+COUNTA(条幅!$B$11:$B$310)+COUNTA(条幅4分の1!$B$11:$B$310),INDEX(条幅4分の1!$D$11:$D$310,183-COUNTA(半紙!$B$11:$B$310)-COUNTA(条幅!$B$11:$B$310)),"")))=0,"",IF(183&lt;=COUNTA(半紙!$B$11:$B$310),INDEX(半紙!$D$11:$D$310,183),IF(183&lt;=COUNTA(半紙!$B$11:$B$310)+COUNTA(条幅!$B$11:$B$310),INDEX(条幅!$D$11:$D$310,183-COUNTA(半紙!$B$11:$B$310)),IF(183&lt;=COUNTA(半紙!$B$11:$B$310)+COUNTA(条幅!$B$11:$B$310)+COUNTA(条幅4分の1!$B$11:$B$310),INDEX(条幅4分の1!$D$11:$D$310,183-COUNTA(半紙!$B$11:$B$310)-COUNTA(条幅!$B$11:$B$310)),""))))</f>
        <v/>
      </c>
      <c r="E188" s="38" t="str">
        <f>IF(IF(183&lt;=COUNTA(半紙!$B$11:$B$310),INDEX(半紙!$E$11:$E$310,183),IF(183&lt;=COUNTA(半紙!$B$11:$B$310)+COUNTA(条幅!$B$11:$B$310),INDEX(条幅!$E$11:$E$310,183-COUNTA(半紙!$B$11:$B$310)),IF(183&lt;=COUNTA(半紙!$B$11:$B$310)+COUNTA(条幅!$B$11:$B$310)+COUNTA(条幅4分の1!$B$11:$B$310),INDEX(条幅4分の1!$E$11:$E$310,183-COUNTA(半紙!$B$11:$B$310)-COUNTA(条幅!$B$11:$B$310)),"")))=0,"",IF(183&lt;=COUNTA(半紙!$B$11:$B$310),INDEX(半紙!$E$11:$E$310,183),IF(183&lt;=COUNTA(半紙!$B$11:$B$310)+COUNTA(条幅!$B$11:$B$310),INDEX(条幅!$E$11:$E$310,183-COUNTA(半紙!$B$11:$B$310)),IF(183&lt;=COUNTA(半紙!$B$11:$B$310)+COUNTA(条幅!$B$11:$B$310)+COUNTA(条幅4分の1!$B$11:$B$310),INDEX(条幅4分の1!$E$11:$E$310,183-COUNTA(半紙!$B$11:$B$310)-COUNTA(条幅!$B$11:$B$310)),""))))</f>
        <v/>
      </c>
      <c r="F188" s="38" t="str">
        <f>IF(IF(183&lt;=COUNTA(半紙!$B$11:$B$310),INDEX(半紙!$F$11:$F$310,183),IF(183&lt;=COUNTA(半紙!$B$11:$B$310)+COUNTA(条幅!$B$11:$B$310),INDEX(条幅!$F$11:$F$310,183-COUNTA(半紙!$B$11:$B$310)),IF(183&lt;=COUNTA(半紙!$B$11:$B$310)+COUNTA(条幅!$B$11:$B$310)+COUNTA(条幅4分の1!$B$11:$B$310),INDEX(条幅4分の1!$F$11:$F$310,183-COUNTA(半紙!$B$11:$B$310)-COUNTA(条幅!$B$11:$B$310)),"")))=0,"",IF(183&lt;=COUNTA(半紙!$B$11:$B$310),INDEX(半紙!$F$11:$F$310,183),IF(183&lt;=COUNTA(半紙!$B$11:$B$310)+COUNTA(条幅!$B$11:$B$310),INDEX(条幅!$F$11:$F$310,183-COUNTA(半紙!$B$11:$B$310)),IF(183&lt;=COUNTA(半紙!$B$11:$B$310)+COUNTA(条幅!$B$11:$B$310)+COUNTA(条幅4分の1!$B$11:$B$310),INDEX(条幅4分の1!$F$11:$F$310,183-COUNTA(半紙!$B$11:$B$310)-COUNTA(条幅!$B$11:$B$310)),""))))</f>
        <v/>
      </c>
      <c r="G188" s="38" t="str">
        <f>IF(IF(183&lt;=COUNTA(半紙!$B$11:$B$310),INDEX(半紙!$G$11:$G$310,183),IF(183&lt;=COUNTA(半紙!$B$11:$B$310)+COUNTA(条幅!$B$11:$B$310),INDEX(条幅!$G$11:$G$310,183-COUNTA(半紙!$B$11:$B$310)),IF(183&lt;=COUNTA(半紙!$B$11:$B$310)+COUNTA(条幅!$B$11:$B$310)+COUNTA(条幅4分の1!$B$11:$B$310),INDEX(条幅4分の1!$G$11:$G$310,183-COUNTA(半紙!$B$11:$B$310)-COUNTA(条幅!$B$11:$B$310)),"")))=0,"",IF(183&lt;=COUNTA(半紙!$B$11:$B$310),INDEX(半紙!$G$11:$G$310,183),IF(183&lt;=COUNTA(半紙!$B$11:$B$310)+COUNTA(条幅!$B$11:$B$310),INDEX(条幅!$G$11:$G$310,183-COUNTA(半紙!$B$11:$B$310)),IF(183&lt;=COUNTA(半紙!$B$11:$B$310)+COUNTA(条幅!$B$11:$B$310)+COUNTA(条幅4分の1!$B$11:$B$310),INDEX(条幅4分の1!$G$11:$G$310,183-COUNTA(半紙!$B$11:$B$310)-COUNTA(条幅!$B$11:$B$310)),""))))</f>
        <v/>
      </c>
      <c r="H188" s="38" t="str">
        <f>IF(IF(183&lt;=COUNTA(半紙!$B$11:$B$310),INDEX(半紙!$H$11:$H$310,183),IF(183&lt;=COUNTA(半紙!$B$11:$B$310)+COUNTA(条幅!$B$11:$B$310),INDEX(条幅!$H$11:$H$310,183-COUNTA(半紙!$B$11:$B$310)),IF(183&lt;=COUNTA(半紙!$B$11:$B$310)+COUNTA(条幅!$B$11:$B$310)+COUNTA(条幅4分の1!$B$11:$B$310),INDEX(条幅4分の1!$H$11:$H$310,183-COUNTA(半紙!$B$11:$B$310)-COUNTA(条幅!$B$11:$B$310)),"")))=0,"",IF(183&lt;=COUNTA(半紙!$B$11:$B$310),INDEX(半紙!$H$11:$H$310,183),IF(183&lt;=COUNTA(半紙!$B$11:$B$310)+COUNTA(条幅!$B$11:$B$310),INDEX(条幅!$H$11:$H$310,183-COUNTA(半紙!$B$11:$B$310)),IF(183&lt;=COUNTA(半紙!$B$11:$B$310)+COUNTA(条幅!$B$11:$B$310)+COUNTA(条幅4分の1!$B$11:$B$310),INDEX(条幅4分の1!$H$11:$H$310,183-COUNTA(半紙!$B$11:$B$310)-COUNTA(条幅!$B$11:$B$310)),""))))</f>
        <v/>
      </c>
      <c r="I188" s="38" t="str">
        <f>IF(IF(183&lt;=COUNTA(半紙!$B$11:$B$310),INDEX(半紙!$I$11:$I$310,183),IF(183&lt;=COUNTA(半紙!$B$11:$B$310)+COUNTA(条幅!$B$11:$B$310),INDEX(条幅!$I$11:$I$310,183-COUNTA(半紙!$B$11:$B$310)),IF(183&lt;=COUNTA(半紙!$B$11:$B$310)+COUNTA(条幅!$B$11:$B$310)+COUNTA(条幅4分の1!$B$11:$B$310),INDEX(条幅4分の1!$I$11:$I$310,183-COUNTA(半紙!$B$11:$B$310)-COUNTA(条幅!$B$11:$B$310)),"")))=0,"",IF(183&lt;=COUNTA(半紙!$B$11:$B$310),INDEX(半紙!$I$11:$I$310,183),IF(183&lt;=COUNTA(半紙!$B$11:$B$310)+COUNTA(条幅!$B$11:$B$310),INDEX(条幅!$I$11:$I$310,183-COUNTA(半紙!$B$11:$B$310)),IF(183&lt;=COUNTA(半紙!$B$11:$B$310)+COUNTA(条幅!$B$11:$B$310)+COUNTA(条幅4分の1!$B$11:$B$310),INDEX(条幅4分の1!$I$11:$I$310,183-COUNTA(半紙!$B$11:$B$310)-COUNTA(条幅!$B$11:$B$310)),""))))</f>
        <v/>
      </c>
      <c r="J188" s="38" t="str">
        <f>IF(IF(183&lt;=COUNTA(半紙!$B$11:$B$310),INDEX(半紙!$J$11:$J$310,183),IF(183&lt;=COUNTA(半紙!$B$11:$B$310)+COUNTA(条幅!$B$11:$B$310),INDEX(条幅!$J$11:$J$310,183-COUNTA(半紙!$B$11:$B$310)),IF(183&lt;=COUNTA(半紙!$B$11:$B$310)+COUNTA(条幅!$B$11:$B$310)+COUNTA(条幅4分の1!$B$11:$B$310),INDEX(条幅4分の1!$J$11:$J$310,183-COUNTA(半紙!$B$11:$B$310)-COUNTA(条幅!$B$11:$B$310)),"")))=0,"",IF(183&lt;=COUNTA(半紙!$B$11:$B$310),INDEX(半紙!$J$11:$J$310,183),IF(183&lt;=COUNTA(半紙!$B$11:$B$310)+COUNTA(条幅!$B$11:$B$310),INDEX(条幅!$J$11:$J$310,183-COUNTA(半紙!$B$11:$B$310)),IF(183&lt;=COUNTA(半紙!$B$11:$B$310)+COUNTA(条幅!$B$11:$B$310)+COUNTA(条幅4分の1!$B$11:$B$310),INDEX(条幅4分の1!$J$11:$J$310,183-COUNTA(半紙!$B$11:$B$310)-COUNTA(条幅!$B$11:$B$310)),""))))</f>
        <v/>
      </c>
      <c r="K188" s="38" t="str">
        <f>IF(IF(183&lt;=COUNTA(半紙!$B$11:$B$310),INDEX(半紙!$K$11:$K$310,183),IF(183&lt;=COUNTA(半紙!$B$11:$B$310)+COUNTA(条幅!$B$11:$B$310),INDEX(条幅!$K$11:$K$310,183-COUNTA(半紙!$B$11:$B$310)),IF(183&lt;=COUNTA(半紙!$B$11:$B$310)+COUNTA(条幅!$B$11:$B$310)+COUNTA(条幅4分の1!$B$11:$B$310),INDEX(条幅4分の1!$K$11:$K$310,183-COUNTA(半紙!$B$11:$B$310)-COUNTA(条幅!$B$11:$B$310)),"")))=0,"",IF(183&lt;=COUNTA(半紙!$B$11:$B$310),INDEX(半紙!$K$11:$K$310,183),IF(183&lt;=COUNTA(半紙!$B$11:$B$310)+COUNTA(条幅!$B$11:$B$310),INDEX(条幅!$K$11:$K$310,183-COUNTA(半紙!$B$11:$B$310)),IF(183&lt;=COUNTA(半紙!$B$11:$B$310)+COUNTA(条幅!$B$11:$B$310)+COUNTA(条幅4分の1!$B$11:$B$310),INDEX(条幅4分の1!$K$11:$K$310,183-COUNTA(半紙!$B$11:$B$310)-COUNTA(条幅!$B$11:$B$310)),""))))</f>
        <v/>
      </c>
      <c r="L188" s="48" t="str">
        <f>IF($B188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183))</f>
        <v/>
      </c>
    </row>
    <row r="189" spans="1:12" ht="15" customHeight="1">
      <c r="A189" s="37" t="str">
        <f>IF(184&lt;=COUNTA(半紙!$B$11:$B$310),"半紙",IF(184&lt;=COUNTA(半紙!$B$11:$B$310)+COUNTA(条幅!$B$11:$B$310),"条幅(半切)",IF(184&lt;=COUNTA(半紙!$B$11:$B$310)+COUNTA(条幅!$B$11:$B$310)+COUNTA(条幅4分の1!$B$11:$B$310),"条幅(1/4)","")))</f>
        <v/>
      </c>
      <c r="B189" s="38" t="str">
        <f>IF(IF(184&lt;=COUNTA(半紙!$B$11:$B$310),INDEX(半紙!$B$11:$B$310,184),IF(184&lt;=COUNTA(半紙!$B$11:$B$310)+COUNTA(条幅!$B$11:$B$310),INDEX(条幅!$B$11:$B$310,184-COUNTA(半紙!$B$11:$B$310)),IF(184&lt;=COUNTA(半紙!$B$11:$B$310)+COUNTA(条幅!$B$11:$B$310)+COUNTA(条幅4分の1!$B$11:$B$310),INDEX(条幅4分の1!$B$11:$B$310,184-COUNTA(半紙!$B$11:$B$310)-COUNTA(条幅!$B$11:$B$310)),"")))=0,"",IF(184&lt;=COUNTA(半紙!$B$11:$B$310),INDEX(半紙!$B$11:$B$310,184),IF(184&lt;=COUNTA(半紙!$B$11:$B$310)+COUNTA(条幅!$B$11:$B$310),INDEX(条幅!$B$11:$B$310,184-COUNTA(半紙!$B$11:$B$310)),IF(184&lt;=COUNTA(半紙!$B$11:$B$310)+COUNTA(条幅!$B$11:$B$310)+COUNTA(条幅4分の1!$B$11:$B$310),INDEX(条幅4分の1!$B$11:$B$310,184-COUNTA(半紙!$B$11:$B$310)-COUNTA(条幅!$B$11:$B$310)),""))))</f>
        <v/>
      </c>
      <c r="C189" s="38" t="str">
        <f>IF(IF(184&lt;=COUNTA(半紙!$B$11:$B$310),INDEX(半紙!$C$11:$C$310,184),IF(184&lt;=COUNTA(半紙!$B$11:$B$310)+COUNTA(条幅!$B$11:$B$310),INDEX(条幅!$C$11:$C$310,184-COUNTA(半紙!$B$11:$B$310)),IF(184&lt;=COUNTA(半紙!$B$11:$B$310)+COUNTA(条幅!$B$11:$B$310)+COUNTA(条幅4分の1!$B$11:$B$310),INDEX(条幅4分の1!$C$11:$C$310,184-COUNTA(半紙!$B$11:$B$310)-COUNTA(条幅!$B$11:$B$310)),"")))=0,"",IF(184&lt;=COUNTA(半紙!$B$11:$B$310),INDEX(半紙!$C$11:$C$310,184),IF(184&lt;=COUNTA(半紙!$B$11:$B$310)+COUNTA(条幅!$B$11:$B$310),INDEX(条幅!$C$11:$C$310,184-COUNTA(半紙!$B$11:$B$310)),IF(184&lt;=COUNTA(半紙!$B$11:$B$310)+COUNTA(条幅!$B$11:$B$310)+COUNTA(条幅4分の1!$B$11:$B$310),INDEX(条幅4分の1!$C$11:$C$310,184-COUNTA(半紙!$B$11:$B$310)-COUNTA(条幅!$B$11:$B$310)),""))))</f>
        <v/>
      </c>
      <c r="D189" s="38" t="str">
        <f>IF(IF(184&lt;=COUNTA(半紙!$B$11:$B$310),INDEX(半紙!$D$11:$D$310,184),IF(184&lt;=COUNTA(半紙!$B$11:$B$310)+COUNTA(条幅!$B$11:$B$310),INDEX(条幅!$D$11:$D$310,184-COUNTA(半紙!$B$11:$B$310)),IF(184&lt;=COUNTA(半紙!$B$11:$B$310)+COUNTA(条幅!$B$11:$B$310)+COUNTA(条幅4分の1!$B$11:$B$310),INDEX(条幅4分の1!$D$11:$D$310,184-COUNTA(半紙!$B$11:$B$310)-COUNTA(条幅!$B$11:$B$310)),"")))=0,"",IF(184&lt;=COUNTA(半紙!$B$11:$B$310),INDEX(半紙!$D$11:$D$310,184),IF(184&lt;=COUNTA(半紙!$B$11:$B$310)+COUNTA(条幅!$B$11:$B$310),INDEX(条幅!$D$11:$D$310,184-COUNTA(半紙!$B$11:$B$310)),IF(184&lt;=COUNTA(半紙!$B$11:$B$310)+COUNTA(条幅!$B$11:$B$310)+COUNTA(条幅4分の1!$B$11:$B$310),INDEX(条幅4分の1!$D$11:$D$310,184-COUNTA(半紙!$B$11:$B$310)-COUNTA(条幅!$B$11:$B$310)),""))))</f>
        <v/>
      </c>
      <c r="E189" s="38" t="str">
        <f>IF(IF(184&lt;=COUNTA(半紙!$B$11:$B$310),INDEX(半紙!$E$11:$E$310,184),IF(184&lt;=COUNTA(半紙!$B$11:$B$310)+COUNTA(条幅!$B$11:$B$310),INDEX(条幅!$E$11:$E$310,184-COUNTA(半紙!$B$11:$B$310)),IF(184&lt;=COUNTA(半紙!$B$11:$B$310)+COUNTA(条幅!$B$11:$B$310)+COUNTA(条幅4分の1!$B$11:$B$310),INDEX(条幅4分の1!$E$11:$E$310,184-COUNTA(半紙!$B$11:$B$310)-COUNTA(条幅!$B$11:$B$310)),"")))=0,"",IF(184&lt;=COUNTA(半紙!$B$11:$B$310),INDEX(半紙!$E$11:$E$310,184),IF(184&lt;=COUNTA(半紙!$B$11:$B$310)+COUNTA(条幅!$B$11:$B$310),INDEX(条幅!$E$11:$E$310,184-COUNTA(半紙!$B$11:$B$310)),IF(184&lt;=COUNTA(半紙!$B$11:$B$310)+COUNTA(条幅!$B$11:$B$310)+COUNTA(条幅4分の1!$B$11:$B$310),INDEX(条幅4分の1!$E$11:$E$310,184-COUNTA(半紙!$B$11:$B$310)-COUNTA(条幅!$B$11:$B$310)),""))))</f>
        <v/>
      </c>
      <c r="F189" s="38" t="str">
        <f>IF(IF(184&lt;=COUNTA(半紙!$B$11:$B$310),INDEX(半紙!$F$11:$F$310,184),IF(184&lt;=COUNTA(半紙!$B$11:$B$310)+COUNTA(条幅!$B$11:$B$310),INDEX(条幅!$F$11:$F$310,184-COUNTA(半紙!$B$11:$B$310)),IF(184&lt;=COUNTA(半紙!$B$11:$B$310)+COUNTA(条幅!$B$11:$B$310)+COUNTA(条幅4分の1!$B$11:$B$310),INDEX(条幅4分の1!$F$11:$F$310,184-COUNTA(半紙!$B$11:$B$310)-COUNTA(条幅!$B$11:$B$310)),"")))=0,"",IF(184&lt;=COUNTA(半紙!$B$11:$B$310),INDEX(半紙!$F$11:$F$310,184),IF(184&lt;=COUNTA(半紙!$B$11:$B$310)+COUNTA(条幅!$B$11:$B$310),INDEX(条幅!$F$11:$F$310,184-COUNTA(半紙!$B$11:$B$310)),IF(184&lt;=COUNTA(半紙!$B$11:$B$310)+COUNTA(条幅!$B$11:$B$310)+COUNTA(条幅4分の1!$B$11:$B$310),INDEX(条幅4分の1!$F$11:$F$310,184-COUNTA(半紙!$B$11:$B$310)-COUNTA(条幅!$B$11:$B$310)),""))))</f>
        <v/>
      </c>
      <c r="G189" s="38" t="str">
        <f>IF(IF(184&lt;=COUNTA(半紙!$B$11:$B$310),INDEX(半紙!$G$11:$G$310,184),IF(184&lt;=COUNTA(半紙!$B$11:$B$310)+COUNTA(条幅!$B$11:$B$310),INDEX(条幅!$G$11:$G$310,184-COUNTA(半紙!$B$11:$B$310)),IF(184&lt;=COUNTA(半紙!$B$11:$B$310)+COUNTA(条幅!$B$11:$B$310)+COUNTA(条幅4分の1!$B$11:$B$310),INDEX(条幅4分の1!$G$11:$G$310,184-COUNTA(半紙!$B$11:$B$310)-COUNTA(条幅!$B$11:$B$310)),"")))=0,"",IF(184&lt;=COUNTA(半紙!$B$11:$B$310),INDEX(半紙!$G$11:$G$310,184),IF(184&lt;=COUNTA(半紙!$B$11:$B$310)+COUNTA(条幅!$B$11:$B$310),INDEX(条幅!$G$11:$G$310,184-COUNTA(半紙!$B$11:$B$310)),IF(184&lt;=COUNTA(半紙!$B$11:$B$310)+COUNTA(条幅!$B$11:$B$310)+COUNTA(条幅4分の1!$B$11:$B$310),INDEX(条幅4分の1!$G$11:$G$310,184-COUNTA(半紙!$B$11:$B$310)-COUNTA(条幅!$B$11:$B$310)),""))))</f>
        <v/>
      </c>
      <c r="H189" s="38" t="str">
        <f>IF(IF(184&lt;=COUNTA(半紙!$B$11:$B$310),INDEX(半紙!$H$11:$H$310,184),IF(184&lt;=COUNTA(半紙!$B$11:$B$310)+COUNTA(条幅!$B$11:$B$310),INDEX(条幅!$H$11:$H$310,184-COUNTA(半紙!$B$11:$B$310)),IF(184&lt;=COUNTA(半紙!$B$11:$B$310)+COUNTA(条幅!$B$11:$B$310)+COUNTA(条幅4分の1!$B$11:$B$310),INDEX(条幅4分の1!$H$11:$H$310,184-COUNTA(半紙!$B$11:$B$310)-COUNTA(条幅!$B$11:$B$310)),"")))=0,"",IF(184&lt;=COUNTA(半紙!$B$11:$B$310),INDEX(半紙!$H$11:$H$310,184),IF(184&lt;=COUNTA(半紙!$B$11:$B$310)+COUNTA(条幅!$B$11:$B$310),INDEX(条幅!$H$11:$H$310,184-COUNTA(半紙!$B$11:$B$310)),IF(184&lt;=COUNTA(半紙!$B$11:$B$310)+COUNTA(条幅!$B$11:$B$310)+COUNTA(条幅4分の1!$B$11:$B$310),INDEX(条幅4分の1!$H$11:$H$310,184-COUNTA(半紙!$B$11:$B$310)-COUNTA(条幅!$B$11:$B$310)),""))))</f>
        <v/>
      </c>
      <c r="I189" s="38" t="str">
        <f>IF(IF(184&lt;=COUNTA(半紙!$B$11:$B$310),INDEX(半紙!$I$11:$I$310,184),IF(184&lt;=COUNTA(半紙!$B$11:$B$310)+COUNTA(条幅!$B$11:$B$310),INDEX(条幅!$I$11:$I$310,184-COUNTA(半紙!$B$11:$B$310)),IF(184&lt;=COUNTA(半紙!$B$11:$B$310)+COUNTA(条幅!$B$11:$B$310)+COUNTA(条幅4分の1!$B$11:$B$310),INDEX(条幅4分の1!$I$11:$I$310,184-COUNTA(半紙!$B$11:$B$310)-COUNTA(条幅!$B$11:$B$310)),"")))=0,"",IF(184&lt;=COUNTA(半紙!$B$11:$B$310),INDEX(半紙!$I$11:$I$310,184),IF(184&lt;=COUNTA(半紙!$B$11:$B$310)+COUNTA(条幅!$B$11:$B$310),INDEX(条幅!$I$11:$I$310,184-COUNTA(半紙!$B$11:$B$310)),IF(184&lt;=COUNTA(半紙!$B$11:$B$310)+COUNTA(条幅!$B$11:$B$310)+COUNTA(条幅4分の1!$B$11:$B$310),INDEX(条幅4分の1!$I$11:$I$310,184-COUNTA(半紙!$B$11:$B$310)-COUNTA(条幅!$B$11:$B$310)),""))))</f>
        <v/>
      </c>
      <c r="J189" s="38" t="str">
        <f>IF(IF(184&lt;=COUNTA(半紙!$B$11:$B$310),INDEX(半紙!$J$11:$J$310,184),IF(184&lt;=COUNTA(半紙!$B$11:$B$310)+COUNTA(条幅!$B$11:$B$310),INDEX(条幅!$J$11:$J$310,184-COUNTA(半紙!$B$11:$B$310)),IF(184&lt;=COUNTA(半紙!$B$11:$B$310)+COUNTA(条幅!$B$11:$B$310)+COUNTA(条幅4分の1!$B$11:$B$310),INDEX(条幅4分の1!$J$11:$J$310,184-COUNTA(半紙!$B$11:$B$310)-COUNTA(条幅!$B$11:$B$310)),"")))=0,"",IF(184&lt;=COUNTA(半紙!$B$11:$B$310),INDEX(半紙!$J$11:$J$310,184),IF(184&lt;=COUNTA(半紙!$B$11:$B$310)+COUNTA(条幅!$B$11:$B$310),INDEX(条幅!$J$11:$J$310,184-COUNTA(半紙!$B$11:$B$310)),IF(184&lt;=COUNTA(半紙!$B$11:$B$310)+COUNTA(条幅!$B$11:$B$310)+COUNTA(条幅4分の1!$B$11:$B$310),INDEX(条幅4分の1!$J$11:$J$310,184-COUNTA(半紙!$B$11:$B$310)-COUNTA(条幅!$B$11:$B$310)),""))))</f>
        <v/>
      </c>
      <c r="K189" s="38" t="str">
        <f>IF(IF(184&lt;=COUNTA(半紙!$B$11:$B$310),INDEX(半紙!$K$11:$K$310,184),IF(184&lt;=COUNTA(半紙!$B$11:$B$310)+COUNTA(条幅!$B$11:$B$310),INDEX(条幅!$K$11:$K$310,184-COUNTA(半紙!$B$11:$B$310)),IF(184&lt;=COUNTA(半紙!$B$11:$B$310)+COUNTA(条幅!$B$11:$B$310)+COUNTA(条幅4分の1!$B$11:$B$310),INDEX(条幅4分の1!$K$11:$K$310,184-COUNTA(半紙!$B$11:$B$310)-COUNTA(条幅!$B$11:$B$310)),"")))=0,"",IF(184&lt;=COUNTA(半紙!$B$11:$B$310),INDEX(半紙!$K$11:$K$310,184),IF(184&lt;=COUNTA(半紙!$B$11:$B$310)+COUNTA(条幅!$B$11:$B$310),INDEX(条幅!$K$11:$K$310,184-COUNTA(半紙!$B$11:$B$310)),IF(184&lt;=COUNTA(半紙!$B$11:$B$310)+COUNTA(条幅!$B$11:$B$310)+COUNTA(条幅4分の1!$B$11:$B$310),INDEX(条幅4分の1!$K$11:$K$310,184-COUNTA(半紙!$B$11:$B$310)-COUNTA(条幅!$B$11:$B$310)),""))))</f>
        <v/>
      </c>
      <c r="L189" s="48" t="str">
        <f>IF($B189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184))</f>
        <v/>
      </c>
    </row>
    <row r="190" spans="1:12" ht="15" customHeight="1">
      <c r="A190" s="37" t="str">
        <f>IF(185&lt;=COUNTA(半紙!$B$11:$B$310),"半紙",IF(185&lt;=COUNTA(半紙!$B$11:$B$310)+COUNTA(条幅!$B$11:$B$310),"条幅(半切)",IF(185&lt;=COUNTA(半紙!$B$11:$B$310)+COUNTA(条幅!$B$11:$B$310)+COUNTA(条幅4分の1!$B$11:$B$310),"条幅(1/4)","")))</f>
        <v/>
      </c>
      <c r="B190" s="38" t="str">
        <f>IF(IF(185&lt;=COUNTA(半紙!$B$11:$B$310),INDEX(半紙!$B$11:$B$310,185),IF(185&lt;=COUNTA(半紙!$B$11:$B$310)+COUNTA(条幅!$B$11:$B$310),INDEX(条幅!$B$11:$B$310,185-COUNTA(半紙!$B$11:$B$310)),IF(185&lt;=COUNTA(半紙!$B$11:$B$310)+COUNTA(条幅!$B$11:$B$310)+COUNTA(条幅4分の1!$B$11:$B$310),INDEX(条幅4分の1!$B$11:$B$310,185-COUNTA(半紙!$B$11:$B$310)-COUNTA(条幅!$B$11:$B$310)),"")))=0,"",IF(185&lt;=COUNTA(半紙!$B$11:$B$310),INDEX(半紙!$B$11:$B$310,185),IF(185&lt;=COUNTA(半紙!$B$11:$B$310)+COUNTA(条幅!$B$11:$B$310),INDEX(条幅!$B$11:$B$310,185-COUNTA(半紙!$B$11:$B$310)),IF(185&lt;=COUNTA(半紙!$B$11:$B$310)+COUNTA(条幅!$B$11:$B$310)+COUNTA(条幅4分の1!$B$11:$B$310),INDEX(条幅4分の1!$B$11:$B$310,185-COUNTA(半紙!$B$11:$B$310)-COUNTA(条幅!$B$11:$B$310)),""))))</f>
        <v/>
      </c>
      <c r="C190" s="38" t="str">
        <f>IF(IF(185&lt;=COUNTA(半紙!$B$11:$B$310),INDEX(半紙!$C$11:$C$310,185),IF(185&lt;=COUNTA(半紙!$B$11:$B$310)+COUNTA(条幅!$B$11:$B$310),INDEX(条幅!$C$11:$C$310,185-COUNTA(半紙!$B$11:$B$310)),IF(185&lt;=COUNTA(半紙!$B$11:$B$310)+COUNTA(条幅!$B$11:$B$310)+COUNTA(条幅4分の1!$B$11:$B$310),INDEX(条幅4分の1!$C$11:$C$310,185-COUNTA(半紙!$B$11:$B$310)-COUNTA(条幅!$B$11:$B$310)),"")))=0,"",IF(185&lt;=COUNTA(半紙!$B$11:$B$310),INDEX(半紙!$C$11:$C$310,185),IF(185&lt;=COUNTA(半紙!$B$11:$B$310)+COUNTA(条幅!$B$11:$B$310),INDEX(条幅!$C$11:$C$310,185-COUNTA(半紙!$B$11:$B$310)),IF(185&lt;=COUNTA(半紙!$B$11:$B$310)+COUNTA(条幅!$B$11:$B$310)+COUNTA(条幅4分の1!$B$11:$B$310),INDEX(条幅4分の1!$C$11:$C$310,185-COUNTA(半紙!$B$11:$B$310)-COUNTA(条幅!$B$11:$B$310)),""))))</f>
        <v/>
      </c>
      <c r="D190" s="38" t="str">
        <f>IF(IF(185&lt;=COUNTA(半紙!$B$11:$B$310),INDEX(半紙!$D$11:$D$310,185),IF(185&lt;=COUNTA(半紙!$B$11:$B$310)+COUNTA(条幅!$B$11:$B$310),INDEX(条幅!$D$11:$D$310,185-COUNTA(半紙!$B$11:$B$310)),IF(185&lt;=COUNTA(半紙!$B$11:$B$310)+COUNTA(条幅!$B$11:$B$310)+COUNTA(条幅4分の1!$B$11:$B$310),INDEX(条幅4分の1!$D$11:$D$310,185-COUNTA(半紙!$B$11:$B$310)-COUNTA(条幅!$B$11:$B$310)),"")))=0,"",IF(185&lt;=COUNTA(半紙!$B$11:$B$310),INDEX(半紙!$D$11:$D$310,185),IF(185&lt;=COUNTA(半紙!$B$11:$B$310)+COUNTA(条幅!$B$11:$B$310),INDEX(条幅!$D$11:$D$310,185-COUNTA(半紙!$B$11:$B$310)),IF(185&lt;=COUNTA(半紙!$B$11:$B$310)+COUNTA(条幅!$B$11:$B$310)+COUNTA(条幅4分の1!$B$11:$B$310),INDEX(条幅4分の1!$D$11:$D$310,185-COUNTA(半紙!$B$11:$B$310)-COUNTA(条幅!$B$11:$B$310)),""))))</f>
        <v/>
      </c>
      <c r="E190" s="38" t="str">
        <f>IF(IF(185&lt;=COUNTA(半紙!$B$11:$B$310),INDEX(半紙!$E$11:$E$310,185),IF(185&lt;=COUNTA(半紙!$B$11:$B$310)+COUNTA(条幅!$B$11:$B$310),INDEX(条幅!$E$11:$E$310,185-COUNTA(半紙!$B$11:$B$310)),IF(185&lt;=COUNTA(半紙!$B$11:$B$310)+COUNTA(条幅!$B$11:$B$310)+COUNTA(条幅4分の1!$B$11:$B$310),INDEX(条幅4分の1!$E$11:$E$310,185-COUNTA(半紙!$B$11:$B$310)-COUNTA(条幅!$B$11:$B$310)),"")))=0,"",IF(185&lt;=COUNTA(半紙!$B$11:$B$310),INDEX(半紙!$E$11:$E$310,185),IF(185&lt;=COUNTA(半紙!$B$11:$B$310)+COUNTA(条幅!$B$11:$B$310),INDEX(条幅!$E$11:$E$310,185-COUNTA(半紙!$B$11:$B$310)),IF(185&lt;=COUNTA(半紙!$B$11:$B$310)+COUNTA(条幅!$B$11:$B$310)+COUNTA(条幅4分の1!$B$11:$B$310),INDEX(条幅4分の1!$E$11:$E$310,185-COUNTA(半紙!$B$11:$B$310)-COUNTA(条幅!$B$11:$B$310)),""))))</f>
        <v/>
      </c>
      <c r="F190" s="38" t="str">
        <f>IF(IF(185&lt;=COUNTA(半紙!$B$11:$B$310),INDEX(半紙!$F$11:$F$310,185),IF(185&lt;=COUNTA(半紙!$B$11:$B$310)+COUNTA(条幅!$B$11:$B$310),INDEX(条幅!$F$11:$F$310,185-COUNTA(半紙!$B$11:$B$310)),IF(185&lt;=COUNTA(半紙!$B$11:$B$310)+COUNTA(条幅!$B$11:$B$310)+COUNTA(条幅4分の1!$B$11:$B$310),INDEX(条幅4分の1!$F$11:$F$310,185-COUNTA(半紙!$B$11:$B$310)-COUNTA(条幅!$B$11:$B$310)),"")))=0,"",IF(185&lt;=COUNTA(半紙!$B$11:$B$310),INDEX(半紙!$F$11:$F$310,185),IF(185&lt;=COUNTA(半紙!$B$11:$B$310)+COUNTA(条幅!$B$11:$B$310),INDEX(条幅!$F$11:$F$310,185-COUNTA(半紙!$B$11:$B$310)),IF(185&lt;=COUNTA(半紙!$B$11:$B$310)+COUNTA(条幅!$B$11:$B$310)+COUNTA(条幅4分の1!$B$11:$B$310),INDEX(条幅4分の1!$F$11:$F$310,185-COUNTA(半紙!$B$11:$B$310)-COUNTA(条幅!$B$11:$B$310)),""))))</f>
        <v/>
      </c>
      <c r="G190" s="38" t="str">
        <f>IF(IF(185&lt;=COUNTA(半紙!$B$11:$B$310),INDEX(半紙!$G$11:$G$310,185),IF(185&lt;=COUNTA(半紙!$B$11:$B$310)+COUNTA(条幅!$B$11:$B$310),INDEX(条幅!$G$11:$G$310,185-COUNTA(半紙!$B$11:$B$310)),IF(185&lt;=COUNTA(半紙!$B$11:$B$310)+COUNTA(条幅!$B$11:$B$310)+COUNTA(条幅4分の1!$B$11:$B$310),INDEX(条幅4分の1!$G$11:$G$310,185-COUNTA(半紙!$B$11:$B$310)-COUNTA(条幅!$B$11:$B$310)),"")))=0,"",IF(185&lt;=COUNTA(半紙!$B$11:$B$310),INDEX(半紙!$G$11:$G$310,185),IF(185&lt;=COUNTA(半紙!$B$11:$B$310)+COUNTA(条幅!$B$11:$B$310),INDEX(条幅!$G$11:$G$310,185-COUNTA(半紙!$B$11:$B$310)),IF(185&lt;=COUNTA(半紙!$B$11:$B$310)+COUNTA(条幅!$B$11:$B$310)+COUNTA(条幅4分の1!$B$11:$B$310),INDEX(条幅4分の1!$G$11:$G$310,185-COUNTA(半紙!$B$11:$B$310)-COUNTA(条幅!$B$11:$B$310)),""))))</f>
        <v/>
      </c>
      <c r="H190" s="38" t="str">
        <f>IF(IF(185&lt;=COUNTA(半紙!$B$11:$B$310),INDEX(半紙!$H$11:$H$310,185),IF(185&lt;=COUNTA(半紙!$B$11:$B$310)+COUNTA(条幅!$B$11:$B$310),INDEX(条幅!$H$11:$H$310,185-COUNTA(半紙!$B$11:$B$310)),IF(185&lt;=COUNTA(半紙!$B$11:$B$310)+COUNTA(条幅!$B$11:$B$310)+COUNTA(条幅4分の1!$B$11:$B$310),INDEX(条幅4分の1!$H$11:$H$310,185-COUNTA(半紙!$B$11:$B$310)-COUNTA(条幅!$B$11:$B$310)),"")))=0,"",IF(185&lt;=COUNTA(半紙!$B$11:$B$310),INDEX(半紙!$H$11:$H$310,185),IF(185&lt;=COUNTA(半紙!$B$11:$B$310)+COUNTA(条幅!$B$11:$B$310),INDEX(条幅!$H$11:$H$310,185-COUNTA(半紙!$B$11:$B$310)),IF(185&lt;=COUNTA(半紙!$B$11:$B$310)+COUNTA(条幅!$B$11:$B$310)+COUNTA(条幅4分の1!$B$11:$B$310),INDEX(条幅4分の1!$H$11:$H$310,185-COUNTA(半紙!$B$11:$B$310)-COUNTA(条幅!$B$11:$B$310)),""))))</f>
        <v/>
      </c>
      <c r="I190" s="38" t="str">
        <f>IF(IF(185&lt;=COUNTA(半紙!$B$11:$B$310),INDEX(半紙!$I$11:$I$310,185),IF(185&lt;=COUNTA(半紙!$B$11:$B$310)+COUNTA(条幅!$B$11:$B$310),INDEX(条幅!$I$11:$I$310,185-COUNTA(半紙!$B$11:$B$310)),IF(185&lt;=COUNTA(半紙!$B$11:$B$310)+COUNTA(条幅!$B$11:$B$310)+COUNTA(条幅4分の1!$B$11:$B$310),INDEX(条幅4分の1!$I$11:$I$310,185-COUNTA(半紙!$B$11:$B$310)-COUNTA(条幅!$B$11:$B$310)),"")))=0,"",IF(185&lt;=COUNTA(半紙!$B$11:$B$310),INDEX(半紙!$I$11:$I$310,185),IF(185&lt;=COUNTA(半紙!$B$11:$B$310)+COUNTA(条幅!$B$11:$B$310),INDEX(条幅!$I$11:$I$310,185-COUNTA(半紙!$B$11:$B$310)),IF(185&lt;=COUNTA(半紙!$B$11:$B$310)+COUNTA(条幅!$B$11:$B$310)+COUNTA(条幅4分の1!$B$11:$B$310),INDEX(条幅4分の1!$I$11:$I$310,185-COUNTA(半紙!$B$11:$B$310)-COUNTA(条幅!$B$11:$B$310)),""))))</f>
        <v/>
      </c>
      <c r="J190" s="38" t="str">
        <f>IF(IF(185&lt;=COUNTA(半紙!$B$11:$B$310),INDEX(半紙!$J$11:$J$310,185),IF(185&lt;=COUNTA(半紙!$B$11:$B$310)+COUNTA(条幅!$B$11:$B$310),INDEX(条幅!$J$11:$J$310,185-COUNTA(半紙!$B$11:$B$310)),IF(185&lt;=COUNTA(半紙!$B$11:$B$310)+COUNTA(条幅!$B$11:$B$310)+COUNTA(条幅4分の1!$B$11:$B$310),INDEX(条幅4分の1!$J$11:$J$310,185-COUNTA(半紙!$B$11:$B$310)-COUNTA(条幅!$B$11:$B$310)),"")))=0,"",IF(185&lt;=COUNTA(半紙!$B$11:$B$310),INDEX(半紙!$J$11:$J$310,185),IF(185&lt;=COUNTA(半紙!$B$11:$B$310)+COUNTA(条幅!$B$11:$B$310),INDEX(条幅!$J$11:$J$310,185-COUNTA(半紙!$B$11:$B$310)),IF(185&lt;=COUNTA(半紙!$B$11:$B$310)+COUNTA(条幅!$B$11:$B$310)+COUNTA(条幅4分の1!$B$11:$B$310),INDEX(条幅4分の1!$J$11:$J$310,185-COUNTA(半紙!$B$11:$B$310)-COUNTA(条幅!$B$11:$B$310)),""))))</f>
        <v/>
      </c>
      <c r="K190" s="38" t="str">
        <f>IF(IF(185&lt;=COUNTA(半紙!$B$11:$B$310),INDEX(半紙!$K$11:$K$310,185),IF(185&lt;=COUNTA(半紙!$B$11:$B$310)+COUNTA(条幅!$B$11:$B$310),INDEX(条幅!$K$11:$K$310,185-COUNTA(半紙!$B$11:$B$310)),IF(185&lt;=COUNTA(半紙!$B$11:$B$310)+COUNTA(条幅!$B$11:$B$310)+COUNTA(条幅4分の1!$B$11:$B$310),INDEX(条幅4分の1!$K$11:$K$310,185-COUNTA(半紙!$B$11:$B$310)-COUNTA(条幅!$B$11:$B$310)),"")))=0,"",IF(185&lt;=COUNTA(半紙!$B$11:$B$310),INDEX(半紙!$K$11:$K$310,185),IF(185&lt;=COUNTA(半紙!$B$11:$B$310)+COUNTA(条幅!$B$11:$B$310),INDEX(条幅!$K$11:$K$310,185-COUNTA(半紙!$B$11:$B$310)),IF(185&lt;=COUNTA(半紙!$B$11:$B$310)+COUNTA(条幅!$B$11:$B$310)+COUNTA(条幅4分の1!$B$11:$B$310),INDEX(条幅4分の1!$K$11:$K$310,185-COUNTA(半紙!$B$11:$B$310)-COUNTA(条幅!$B$11:$B$310)),""))))</f>
        <v/>
      </c>
      <c r="L190" s="48" t="str">
        <f>IF($B190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185))</f>
        <v/>
      </c>
    </row>
    <row r="191" spans="1:12" ht="15" customHeight="1">
      <c r="A191" s="37" t="str">
        <f>IF(186&lt;=COUNTA(半紙!$B$11:$B$310),"半紙",IF(186&lt;=COUNTA(半紙!$B$11:$B$310)+COUNTA(条幅!$B$11:$B$310),"条幅(半切)",IF(186&lt;=COUNTA(半紙!$B$11:$B$310)+COUNTA(条幅!$B$11:$B$310)+COUNTA(条幅4分の1!$B$11:$B$310),"条幅(1/4)","")))</f>
        <v/>
      </c>
      <c r="B191" s="38" t="str">
        <f>IF(IF(186&lt;=COUNTA(半紙!$B$11:$B$310),INDEX(半紙!$B$11:$B$310,186),IF(186&lt;=COUNTA(半紙!$B$11:$B$310)+COUNTA(条幅!$B$11:$B$310),INDEX(条幅!$B$11:$B$310,186-COUNTA(半紙!$B$11:$B$310)),IF(186&lt;=COUNTA(半紙!$B$11:$B$310)+COUNTA(条幅!$B$11:$B$310)+COUNTA(条幅4分の1!$B$11:$B$310),INDEX(条幅4分の1!$B$11:$B$310,186-COUNTA(半紙!$B$11:$B$310)-COUNTA(条幅!$B$11:$B$310)),"")))=0,"",IF(186&lt;=COUNTA(半紙!$B$11:$B$310),INDEX(半紙!$B$11:$B$310,186),IF(186&lt;=COUNTA(半紙!$B$11:$B$310)+COUNTA(条幅!$B$11:$B$310),INDEX(条幅!$B$11:$B$310,186-COUNTA(半紙!$B$11:$B$310)),IF(186&lt;=COUNTA(半紙!$B$11:$B$310)+COUNTA(条幅!$B$11:$B$310)+COUNTA(条幅4分の1!$B$11:$B$310),INDEX(条幅4分の1!$B$11:$B$310,186-COUNTA(半紙!$B$11:$B$310)-COUNTA(条幅!$B$11:$B$310)),""))))</f>
        <v/>
      </c>
      <c r="C191" s="38" t="str">
        <f>IF(IF(186&lt;=COUNTA(半紙!$B$11:$B$310),INDEX(半紙!$C$11:$C$310,186),IF(186&lt;=COUNTA(半紙!$B$11:$B$310)+COUNTA(条幅!$B$11:$B$310),INDEX(条幅!$C$11:$C$310,186-COUNTA(半紙!$B$11:$B$310)),IF(186&lt;=COUNTA(半紙!$B$11:$B$310)+COUNTA(条幅!$B$11:$B$310)+COUNTA(条幅4分の1!$B$11:$B$310),INDEX(条幅4分の1!$C$11:$C$310,186-COUNTA(半紙!$B$11:$B$310)-COUNTA(条幅!$B$11:$B$310)),"")))=0,"",IF(186&lt;=COUNTA(半紙!$B$11:$B$310),INDEX(半紙!$C$11:$C$310,186),IF(186&lt;=COUNTA(半紙!$B$11:$B$310)+COUNTA(条幅!$B$11:$B$310),INDEX(条幅!$C$11:$C$310,186-COUNTA(半紙!$B$11:$B$310)),IF(186&lt;=COUNTA(半紙!$B$11:$B$310)+COUNTA(条幅!$B$11:$B$310)+COUNTA(条幅4分の1!$B$11:$B$310),INDEX(条幅4分の1!$C$11:$C$310,186-COUNTA(半紙!$B$11:$B$310)-COUNTA(条幅!$B$11:$B$310)),""))))</f>
        <v/>
      </c>
      <c r="D191" s="38" t="str">
        <f>IF(IF(186&lt;=COUNTA(半紙!$B$11:$B$310),INDEX(半紙!$D$11:$D$310,186),IF(186&lt;=COUNTA(半紙!$B$11:$B$310)+COUNTA(条幅!$B$11:$B$310),INDEX(条幅!$D$11:$D$310,186-COUNTA(半紙!$B$11:$B$310)),IF(186&lt;=COUNTA(半紙!$B$11:$B$310)+COUNTA(条幅!$B$11:$B$310)+COUNTA(条幅4分の1!$B$11:$B$310),INDEX(条幅4分の1!$D$11:$D$310,186-COUNTA(半紙!$B$11:$B$310)-COUNTA(条幅!$B$11:$B$310)),"")))=0,"",IF(186&lt;=COUNTA(半紙!$B$11:$B$310),INDEX(半紙!$D$11:$D$310,186),IF(186&lt;=COUNTA(半紙!$B$11:$B$310)+COUNTA(条幅!$B$11:$B$310),INDEX(条幅!$D$11:$D$310,186-COUNTA(半紙!$B$11:$B$310)),IF(186&lt;=COUNTA(半紙!$B$11:$B$310)+COUNTA(条幅!$B$11:$B$310)+COUNTA(条幅4分の1!$B$11:$B$310),INDEX(条幅4分の1!$D$11:$D$310,186-COUNTA(半紙!$B$11:$B$310)-COUNTA(条幅!$B$11:$B$310)),""))))</f>
        <v/>
      </c>
      <c r="E191" s="38" t="str">
        <f>IF(IF(186&lt;=COUNTA(半紙!$B$11:$B$310),INDEX(半紙!$E$11:$E$310,186),IF(186&lt;=COUNTA(半紙!$B$11:$B$310)+COUNTA(条幅!$B$11:$B$310),INDEX(条幅!$E$11:$E$310,186-COUNTA(半紙!$B$11:$B$310)),IF(186&lt;=COUNTA(半紙!$B$11:$B$310)+COUNTA(条幅!$B$11:$B$310)+COUNTA(条幅4分の1!$B$11:$B$310),INDEX(条幅4分の1!$E$11:$E$310,186-COUNTA(半紙!$B$11:$B$310)-COUNTA(条幅!$B$11:$B$310)),"")))=0,"",IF(186&lt;=COUNTA(半紙!$B$11:$B$310),INDEX(半紙!$E$11:$E$310,186),IF(186&lt;=COUNTA(半紙!$B$11:$B$310)+COUNTA(条幅!$B$11:$B$310),INDEX(条幅!$E$11:$E$310,186-COUNTA(半紙!$B$11:$B$310)),IF(186&lt;=COUNTA(半紙!$B$11:$B$310)+COUNTA(条幅!$B$11:$B$310)+COUNTA(条幅4分の1!$B$11:$B$310),INDEX(条幅4分の1!$E$11:$E$310,186-COUNTA(半紙!$B$11:$B$310)-COUNTA(条幅!$B$11:$B$310)),""))))</f>
        <v/>
      </c>
      <c r="F191" s="38" t="str">
        <f>IF(IF(186&lt;=COUNTA(半紙!$B$11:$B$310),INDEX(半紙!$F$11:$F$310,186),IF(186&lt;=COUNTA(半紙!$B$11:$B$310)+COUNTA(条幅!$B$11:$B$310),INDEX(条幅!$F$11:$F$310,186-COUNTA(半紙!$B$11:$B$310)),IF(186&lt;=COUNTA(半紙!$B$11:$B$310)+COUNTA(条幅!$B$11:$B$310)+COUNTA(条幅4分の1!$B$11:$B$310),INDEX(条幅4分の1!$F$11:$F$310,186-COUNTA(半紙!$B$11:$B$310)-COUNTA(条幅!$B$11:$B$310)),"")))=0,"",IF(186&lt;=COUNTA(半紙!$B$11:$B$310),INDEX(半紙!$F$11:$F$310,186),IF(186&lt;=COUNTA(半紙!$B$11:$B$310)+COUNTA(条幅!$B$11:$B$310),INDEX(条幅!$F$11:$F$310,186-COUNTA(半紙!$B$11:$B$310)),IF(186&lt;=COUNTA(半紙!$B$11:$B$310)+COUNTA(条幅!$B$11:$B$310)+COUNTA(条幅4分の1!$B$11:$B$310),INDEX(条幅4分の1!$F$11:$F$310,186-COUNTA(半紙!$B$11:$B$310)-COUNTA(条幅!$B$11:$B$310)),""))))</f>
        <v/>
      </c>
      <c r="G191" s="38" t="str">
        <f>IF(IF(186&lt;=COUNTA(半紙!$B$11:$B$310),INDEX(半紙!$G$11:$G$310,186),IF(186&lt;=COUNTA(半紙!$B$11:$B$310)+COUNTA(条幅!$B$11:$B$310),INDEX(条幅!$G$11:$G$310,186-COUNTA(半紙!$B$11:$B$310)),IF(186&lt;=COUNTA(半紙!$B$11:$B$310)+COUNTA(条幅!$B$11:$B$310)+COUNTA(条幅4分の1!$B$11:$B$310),INDEX(条幅4分の1!$G$11:$G$310,186-COUNTA(半紙!$B$11:$B$310)-COUNTA(条幅!$B$11:$B$310)),"")))=0,"",IF(186&lt;=COUNTA(半紙!$B$11:$B$310),INDEX(半紙!$G$11:$G$310,186),IF(186&lt;=COUNTA(半紙!$B$11:$B$310)+COUNTA(条幅!$B$11:$B$310),INDEX(条幅!$G$11:$G$310,186-COUNTA(半紙!$B$11:$B$310)),IF(186&lt;=COUNTA(半紙!$B$11:$B$310)+COUNTA(条幅!$B$11:$B$310)+COUNTA(条幅4分の1!$B$11:$B$310),INDEX(条幅4分の1!$G$11:$G$310,186-COUNTA(半紙!$B$11:$B$310)-COUNTA(条幅!$B$11:$B$310)),""))))</f>
        <v/>
      </c>
      <c r="H191" s="38" t="str">
        <f>IF(IF(186&lt;=COUNTA(半紙!$B$11:$B$310),INDEX(半紙!$H$11:$H$310,186),IF(186&lt;=COUNTA(半紙!$B$11:$B$310)+COUNTA(条幅!$B$11:$B$310),INDEX(条幅!$H$11:$H$310,186-COUNTA(半紙!$B$11:$B$310)),IF(186&lt;=COUNTA(半紙!$B$11:$B$310)+COUNTA(条幅!$B$11:$B$310)+COUNTA(条幅4分の1!$B$11:$B$310),INDEX(条幅4分の1!$H$11:$H$310,186-COUNTA(半紙!$B$11:$B$310)-COUNTA(条幅!$B$11:$B$310)),"")))=0,"",IF(186&lt;=COUNTA(半紙!$B$11:$B$310),INDEX(半紙!$H$11:$H$310,186),IF(186&lt;=COUNTA(半紙!$B$11:$B$310)+COUNTA(条幅!$B$11:$B$310),INDEX(条幅!$H$11:$H$310,186-COUNTA(半紙!$B$11:$B$310)),IF(186&lt;=COUNTA(半紙!$B$11:$B$310)+COUNTA(条幅!$B$11:$B$310)+COUNTA(条幅4分の1!$B$11:$B$310),INDEX(条幅4分の1!$H$11:$H$310,186-COUNTA(半紙!$B$11:$B$310)-COUNTA(条幅!$B$11:$B$310)),""))))</f>
        <v/>
      </c>
      <c r="I191" s="38" t="str">
        <f>IF(IF(186&lt;=COUNTA(半紙!$B$11:$B$310),INDEX(半紙!$I$11:$I$310,186),IF(186&lt;=COUNTA(半紙!$B$11:$B$310)+COUNTA(条幅!$B$11:$B$310),INDEX(条幅!$I$11:$I$310,186-COUNTA(半紙!$B$11:$B$310)),IF(186&lt;=COUNTA(半紙!$B$11:$B$310)+COUNTA(条幅!$B$11:$B$310)+COUNTA(条幅4分の1!$B$11:$B$310),INDEX(条幅4分の1!$I$11:$I$310,186-COUNTA(半紙!$B$11:$B$310)-COUNTA(条幅!$B$11:$B$310)),"")))=0,"",IF(186&lt;=COUNTA(半紙!$B$11:$B$310),INDEX(半紙!$I$11:$I$310,186),IF(186&lt;=COUNTA(半紙!$B$11:$B$310)+COUNTA(条幅!$B$11:$B$310),INDEX(条幅!$I$11:$I$310,186-COUNTA(半紙!$B$11:$B$310)),IF(186&lt;=COUNTA(半紙!$B$11:$B$310)+COUNTA(条幅!$B$11:$B$310)+COUNTA(条幅4分の1!$B$11:$B$310),INDEX(条幅4分の1!$I$11:$I$310,186-COUNTA(半紙!$B$11:$B$310)-COUNTA(条幅!$B$11:$B$310)),""))))</f>
        <v/>
      </c>
      <c r="J191" s="38" t="str">
        <f>IF(IF(186&lt;=COUNTA(半紙!$B$11:$B$310),INDEX(半紙!$J$11:$J$310,186),IF(186&lt;=COUNTA(半紙!$B$11:$B$310)+COUNTA(条幅!$B$11:$B$310),INDEX(条幅!$J$11:$J$310,186-COUNTA(半紙!$B$11:$B$310)),IF(186&lt;=COUNTA(半紙!$B$11:$B$310)+COUNTA(条幅!$B$11:$B$310)+COUNTA(条幅4分の1!$B$11:$B$310),INDEX(条幅4分の1!$J$11:$J$310,186-COUNTA(半紙!$B$11:$B$310)-COUNTA(条幅!$B$11:$B$310)),"")))=0,"",IF(186&lt;=COUNTA(半紙!$B$11:$B$310),INDEX(半紙!$J$11:$J$310,186),IF(186&lt;=COUNTA(半紙!$B$11:$B$310)+COUNTA(条幅!$B$11:$B$310),INDEX(条幅!$J$11:$J$310,186-COUNTA(半紙!$B$11:$B$310)),IF(186&lt;=COUNTA(半紙!$B$11:$B$310)+COUNTA(条幅!$B$11:$B$310)+COUNTA(条幅4分の1!$B$11:$B$310),INDEX(条幅4分の1!$J$11:$J$310,186-COUNTA(半紙!$B$11:$B$310)-COUNTA(条幅!$B$11:$B$310)),""))))</f>
        <v/>
      </c>
      <c r="K191" s="38" t="str">
        <f>IF(IF(186&lt;=COUNTA(半紙!$B$11:$B$310),INDEX(半紙!$K$11:$K$310,186),IF(186&lt;=COUNTA(半紙!$B$11:$B$310)+COUNTA(条幅!$B$11:$B$310),INDEX(条幅!$K$11:$K$310,186-COUNTA(半紙!$B$11:$B$310)),IF(186&lt;=COUNTA(半紙!$B$11:$B$310)+COUNTA(条幅!$B$11:$B$310)+COUNTA(条幅4分の1!$B$11:$B$310),INDEX(条幅4分の1!$K$11:$K$310,186-COUNTA(半紙!$B$11:$B$310)-COUNTA(条幅!$B$11:$B$310)),"")))=0,"",IF(186&lt;=COUNTA(半紙!$B$11:$B$310),INDEX(半紙!$K$11:$K$310,186),IF(186&lt;=COUNTA(半紙!$B$11:$B$310)+COUNTA(条幅!$B$11:$B$310),INDEX(条幅!$K$11:$K$310,186-COUNTA(半紙!$B$11:$B$310)),IF(186&lt;=COUNTA(半紙!$B$11:$B$310)+COUNTA(条幅!$B$11:$B$310)+COUNTA(条幅4分の1!$B$11:$B$310),INDEX(条幅4分の1!$K$11:$K$310,186-COUNTA(半紙!$B$11:$B$310)-COUNTA(条幅!$B$11:$B$310)),""))))</f>
        <v/>
      </c>
      <c r="L191" s="48" t="str">
        <f>IF($B191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186))</f>
        <v/>
      </c>
    </row>
    <row r="192" spans="1:12" ht="15" customHeight="1">
      <c r="A192" s="37" t="str">
        <f>IF(187&lt;=COUNTA(半紙!$B$11:$B$310),"半紙",IF(187&lt;=COUNTA(半紙!$B$11:$B$310)+COUNTA(条幅!$B$11:$B$310),"条幅(半切)",IF(187&lt;=COUNTA(半紙!$B$11:$B$310)+COUNTA(条幅!$B$11:$B$310)+COUNTA(条幅4分の1!$B$11:$B$310),"条幅(1/4)","")))</f>
        <v/>
      </c>
      <c r="B192" s="38" t="str">
        <f>IF(IF(187&lt;=COUNTA(半紙!$B$11:$B$310),INDEX(半紙!$B$11:$B$310,187),IF(187&lt;=COUNTA(半紙!$B$11:$B$310)+COUNTA(条幅!$B$11:$B$310),INDEX(条幅!$B$11:$B$310,187-COUNTA(半紙!$B$11:$B$310)),IF(187&lt;=COUNTA(半紙!$B$11:$B$310)+COUNTA(条幅!$B$11:$B$310)+COUNTA(条幅4分の1!$B$11:$B$310),INDEX(条幅4分の1!$B$11:$B$310,187-COUNTA(半紙!$B$11:$B$310)-COUNTA(条幅!$B$11:$B$310)),"")))=0,"",IF(187&lt;=COUNTA(半紙!$B$11:$B$310),INDEX(半紙!$B$11:$B$310,187),IF(187&lt;=COUNTA(半紙!$B$11:$B$310)+COUNTA(条幅!$B$11:$B$310),INDEX(条幅!$B$11:$B$310,187-COUNTA(半紙!$B$11:$B$310)),IF(187&lt;=COUNTA(半紙!$B$11:$B$310)+COUNTA(条幅!$B$11:$B$310)+COUNTA(条幅4分の1!$B$11:$B$310),INDEX(条幅4分の1!$B$11:$B$310,187-COUNTA(半紙!$B$11:$B$310)-COUNTA(条幅!$B$11:$B$310)),""))))</f>
        <v/>
      </c>
      <c r="C192" s="38" t="str">
        <f>IF(IF(187&lt;=COUNTA(半紙!$B$11:$B$310),INDEX(半紙!$C$11:$C$310,187),IF(187&lt;=COUNTA(半紙!$B$11:$B$310)+COUNTA(条幅!$B$11:$B$310),INDEX(条幅!$C$11:$C$310,187-COUNTA(半紙!$B$11:$B$310)),IF(187&lt;=COUNTA(半紙!$B$11:$B$310)+COUNTA(条幅!$B$11:$B$310)+COUNTA(条幅4分の1!$B$11:$B$310),INDEX(条幅4分の1!$C$11:$C$310,187-COUNTA(半紙!$B$11:$B$310)-COUNTA(条幅!$B$11:$B$310)),"")))=0,"",IF(187&lt;=COUNTA(半紙!$B$11:$B$310),INDEX(半紙!$C$11:$C$310,187),IF(187&lt;=COUNTA(半紙!$B$11:$B$310)+COUNTA(条幅!$B$11:$B$310),INDEX(条幅!$C$11:$C$310,187-COUNTA(半紙!$B$11:$B$310)),IF(187&lt;=COUNTA(半紙!$B$11:$B$310)+COUNTA(条幅!$B$11:$B$310)+COUNTA(条幅4分の1!$B$11:$B$310),INDEX(条幅4分の1!$C$11:$C$310,187-COUNTA(半紙!$B$11:$B$310)-COUNTA(条幅!$B$11:$B$310)),""))))</f>
        <v/>
      </c>
      <c r="D192" s="38" t="str">
        <f>IF(IF(187&lt;=COUNTA(半紙!$B$11:$B$310),INDEX(半紙!$D$11:$D$310,187),IF(187&lt;=COUNTA(半紙!$B$11:$B$310)+COUNTA(条幅!$B$11:$B$310),INDEX(条幅!$D$11:$D$310,187-COUNTA(半紙!$B$11:$B$310)),IF(187&lt;=COUNTA(半紙!$B$11:$B$310)+COUNTA(条幅!$B$11:$B$310)+COUNTA(条幅4分の1!$B$11:$B$310),INDEX(条幅4分の1!$D$11:$D$310,187-COUNTA(半紙!$B$11:$B$310)-COUNTA(条幅!$B$11:$B$310)),"")))=0,"",IF(187&lt;=COUNTA(半紙!$B$11:$B$310),INDEX(半紙!$D$11:$D$310,187),IF(187&lt;=COUNTA(半紙!$B$11:$B$310)+COUNTA(条幅!$B$11:$B$310),INDEX(条幅!$D$11:$D$310,187-COUNTA(半紙!$B$11:$B$310)),IF(187&lt;=COUNTA(半紙!$B$11:$B$310)+COUNTA(条幅!$B$11:$B$310)+COUNTA(条幅4分の1!$B$11:$B$310),INDEX(条幅4分の1!$D$11:$D$310,187-COUNTA(半紙!$B$11:$B$310)-COUNTA(条幅!$B$11:$B$310)),""))))</f>
        <v/>
      </c>
      <c r="E192" s="38" t="str">
        <f>IF(IF(187&lt;=COUNTA(半紙!$B$11:$B$310),INDEX(半紙!$E$11:$E$310,187),IF(187&lt;=COUNTA(半紙!$B$11:$B$310)+COUNTA(条幅!$B$11:$B$310),INDEX(条幅!$E$11:$E$310,187-COUNTA(半紙!$B$11:$B$310)),IF(187&lt;=COUNTA(半紙!$B$11:$B$310)+COUNTA(条幅!$B$11:$B$310)+COUNTA(条幅4分の1!$B$11:$B$310),INDEX(条幅4分の1!$E$11:$E$310,187-COUNTA(半紙!$B$11:$B$310)-COUNTA(条幅!$B$11:$B$310)),"")))=0,"",IF(187&lt;=COUNTA(半紙!$B$11:$B$310),INDEX(半紙!$E$11:$E$310,187),IF(187&lt;=COUNTA(半紙!$B$11:$B$310)+COUNTA(条幅!$B$11:$B$310),INDEX(条幅!$E$11:$E$310,187-COUNTA(半紙!$B$11:$B$310)),IF(187&lt;=COUNTA(半紙!$B$11:$B$310)+COUNTA(条幅!$B$11:$B$310)+COUNTA(条幅4分の1!$B$11:$B$310),INDEX(条幅4分の1!$E$11:$E$310,187-COUNTA(半紙!$B$11:$B$310)-COUNTA(条幅!$B$11:$B$310)),""))))</f>
        <v/>
      </c>
      <c r="F192" s="38" t="str">
        <f>IF(IF(187&lt;=COUNTA(半紙!$B$11:$B$310),INDEX(半紙!$F$11:$F$310,187),IF(187&lt;=COUNTA(半紙!$B$11:$B$310)+COUNTA(条幅!$B$11:$B$310),INDEX(条幅!$F$11:$F$310,187-COUNTA(半紙!$B$11:$B$310)),IF(187&lt;=COUNTA(半紙!$B$11:$B$310)+COUNTA(条幅!$B$11:$B$310)+COUNTA(条幅4分の1!$B$11:$B$310),INDEX(条幅4分の1!$F$11:$F$310,187-COUNTA(半紙!$B$11:$B$310)-COUNTA(条幅!$B$11:$B$310)),"")))=0,"",IF(187&lt;=COUNTA(半紙!$B$11:$B$310),INDEX(半紙!$F$11:$F$310,187),IF(187&lt;=COUNTA(半紙!$B$11:$B$310)+COUNTA(条幅!$B$11:$B$310),INDEX(条幅!$F$11:$F$310,187-COUNTA(半紙!$B$11:$B$310)),IF(187&lt;=COUNTA(半紙!$B$11:$B$310)+COUNTA(条幅!$B$11:$B$310)+COUNTA(条幅4分の1!$B$11:$B$310),INDEX(条幅4分の1!$F$11:$F$310,187-COUNTA(半紙!$B$11:$B$310)-COUNTA(条幅!$B$11:$B$310)),""))))</f>
        <v/>
      </c>
      <c r="G192" s="38" t="str">
        <f>IF(IF(187&lt;=COUNTA(半紙!$B$11:$B$310),INDEX(半紙!$G$11:$G$310,187),IF(187&lt;=COUNTA(半紙!$B$11:$B$310)+COUNTA(条幅!$B$11:$B$310),INDEX(条幅!$G$11:$G$310,187-COUNTA(半紙!$B$11:$B$310)),IF(187&lt;=COUNTA(半紙!$B$11:$B$310)+COUNTA(条幅!$B$11:$B$310)+COUNTA(条幅4分の1!$B$11:$B$310),INDEX(条幅4分の1!$G$11:$G$310,187-COUNTA(半紙!$B$11:$B$310)-COUNTA(条幅!$B$11:$B$310)),"")))=0,"",IF(187&lt;=COUNTA(半紙!$B$11:$B$310),INDEX(半紙!$G$11:$G$310,187),IF(187&lt;=COUNTA(半紙!$B$11:$B$310)+COUNTA(条幅!$B$11:$B$310),INDEX(条幅!$G$11:$G$310,187-COUNTA(半紙!$B$11:$B$310)),IF(187&lt;=COUNTA(半紙!$B$11:$B$310)+COUNTA(条幅!$B$11:$B$310)+COUNTA(条幅4分の1!$B$11:$B$310),INDEX(条幅4分の1!$G$11:$G$310,187-COUNTA(半紙!$B$11:$B$310)-COUNTA(条幅!$B$11:$B$310)),""))))</f>
        <v/>
      </c>
      <c r="H192" s="38" t="str">
        <f>IF(IF(187&lt;=COUNTA(半紙!$B$11:$B$310),INDEX(半紙!$H$11:$H$310,187),IF(187&lt;=COUNTA(半紙!$B$11:$B$310)+COUNTA(条幅!$B$11:$B$310),INDEX(条幅!$H$11:$H$310,187-COUNTA(半紙!$B$11:$B$310)),IF(187&lt;=COUNTA(半紙!$B$11:$B$310)+COUNTA(条幅!$B$11:$B$310)+COUNTA(条幅4分の1!$B$11:$B$310),INDEX(条幅4分の1!$H$11:$H$310,187-COUNTA(半紙!$B$11:$B$310)-COUNTA(条幅!$B$11:$B$310)),"")))=0,"",IF(187&lt;=COUNTA(半紙!$B$11:$B$310),INDEX(半紙!$H$11:$H$310,187),IF(187&lt;=COUNTA(半紙!$B$11:$B$310)+COUNTA(条幅!$B$11:$B$310),INDEX(条幅!$H$11:$H$310,187-COUNTA(半紙!$B$11:$B$310)),IF(187&lt;=COUNTA(半紙!$B$11:$B$310)+COUNTA(条幅!$B$11:$B$310)+COUNTA(条幅4分の1!$B$11:$B$310),INDEX(条幅4分の1!$H$11:$H$310,187-COUNTA(半紙!$B$11:$B$310)-COUNTA(条幅!$B$11:$B$310)),""))))</f>
        <v/>
      </c>
      <c r="I192" s="38" t="str">
        <f>IF(IF(187&lt;=COUNTA(半紙!$B$11:$B$310),INDEX(半紙!$I$11:$I$310,187),IF(187&lt;=COUNTA(半紙!$B$11:$B$310)+COUNTA(条幅!$B$11:$B$310),INDEX(条幅!$I$11:$I$310,187-COUNTA(半紙!$B$11:$B$310)),IF(187&lt;=COUNTA(半紙!$B$11:$B$310)+COUNTA(条幅!$B$11:$B$310)+COUNTA(条幅4分の1!$B$11:$B$310),INDEX(条幅4分の1!$I$11:$I$310,187-COUNTA(半紙!$B$11:$B$310)-COUNTA(条幅!$B$11:$B$310)),"")))=0,"",IF(187&lt;=COUNTA(半紙!$B$11:$B$310),INDEX(半紙!$I$11:$I$310,187),IF(187&lt;=COUNTA(半紙!$B$11:$B$310)+COUNTA(条幅!$B$11:$B$310),INDEX(条幅!$I$11:$I$310,187-COUNTA(半紙!$B$11:$B$310)),IF(187&lt;=COUNTA(半紙!$B$11:$B$310)+COUNTA(条幅!$B$11:$B$310)+COUNTA(条幅4分の1!$B$11:$B$310),INDEX(条幅4分の1!$I$11:$I$310,187-COUNTA(半紙!$B$11:$B$310)-COUNTA(条幅!$B$11:$B$310)),""))))</f>
        <v/>
      </c>
      <c r="J192" s="38" t="str">
        <f>IF(IF(187&lt;=COUNTA(半紙!$B$11:$B$310),INDEX(半紙!$J$11:$J$310,187),IF(187&lt;=COUNTA(半紙!$B$11:$B$310)+COUNTA(条幅!$B$11:$B$310),INDEX(条幅!$J$11:$J$310,187-COUNTA(半紙!$B$11:$B$310)),IF(187&lt;=COUNTA(半紙!$B$11:$B$310)+COUNTA(条幅!$B$11:$B$310)+COUNTA(条幅4分の1!$B$11:$B$310),INDEX(条幅4分の1!$J$11:$J$310,187-COUNTA(半紙!$B$11:$B$310)-COUNTA(条幅!$B$11:$B$310)),"")))=0,"",IF(187&lt;=COUNTA(半紙!$B$11:$B$310),INDEX(半紙!$J$11:$J$310,187),IF(187&lt;=COUNTA(半紙!$B$11:$B$310)+COUNTA(条幅!$B$11:$B$310),INDEX(条幅!$J$11:$J$310,187-COUNTA(半紙!$B$11:$B$310)),IF(187&lt;=COUNTA(半紙!$B$11:$B$310)+COUNTA(条幅!$B$11:$B$310)+COUNTA(条幅4分の1!$B$11:$B$310),INDEX(条幅4分の1!$J$11:$J$310,187-COUNTA(半紙!$B$11:$B$310)-COUNTA(条幅!$B$11:$B$310)),""))))</f>
        <v/>
      </c>
      <c r="K192" s="38" t="str">
        <f>IF(IF(187&lt;=COUNTA(半紙!$B$11:$B$310),INDEX(半紙!$K$11:$K$310,187),IF(187&lt;=COUNTA(半紙!$B$11:$B$310)+COUNTA(条幅!$B$11:$B$310),INDEX(条幅!$K$11:$K$310,187-COUNTA(半紙!$B$11:$B$310)),IF(187&lt;=COUNTA(半紙!$B$11:$B$310)+COUNTA(条幅!$B$11:$B$310)+COUNTA(条幅4分の1!$B$11:$B$310),INDEX(条幅4分の1!$K$11:$K$310,187-COUNTA(半紙!$B$11:$B$310)-COUNTA(条幅!$B$11:$B$310)),"")))=0,"",IF(187&lt;=COUNTA(半紙!$B$11:$B$310),INDEX(半紙!$K$11:$K$310,187),IF(187&lt;=COUNTA(半紙!$B$11:$B$310)+COUNTA(条幅!$B$11:$B$310),INDEX(条幅!$K$11:$K$310,187-COUNTA(半紙!$B$11:$B$310)),IF(187&lt;=COUNTA(半紙!$B$11:$B$310)+COUNTA(条幅!$B$11:$B$310)+COUNTA(条幅4分の1!$B$11:$B$310),INDEX(条幅4分の1!$K$11:$K$310,187-COUNTA(半紙!$B$11:$B$310)-COUNTA(条幅!$B$11:$B$310)),""))))</f>
        <v/>
      </c>
      <c r="L192" s="48" t="str">
        <f>IF($B192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187))</f>
        <v/>
      </c>
    </row>
    <row r="193" spans="1:12" ht="15" customHeight="1">
      <c r="A193" s="37" t="str">
        <f>IF(188&lt;=COUNTA(半紙!$B$11:$B$310),"半紙",IF(188&lt;=COUNTA(半紙!$B$11:$B$310)+COUNTA(条幅!$B$11:$B$310),"条幅(半切)",IF(188&lt;=COUNTA(半紙!$B$11:$B$310)+COUNTA(条幅!$B$11:$B$310)+COUNTA(条幅4分の1!$B$11:$B$310),"条幅(1/4)","")))</f>
        <v/>
      </c>
      <c r="B193" s="38" t="str">
        <f>IF(IF(188&lt;=COUNTA(半紙!$B$11:$B$310),INDEX(半紙!$B$11:$B$310,188),IF(188&lt;=COUNTA(半紙!$B$11:$B$310)+COUNTA(条幅!$B$11:$B$310),INDEX(条幅!$B$11:$B$310,188-COUNTA(半紙!$B$11:$B$310)),IF(188&lt;=COUNTA(半紙!$B$11:$B$310)+COUNTA(条幅!$B$11:$B$310)+COUNTA(条幅4分の1!$B$11:$B$310),INDEX(条幅4分の1!$B$11:$B$310,188-COUNTA(半紙!$B$11:$B$310)-COUNTA(条幅!$B$11:$B$310)),"")))=0,"",IF(188&lt;=COUNTA(半紙!$B$11:$B$310),INDEX(半紙!$B$11:$B$310,188),IF(188&lt;=COUNTA(半紙!$B$11:$B$310)+COUNTA(条幅!$B$11:$B$310),INDEX(条幅!$B$11:$B$310,188-COUNTA(半紙!$B$11:$B$310)),IF(188&lt;=COUNTA(半紙!$B$11:$B$310)+COUNTA(条幅!$B$11:$B$310)+COUNTA(条幅4分の1!$B$11:$B$310),INDEX(条幅4分の1!$B$11:$B$310,188-COUNTA(半紙!$B$11:$B$310)-COUNTA(条幅!$B$11:$B$310)),""))))</f>
        <v/>
      </c>
      <c r="C193" s="38" t="str">
        <f>IF(IF(188&lt;=COUNTA(半紙!$B$11:$B$310),INDEX(半紙!$C$11:$C$310,188),IF(188&lt;=COUNTA(半紙!$B$11:$B$310)+COUNTA(条幅!$B$11:$B$310),INDEX(条幅!$C$11:$C$310,188-COUNTA(半紙!$B$11:$B$310)),IF(188&lt;=COUNTA(半紙!$B$11:$B$310)+COUNTA(条幅!$B$11:$B$310)+COUNTA(条幅4分の1!$B$11:$B$310),INDEX(条幅4分の1!$C$11:$C$310,188-COUNTA(半紙!$B$11:$B$310)-COUNTA(条幅!$B$11:$B$310)),"")))=0,"",IF(188&lt;=COUNTA(半紙!$B$11:$B$310),INDEX(半紙!$C$11:$C$310,188),IF(188&lt;=COUNTA(半紙!$B$11:$B$310)+COUNTA(条幅!$B$11:$B$310),INDEX(条幅!$C$11:$C$310,188-COUNTA(半紙!$B$11:$B$310)),IF(188&lt;=COUNTA(半紙!$B$11:$B$310)+COUNTA(条幅!$B$11:$B$310)+COUNTA(条幅4分の1!$B$11:$B$310),INDEX(条幅4分の1!$C$11:$C$310,188-COUNTA(半紙!$B$11:$B$310)-COUNTA(条幅!$B$11:$B$310)),""))))</f>
        <v/>
      </c>
      <c r="D193" s="38" t="str">
        <f>IF(IF(188&lt;=COUNTA(半紙!$B$11:$B$310),INDEX(半紙!$D$11:$D$310,188),IF(188&lt;=COUNTA(半紙!$B$11:$B$310)+COUNTA(条幅!$B$11:$B$310),INDEX(条幅!$D$11:$D$310,188-COUNTA(半紙!$B$11:$B$310)),IF(188&lt;=COUNTA(半紙!$B$11:$B$310)+COUNTA(条幅!$B$11:$B$310)+COUNTA(条幅4分の1!$B$11:$B$310),INDEX(条幅4分の1!$D$11:$D$310,188-COUNTA(半紙!$B$11:$B$310)-COUNTA(条幅!$B$11:$B$310)),"")))=0,"",IF(188&lt;=COUNTA(半紙!$B$11:$B$310),INDEX(半紙!$D$11:$D$310,188),IF(188&lt;=COUNTA(半紙!$B$11:$B$310)+COUNTA(条幅!$B$11:$B$310),INDEX(条幅!$D$11:$D$310,188-COUNTA(半紙!$B$11:$B$310)),IF(188&lt;=COUNTA(半紙!$B$11:$B$310)+COUNTA(条幅!$B$11:$B$310)+COUNTA(条幅4分の1!$B$11:$B$310),INDEX(条幅4分の1!$D$11:$D$310,188-COUNTA(半紙!$B$11:$B$310)-COUNTA(条幅!$B$11:$B$310)),""))))</f>
        <v/>
      </c>
      <c r="E193" s="38" t="str">
        <f>IF(IF(188&lt;=COUNTA(半紙!$B$11:$B$310),INDEX(半紙!$E$11:$E$310,188),IF(188&lt;=COUNTA(半紙!$B$11:$B$310)+COUNTA(条幅!$B$11:$B$310),INDEX(条幅!$E$11:$E$310,188-COUNTA(半紙!$B$11:$B$310)),IF(188&lt;=COUNTA(半紙!$B$11:$B$310)+COUNTA(条幅!$B$11:$B$310)+COUNTA(条幅4分の1!$B$11:$B$310),INDEX(条幅4分の1!$E$11:$E$310,188-COUNTA(半紙!$B$11:$B$310)-COUNTA(条幅!$B$11:$B$310)),"")))=0,"",IF(188&lt;=COUNTA(半紙!$B$11:$B$310),INDEX(半紙!$E$11:$E$310,188),IF(188&lt;=COUNTA(半紙!$B$11:$B$310)+COUNTA(条幅!$B$11:$B$310),INDEX(条幅!$E$11:$E$310,188-COUNTA(半紙!$B$11:$B$310)),IF(188&lt;=COUNTA(半紙!$B$11:$B$310)+COUNTA(条幅!$B$11:$B$310)+COUNTA(条幅4分の1!$B$11:$B$310),INDEX(条幅4分の1!$E$11:$E$310,188-COUNTA(半紙!$B$11:$B$310)-COUNTA(条幅!$B$11:$B$310)),""))))</f>
        <v/>
      </c>
      <c r="F193" s="38" t="str">
        <f>IF(IF(188&lt;=COUNTA(半紙!$B$11:$B$310),INDEX(半紙!$F$11:$F$310,188),IF(188&lt;=COUNTA(半紙!$B$11:$B$310)+COUNTA(条幅!$B$11:$B$310),INDEX(条幅!$F$11:$F$310,188-COUNTA(半紙!$B$11:$B$310)),IF(188&lt;=COUNTA(半紙!$B$11:$B$310)+COUNTA(条幅!$B$11:$B$310)+COUNTA(条幅4分の1!$B$11:$B$310),INDEX(条幅4分の1!$F$11:$F$310,188-COUNTA(半紙!$B$11:$B$310)-COUNTA(条幅!$B$11:$B$310)),"")))=0,"",IF(188&lt;=COUNTA(半紙!$B$11:$B$310),INDEX(半紙!$F$11:$F$310,188),IF(188&lt;=COUNTA(半紙!$B$11:$B$310)+COUNTA(条幅!$B$11:$B$310),INDEX(条幅!$F$11:$F$310,188-COUNTA(半紙!$B$11:$B$310)),IF(188&lt;=COUNTA(半紙!$B$11:$B$310)+COUNTA(条幅!$B$11:$B$310)+COUNTA(条幅4分の1!$B$11:$B$310),INDEX(条幅4分の1!$F$11:$F$310,188-COUNTA(半紙!$B$11:$B$310)-COUNTA(条幅!$B$11:$B$310)),""))))</f>
        <v/>
      </c>
      <c r="G193" s="38" t="str">
        <f>IF(IF(188&lt;=COUNTA(半紙!$B$11:$B$310),INDEX(半紙!$G$11:$G$310,188),IF(188&lt;=COUNTA(半紙!$B$11:$B$310)+COUNTA(条幅!$B$11:$B$310),INDEX(条幅!$G$11:$G$310,188-COUNTA(半紙!$B$11:$B$310)),IF(188&lt;=COUNTA(半紙!$B$11:$B$310)+COUNTA(条幅!$B$11:$B$310)+COUNTA(条幅4分の1!$B$11:$B$310),INDEX(条幅4分の1!$G$11:$G$310,188-COUNTA(半紙!$B$11:$B$310)-COUNTA(条幅!$B$11:$B$310)),"")))=0,"",IF(188&lt;=COUNTA(半紙!$B$11:$B$310),INDEX(半紙!$G$11:$G$310,188),IF(188&lt;=COUNTA(半紙!$B$11:$B$310)+COUNTA(条幅!$B$11:$B$310),INDEX(条幅!$G$11:$G$310,188-COUNTA(半紙!$B$11:$B$310)),IF(188&lt;=COUNTA(半紙!$B$11:$B$310)+COUNTA(条幅!$B$11:$B$310)+COUNTA(条幅4分の1!$B$11:$B$310),INDEX(条幅4分の1!$G$11:$G$310,188-COUNTA(半紙!$B$11:$B$310)-COUNTA(条幅!$B$11:$B$310)),""))))</f>
        <v/>
      </c>
      <c r="H193" s="38" t="str">
        <f>IF(IF(188&lt;=COUNTA(半紙!$B$11:$B$310),INDEX(半紙!$H$11:$H$310,188),IF(188&lt;=COUNTA(半紙!$B$11:$B$310)+COUNTA(条幅!$B$11:$B$310),INDEX(条幅!$H$11:$H$310,188-COUNTA(半紙!$B$11:$B$310)),IF(188&lt;=COUNTA(半紙!$B$11:$B$310)+COUNTA(条幅!$B$11:$B$310)+COUNTA(条幅4分の1!$B$11:$B$310),INDEX(条幅4分の1!$H$11:$H$310,188-COUNTA(半紙!$B$11:$B$310)-COUNTA(条幅!$B$11:$B$310)),"")))=0,"",IF(188&lt;=COUNTA(半紙!$B$11:$B$310),INDEX(半紙!$H$11:$H$310,188),IF(188&lt;=COUNTA(半紙!$B$11:$B$310)+COUNTA(条幅!$B$11:$B$310),INDEX(条幅!$H$11:$H$310,188-COUNTA(半紙!$B$11:$B$310)),IF(188&lt;=COUNTA(半紙!$B$11:$B$310)+COUNTA(条幅!$B$11:$B$310)+COUNTA(条幅4分の1!$B$11:$B$310),INDEX(条幅4分の1!$H$11:$H$310,188-COUNTA(半紙!$B$11:$B$310)-COUNTA(条幅!$B$11:$B$310)),""))))</f>
        <v/>
      </c>
      <c r="I193" s="38" t="str">
        <f>IF(IF(188&lt;=COUNTA(半紙!$B$11:$B$310),INDEX(半紙!$I$11:$I$310,188),IF(188&lt;=COUNTA(半紙!$B$11:$B$310)+COUNTA(条幅!$B$11:$B$310),INDEX(条幅!$I$11:$I$310,188-COUNTA(半紙!$B$11:$B$310)),IF(188&lt;=COUNTA(半紙!$B$11:$B$310)+COUNTA(条幅!$B$11:$B$310)+COUNTA(条幅4分の1!$B$11:$B$310),INDEX(条幅4分の1!$I$11:$I$310,188-COUNTA(半紙!$B$11:$B$310)-COUNTA(条幅!$B$11:$B$310)),"")))=0,"",IF(188&lt;=COUNTA(半紙!$B$11:$B$310),INDEX(半紙!$I$11:$I$310,188),IF(188&lt;=COUNTA(半紙!$B$11:$B$310)+COUNTA(条幅!$B$11:$B$310),INDEX(条幅!$I$11:$I$310,188-COUNTA(半紙!$B$11:$B$310)),IF(188&lt;=COUNTA(半紙!$B$11:$B$310)+COUNTA(条幅!$B$11:$B$310)+COUNTA(条幅4分の1!$B$11:$B$310),INDEX(条幅4分の1!$I$11:$I$310,188-COUNTA(半紙!$B$11:$B$310)-COUNTA(条幅!$B$11:$B$310)),""))))</f>
        <v/>
      </c>
      <c r="J193" s="38" t="str">
        <f>IF(IF(188&lt;=COUNTA(半紙!$B$11:$B$310),INDEX(半紙!$J$11:$J$310,188),IF(188&lt;=COUNTA(半紙!$B$11:$B$310)+COUNTA(条幅!$B$11:$B$310),INDEX(条幅!$J$11:$J$310,188-COUNTA(半紙!$B$11:$B$310)),IF(188&lt;=COUNTA(半紙!$B$11:$B$310)+COUNTA(条幅!$B$11:$B$310)+COUNTA(条幅4分の1!$B$11:$B$310),INDEX(条幅4分の1!$J$11:$J$310,188-COUNTA(半紙!$B$11:$B$310)-COUNTA(条幅!$B$11:$B$310)),"")))=0,"",IF(188&lt;=COUNTA(半紙!$B$11:$B$310),INDEX(半紙!$J$11:$J$310,188),IF(188&lt;=COUNTA(半紙!$B$11:$B$310)+COUNTA(条幅!$B$11:$B$310),INDEX(条幅!$J$11:$J$310,188-COUNTA(半紙!$B$11:$B$310)),IF(188&lt;=COUNTA(半紙!$B$11:$B$310)+COUNTA(条幅!$B$11:$B$310)+COUNTA(条幅4分の1!$B$11:$B$310),INDEX(条幅4分の1!$J$11:$J$310,188-COUNTA(半紙!$B$11:$B$310)-COUNTA(条幅!$B$11:$B$310)),""))))</f>
        <v/>
      </c>
      <c r="K193" s="38" t="str">
        <f>IF(IF(188&lt;=COUNTA(半紙!$B$11:$B$310),INDEX(半紙!$K$11:$K$310,188),IF(188&lt;=COUNTA(半紙!$B$11:$B$310)+COUNTA(条幅!$B$11:$B$310),INDEX(条幅!$K$11:$K$310,188-COUNTA(半紙!$B$11:$B$310)),IF(188&lt;=COUNTA(半紙!$B$11:$B$310)+COUNTA(条幅!$B$11:$B$310)+COUNTA(条幅4分の1!$B$11:$B$310),INDEX(条幅4分の1!$K$11:$K$310,188-COUNTA(半紙!$B$11:$B$310)-COUNTA(条幅!$B$11:$B$310)),"")))=0,"",IF(188&lt;=COUNTA(半紙!$B$11:$B$310),INDEX(半紙!$K$11:$K$310,188),IF(188&lt;=COUNTA(半紙!$B$11:$B$310)+COUNTA(条幅!$B$11:$B$310),INDEX(条幅!$K$11:$K$310,188-COUNTA(半紙!$B$11:$B$310)),IF(188&lt;=COUNTA(半紙!$B$11:$B$310)+COUNTA(条幅!$B$11:$B$310)+COUNTA(条幅4分の1!$B$11:$B$310),INDEX(条幅4分の1!$K$11:$K$310,188-COUNTA(半紙!$B$11:$B$310)-COUNTA(条幅!$B$11:$B$310)),""))))</f>
        <v/>
      </c>
      <c r="L193" s="48" t="str">
        <f>IF($B193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188))</f>
        <v/>
      </c>
    </row>
    <row r="194" spans="1:12" ht="15" customHeight="1">
      <c r="A194" s="37" t="str">
        <f>IF(189&lt;=COUNTA(半紙!$B$11:$B$310),"半紙",IF(189&lt;=COUNTA(半紙!$B$11:$B$310)+COUNTA(条幅!$B$11:$B$310),"条幅(半切)",IF(189&lt;=COUNTA(半紙!$B$11:$B$310)+COUNTA(条幅!$B$11:$B$310)+COUNTA(条幅4分の1!$B$11:$B$310),"条幅(1/4)","")))</f>
        <v/>
      </c>
      <c r="B194" s="38" t="str">
        <f>IF(IF(189&lt;=COUNTA(半紙!$B$11:$B$310),INDEX(半紙!$B$11:$B$310,189),IF(189&lt;=COUNTA(半紙!$B$11:$B$310)+COUNTA(条幅!$B$11:$B$310),INDEX(条幅!$B$11:$B$310,189-COUNTA(半紙!$B$11:$B$310)),IF(189&lt;=COUNTA(半紙!$B$11:$B$310)+COUNTA(条幅!$B$11:$B$310)+COUNTA(条幅4分の1!$B$11:$B$310),INDEX(条幅4分の1!$B$11:$B$310,189-COUNTA(半紙!$B$11:$B$310)-COUNTA(条幅!$B$11:$B$310)),"")))=0,"",IF(189&lt;=COUNTA(半紙!$B$11:$B$310),INDEX(半紙!$B$11:$B$310,189),IF(189&lt;=COUNTA(半紙!$B$11:$B$310)+COUNTA(条幅!$B$11:$B$310),INDEX(条幅!$B$11:$B$310,189-COUNTA(半紙!$B$11:$B$310)),IF(189&lt;=COUNTA(半紙!$B$11:$B$310)+COUNTA(条幅!$B$11:$B$310)+COUNTA(条幅4分の1!$B$11:$B$310),INDEX(条幅4分の1!$B$11:$B$310,189-COUNTA(半紙!$B$11:$B$310)-COUNTA(条幅!$B$11:$B$310)),""))))</f>
        <v/>
      </c>
      <c r="C194" s="38" t="str">
        <f>IF(IF(189&lt;=COUNTA(半紙!$B$11:$B$310),INDEX(半紙!$C$11:$C$310,189),IF(189&lt;=COUNTA(半紙!$B$11:$B$310)+COUNTA(条幅!$B$11:$B$310),INDEX(条幅!$C$11:$C$310,189-COUNTA(半紙!$B$11:$B$310)),IF(189&lt;=COUNTA(半紙!$B$11:$B$310)+COUNTA(条幅!$B$11:$B$310)+COUNTA(条幅4分の1!$B$11:$B$310),INDEX(条幅4分の1!$C$11:$C$310,189-COUNTA(半紙!$B$11:$B$310)-COUNTA(条幅!$B$11:$B$310)),"")))=0,"",IF(189&lt;=COUNTA(半紙!$B$11:$B$310),INDEX(半紙!$C$11:$C$310,189),IF(189&lt;=COUNTA(半紙!$B$11:$B$310)+COUNTA(条幅!$B$11:$B$310),INDEX(条幅!$C$11:$C$310,189-COUNTA(半紙!$B$11:$B$310)),IF(189&lt;=COUNTA(半紙!$B$11:$B$310)+COUNTA(条幅!$B$11:$B$310)+COUNTA(条幅4分の1!$B$11:$B$310),INDEX(条幅4分の1!$C$11:$C$310,189-COUNTA(半紙!$B$11:$B$310)-COUNTA(条幅!$B$11:$B$310)),""))))</f>
        <v/>
      </c>
      <c r="D194" s="38" t="str">
        <f>IF(IF(189&lt;=COUNTA(半紙!$B$11:$B$310),INDEX(半紙!$D$11:$D$310,189),IF(189&lt;=COUNTA(半紙!$B$11:$B$310)+COUNTA(条幅!$B$11:$B$310),INDEX(条幅!$D$11:$D$310,189-COUNTA(半紙!$B$11:$B$310)),IF(189&lt;=COUNTA(半紙!$B$11:$B$310)+COUNTA(条幅!$B$11:$B$310)+COUNTA(条幅4分の1!$B$11:$B$310),INDEX(条幅4分の1!$D$11:$D$310,189-COUNTA(半紙!$B$11:$B$310)-COUNTA(条幅!$B$11:$B$310)),"")))=0,"",IF(189&lt;=COUNTA(半紙!$B$11:$B$310),INDEX(半紙!$D$11:$D$310,189),IF(189&lt;=COUNTA(半紙!$B$11:$B$310)+COUNTA(条幅!$B$11:$B$310),INDEX(条幅!$D$11:$D$310,189-COUNTA(半紙!$B$11:$B$310)),IF(189&lt;=COUNTA(半紙!$B$11:$B$310)+COUNTA(条幅!$B$11:$B$310)+COUNTA(条幅4分の1!$B$11:$B$310),INDEX(条幅4分の1!$D$11:$D$310,189-COUNTA(半紙!$B$11:$B$310)-COUNTA(条幅!$B$11:$B$310)),""))))</f>
        <v/>
      </c>
      <c r="E194" s="38" t="str">
        <f>IF(IF(189&lt;=COUNTA(半紙!$B$11:$B$310),INDEX(半紙!$E$11:$E$310,189),IF(189&lt;=COUNTA(半紙!$B$11:$B$310)+COUNTA(条幅!$B$11:$B$310),INDEX(条幅!$E$11:$E$310,189-COUNTA(半紙!$B$11:$B$310)),IF(189&lt;=COUNTA(半紙!$B$11:$B$310)+COUNTA(条幅!$B$11:$B$310)+COUNTA(条幅4分の1!$B$11:$B$310),INDEX(条幅4分の1!$E$11:$E$310,189-COUNTA(半紙!$B$11:$B$310)-COUNTA(条幅!$B$11:$B$310)),"")))=0,"",IF(189&lt;=COUNTA(半紙!$B$11:$B$310),INDEX(半紙!$E$11:$E$310,189),IF(189&lt;=COUNTA(半紙!$B$11:$B$310)+COUNTA(条幅!$B$11:$B$310),INDEX(条幅!$E$11:$E$310,189-COUNTA(半紙!$B$11:$B$310)),IF(189&lt;=COUNTA(半紙!$B$11:$B$310)+COUNTA(条幅!$B$11:$B$310)+COUNTA(条幅4分の1!$B$11:$B$310),INDEX(条幅4分の1!$E$11:$E$310,189-COUNTA(半紙!$B$11:$B$310)-COUNTA(条幅!$B$11:$B$310)),""))))</f>
        <v/>
      </c>
      <c r="F194" s="38" t="str">
        <f>IF(IF(189&lt;=COUNTA(半紙!$B$11:$B$310),INDEX(半紙!$F$11:$F$310,189),IF(189&lt;=COUNTA(半紙!$B$11:$B$310)+COUNTA(条幅!$B$11:$B$310),INDEX(条幅!$F$11:$F$310,189-COUNTA(半紙!$B$11:$B$310)),IF(189&lt;=COUNTA(半紙!$B$11:$B$310)+COUNTA(条幅!$B$11:$B$310)+COUNTA(条幅4分の1!$B$11:$B$310),INDEX(条幅4分の1!$F$11:$F$310,189-COUNTA(半紙!$B$11:$B$310)-COUNTA(条幅!$B$11:$B$310)),"")))=0,"",IF(189&lt;=COUNTA(半紙!$B$11:$B$310),INDEX(半紙!$F$11:$F$310,189),IF(189&lt;=COUNTA(半紙!$B$11:$B$310)+COUNTA(条幅!$B$11:$B$310),INDEX(条幅!$F$11:$F$310,189-COUNTA(半紙!$B$11:$B$310)),IF(189&lt;=COUNTA(半紙!$B$11:$B$310)+COUNTA(条幅!$B$11:$B$310)+COUNTA(条幅4分の1!$B$11:$B$310),INDEX(条幅4分の1!$F$11:$F$310,189-COUNTA(半紙!$B$11:$B$310)-COUNTA(条幅!$B$11:$B$310)),""))))</f>
        <v/>
      </c>
      <c r="G194" s="38" t="str">
        <f>IF(IF(189&lt;=COUNTA(半紙!$B$11:$B$310),INDEX(半紙!$G$11:$G$310,189),IF(189&lt;=COUNTA(半紙!$B$11:$B$310)+COUNTA(条幅!$B$11:$B$310),INDEX(条幅!$G$11:$G$310,189-COUNTA(半紙!$B$11:$B$310)),IF(189&lt;=COUNTA(半紙!$B$11:$B$310)+COUNTA(条幅!$B$11:$B$310)+COUNTA(条幅4分の1!$B$11:$B$310),INDEX(条幅4分の1!$G$11:$G$310,189-COUNTA(半紙!$B$11:$B$310)-COUNTA(条幅!$B$11:$B$310)),"")))=0,"",IF(189&lt;=COUNTA(半紙!$B$11:$B$310),INDEX(半紙!$G$11:$G$310,189),IF(189&lt;=COUNTA(半紙!$B$11:$B$310)+COUNTA(条幅!$B$11:$B$310),INDEX(条幅!$G$11:$G$310,189-COUNTA(半紙!$B$11:$B$310)),IF(189&lt;=COUNTA(半紙!$B$11:$B$310)+COUNTA(条幅!$B$11:$B$310)+COUNTA(条幅4分の1!$B$11:$B$310),INDEX(条幅4分の1!$G$11:$G$310,189-COUNTA(半紙!$B$11:$B$310)-COUNTA(条幅!$B$11:$B$310)),""))))</f>
        <v/>
      </c>
      <c r="H194" s="38" t="str">
        <f>IF(IF(189&lt;=COUNTA(半紙!$B$11:$B$310),INDEX(半紙!$H$11:$H$310,189),IF(189&lt;=COUNTA(半紙!$B$11:$B$310)+COUNTA(条幅!$B$11:$B$310),INDEX(条幅!$H$11:$H$310,189-COUNTA(半紙!$B$11:$B$310)),IF(189&lt;=COUNTA(半紙!$B$11:$B$310)+COUNTA(条幅!$B$11:$B$310)+COUNTA(条幅4分の1!$B$11:$B$310),INDEX(条幅4分の1!$H$11:$H$310,189-COUNTA(半紙!$B$11:$B$310)-COUNTA(条幅!$B$11:$B$310)),"")))=0,"",IF(189&lt;=COUNTA(半紙!$B$11:$B$310),INDEX(半紙!$H$11:$H$310,189),IF(189&lt;=COUNTA(半紙!$B$11:$B$310)+COUNTA(条幅!$B$11:$B$310),INDEX(条幅!$H$11:$H$310,189-COUNTA(半紙!$B$11:$B$310)),IF(189&lt;=COUNTA(半紙!$B$11:$B$310)+COUNTA(条幅!$B$11:$B$310)+COUNTA(条幅4分の1!$B$11:$B$310),INDEX(条幅4分の1!$H$11:$H$310,189-COUNTA(半紙!$B$11:$B$310)-COUNTA(条幅!$B$11:$B$310)),""))))</f>
        <v/>
      </c>
      <c r="I194" s="38" t="str">
        <f>IF(IF(189&lt;=COUNTA(半紙!$B$11:$B$310),INDEX(半紙!$I$11:$I$310,189),IF(189&lt;=COUNTA(半紙!$B$11:$B$310)+COUNTA(条幅!$B$11:$B$310),INDEX(条幅!$I$11:$I$310,189-COUNTA(半紙!$B$11:$B$310)),IF(189&lt;=COUNTA(半紙!$B$11:$B$310)+COUNTA(条幅!$B$11:$B$310)+COUNTA(条幅4分の1!$B$11:$B$310),INDEX(条幅4分の1!$I$11:$I$310,189-COUNTA(半紙!$B$11:$B$310)-COUNTA(条幅!$B$11:$B$310)),"")))=0,"",IF(189&lt;=COUNTA(半紙!$B$11:$B$310),INDEX(半紙!$I$11:$I$310,189),IF(189&lt;=COUNTA(半紙!$B$11:$B$310)+COUNTA(条幅!$B$11:$B$310),INDEX(条幅!$I$11:$I$310,189-COUNTA(半紙!$B$11:$B$310)),IF(189&lt;=COUNTA(半紙!$B$11:$B$310)+COUNTA(条幅!$B$11:$B$310)+COUNTA(条幅4分の1!$B$11:$B$310),INDEX(条幅4分の1!$I$11:$I$310,189-COUNTA(半紙!$B$11:$B$310)-COUNTA(条幅!$B$11:$B$310)),""))))</f>
        <v/>
      </c>
      <c r="J194" s="38" t="str">
        <f>IF(IF(189&lt;=COUNTA(半紙!$B$11:$B$310),INDEX(半紙!$J$11:$J$310,189),IF(189&lt;=COUNTA(半紙!$B$11:$B$310)+COUNTA(条幅!$B$11:$B$310),INDEX(条幅!$J$11:$J$310,189-COUNTA(半紙!$B$11:$B$310)),IF(189&lt;=COUNTA(半紙!$B$11:$B$310)+COUNTA(条幅!$B$11:$B$310)+COUNTA(条幅4分の1!$B$11:$B$310),INDEX(条幅4分の1!$J$11:$J$310,189-COUNTA(半紙!$B$11:$B$310)-COUNTA(条幅!$B$11:$B$310)),"")))=0,"",IF(189&lt;=COUNTA(半紙!$B$11:$B$310),INDEX(半紙!$J$11:$J$310,189),IF(189&lt;=COUNTA(半紙!$B$11:$B$310)+COUNTA(条幅!$B$11:$B$310),INDEX(条幅!$J$11:$J$310,189-COUNTA(半紙!$B$11:$B$310)),IF(189&lt;=COUNTA(半紙!$B$11:$B$310)+COUNTA(条幅!$B$11:$B$310)+COUNTA(条幅4分の1!$B$11:$B$310),INDEX(条幅4分の1!$J$11:$J$310,189-COUNTA(半紙!$B$11:$B$310)-COUNTA(条幅!$B$11:$B$310)),""))))</f>
        <v/>
      </c>
      <c r="K194" s="38" t="str">
        <f>IF(IF(189&lt;=COUNTA(半紙!$B$11:$B$310),INDEX(半紙!$K$11:$K$310,189),IF(189&lt;=COUNTA(半紙!$B$11:$B$310)+COUNTA(条幅!$B$11:$B$310),INDEX(条幅!$K$11:$K$310,189-COUNTA(半紙!$B$11:$B$310)),IF(189&lt;=COUNTA(半紙!$B$11:$B$310)+COUNTA(条幅!$B$11:$B$310)+COUNTA(条幅4分の1!$B$11:$B$310),INDEX(条幅4分の1!$K$11:$K$310,189-COUNTA(半紙!$B$11:$B$310)-COUNTA(条幅!$B$11:$B$310)),"")))=0,"",IF(189&lt;=COUNTA(半紙!$B$11:$B$310),INDEX(半紙!$K$11:$K$310,189),IF(189&lt;=COUNTA(半紙!$B$11:$B$310)+COUNTA(条幅!$B$11:$B$310),INDEX(条幅!$K$11:$K$310,189-COUNTA(半紙!$B$11:$B$310)),IF(189&lt;=COUNTA(半紙!$B$11:$B$310)+COUNTA(条幅!$B$11:$B$310)+COUNTA(条幅4分の1!$B$11:$B$310),INDEX(条幅4分の1!$K$11:$K$310,189-COUNTA(半紙!$B$11:$B$310)-COUNTA(条幅!$B$11:$B$310)),""))))</f>
        <v/>
      </c>
      <c r="L194" s="48" t="str">
        <f>IF($B194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189))</f>
        <v/>
      </c>
    </row>
    <row r="195" spans="1:12" ht="15" customHeight="1">
      <c r="A195" s="37" t="str">
        <f>IF(190&lt;=COUNTA(半紙!$B$11:$B$310),"半紙",IF(190&lt;=COUNTA(半紙!$B$11:$B$310)+COUNTA(条幅!$B$11:$B$310),"条幅(半切)",IF(190&lt;=COUNTA(半紙!$B$11:$B$310)+COUNTA(条幅!$B$11:$B$310)+COUNTA(条幅4分の1!$B$11:$B$310),"条幅(1/4)","")))</f>
        <v/>
      </c>
      <c r="B195" s="38" t="str">
        <f>IF(IF(190&lt;=COUNTA(半紙!$B$11:$B$310),INDEX(半紙!$B$11:$B$310,190),IF(190&lt;=COUNTA(半紙!$B$11:$B$310)+COUNTA(条幅!$B$11:$B$310),INDEX(条幅!$B$11:$B$310,190-COUNTA(半紙!$B$11:$B$310)),IF(190&lt;=COUNTA(半紙!$B$11:$B$310)+COUNTA(条幅!$B$11:$B$310)+COUNTA(条幅4分の1!$B$11:$B$310),INDEX(条幅4分の1!$B$11:$B$310,190-COUNTA(半紙!$B$11:$B$310)-COUNTA(条幅!$B$11:$B$310)),"")))=0,"",IF(190&lt;=COUNTA(半紙!$B$11:$B$310),INDEX(半紙!$B$11:$B$310,190),IF(190&lt;=COUNTA(半紙!$B$11:$B$310)+COUNTA(条幅!$B$11:$B$310),INDEX(条幅!$B$11:$B$310,190-COUNTA(半紙!$B$11:$B$310)),IF(190&lt;=COUNTA(半紙!$B$11:$B$310)+COUNTA(条幅!$B$11:$B$310)+COUNTA(条幅4分の1!$B$11:$B$310),INDEX(条幅4分の1!$B$11:$B$310,190-COUNTA(半紙!$B$11:$B$310)-COUNTA(条幅!$B$11:$B$310)),""))))</f>
        <v/>
      </c>
      <c r="C195" s="38" t="str">
        <f>IF(IF(190&lt;=COUNTA(半紙!$B$11:$B$310),INDEX(半紙!$C$11:$C$310,190),IF(190&lt;=COUNTA(半紙!$B$11:$B$310)+COUNTA(条幅!$B$11:$B$310),INDEX(条幅!$C$11:$C$310,190-COUNTA(半紙!$B$11:$B$310)),IF(190&lt;=COUNTA(半紙!$B$11:$B$310)+COUNTA(条幅!$B$11:$B$310)+COUNTA(条幅4分の1!$B$11:$B$310),INDEX(条幅4分の1!$C$11:$C$310,190-COUNTA(半紙!$B$11:$B$310)-COUNTA(条幅!$B$11:$B$310)),"")))=0,"",IF(190&lt;=COUNTA(半紙!$B$11:$B$310),INDEX(半紙!$C$11:$C$310,190),IF(190&lt;=COUNTA(半紙!$B$11:$B$310)+COUNTA(条幅!$B$11:$B$310),INDEX(条幅!$C$11:$C$310,190-COUNTA(半紙!$B$11:$B$310)),IF(190&lt;=COUNTA(半紙!$B$11:$B$310)+COUNTA(条幅!$B$11:$B$310)+COUNTA(条幅4分の1!$B$11:$B$310),INDEX(条幅4分の1!$C$11:$C$310,190-COUNTA(半紙!$B$11:$B$310)-COUNTA(条幅!$B$11:$B$310)),""))))</f>
        <v/>
      </c>
      <c r="D195" s="38" t="str">
        <f>IF(IF(190&lt;=COUNTA(半紙!$B$11:$B$310),INDEX(半紙!$D$11:$D$310,190),IF(190&lt;=COUNTA(半紙!$B$11:$B$310)+COUNTA(条幅!$B$11:$B$310),INDEX(条幅!$D$11:$D$310,190-COUNTA(半紙!$B$11:$B$310)),IF(190&lt;=COUNTA(半紙!$B$11:$B$310)+COUNTA(条幅!$B$11:$B$310)+COUNTA(条幅4分の1!$B$11:$B$310),INDEX(条幅4分の1!$D$11:$D$310,190-COUNTA(半紙!$B$11:$B$310)-COUNTA(条幅!$B$11:$B$310)),"")))=0,"",IF(190&lt;=COUNTA(半紙!$B$11:$B$310),INDEX(半紙!$D$11:$D$310,190),IF(190&lt;=COUNTA(半紙!$B$11:$B$310)+COUNTA(条幅!$B$11:$B$310),INDEX(条幅!$D$11:$D$310,190-COUNTA(半紙!$B$11:$B$310)),IF(190&lt;=COUNTA(半紙!$B$11:$B$310)+COUNTA(条幅!$B$11:$B$310)+COUNTA(条幅4分の1!$B$11:$B$310),INDEX(条幅4分の1!$D$11:$D$310,190-COUNTA(半紙!$B$11:$B$310)-COUNTA(条幅!$B$11:$B$310)),""))))</f>
        <v/>
      </c>
      <c r="E195" s="38" t="str">
        <f>IF(IF(190&lt;=COUNTA(半紙!$B$11:$B$310),INDEX(半紙!$E$11:$E$310,190),IF(190&lt;=COUNTA(半紙!$B$11:$B$310)+COUNTA(条幅!$B$11:$B$310),INDEX(条幅!$E$11:$E$310,190-COUNTA(半紙!$B$11:$B$310)),IF(190&lt;=COUNTA(半紙!$B$11:$B$310)+COUNTA(条幅!$B$11:$B$310)+COUNTA(条幅4分の1!$B$11:$B$310),INDEX(条幅4分の1!$E$11:$E$310,190-COUNTA(半紙!$B$11:$B$310)-COUNTA(条幅!$B$11:$B$310)),"")))=0,"",IF(190&lt;=COUNTA(半紙!$B$11:$B$310),INDEX(半紙!$E$11:$E$310,190),IF(190&lt;=COUNTA(半紙!$B$11:$B$310)+COUNTA(条幅!$B$11:$B$310),INDEX(条幅!$E$11:$E$310,190-COUNTA(半紙!$B$11:$B$310)),IF(190&lt;=COUNTA(半紙!$B$11:$B$310)+COUNTA(条幅!$B$11:$B$310)+COUNTA(条幅4分の1!$B$11:$B$310),INDEX(条幅4分の1!$E$11:$E$310,190-COUNTA(半紙!$B$11:$B$310)-COUNTA(条幅!$B$11:$B$310)),""))))</f>
        <v/>
      </c>
      <c r="F195" s="38" t="str">
        <f>IF(IF(190&lt;=COUNTA(半紙!$B$11:$B$310),INDEX(半紙!$F$11:$F$310,190),IF(190&lt;=COUNTA(半紙!$B$11:$B$310)+COUNTA(条幅!$B$11:$B$310),INDEX(条幅!$F$11:$F$310,190-COUNTA(半紙!$B$11:$B$310)),IF(190&lt;=COUNTA(半紙!$B$11:$B$310)+COUNTA(条幅!$B$11:$B$310)+COUNTA(条幅4分の1!$B$11:$B$310),INDEX(条幅4分の1!$F$11:$F$310,190-COUNTA(半紙!$B$11:$B$310)-COUNTA(条幅!$B$11:$B$310)),"")))=0,"",IF(190&lt;=COUNTA(半紙!$B$11:$B$310),INDEX(半紙!$F$11:$F$310,190),IF(190&lt;=COUNTA(半紙!$B$11:$B$310)+COUNTA(条幅!$B$11:$B$310),INDEX(条幅!$F$11:$F$310,190-COUNTA(半紙!$B$11:$B$310)),IF(190&lt;=COUNTA(半紙!$B$11:$B$310)+COUNTA(条幅!$B$11:$B$310)+COUNTA(条幅4分の1!$B$11:$B$310),INDEX(条幅4分の1!$F$11:$F$310,190-COUNTA(半紙!$B$11:$B$310)-COUNTA(条幅!$B$11:$B$310)),""))))</f>
        <v/>
      </c>
      <c r="G195" s="38" t="str">
        <f>IF(IF(190&lt;=COUNTA(半紙!$B$11:$B$310),INDEX(半紙!$G$11:$G$310,190),IF(190&lt;=COUNTA(半紙!$B$11:$B$310)+COUNTA(条幅!$B$11:$B$310),INDEX(条幅!$G$11:$G$310,190-COUNTA(半紙!$B$11:$B$310)),IF(190&lt;=COUNTA(半紙!$B$11:$B$310)+COUNTA(条幅!$B$11:$B$310)+COUNTA(条幅4分の1!$B$11:$B$310),INDEX(条幅4分の1!$G$11:$G$310,190-COUNTA(半紙!$B$11:$B$310)-COUNTA(条幅!$B$11:$B$310)),"")))=0,"",IF(190&lt;=COUNTA(半紙!$B$11:$B$310),INDEX(半紙!$G$11:$G$310,190),IF(190&lt;=COUNTA(半紙!$B$11:$B$310)+COUNTA(条幅!$B$11:$B$310),INDEX(条幅!$G$11:$G$310,190-COUNTA(半紙!$B$11:$B$310)),IF(190&lt;=COUNTA(半紙!$B$11:$B$310)+COUNTA(条幅!$B$11:$B$310)+COUNTA(条幅4分の1!$B$11:$B$310),INDEX(条幅4分の1!$G$11:$G$310,190-COUNTA(半紙!$B$11:$B$310)-COUNTA(条幅!$B$11:$B$310)),""))))</f>
        <v/>
      </c>
      <c r="H195" s="38" t="str">
        <f>IF(IF(190&lt;=COUNTA(半紙!$B$11:$B$310),INDEX(半紙!$H$11:$H$310,190),IF(190&lt;=COUNTA(半紙!$B$11:$B$310)+COUNTA(条幅!$B$11:$B$310),INDEX(条幅!$H$11:$H$310,190-COUNTA(半紙!$B$11:$B$310)),IF(190&lt;=COUNTA(半紙!$B$11:$B$310)+COUNTA(条幅!$B$11:$B$310)+COUNTA(条幅4分の1!$B$11:$B$310),INDEX(条幅4分の1!$H$11:$H$310,190-COUNTA(半紙!$B$11:$B$310)-COUNTA(条幅!$B$11:$B$310)),"")))=0,"",IF(190&lt;=COUNTA(半紙!$B$11:$B$310),INDEX(半紙!$H$11:$H$310,190),IF(190&lt;=COUNTA(半紙!$B$11:$B$310)+COUNTA(条幅!$B$11:$B$310),INDEX(条幅!$H$11:$H$310,190-COUNTA(半紙!$B$11:$B$310)),IF(190&lt;=COUNTA(半紙!$B$11:$B$310)+COUNTA(条幅!$B$11:$B$310)+COUNTA(条幅4分の1!$B$11:$B$310),INDEX(条幅4分の1!$H$11:$H$310,190-COUNTA(半紙!$B$11:$B$310)-COUNTA(条幅!$B$11:$B$310)),""))))</f>
        <v/>
      </c>
      <c r="I195" s="38" t="str">
        <f>IF(IF(190&lt;=COUNTA(半紙!$B$11:$B$310),INDEX(半紙!$I$11:$I$310,190),IF(190&lt;=COUNTA(半紙!$B$11:$B$310)+COUNTA(条幅!$B$11:$B$310),INDEX(条幅!$I$11:$I$310,190-COUNTA(半紙!$B$11:$B$310)),IF(190&lt;=COUNTA(半紙!$B$11:$B$310)+COUNTA(条幅!$B$11:$B$310)+COUNTA(条幅4分の1!$B$11:$B$310),INDEX(条幅4分の1!$I$11:$I$310,190-COUNTA(半紙!$B$11:$B$310)-COUNTA(条幅!$B$11:$B$310)),"")))=0,"",IF(190&lt;=COUNTA(半紙!$B$11:$B$310),INDEX(半紙!$I$11:$I$310,190),IF(190&lt;=COUNTA(半紙!$B$11:$B$310)+COUNTA(条幅!$B$11:$B$310),INDEX(条幅!$I$11:$I$310,190-COUNTA(半紙!$B$11:$B$310)),IF(190&lt;=COUNTA(半紙!$B$11:$B$310)+COUNTA(条幅!$B$11:$B$310)+COUNTA(条幅4分の1!$B$11:$B$310),INDEX(条幅4分の1!$I$11:$I$310,190-COUNTA(半紙!$B$11:$B$310)-COUNTA(条幅!$B$11:$B$310)),""))))</f>
        <v/>
      </c>
      <c r="J195" s="38" t="str">
        <f>IF(IF(190&lt;=COUNTA(半紙!$B$11:$B$310),INDEX(半紙!$J$11:$J$310,190),IF(190&lt;=COUNTA(半紙!$B$11:$B$310)+COUNTA(条幅!$B$11:$B$310),INDEX(条幅!$J$11:$J$310,190-COUNTA(半紙!$B$11:$B$310)),IF(190&lt;=COUNTA(半紙!$B$11:$B$310)+COUNTA(条幅!$B$11:$B$310)+COUNTA(条幅4分の1!$B$11:$B$310),INDEX(条幅4分の1!$J$11:$J$310,190-COUNTA(半紙!$B$11:$B$310)-COUNTA(条幅!$B$11:$B$310)),"")))=0,"",IF(190&lt;=COUNTA(半紙!$B$11:$B$310),INDEX(半紙!$J$11:$J$310,190),IF(190&lt;=COUNTA(半紙!$B$11:$B$310)+COUNTA(条幅!$B$11:$B$310),INDEX(条幅!$J$11:$J$310,190-COUNTA(半紙!$B$11:$B$310)),IF(190&lt;=COUNTA(半紙!$B$11:$B$310)+COUNTA(条幅!$B$11:$B$310)+COUNTA(条幅4分の1!$B$11:$B$310),INDEX(条幅4分の1!$J$11:$J$310,190-COUNTA(半紙!$B$11:$B$310)-COUNTA(条幅!$B$11:$B$310)),""))))</f>
        <v/>
      </c>
      <c r="K195" s="38" t="str">
        <f>IF(IF(190&lt;=COUNTA(半紙!$B$11:$B$310),INDEX(半紙!$K$11:$K$310,190),IF(190&lt;=COUNTA(半紙!$B$11:$B$310)+COUNTA(条幅!$B$11:$B$310),INDEX(条幅!$K$11:$K$310,190-COUNTA(半紙!$B$11:$B$310)),IF(190&lt;=COUNTA(半紙!$B$11:$B$310)+COUNTA(条幅!$B$11:$B$310)+COUNTA(条幅4分の1!$B$11:$B$310),INDEX(条幅4分の1!$K$11:$K$310,190-COUNTA(半紙!$B$11:$B$310)-COUNTA(条幅!$B$11:$B$310)),"")))=0,"",IF(190&lt;=COUNTA(半紙!$B$11:$B$310),INDEX(半紙!$K$11:$K$310,190),IF(190&lt;=COUNTA(半紙!$B$11:$B$310)+COUNTA(条幅!$B$11:$B$310),INDEX(条幅!$K$11:$K$310,190-COUNTA(半紙!$B$11:$B$310)),IF(190&lt;=COUNTA(半紙!$B$11:$B$310)+COUNTA(条幅!$B$11:$B$310)+COUNTA(条幅4分の1!$B$11:$B$310),INDEX(条幅4分の1!$K$11:$K$310,190-COUNTA(半紙!$B$11:$B$310)-COUNTA(条幅!$B$11:$B$310)),""))))</f>
        <v/>
      </c>
      <c r="L195" s="48" t="str">
        <f>IF($B195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190))</f>
        <v/>
      </c>
    </row>
    <row r="196" spans="1:12" ht="15" customHeight="1">
      <c r="A196" s="37" t="str">
        <f>IF(191&lt;=COUNTA(半紙!$B$11:$B$310),"半紙",IF(191&lt;=COUNTA(半紙!$B$11:$B$310)+COUNTA(条幅!$B$11:$B$310),"条幅(半切)",IF(191&lt;=COUNTA(半紙!$B$11:$B$310)+COUNTA(条幅!$B$11:$B$310)+COUNTA(条幅4分の1!$B$11:$B$310),"条幅(1/4)","")))</f>
        <v/>
      </c>
      <c r="B196" s="38" t="str">
        <f>IF(IF(191&lt;=COUNTA(半紙!$B$11:$B$310),INDEX(半紙!$B$11:$B$310,191),IF(191&lt;=COUNTA(半紙!$B$11:$B$310)+COUNTA(条幅!$B$11:$B$310),INDEX(条幅!$B$11:$B$310,191-COUNTA(半紙!$B$11:$B$310)),IF(191&lt;=COUNTA(半紙!$B$11:$B$310)+COUNTA(条幅!$B$11:$B$310)+COUNTA(条幅4分の1!$B$11:$B$310),INDEX(条幅4分の1!$B$11:$B$310,191-COUNTA(半紙!$B$11:$B$310)-COUNTA(条幅!$B$11:$B$310)),"")))=0,"",IF(191&lt;=COUNTA(半紙!$B$11:$B$310),INDEX(半紙!$B$11:$B$310,191),IF(191&lt;=COUNTA(半紙!$B$11:$B$310)+COUNTA(条幅!$B$11:$B$310),INDEX(条幅!$B$11:$B$310,191-COUNTA(半紙!$B$11:$B$310)),IF(191&lt;=COUNTA(半紙!$B$11:$B$310)+COUNTA(条幅!$B$11:$B$310)+COUNTA(条幅4分の1!$B$11:$B$310),INDEX(条幅4分の1!$B$11:$B$310,191-COUNTA(半紙!$B$11:$B$310)-COUNTA(条幅!$B$11:$B$310)),""))))</f>
        <v/>
      </c>
      <c r="C196" s="38" t="str">
        <f>IF(IF(191&lt;=COUNTA(半紙!$B$11:$B$310),INDEX(半紙!$C$11:$C$310,191),IF(191&lt;=COUNTA(半紙!$B$11:$B$310)+COUNTA(条幅!$B$11:$B$310),INDEX(条幅!$C$11:$C$310,191-COUNTA(半紙!$B$11:$B$310)),IF(191&lt;=COUNTA(半紙!$B$11:$B$310)+COUNTA(条幅!$B$11:$B$310)+COUNTA(条幅4分の1!$B$11:$B$310),INDEX(条幅4分の1!$C$11:$C$310,191-COUNTA(半紙!$B$11:$B$310)-COUNTA(条幅!$B$11:$B$310)),"")))=0,"",IF(191&lt;=COUNTA(半紙!$B$11:$B$310),INDEX(半紙!$C$11:$C$310,191),IF(191&lt;=COUNTA(半紙!$B$11:$B$310)+COUNTA(条幅!$B$11:$B$310),INDEX(条幅!$C$11:$C$310,191-COUNTA(半紙!$B$11:$B$310)),IF(191&lt;=COUNTA(半紙!$B$11:$B$310)+COUNTA(条幅!$B$11:$B$310)+COUNTA(条幅4分の1!$B$11:$B$310),INDEX(条幅4分の1!$C$11:$C$310,191-COUNTA(半紙!$B$11:$B$310)-COUNTA(条幅!$B$11:$B$310)),""))))</f>
        <v/>
      </c>
      <c r="D196" s="38" t="str">
        <f>IF(IF(191&lt;=COUNTA(半紙!$B$11:$B$310),INDEX(半紙!$D$11:$D$310,191),IF(191&lt;=COUNTA(半紙!$B$11:$B$310)+COUNTA(条幅!$B$11:$B$310),INDEX(条幅!$D$11:$D$310,191-COUNTA(半紙!$B$11:$B$310)),IF(191&lt;=COUNTA(半紙!$B$11:$B$310)+COUNTA(条幅!$B$11:$B$310)+COUNTA(条幅4分の1!$B$11:$B$310),INDEX(条幅4分の1!$D$11:$D$310,191-COUNTA(半紙!$B$11:$B$310)-COUNTA(条幅!$B$11:$B$310)),"")))=0,"",IF(191&lt;=COUNTA(半紙!$B$11:$B$310),INDEX(半紙!$D$11:$D$310,191),IF(191&lt;=COUNTA(半紙!$B$11:$B$310)+COUNTA(条幅!$B$11:$B$310),INDEX(条幅!$D$11:$D$310,191-COUNTA(半紙!$B$11:$B$310)),IF(191&lt;=COUNTA(半紙!$B$11:$B$310)+COUNTA(条幅!$B$11:$B$310)+COUNTA(条幅4分の1!$B$11:$B$310),INDEX(条幅4分の1!$D$11:$D$310,191-COUNTA(半紙!$B$11:$B$310)-COUNTA(条幅!$B$11:$B$310)),""))))</f>
        <v/>
      </c>
      <c r="E196" s="38" t="str">
        <f>IF(IF(191&lt;=COUNTA(半紙!$B$11:$B$310),INDEX(半紙!$E$11:$E$310,191),IF(191&lt;=COUNTA(半紙!$B$11:$B$310)+COUNTA(条幅!$B$11:$B$310),INDEX(条幅!$E$11:$E$310,191-COUNTA(半紙!$B$11:$B$310)),IF(191&lt;=COUNTA(半紙!$B$11:$B$310)+COUNTA(条幅!$B$11:$B$310)+COUNTA(条幅4分の1!$B$11:$B$310),INDEX(条幅4分の1!$E$11:$E$310,191-COUNTA(半紙!$B$11:$B$310)-COUNTA(条幅!$B$11:$B$310)),"")))=0,"",IF(191&lt;=COUNTA(半紙!$B$11:$B$310),INDEX(半紙!$E$11:$E$310,191),IF(191&lt;=COUNTA(半紙!$B$11:$B$310)+COUNTA(条幅!$B$11:$B$310),INDEX(条幅!$E$11:$E$310,191-COUNTA(半紙!$B$11:$B$310)),IF(191&lt;=COUNTA(半紙!$B$11:$B$310)+COUNTA(条幅!$B$11:$B$310)+COUNTA(条幅4分の1!$B$11:$B$310),INDEX(条幅4分の1!$E$11:$E$310,191-COUNTA(半紙!$B$11:$B$310)-COUNTA(条幅!$B$11:$B$310)),""))))</f>
        <v/>
      </c>
      <c r="F196" s="38" t="str">
        <f>IF(IF(191&lt;=COUNTA(半紙!$B$11:$B$310),INDEX(半紙!$F$11:$F$310,191),IF(191&lt;=COUNTA(半紙!$B$11:$B$310)+COUNTA(条幅!$B$11:$B$310),INDEX(条幅!$F$11:$F$310,191-COUNTA(半紙!$B$11:$B$310)),IF(191&lt;=COUNTA(半紙!$B$11:$B$310)+COUNTA(条幅!$B$11:$B$310)+COUNTA(条幅4分の1!$B$11:$B$310),INDEX(条幅4分の1!$F$11:$F$310,191-COUNTA(半紙!$B$11:$B$310)-COUNTA(条幅!$B$11:$B$310)),"")))=0,"",IF(191&lt;=COUNTA(半紙!$B$11:$B$310),INDEX(半紙!$F$11:$F$310,191),IF(191&lt;=COUNTA(半紙!$B$11:$B$310)+COUNTA(条幅!$B$11:$B$310),INDEX(条幅!$F$11:$F$310,191-COUNTA(半紙!$B$11:$B$310)),IF(191&lt;=COUNTA(半紙!$B$11:$B$310)+COUNTA(条幅!$B$11:$B$310)+COUNTA(条幅4分の1!$B$11:$B$310),INDEX(条幅4分の1!$F$11:$F$310,191-COUNTA(半紙!$B$11:$B$310)-COUNTA(条幅!$B$11:$B$310)),""))))</f>
        <v/>
      </c>
      <c r="G196" s="38" t="str">
        <f>IF(IF(191&lt;=COUNTA(半紙!$B$11:$B$310),INDEX(半紙!$G$11:$G$310,191),IF(191&lt;=COUNTA(半紙!$B$11:$B$310)+COUNTA(条幅!$B$11:$B$310),INDEX(条幅!$G$11:$G$310,191-COUNTA(半紙!$B$11:$B$310)),IF(191&lt;=COUNTA(半紙!$B$11:$B$310)+COUNTA(条幅!$B$11:$B$310)+COUNTA(条幅4分の1!$B$11:$B$310),INDEX(条幅4分の1!$G$11:$G$310,191-COUNTA(半紙!$B$11:$B$310)-COUNTA(条幅!$B$11:$B$310)),"")))=0,"",IF(191&lt;=COUNTA(半紙!$B$11:$B$310),INDEX(半紙!$G$11:$G$310,191),IF(191&lt;=COUNTA(半紙!$B$11:$B$310)+COUNTA(条幅!$B$11:$B$310),INDEX(条幅!$G$11:$G$310,191-COUNTA(半紙!$B$11:$B$310)),IF(191&lt;=COUNTA(半紙!$B$11:$B$310)+COUNTA(条幅!$B$11:$B$310)+COUNTA(条幅4分の1!$B$11:$B$310),INDEX(条幅4分の1!$G$11:$G$310,191-COUNTA(半紙!$B$11:$B$310)-COUNTA(条幅!$B$11:$B$310)),""))))</f>
        <v/>
      </c>
      <c r="H196" s="38" t="str">
        <f>IF(IF(191&lt;=COUNTA(半紙!$B$11:$B$310),INDEX(半紙!$H$11:$H$310,191),IF(191&lt;=COUNTA(半紙!$B$11:$B$310)+COUNTA(条幅!$B$11:$B$310),INDEX(条幅!$H$11:$H$310,191-COUNTA(半紙!$B$11:$B$310)),IF(191&lt;=COUNTA(半紙!$B$11:$B$310)+COUNTA(条幅!$B$11:$B$310)+COUNTA(条幅4分の1!$B$11:$B$310),INDEX(条幅4分の1!$H$11:$H$310,191-COUNTA(半紙!$B$11:$B$310)-COUNTA(条幅!$B$11:$B$310)),"")))=0,"",IF(191&lt;=COUNTA(半紙!$B$11:$B$310),INDEX(半紙!$H$11:$H$310,191),IF(191&lt;=COUNTA(半紙!$B$11:$B$310)+COUNTA(条幅!$B$11:$B$310),INDEX(条幅!$H$11:$H$310,191-COUNTA(半紙!$B$11:$B$310)),IF(191&lt;=COUNTA(半紙!$B$11:$B$310)+COUNTA(条幅!$B$11:$B$310)+COUNTA(条幅4分の1!$B$11:$B$310),INDEX(条幅4分の1!$H$11:$H$310,191-COUNTA(半紙!$B$11:$B$310)-COUNTA(条幅!$B$11:$B$310)),""))))</f>
        <v/>
      </c>
      <c r="I196" s="38" t="str">
        <f>IF(IF(191&lt;=COUNTA(半紙!$B$11:$B$310),INDEX(半紙!$I$11:$I$310,191),IF(191&lt;=COUNTA(半紙!$B$11:$B$310)+COUNTA(条幅!$B$11:$B$310),INDEX(条幅!$I$11:$I$310,191-COUNTA(半紙!$B$11:$B$310)),IF(191&lt;=COUNTA(半紙!$B$11:$B$310)+COUNTA(条幅!$B$11:$B$310)+COUNTA(条幅4分の1!$B$11:$B$310),INDEX(条幅4分の1!$I$11:$I$310,191-COUNTA(半紙!$B$11:$B$310)-COUNTA(条幅!$B$11:$B$310)),"")))=0,"",IF(191&lt;=COUNTA(半紙!$B$11:$B$310),INDEX(半紙!$I$11:$I$310,191),IF(191&lt;=COUNTA(半紙!$B$11:$B$310)+COUNTA(条幅!$B$11:$B$310),INDEX(条幅!$I$11:$I$310,191-COUNTA(半紙!$B$11:$B$310)),IF(191&lt;=COUNTA(半紙!$B$11:$B$310)+COUNTA(条幅!$B$11:$B$310)+COUNTA(条幅4分の1!$B$11:$B$310),INDEX(条幅4分の1!$I$11:$I$310,191-COUNTA(半紙!$B$11:$B$310)-COUNTA(条幅!$B$11:$B$310)),""))))</f>
        <v/>
      </c>
      <c r="J196" s="38" t="str">
        <f>IF(IF(191&lt;=COUNTA(半紙!$B$11:$B$310),INDEX(半紙!$J$11:$J$310,191),IF(191&lt;=COUNTA(半紙!$B$11:$B$310)+COUNTA(条幅!$B$11:$B$310),INDEX(条幅!$J$11:$J$310,191-COUNTA(半紙!$B$11:$B$310)),IF(191&lt;=COUNTA(半紙!$B$11:$B$310)+COUNTA(条幅!$B$11:$B$310)+COUNTA(条幅4分の1!$B$11:$B$310),INDEX(条幅4分の1!$J$11:$J$310,191-COUNTA(半紙!$B$11:$B$310)-COUNTA(条幅!$B$11:$B$310)),"")))=0,"",IF(191&lt;=COUNTA(半紙!$B$11:$B$310),INDEX(半紙!$J$11:$J$310,191),IF(191&lt;=COUNTA(半紙!$B$11:$B$310)+COUNTA(条幅!$B$11:$B$310),INDEX(条幅!$J$11:$J$310,191-COUNTA(半紙!$B$11:$B$310)),IF(191&lt;=COUNTA(半紙!$B$11:$B$310)+COUNTA(条幅!$B$11:$B$310)+COUNTA(条幅4分の1!$B$11:$B$310),INDEX(条幅4分の1!$J$11:$J$310,191-COUNTA(半紙!$B$11:$B$310)-COUNTA(条幅!$B$11:$B$310)),""))))</f>
        <v/>
      </c>
      <c r="K196" s="38" t="str">
        <f>IF(IF(191&lt;=COUNTA(半紙!$B$11:$B$310),INDEX(半紙!$K$11:$K$310,191),IF(191&lt;=COUNTA(半紙!$B$11:$B$310)+COUNTA(条幅!$B$11:$B$310),INDEX(条幅!$K$11:$K$310,191-COUNTA(半紙!$B$11:$B$310)),IF(191&lt;=COUNTA(半紙!$B$11:$B$310)+COUNTA(条幅!$B$11:$B$310)+COUNTA(条幅4分の1!$B$11:$B$310),INDEX(条幅4分の1!$K$11:$K$310,191-COUNTA(半紙!$B$11:$B$310)-COUNTA(条幅!$B$11:$B$310)),"")))=0,"",IF(191&lt;=COUNTA(半紙!$B$11:$B$310),INDEX(半紙!$K$11:$K$310,191),IF(191&lt;=COUNTA(半紙!$B$11:$B$310)+COUNTA(条幅!$B$11:$B$310),INDEX(条幅!$K$11:$K$310,191-COUNTA(半紙!$B$11:$B$310)),IF(191&lt;=COUNTA(半紙!$B$11:$B$310)+COUNTA(条幅!$B$11:$B$310)+COUNTA(条幅4分の1!$B$11:$B$310),INDEX(条幅4分の1!$K$11:$K$310,191-COUNTA(半紙!$B$11:$B$310)-COUNTA(条幅!$B$11:$B$310)),""))))</f>
        <v/>
      </c>
      <c r="L196" s="48" t="str">
        <f>IF($B196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191))</f>
        <v/>
      </c>
    </row>
    <row r="197" spans="1:12" ht="15" customHeight="1">
      <c r="A197" s="37" t="str">
        <f>IF(192&lt;=COUNTA(半紙!$B$11:$B$310),"半紙",IF(192&lt;=COUNTA(半紙!$B$11:$B$310)+COUNTA(条幅!$B$11:$B$310),"条幅(半切)",IF(192&lt;=COUNTA(半紙!$B$11:$B$310)+COUNTA(条幅!$B$11:$B$310)+COUNTA(条幅4分の1!$B$11:$B$310),"条幅(1/4)","")))</f>
        <v/>
      </c>
      <c r="B197" s="38" t="str">
        <f>IF(IF(192&lt;=COUNTA(半紙!$B$11:$B$310),INDEX(半紙!$B$11:$B$310,192),IF(192&lt;=COUNTA(半紙!$B$11:$B$310)+COUNTA(条幅!$B$11:$B$310),INDEX(条幅!$B$11:$B$310,192-COUNTA(半紙!$B$11:$B$310)),IF(192&lt;=COUNTA(半紙!$B$11:$B$310)+COUNTA(条幅!$B$11:$B$310)+COUNTA(条幅4分の1!$B$11:$B$310),INDEX(条幅4分の1!$B$11:$B$310,192-COUNTA(半紙!$B$11:$B$310)-COUNTA(条幅!$B$11:$B$310)),"")))=0,"",IF(192&lt;=COUNTA(半紙!$B$11:$B$310),INDEX(半紙!$B$11:$B$310,192),IF(192&lt;=COUNTA(半紙!$B$11:$B$310)+COUNTA(条幅!$B$11:$B$310),INDEX(条幅!$B$11:$B$310,192-COUNTA(半紙!$B$11:$B$310)),IF(192&lt;=COUNTA(半紙!$B$11:$B$310)+COUNTA(条幅!$B$11:$B$310)+COUNTA(条幅4分の1!$B$11:$B$310),INDEX(条幅4分の1!$B$11:$B$310,192-COUNTA(半紙!$B$11:$B$310)-COUNTA(条幅!$B$11:$B$310)),""))))</f>
        <v/>
      </c>
      <c r="C197" s="38" t="str">
        <f>IF(IF(192&lt;=COUNTA(半紙!$B$11:$B$310),INDEX(半紙!$C$11:$C$310,192),IF(192&lt;=COUNTA(半紙!$B$11:$B$310)+COUNTA(条幅!$B$11:$B$310),INDEX(条幅!$C$11:$C$310,192-COUNTA(半紙!$B$11:$B$310)),IF(192&lt;=COUNTA(半紙!$B$11:$B$310)+COUNTA(条幅!$B$11:$B$310)+COUNTA(条幅4分の1!$B$11:$B$310),INDEX(条幅4分の1!$C$11:$C$310,192-COUNTA(半紙!$B$11:$B$310)-COUNTA(条幅!$B$11:$B$310)),"")))=0,"",IF(192&lt;=COUNTA(半紙!$B$11:$B$310),INDEX(半紙!$C$11:$C$310,192),IF(192&lt;=COUNTA(半紙!$B$11:$B$310)+COUNTA(条幅!$B$11:$B$310),INDEX(条幅!$C$11:$C$310,192-COUNTA(半紙!$B$11:$B$310)),IF(192&lt;=COUNTA(半紙!$B$11:$B$310)+COUNTA(条幅!$B$11:$B$310)+COUNTA(条幅4分の1!$B$11:$B$310),INDEX(条幅4分の1!$C$11:$C$310,192-COUNTA(半紙!$B$11:$B$310)-COUNTA(条幅!$B$11:$B$310)),""))))</f>
        <v/>
      </c>
      <c r="D197" s="38" t="str">
        <f>IF(IF(192&lt;=COUNTA(半紙!$B$11:$B$310),INDEX(半紙!$D$11:$D$310,192),IF(192&lt;=COUNTA(半紙!$B$11:$B$310)+COUNTA(条幅!$B$11:$B$310),INDEX(条幅!$D$11:$D$310,192-COUNTA(半紙!$B$11:$B$310)),IF(192&lt;=COUNTA(半紙!$B$11:$B$310)+COUNTA(条幅!$B$11:$B$310)+COUNTA(条幅4分の1!$B$11:$B$310),INDEX(条幅4分の1!$D$11:$D$310,192-COUNTA(半紙!$B$11:$B$310)-COUNTA(条幅!$B$11:$B$310)),"")))=0,"",IF(192&lt;=COUNTA(半紙!$B$11:$B$310),INDEX(半紙!$D$11:$D$310,192),IF(192&lt;=COUNTA(半紙!$B$11:$B$310)+COUNTA(条幅!$B$11:$B$310),INDEX(条幅!$D$11:$D$310,192-COUNTA(半紙!$B$11:$B$310)),IF(192&lt;=COUNTA(半紙!$B$11:$B$310)+COUNTA(条幅!$B$11:$B$310)+COUNTA(条幅4分の1!$B$11:$B$310),INDEX(条幅4分の1!$D$11:$D$310,192-COUNTA(半紙!$B$11:$B$310)-COUNTA(条幅!$B$11:$B$310)),""))))</f>
        <v/>
      </c>
      <c r="E197" s="38" t="str">
        <f>IF(IF(192&lt;=COUNTA(半紙!$B$11:$B$310),INDEX(半紙!$E$11:$E$310,192),IF(192&lt;=COUNTA(半紙!$B$11:$B$310)+COUNTA(条幅!$B$11:$B$310),INDEX(条幅!$E$11:$E$310,192-COUNTA(半紙!$B$11:$B$310)),IF(192&lt;=COUNTA(半紙!$B$11:$B$310)+COUNTA(条幅!$B$11:$B$310)+COUNTA(条幅4分の1!$B$11:$B$310),INDEX(条幅4分の1!$E$11:$E$310,192-COUNTA(半紙!$B$11:$B$310)-COUNTA(条幅!$B$11:$B$310)),"")))=0,"",IF(192&lt;=COUNTA(半紙!$B$11:$B$310),INDEX(半紙!$E$11:$E$310,192),IF(192&lt;=COUNTA(半紙!$B$11:$B$310)+COUNTA(条幅!$B$11:$B$310),INDEX(条幅!$E$11:$E$310,192-COUNTA(半紙!$B$11:$B$310)),IF(192&lt;=COUNTA(半紙!$B$11:$B$310)+COUNTA(条幅!$B$11:$B$310)+COUNTA(条幅4分の1!$B$11:$B$310),INDEX(条幅4分の1!$E$11:$E$310,192-COUNTA(半紙!$B$11:$B$310)-COUNTA(条幅!$B$11:$B$310)),""))))</f>
        <v/>
      </c>
      <c r="F197" s="38" t="str">
        <f>IF(IF(192&lt;=COUNTA(半紙!$B$11:$B$310),INDEX(半紙!$F$11:$F$310,192),IF(192&lt;=COUNTA(半紙!$B$11:$B$310)+COUNTA(条幅!$B$11:$B$310),INDEX(条幅!$F$11:$F$310,192-COUNTA(半紙!$B$11:$B$310)),IF(192&lt;=COUNTA(半紙!$B$11:$B$310)+COUNTA(条幅!$B$11:$B$310)+COUNTA(条幅4分の1!$B$11:$B$310),INDEX(条幅4分の1!$F$11:$F$310,192-COUNTA(半紙!$B$11:$B$310)-COUNTA(条幅!$B$11:$B$310)),"")))=0,"",IF(192&lt;=COUNTA(半紙!$B$11:$B$310),INDEX(半紙!$F$11:$F$310,192),IF(192&lt;=COUNTA(半紙!$B$11:$B$310)+COUNTA(条幅!$B$11:$B$310),INDEX(条幅!$F$11:$F$310,192-COUNTA(半紙!$B$11:$B$310)),IF(192&lt;=COUNTA(半紙!$B$11:$B$310)+COUNTA(条幅!$B$11:$B$310)+COUNTA(条幅4分の1!$B$11:$B$310),INDEX(条幅4分の1!$F$11:$F$310,192-COUNTA(半紙!$B$11:$B$310)-COUNTA(条幅!$B$11:$B$310)),""))))</f>
        <v/>
      </c>
      <c r="G197" s="38" t="str">
        <f>IF(IF(192&lt;=COUNTA(半紙!$B$11:$B$310),INDEX(半紙!$G$11:$G$310,192),IF(192&lt;=COUNTA(半紙!$B$11:$B$310)+COUNTA(条幅!$B$11:$B$310),INDEX(条幅!$G$11:$G$310,192-COUNTA(半紙!$B$11:$B$310)),IF(192&lt;=COUNTA(半紙!$B$11:$B$310)+COUNTA(条幅!$B$11:$B$310)+COUNTA(条幅4分の1!$B$11:$B$310),INDEX(条幅4分の1!$G$11:$G$310,192-COUNTA(半紙!$B$11:$B$310)-COUNTA(条幅!$B$11:$B$310)),"")))=0,"",IF(192&lt;=COUNTA(半紙!$B$11:$B$310),INDEX(半紙!$G$11:$G$310,192),IF(192&lt;=COUNTA(半紙!$B$11:$B$310)+COUNTA(条幅!$B$11:$B$310),INDEX(条幅!$G$11:$G$310,192-COUNTA(半紙!$B$11:$B$310)),IF(192&lt;=COUNTA(半紙!$B$11:$B$310)+COUNTA(条幅!$B$11:$B$310)+COUNTA(条幅4分の1!$B$11:$B$310),INDEX(条幅4分の1!$G$11:$G$310,192-COUNTA(半紙!$B$11:$B$310)-COUNTA(条幅!$B$11:$B$310)),""))))</f>
        <v/>
      </c>
      <c r="H197" s="38" t="str">
        <f>IF(IF(192&lt;=COUNTA(半紙!$B$11:$B$310),INDEX(半紙!$H$11:$H$310,192),IF(192&lt;=COUNTA(半紙!$B$11:$B$310)+COUNTA(条幅!$B$11:$B$310),INDEX(条幅!$H$11:$H$310,192-COUNTA(半紙!$B$11:$B$310)),IF(192&lt;=COUNTA(半紙!$B$11:$B$310)+COUNTA(条幅!$B$11:$B$310)+COUNTA(条幅4分の1!$B$11:$B$310),INDEX(条幅4分の1!$H$11:$H$310,192-COUNTA(半紙!$B$11:$B$310)-COUNTA(条幅!$B$11:$B$310)),"")))=0,"",IF(192&lt;=COUNTA(半紙!$B$11:$B$310),INDEX(半紙!$H$11:$H$310,192),IF(192&lt;=COUNTA(半紙!$B$11:$B$310)+COUNTA(条幅!$B$11:$B$310),INDEX(条幅!$H$11:$H$310,192-COUNTA(半紙!$B$11:$B$310)),IF(192&lt;=COUNTA(半紙!$B$11:$B$310)+COUNTA(条幅!$B$11:$B$310)+COUNTA(条幅4分の1!$B$11:$B$310),INDEX(条幅4分の1!$H$11:$H$310,192-COUNTA(半紙!$B$11:$B$310)-COUNTA(条幅!$B$11:$B$310)),""))))</f>
        <v/>
      </c>
      <c r="I197" s="38" t="str">
        <f>IF(IF(192&lt;=COUNTA(半紙!$B$11:$B$310),INDEX(半紙!$I$11:$I$310,192),IF(192&lt;=COUNTA(半紙!$B$11:$B$310)+COUNTA(条幅!$B$11:$B$310),INDEX(条幅!$I$11:$I$310,192-COUNTA(半紙!$B$11:$B$310)),IF(192&lt;=COUNTA(半紙!$B$11:$B$310)+COUNTA(条幅!$B$11:$B$310)+COUNTA(条幅4分の1!$B$11:$B$310),INDEX(条幅4分の1!$I$11:$I$310,192-COUNTA(半紙!$B$11:$B$310)-COUNTA(条幅!$B$11:$B$310)),"")))=0,"",IF(192&lt;=COUNTA(半紙!$B$11:$B$310),INDEX(半紙!$I$11:$I$310,192),IF(192&lt;=COUNTA(半紙!$B$11:$B$310)+COUNTA(条幅!$B$11:$B$310),INDEX(条幅!$I$11:$I$310,192-COUNTA(半紙!$B$11:$B$310)),IF(192&lt;=COUNTA(半紙!$B$11:$B$310)+COUNTA(条幅!$B$11:$B$310)+COUNTA(条幅4分の1!$B$11:$B$310),INDEX(条幅4分の1!$I$11:$I$310,192-COUNTA(半紙!$B$11:$B$310)-COUNTA(条幅!$B$11:$B$310)),""))))</f>
        <v/>
      </c>
      <c r="J197" s="38" t="str">
        <f>IF(IF(192&lt;=COUNTA(半紙!$B$11:$B$310),INDEX(半紙!$J$11:$J$310,192),IF(192&lt;=COUNTA(半紙!$B$11:$B$310)+COUNTA(条幅!$B$11:$B$310),INDEX(条幅!$J$11:$J$310,192-COUNTA(半紙!$B$11:$B$310)),IF(192&lt;=COUNTA(半紙!$B$11:$B$310)+COUNTA(条幅!$B$11:$B$310)+COUNTA(条幅4分の1!$B$11:$B$310),INDEX(条幅4分の1!$J$11:$J$310,192-COUNTA(半紙!$B$11:$B$310)-COUNTA(条幅!$B$11:$B$310)),"")))=0,"",IF(192&lt;=COUNTA(半紙!$B$11:$B$310),INDEX(半紙!$J$11:$J$310,192),IF(192&lt;=COUNTA(半紙!$B$11:$B$310)+COUNTA(条幅!$B$11:$B$310),INDEX(条幅!$J$11:$J$310,192-COUNTA(半紙!$B$11:$B$310)),IF(192&lt;=COUNTA(半紙!$B$11:$B$310)+COUNTA(条幅!$B$11:$B$310)+COUNTA(条幅4分の1!$B$11:$B$310),INDEX(条幅4分の1!$J$11:$J$310,192-COUNTA(半紙!$B$11:$B$310)-COUNTA(条幅!$B$11:$B$310)),""))))</f>
        <v/>
      </c>
      <c r="K197" s="38" t="str">
        <f>IF(IF(192&lt;=COUNTA(半紙!$B$11:$B$310),INDEX(半紙!$K$11:$K$310,192),IF(192&lt;=COUNTA(半紙!$B$11:$B$310)+COUNTA(条幅!$B$11:$B$310),INDEX(条幅!$K$11:$K$310,192-COUNTA(半紙!$B$11:$B$310)),IF(192&lt;=COUNTA(半紙!$B$11:$B$310)+COUNTA(条幅!$B$11:$B$310)+COUNTA(条幅4分の1!$B$11:$B$310),INDEX(条幅4分の1!$K$11:$K$310,192-COUNTA(半紙!$B$11:$B$310)-COUNTA(条幅!$B$11:$B$310)),"")))=0,"",IF(192&lt;=COUNTA(半紙!$B$11:$B$310),INDEX(半紙!$K$11:$K$310,192),IF(192&lt;=COUNTA(半紙!$B$11:$B$310)+COUNTA(条幅!$B$11:$B$310),INDEX(条幅!$K$11:$K$310,192-COUNTA(半紙!$B$11:$B$310)),IF(192&lt;=COUNTA(半紙!$B$11:$B$310)+COUNTA(条幅!$B$11:$B$310)+COUNTA(条幅4分の1!$B$11:$B$310),INDEX(条幅4分の1!$K$11:$K$310,192-COUNTA(半紙!$B$11:$B$310)-COUNTA(条幅!$B$11:$B$310)),""))))</f>
        <v/>
      </c>
      <c r="L197" s="48" t="str">
        <f>IF($B197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192))</f>
        <v/>
      </c>
    </row>
    <row r="198" spans="1:12" ht="15" customHeight="1">
      <c r="A198" s="37" t="str">
        <f>IF(193&lt;=COUNTA(半紙!$B$11:$B$310),"半紙",IF(193&lt;=COUNTA(半紙!$B$11:$B$310)+COUNTA(条幅!$B$11:$B$310),"条幅(半切)",IF(193&lt;=COUNTA(半紙!$B$11:$B$310)+COUNTA(条幅!$B$11:$B$310)+COUNTA(条幅4分の1!$B$11:$B$310),"条幅(1/4)","")))</f>
        <v/>
      </c>
      <c r="B198" s="38" t="str">
        <f>IF(IF(193&lt;=COUNTA(半紙!$B$11:$B$310),INDEX(半紙!$B$11:$B$310,193),IF(193&lt;=COUNTA(半紙!$B$11:$B$310)+COUNTA(条幅!$B$11:$B$310),INDEX(条幅!$B$11:$B$310,193-COUNTA(半紙!$B$11:$B$310)),IF(193&lt;=COUNTA(半紙!$B$11:$B$310)+COUNTA(条幅!$B$11:$B$310)+COUNTA(条幅4分の1!$B$11:$B$310),INDEX(条幅4分の1!$B$11:$B$310,193-COUNTA(半紙!$B$11:$B$310)-COUNTA(条幅!$B$11:$B$310)),"")))=0,"",IF(193&lt;=COUNTA(半紙!$B$11:$B$310),INDEX(半紙!$B$11:$B$310,193),IF(193&lt;=COUNTA(半紙!$B$11:$B$310)+COUNTA(条幅!$B$11:$B$310),INDEX(条幅!$B$11:$B$310,193-COUNTA(半紙!$B$11:$B$310)),IF(193&lt;=COUNTA(半紙!$B$11:$B$310)+COUNTA(条幅!$B$11:$B$310)+COUNTA(条幅4分の1!$B$11:$B$310),INDEX(条幅4分の1!$B$11:$B$310,193-COUNTA(半紙!$B$11:$B$310)-COUNTA(条幅!$B$11:$B$310)),""))))</f>
        <v/>
      </c>
      <c r="C198" s="38" t="str">
        <f>IF(IF(193&lt;=COUNTA(半紙!$B$11:$B$310),INDEX(半紙!$C$11:$C$310,193),IF(193&lt;=COUNTA(半紙!$B$11:$B$310)+COUNTA(条幅!$B$11:$B$310),INDEX(条幅!$C$11:$C$310,193-COUNTA(半紙!$B$11:$B$310)),IF(193&lt;=COUNTA(半紙!$B$11:$B$310)+COUNTA(条幅!$B$11:$B$310)+COUNTA(条幅4分の1!$B$11:$B$310),INDEX(条幅4分の1!$C$11:$C$310,193-COUNTA(半紙!$B$11:$B$310)-COUNTA(条幅!$B$11:$B$310)),"")))=0,"",IF(193&lt;=COUNTA(半紙!$B$11:$B$310),INDEX(半紙!$C$11:$C$310,193),IF(193&lt;=COUNTA(半紙!$B$11:$B$310)+COUNTA(条幅!$B$11:$B$310),INDEX(条幅!$C$11:$C$310,193-COUNTA(半紙!$B$11:$B$310)),IF(193&lt;=COUNTA(半紙!$B$11:$B$310)+COUNTA(条幅!$B$11:$B$310)+COUNTA(条幅4分の1!$B$11:$B$310),INDEX(条幅4分の1!$C$11:$C$310,193-COUNTA(半紙!$B$11:$B$310)-COUNTA(条幅!$B$11:$B$310)),""))))</f>
        <v/>
      </c>
      <c r="D198" s="38" t="str">
        <f>IF(IF(193&lt;=COUNTA(半紙!$B$11:$B$310),INDEX(半紙!$D$11:$D$310,193),IF(193&lt;=COUNTA(半紙!$B$11:$B$310)+COUNTA(条幅!$B$11:$B$310),INDEX(条幅!$D$11:$D$310,193-COUNTA(半紙!$B$11:$B$310)),IF(193&lt;=COUNTA(半紙!$B$11:$B$310)+COUNTA(条幅!$B$11:$B$310)+COUNTA(条幅4分の1!$B$11:$B$310),INDEX(条幅4分の1!$D$11:$D$310,193-COUNTA(半紙!$B$11:$B$310)-COUNTA(条幅!$B$11:$B$310)),"")))=0,"",IF(193&lt;=COUNTA(半紙!$B$11:$B$310),INDEX(半紙!$D$11:$D$310,193),IF(193&lt;=COUNTA(半紙!$B$11:$B$310)+COUNTA(条幅!$B$11:$B$310),INDEX(条幅!$D$11:$D$310,193-COUNTA(半紙!$B$11:$B$310)),IF(193&lt;=COUNTA(半紙!$B$11:$B$310)+COUNTA(条幅!$B$11:$B$310)+COUNTA(条幅4分の1!$B$11:$B$310),INDEX(条幅4分の1!$D$11:$D$310,193-COUNTA(半紙!$B$11:$B$310)-COUNTA(条幅!$B$11:$B$310)),""))))</f>
        <v/>
      </c>
      <c r="E198" s="38" t="str">
        <f>IF(IF(193&lt;=COUNTA(半紙!$B$11:$B$310),INDEX(半紙!$E$11:$E$310,193),IF(193&lt;=COUNTA(半紙!$B$11:$B$310)+COUNTA(条幅!$B$11:$B$310),INDEX(条幅!$E$11:$E$310,193-COUNTA(半紙!$B$11:$B$310)),IF(193&lt;=COUNTA(半紙!$B$11:$B$310)+COUNTA(条幅!$B$11:$B$310)+COUNTA(条幅4分の1!$B$11:$B$310),INDEX(条幅4分の1!$E$11:$E$310,193-COUNTA(半紙!$B$11:$B$310)-COUNTA(条幅!$B$11:$B$310)),"")))=0,"",IF(193&lt;=COUNTA(半紙!$B$11:$B$310),INDEX(半紙!$E$11:$E$310,193),IF(193&lt;=COUNTA(半紙!$B$11:$B$310)+COUNTA(条幅!$B$11:$B$310),INDEX(条幅!$E$11:$E$310,193-COUNTA(半紙!$B$11:$B$310)),IF(193&lt;=COUNTA(半紙!$B$11:$B$310)+COUNTA(条幅!$B$11:$B$310)+COUNTA(条幅4分の1!$B$11:$B$310),INDEX(条幅4分の1!$E$11:$E$310,193-COUNTA(半紙!$B$11:$B$310)-COUNTA(条幅!$B$11:$B$310)),""))))</f>
        <v/>
      </c>
      <c r="F198" s="38" t="str">
        <f>IF(IF(193&lt;=COUNTA(半紙!$B$11:$B$310),INDEX(半紙!$F$11:$F$310,193),IF(193&lt;=COUNTA(半紙!$B$11:$B$310)+COUNTA(条幅!$B$11:$B$310),INDEX(条幅!$F$11:$F$310,193-COUNTA(半紙!$B$11:$B$310)),IF(193&lt;=COUNTA(半紙!$B$11:$B$310)+COUNTA(条幅!$B$11:$B$310)+COUNTA(条幅4分の1!$B$11:$B$310),INDEX(条幅4分の1!$F$11:$F$310,193-COUNTA(半紙!$B$11:$B$310)-COUNTA(条幅!$B$11:$B$310)),"")))=0,"",IF(193&lt;=COUNTA(半紙!$B$11:$B$310),INDEX(半紙!$F$11:$F$310,193),IF(193&lt;=COUNTA(半紙!$B$11:$B$310)+COUNTA(条幅!$B$11:$B$310),INDEX(条幅!$F$11:$F$310,193-COUNTA(半紙!$B$11:$B$310)),IF(193&lt;=COUNTA(半紙!$B$11:$B$310)+COUNTA(条幅!$B$11:$B$310)+COUNTA(条幅4分の1!$B$11:$B$310),INDEX(条幅4分の1!$F$11:$F$310,193-COUNTA(半紙!$B$11:$B$310)-COUNTA(条幅!$B$11:$B$310)),""))))</f>
        <v/>
      </c>
      <c r="G198" s="38" t="str">
        <f>IF(IF(193&lt;=COUNTA(半紙!$B$11:$B$310),INDEX(半紙!$G$11:$G$310,193),IF(193&lt;=COUNTA(半紙!$B$11:$B$310)+COUNTA(条幅!$B$11:$B$310),INDEX(条幅!$G$11:$G$310,193-COUNTA(半紙!$B$11:$B$310)),IF(193&lt;=COUNTA(半紙!$B$11:$B$310)+COUNTA(条幅!$B$11:$B$310)+COUNTA(条幅4分の1!$B$11:$B$310),INDEX(条幅4分の1!$G$11:$G$310,193-COUNTA(半紙!$B$11:$B$310)-COUNTA(条幅!$B$11:$B$310)),"")))=0,"",IF(193&lt;=COUNTA(半紙!$B$11:$B$310),INDEX(半紙!$G$11:$G$310,193),IF(193&lt;=COUNTA(半紙!$B$11:$B$310)+COUNTA(条幅!$B$11:$B$310),INDEX(条幅!$G$11:$G$310,193-COUNTA(半紙!$B$11:$B$310)),IF(193&lt;=COUNTA(半紙!$B$11:$B$310)+COUNTA(条幅!$B$11:$B$310)+COUNTA(条幅4分の1!$B$11:$B$310),INDEX(条幅4分の1!$G$11:$G$310,193-COUNTA(半紙!$B$11:$B$310)-COUNTA(条幅!$B$11:$B$310)),""))))</f>
        <v/>
      </c>
      <c r="H198" s="38" t="str">
        <f>IF(IF(193&lt;=COUNTA(半紙!$B$11:$B$310),INDEX(半紙!$H$11:$H$310,193),IF(193&lt;=COUNTA(半紙!$B$11:$B$310)+COUNTA(条幅!$B$11:$B$310),INDEX(条幅!$H$11:$H$310,193-COUNTA(半紙!$B$11:$B$310)),IF(193&lt;=COUNTA(半紙!$B$11:$B$310)+COUNTA(条幅!$B$11:$B$310)+COUNTA(条幅4分の1!$B$11:$B$310),INDEX(条幅4分の1!$H$11:$H$310,193-COUNTA(半紙!$B$11:$B$310)-COUNTA(条幅!$B$11:$B$310)),"")))=0,"",IF(193&lt;=COUNTA(半紙!$B$11:$B$310),INDEX(半紙!$H$11:$H$310,193),IF(193&lt;=COUNTA(半紙!$B$11:$B$310)+COUNTA(条幅!$B$11:$B$310),INDEX(条幅!$H$11:$H$310,193-COUNTA(半紙!$B$11:$B$310)),IF(193&lt;=COUNTA(半紙!$B$11:$B$310)+COUNTA(条幅!$B$11:$B$310)+COUNTA(条幅4分の1!$B$11:$B$310),INDEX(条幅4分の1!$H$11:$H$310,193-COUNTA(半紙!$B$11:$B$310)-COUNTA(条幅!$B$11:$B$310)),""))))</f>
        <v/>
      </c>
      <c r="I198" s="38" t="str">
        <f>IF(IF(193&lt;=COUNTA(半紙!$B$11:$B$310),INDEX(半紙!$I$11:$I$310,193),IF(193&lt;=COUNTA(半紙!$B$11:$B$310)+COUNTA(条幅!$B$11:$B$310),INDEX(条幅!$I$11:$I$310,193-COUNTA(半紙!$B$11:$B$310)),IF(193&lt;=COUNTA(半紙!$B$11:$B$310)+COUNTA(条幅!$B$11:$B$310)+COUNTA(条幅4分の1!$B$11:$B$310),INDEX(条幅4分の1!$I$11:$I$310,193-COUNTA(半紙!$B$11:$B$310)-COUNTA(条幅!$B$11:$B$310)),"")))=0,"",IF(193&lt;=COUNTA(半紙!$B$11:$B$310),INDEX(半紙!$I$11:$I$310,193),IF(193&lt;=COUNTA(半紙!$B$11:$B$310)+COUNTA(条幅!$B$11:$B$310),INDEX(条幅!$I$11:$I$310,193-COUNTA(半紙!$B$11:$B$310)),IF(193&lt;=COUNTA(半紙!$B$11:$B$310)+COUNTA(条幅!$B$11:$B$310)+COUNTA(条幅4分の1!$B$11:$B$310),INDEX(条幅4分の1!$I$11:$I$310,193-COUNTA(半紙!$B$11:$B$310)-COUNTA(条幅!$B$11:$B$310)),""))))</f>
        <v/>
      </c>
      <c r="J198" s="38" t="str">
        <f>IF(IF(193&lt;=COUNTA(半紙!$B$11:$B$310),INDEX(半紙!$J$11:$J$310,193),IF(193&lt;=COUNTA(半紙!$B$11:$B$310)+COUNTA(条幅!$B$11:$B$310),INDEX(条幅!$J$11:$J$310,193-COUNTA(半紙!$B$11:$B$310)),IF(193&lt;=COUNTA(半紙!$B$11:$B$310)+COUNTA(条幅!$B$11:$B$310)+COUNTA(条幅4分の1!$B$11:$B$310),INDEX(条幅4分の1!$J$11:$J$310,193-COUNTA(半紙!$B$11:$B$310)-COUNTA(条幅!$B$11:$B$310)),"")))=0,"",IF(193&lt;=COUNTA(半紙!$B$11:$B$310),INDEX(半紙!$J$11:$J$310,193),IF(193&lt;=COUNTA(半紙!$B$11:$B$310)+COUNTA(条幅!$B$11:$B$310),INDEX(条幅!$J$11:$J$310,193-COUNTA(半紙!$B$11:$B$310)),IF(193&lt;=COUNTA(半紙!$B$11:$B$310)+COUNTA(条幅!$B$11:$B$310)+COUNTA(条幅4分の1!$B$11:$B$310),INDEX(条幅4分の1!$J$11:$J$310,193-COUNTA(半紙!$B$11:$B$310)-COUNTA(条幅!$B$11:$B$310)),""))))</f>
        <v/>
      </c>
      <c r="K198" s="38" t="str">
        <f>IF(IF(193&lt;=COUNTA(半紙!$B$11:$B$310),INDEX(半紙!$K$11:$K$310,193),IF(193&lt;=COUNTA(半紙!$B$11:$B$310)+COUNTA(条幅!$B$11:$B$310),INDEX(条幅!$K$11:$K$310,193-COUNTA(半紙!$B$11:$B$310)),IF(193&lt;=COUNTA(半紙!$B$11:$B$310)+COUNTA(条幅!$B$11:$B$310)+COUNTA(条幅4分の1!$B$11:$B$310),INDEX(条幅4分の1!$K$11:$K$310,193-COUNTA(半紙!$B$11:$B$310)-COUNTA(条幅!$B$11:$B$310)),"")))=0,"",IF(193&lt;=COUNTA(半紙!$B$11:$B$310),INDEX(半紙!$K$11:$K$310,193),IF(193&lt;=COUNTA(半紙!$B$11:$B$310)+COUNTA(条幅!$B$11:$B$310),INDEX(条幅!$K$11:$K$310,193-COUNTA(半紙!$B$11:$B$310)),IF(193&lt;=COUNTA(半紙!$B$11:$B$310)+COUNTA(条幅!$B$11:$B$310)+COUNTA(条幅4分の1!$B$11:$B$310),INDEX(条幅4分の1!$K$11:$K$310,193-COUNTA(半紙!$B$11:$B$310)-COUNTA(条幅!$B$11:$B$310)),""))))</f>
        <v/>
      </c>
      <c r="L198" s="48" t="str">
        <f>IF($B198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193))</f>
        <v/>
      </c>
    </row>
    <row r="199" spans="1:12" ht="15" customHeight="1">
      <c r="A199" s="37" t="str">
        <f>IF(194&lt;=COUNTA(半紙!$B$11:$B$310),"半紙",IF(194&lt;=COUNTA(半紙!$B$11:$B$310)+COUNTA(条幅!$B$11:$B$310),"条幅(半切)",IF(194&lt;=COUNTA(半紙!$B$11:$B$310)+COUNTA(条幅!$B$11:$B$310)+COUNTA(条幅4分の1!$B$11:$B$310),"条幅(1/4)","")))</f>
        <v/>
      </c>
      <c r="B199" s="38" t="str">
        <f>IF(IF(194&lt;=COUNTA(半紙!$B$11:$B$310),INDEX(半紙!$B$11:$B$310,194),IF(194&lt;=COUNTA(半紙!$B$11:$B$310)+COUNTA(条幅!$B$11:$B$310),INDEX(条幅!$B$11:$B$310,194-COUNTA(半紙!$B$11:$B$310)),IF(194&lt;=COUNTA(半紙!$B$11:$B$310)+COUNTA(条幅!$B$11:$B$310)+COUNTA(条幅4分の1!$B$11:$B$310),INDEX(条幅4分の1!$B$11:$B$310,194-COUNTA(半紙!$B$11:$B$310)-COUNTA(条幅!$B$11:$B$310)),"")))=0,"",IF(194&lt;=COUNTA(半紙!$B$11:$B$310),INDEX(半紙!$B$11:$B$310,194),IF(194&lt;=COUNTA(半紙!$B$11:$B$310)+COUNTA(条幅!$B$11:$B$310),INDEX(条幅!$B$11:$B$310,194-COUNTA(半紙!$B$11:$B$310)),IF(194&lt;=COUNTA(半紙!$B$11:$B$310)+COUNTA(条幅!$B$11:$B$310)+COUNTA(条幅4分の1!$B$11:$B$310),INDEX(条幅4分の1!$B$11:$B$310,194-COUNTA(半紙!$B$11:$B$310)-COUNTA(条幅!$B$11:$B$310)),""))))</f>
        <v/>
      </c>
      <c r="C199" s="38" t="str">
        <f>IF(IF(194&lt;=COUNTA(半紙!$B$11:$B$310),INDEX(半紙!$C$11:$C$310,194),IF(194&lt;=COUNTA(半紙!$B$11:$B$310)+COUNTA(条幅!$B$11:$B$310),INDEX(条幅!$C$11:$C$310,194-COUNTA(半紙!$B$11:$B$310)),IF(194&lt;=COUNTA(半紙!$B$11:$B$310)+COUNTA(条幅!$B$11:$B$310)+COUNTA(条幅4分の1!$B$11:$B$310),INDEX(条幅4分の1!$C$11:$C$310,194-COUNTA(半紙!$B$11:$B$310)-COUNTA(条幅!$B$11:$B$310)),"")))=0,"",IF(194&lt;=COUNTA(半紙!$B$11:$B$310),INDEX(半紙!$C$11:$C$310,194),IF(194&lt;=COUNTA(半紙!$B$11:$B$310)+COUNTA(条幅!$B$11:$B$310),INDEX(条幅!$C$11:$C$310,194-COUNTA(半紙!$B$11:$B$310)),IF(194&lt;=COUNTA(半紙!$B$11:$B$310)+COUNTA(条幅!$B$11:$B$310)+COUNTA(条幅4分の1!$B$11:$B$310),INDEX(条幅4分の1!$C$11:$C$310,194-COUNTA(半紙!$B$11:$B$310)-COUNTA(条幅!$B$11:$B$310)),""))))</f>
        <v/>
      </c>
      <c r="D199" s="38" t="str">
        <f>IF(IF(194&lt;=COUNTA(半紙!$B$11:$B$310),INDEX(半紙!$D$11:$D$310,194),IF(194&lt;=COUNTA(半紙!$B$11:$B$310)+COUNTA(条幅!$B$11:$B$310),INDEX(条幅!$D$11:$D$310,194-COUNTA(半紙!$B$11:$B$310)),IF(194&lt;=COUNTA(半紙!$B$11:$B$310)+COUNTA(条幅!$B$11:$B$310)+COUNTA(条幅4分の1!$B$11:$B$310),INDEX(条幅4分の1!$D$11:$D$310,194-COUNTA(半紙!$B$11:$B$310)-COUNTA(条幅!$B$11:$B$310)),"")))=0,"",IF(194&lt;=COUNTA(半紙!$B$11:$B$310),INDEX(半紙!$D$11:$D$310,194),IF(194&lt;=COUNTA(半紙!$B$11:$B$310)+COUNTA(条幅!$B$11:$B$310),INDEX(条幅!$D$11:$D$310,194-COUNTA(半紙!$B$11:$B$310)),IF(194&lt;=COUNTA(半紙!$B$11:$B$310)+COUNTA(条幅!$B$11:$B$310)+COUNTA(条幅4分の1!$B$11:$B$310),INDEX(条幅4分の1!$D$11:$D$310,194-COUNTA(半紙!$B$11:$B$310)-COUNTA(条幅!$B$11:$B$310)),""))))</f>
        <v/>
      </c>
      <c r="E199" s="38" t="str">
        <f>IF(IF(194&lt;=COUNTA(半紙!$B$11:$B$310),INDEX(半紙!$E$11:$E$310,194),IF(194&lt;=COUNTA(半紙!$B$11:$B$310)+COUNTA(条幅!$B$11:$B$310),INDEX(条幅!$E$11:$E$310,194-COUNTA(半紙!$B$11:$B$310)),IF(194&lt;=COUNTA(半紙!$B$11:$B$310)+COUNTA(条幅!$B$11:$B$310)+COUNTA(条幅4分の1!$B$11:$B$310),INDEX(条幅4分の1!$E$11:$E$310,194-COUNTA(半紙!$B$11:$B$310)-COUNTA(条幅!$B$11:$B$310)),"")))=0,"",IF(194&lt;=COUNTA(半紙!$B$11:$B$310),INDEX(半紙!$E$11:$E$310,194),IF(194&lt;=COUNTA(半紙!$B$11:$B$310)+COUNTA(条幅!$B$11:$B$310),INDEX(条幅!$E$11:$E$310,194-COUNTA(半紙!$B$11:$B$310)),IF(194&lt;=COUNTA(半紙!$B$11:$B$310)+COUNTA(条幅!$B$11:$B$310)+COUNTA(条幅4分の1!$B$11:$B$310),INDEX(条幅4分の1!$E$11:$E$310,194-COUNTA(半紙!$B$11:$B$310)-COUNTA(条幅!$B$11:$B$310)),""))))</f>
        <v/>
      </c>
      <c r="F199" s="38" t="str">
        <f>IF(IF(194&lt;=COUNTA(半紙!$B$11:$B$310),INDEX(半紙!$F$11:$F$310,194),IF(194&lt;=COUNTA(半紙!$B$11:$B$310)+COUNTA(条幅!$B$11:$B$310),INDEX(条幅!$F$11:$F$310,194-COUNTA(半紙!$B$11:$B$310)),IF(194&lt;=COUNTA(半紙!$B$11:$B$310)+COUNTA(条幅!$B$11:$B$310)+COUNTA(条幅4分の1!$B$11:$B$310),INDEX(条幅4分の1!$F$11:$F$310,194-COUNTA(半紙!$B$11:$B$310)-COUNTA(条幅!$B$11:$B$310)),"")))=0,"",IF(194&lt;=COUNTA(半紙!$B$11:$B$310),INDEX(半紙!$F$11:$F$310,194),IF(194&lt;=COUNTA(半紙!$B$11:$B$310)+COUNTA(条幅!$B$11:$B$310),INDEX(条幅!$F$11:$F$310,194-COUNTA(半紙!$B$11:$B$310)),IF(194&lt;=COUNTA(半紙!$B$11:$B$310)+COUNTA(条幅!$B$11:$B$310)+COUNTA(条幅4分の1!$B$11:$B$310),INDEX(条幅4分の1!$F$11:$F$310,194-COUNTA(半紙!$B$11:$B$310)-COUNTA(条幅!$B$11:$B$310)),""))))</f>
        <v/>
      </c>
      <c r="G199" s="38" t="str">
        <f>IF(IF(194&lt;=COUNTA(半紙!$B$11:$B$310),INDEX(半紙!$G$11:$G$310,194),IF(194&lt;=COUNTA(半紙!$B$11:$B$310)+COUNTA(条幅!$B$11:$B$310),INDEX(条幅!$G$11:$G$310,194-COUNTA(半紙!$B$11:$B$310)),IF(194&lt;=COUNTA(半紙!$B$11:$B$310)+COUNTA(条幅!$B$11:$B$310)+COUNTA(条幅4分の1!$B$11:$B$310),INDEX(条幅4分の1!$G$11:$G$310,194-COUNTA(半紙!$B$11:$B$310)-COUNTA(条幅!$B$11:$B$310)),"")))=0,"",IF(194&lt;=COUNTA(半紙!$B$11:$B$310),INDEX(半紙!$G$11:$G$310,194),IF(194&lt;=COUNTA(半紙!$B$11:$B$310)+COUNTA(条幅!$B$11:$B$310),INDEX(条幅!$G$11:$G$310,194-COUNTA(半紙!$B$11:$B$310)),IF(194&lt;=COUNTA(半紙!$B$11:$B$310)+COUNTA(条幅!$B$11:$B$310)+COUNTA(条幅4分の1!$B$11:$B$310),INDEX(条幅4分の1!$G$11:$G$310,194-COUNTA(半紙!$B$11:$B$310)-COUNTA(条幅!$B$11:$B$310)),""))))</f>
        <v/>
      </c>
      <c r="H199" s="38" t="str">
        <f>IF(IF(194&lt;=COUNTA(半紙!$B$11:$B$310),INDEX(半紙!$H$11:$H$310,194),IF(194&lt;=COUNTA(半紙!$B$11:$B$310)+COUNTA(条幅!$B$11:$B$310),INDEX(条幅!$H$11:$H$310,194-COUNTA(半紙!$B$11:$B$310)),IF(194&lt;=COUNTA(半紙!$B$11:$B$310)+COUNTA(条幅!$B$11:$B$310)+COUNTA(条幅4分の1!$B$11:$B$310),INDEX(条幅4分の1!$H$11:$H$310,194-COUNTA(半紙!$B$11:$B$310)-COUNTA(条幅!$B$11:$B$310)),"")))=0,"",IF(194&lt;=COUNTA(半紙!$B$11:$B$310),INDEX(半紙!$H$11:$H$310,194),IF(194&lt;=COUNTA(半紙!$B$11:$B$310)+COUNTA(条幅!$B$11:$B$310),INDEX(条幅!$H$11:$H$310,194-COUNTA(半紙!$B$11:$B$310)),IF(194&lt;=COUNTA(半紙!$B$11:$B$310)+COUNTA(条幅!$B$11:$B$310)+COUNTA(条幅4分の1!$B$11:$B$310),INDEX(条幅4分の1!$H$11:$H$310,194-COUNTA(半紙!$B$11:$B$310)-COUNTA(条幅!$B$11:$B$310)),""))))</f>
        <v/>
      </c>
      <c r="I199" s="38" t="str">
        <f>IF(IF(194&lt;=COUNTA(半紙!$B$11:$B$310),INDEX(半紙!$I$11:$I$310,194),IF(194&lt;=COUNTA(半紙!$B$11:$B$310)+COUNTA(条幅!$B$11:$B$310),INDEX(条幅!$I$11:$I$310,194-COUNTA(半紙!$B$11:$B$310)),IF(194&lt;=COUNTA(半紙!$B$11:$B$310)+COUNTA(条幅!$B$11:$B$310)+COUNTA(条幅4分の1!$B$11:$B$310),INDEX(条幅4分の1!$I$11:$I$310,194-COUNTA(半紙!$B$11:$B$310)-COUNTA(条幅!$B$11:$B$310)),"")))=0,"",IF(194&lt;=COUNTA(半紙!$B$11:$B$310),INDEX(半紙!$I$11:$I$310,194),IF(194&lt;=COUNTA(半紙!$B$11:$B$310)+COUNTA(条幅!$B$11:$B$310),INDEX(条幅!$I$11:$I$310,194-COUNTA(半紙!$B$11:$B$310)),IF(194&lt;=COUNTA(半紙!$B$11:$B$310)+COUNTA(条幅!$B$11:$B$310)+COUNTA(条幅4分の1!$B$11:$B$310),INDEX(条幅4分の1!$I$11:$I$310,194-COUNTA(半紙!$B$11:$B$310)-COUNTA(条幅!$B$11:$B$310)),""))))</f>
        <v/>
      </c>
      <c r="J199" s="38" t="str">
        <f>IF(IF(194&lt;=COUNTA(半紙!$B$11:$B$310),INDEX(半紙!$J$11:$J$310,194),IF(194&lt;=COUNTA(半紙!$B$11:$B$310)+COUNTA(条幅!$B$11:$B$310),INDEX(条幅!$J$11:$J$310,194-COUNTA(半紙!$B$11:$B$310)),IF(194&lt;=COUNTA(半紙!$B$11:$B$310)+COUNTA(条幅!$B$11:$B$310)+COUNTA(条幅4分の1!$B$11:$B$310),INDEX(条幅4分の1!$J$11:$J$310,194-COUNTA(半紙!$B$11:$B$310)-COUNTA(条幅!$B$11:$B$310)),"")))=0,"",IF(194&lt;=COUNTA(半紙!$B$11:$B$310),INDEX(半紙!$J$11:$J$310,194),IF(194&lt;=COUNTA(半紙!$B$11:$B$310)+COUNTA(条幅!$B$11:$B$310),INDEX(条幅!$J$11:$J$310,194-COUNTA(半紙!$B$11:$B$310)),IF(194&lt;=COUNTA(半紙!$B$11:$B$310)+COUNTA(条幅!$B$11:$B$310)+COUNTA(条幅4分の1!$B$11:$B$310),INDEX(条幅4分の1!$J$11:$J$310,194-COUNTA(半紙!$B$11:$B$310)-COUNTA(条幅!$B$11:$B$310)),""))))</f>
        <v/>
      </c>
      <c r="K199" s="38" t="str">
        <f>IF(IF(194&lt;=COUNTA(半紙!$B$11:$B$310),INDEX(半紙!$K$11:$K$310,194),IF(194&lt;=COUNTA(半紙!$B$11:$B$310)+COUNTA(条幅!$B$11:$B$310),INDEX(条幅!$K$11:$K$310,194-COUNTA(半紙!$B$11:$B$310)),IF(194&lt;=COUNTA(半紙!$B$11:$B$310)+COUNTA(条幅!$B$11:$B$310)+COUNTA(条幅4分の1!$B$11:$B$310),INDEX(条幅4分の1!$K$11:$K$310,194-COUNTA(半紙!$B$11:$B$310)-COUNTA(条幅!$B$11:$B$310)),"")))=0,"",IF(194&lt;=COUNTA(半紙!$B$11:$B$310),INDEX(半紙!$K$11:$K$310,194),IF(194&lt;=COUNTA(半紙!$B$11:$B$310)+COUNTA(条幅!$B$11:$B$310),INDEX(条幅!$K$11:$K$310,194-COUNTA(半紙!$B$11:$B$310)),IF(194&lt;=COUNTA(半紙!$B$11:$B$310)+COUNTA(条幅!$B$11:$B$310)+COUNTA(条幅4分の1!$B$11:$B$310),INDEX(条幅4分の1!$K$11:$K$310,194-COUNTA(半紙!$B$11:$B$310)-COUNTA(条幅!$B$11:$B$310)),""))))</f>
        <v/>
      </c>
      <c r="L199" s="48" t="str">
        <f>IF($B199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194))</f>
        <v/>
      </c>
    </row>
    <row r="200" spans="1:12" ht="15" customHeight="1">
      <c r="A200" s="37" t="str">
        <f>IF(195&lt;=COUNTA(半紙!$B$11:$B$310),"半紙",IF(195&lt;=COUNTA(半紙!$B$11:$B$310)+COUNTA(条幅!$B$11:$B$310),"条幅(半切)",IF(195&lt;=COUNTA(半紙!$B$11:$B$310)+COUNTA(条幅!$B$11:$B$310)+COUNTA(条幅4分の1!$B$11:$B$310),"条幅(1/4)","")))</f>
        <v/>
      </c>
      <c r="B200" s="38" t="str">
        <f>IF(IF(195&lt;=COUNTA(半紙!$B$11:$B$310),INDEX(半紙!$B$11:$B$310,195),IF(195&lt;=COUNTA(半紙!$B$11:$B$310)+COUNTA(条幅!$B$11:$B$310),INDEX(条幅!$B$11:$B$310,195-COUNTA(半紙!$B$11:$B$310)),IF(195&lt;=COUNTA(半紙!$B$11:$B$310)+COUNTA(条幅!$B$11:$B$310)+COUNTA(条幅4分の1!$B$11:$B$310),INDEX(条幅4分の1!$B$11:$B$310,195-COUNTA(半紙!$B$11:$B$310)-COUNTA(条幅!$B$11:$B$310)),"")))=0,"",IF(195&lt;=COUNTA(半紙!$B$11:$B$310),INDEX(半紙!$B$11:$B$310,195),IF(195&lt;=COUNTA(半紙!$B$11:$B$310)+COUNTA(条幅!$B$11:$B$310),INDEX(条幅!$B$11:$B$310,195-COUNTA(半紙!$B$11:$B$310)),IF(195&lt;=COUNTA(半紙!$B$11:$B$310)+COUNTA(条幅!$B$11:$B$310)+COUNTA(条幅4分の1!$B$11:$B$310),INDEX(条幅4分の1!$B$11:$B$310,195-COUNTA(半紙!$B$11:$B$310)-COUNTA(条幅!$B$11:$B$310)),""))))</f>
        <v/>
      </c>
      <c r="C200" s="38" t="str">
        <f>IF(IF(195&lt;=COUNTA(半紙!$B$11:$B$310),INDEX(半紙!$C$11:$C$310,195),IF(195&lt;=COUNTA(半紙!$B$11:$B$310)+COUNTA(条幅!$B$11:$B$310),INDEX(条幅!$C$11:$C$310,195-COUNTA(半紙!$B$11:$B$310)),IF(195&lt;=COUNTA(半紙!$B$11:$B$310)+COUNTA(条幅!$B$11:$B$310)+COUNTA(条幅4分の1!$B$11:$B$310),INDEX(条幅4分の1!$C$11:$C$310,195-COUNTA(半紙!$B$11:$B$310)-COUNTA(条幅!$B$11:$B$310)),"")))=0,"",IF(195&lt;=COUNTA(半紙!$B$11:$B$310),INDEX(半紙!$C$11:$C$310,195),IF(195&lt;=COUNTA(半紙!$B$11:$B$310)+COUNTA(条幅!$B$11:$B$310),INDEX(条幅!$C$11:$C$310,195-COUNTA(半紙!$B$11:$B$310)),IF(195&lt;=COUNTA(半紙!$B$11:$B$310)+COUNTA(条幅!$B$11:$B$310)+COUNTA(条幅4分の1!$B$11:$B$310),INDEX(条幅4分の1!$C$11:$C$310,195-COUNTA(半紙!$B$11:$B$310)-COUNTA(条幅!$B$11:$B$310)),""))))</f>
        <v/>
      </c>
      <c r="D200" s="38" t="str">
        <f>IF(IF(195&lt;=COUNTA(半紙!$B$11:$B$310),INDEX(半紙!$D$11:$D$310,195),IF(195&lt;=COUNTA(半紙!$B$11:$B$310)+COUNTA(条幅!$B$11:$B$310),INDEX(条幅!$D$11:$D$310,195-COUNTA(半紙!$B$11:$B$310)),IF(195&lt;=COUNTA(半紙!$B$11:$B$310)+COUNTA(条幅!$B$11:$B$310)+COUNTA(条幅4分の1!$B$11:$B$310),INDEX(条幅4分の1!$D$11:$D$310,195-COUNTA(半紙!$B$11:$B$310)-COUNTA(条幅!$B$11:$B$310)),"")))=0,"",IF(195&lt;=COUNTA(半紙!$B$11:$B$310),INDEX(半紙!$D$11:$D$310,195),IF(195&lt;=COUNTA(半紙!$B$11:$B$310)+COUNTA(条幅!$B$11:$B$310),INDEX(条幅!$D$11:$D$310,195-COUNTA(半紙!$B$11:$B$310)),IF(195&lt;=COUNTA(半紙!$B$11:$B$310)+COUNTA(条幅!$B$11:$B$310)+COUNTA(条幅4分の1!$B$11:$B$310),INDEX(条幅4分の1!$D$11:$D$310,195-COUNTA(半紙!$B$11:$B$310)-COUNTA(条幅!$B$11:$B$310)),""))))</f>
        <v/>
      </c>
      <c r="E200" s="38" t="str">
        <f>IF(IF(195&lt;=COUNTA(半紙!$B$11:$B$310),INDEX(半紙!$E$11:$E$310,195),IF(195&lt;=COUNTA(半紙!$B$11:$B$310)+COUNTA(条幅!$B$11:$B$310),INDEX(条幅!$E$11:$E$310,195-COUNTA(半紙!$B$11:$B$310)),IF(195&lt;=COUNTA(半紙!$B$11:$B$310)+COUNTA(条幅!$B$11:$B$310)+COUNTA(条幅4分の1!$B$11:$B$310),INDEX(条幅4分の1!$E$11:$E$310,195-COUNTA(半紙!$B$11:$B$310)-COUNTA(条幅!$B$11:$B$310)),"")))=0,"",IF(195&lt;=COUNTA(半紙!$B$11:$B$310),INDEX(半紙!$E$11:$E$310,195),IF(195&lt;=COUNTA(半紙!$B$11:$B$310)+COUNTA(条幅!$B$11:$B$310),INDEX(条幅!$E$11:$E$310,195-COUNTA(半紙!$B$11:$B$310)),IF(195&lt;=COUNTA(半紙!$B$11:$B$310)+COUNTA(条幅!$B$11:$B$310)+COUNTA(条幅4分の1!$B$11:$B$310),INDEX(条幅4分の1!$E$11:$E$310,195-COUNTA(半紙!$B$11:$B$310)-COUNTA(条幅!$B$11:$B$310)),""))))</f>
        <v/>
      </c>
      <c r="F200" s="38" t="str">
        <f>IF(IF(195&lt;=COUNTA(半紙!$B$11:$B$310),INDEX(半紙!$F$11:$F$310,195),IF(195&lt;=COUNTA(半紙!$B$11:$B$310)+COUNTA(条幅!$B$11:$B$310),INDEX(条幅!$F$11:$F$310,195-COUNTA(半紙!$B$11:$B$310)),IF(195&lt;=COUNTA(半紙!$B$11:$B$310)+COUNTA(条幅!$B$11:$B$310)+COUNTA(条幅4分の1!$B$11:$B$310),INDEX(条幅4分の1!$F$11:$F$310,195-COUNTA(半紙!$B$11:$B$310)-COUNTA(条幅!$B$11:$B$310)),"")))=0,"",IF(195&lt;=COUNTA(半紙!$B$11:$B$310),INDEX(半紙!$F$11:$F$310,195),IF(195&lt;=COUNTA(半紙!$B$11:$B$310)+COUNTA(条幅!$B$11:$B$310),INDEX(条幅!$F$11:$F$310,195-COUNTA(半紙!$B$11:$B$310)),IF(195&lt;=COUNTA(半紙!$B$11:$B$310)+COUNTA(条幅!$B$11:$B$310)+COUNTA(条幅4分の1!$B$11:$B$310),INDEX(条幅4分の1!$F$11:$F$310,195-COUNTA(半紙!$B$11:$B$310)-COUNTA(条幅!$B$11:$B$310)),""))))</f>
        <v/>
      </c>
      <c r="G200" s="38" t="str">
        <f>IF(IF(195&lt;=COUNTA(半紙!$B$11:$B$310),INDEX(半紙!$G$11:$G$310,195),IF(195&lt;=COUNTA(半紙!$B$11:$B$310)+COUNTA(条幅!$B$11:$B$310),INDEX(条幅!$G$11:$G$310,195-COUNTA(半紙!$B$11:$B$310)),IF(195&lt;=COUNTA(半紙!$B$11:$B$310)+COUNTA(条幅!$B$11:$B$310)+COUNTA(条幅4分の1!$B$11:$B$310),INDEX(条幅4分の1!$G$11:$G$310,195-COUNTA(半紙!$B$11:$B$310)-COUNTA(条幅!$B$11:$B$310)),"")))=0,"",IF(195&lt;=COUNTA(半紙!$B$11:$B$310),INDEX(半紙!$G$11:$G$310,195),IF(195&lt;=COUNTA(半紙!$B$11:$B$310)+COUNTA(条幅!$B$11:$B$310),INDEX(条幅!$G$11:$G$310,195-COUNTA(半紙!$B$11:$B$310)),IF(195&lt;=COUNTA(半紙!$B$11:$B$310)+COUNTA(条幅!$B$11:$B$310)+COUNTA(条幅4分の1!$B$11:$B$310),INDEX(条幅4分の1!$G$11:$G$310,195-COUNTA(半紙!$B$11:$B$310)-COUNTA(条幅!$B$11:$B$310)),""))))</f>
        <v/>
      </c>
      <c r="H200" s="38" t="str">
        <f>IF(IF(195&lt;=COUNTA(半紙!$B$11:$B$310),INDEX(半紙!$H$11:$H$310,195),IF(195&lt;=COUNTA(半紙!$B$11:$B$310)+COUNTA(条幅!$B$11:$B$310),INDEX(条幅!$H$11:$H$310,195-COUNTA(半紙!$B$11:$B$310)),IF(195&lt;=COUNTA(半紙!$B$11:$B$310)+COUNTA(条幅!$B$11:$B$310)+COUNTA(条幅4分の1!$B$11:$B$310),INDEX(条幅4分の1!$H$11:$H$310,195-COUNTA(半紙!$B$11:$B$310)-COUNTA(条幅!$B$11:$B$310)),"")))=0,"",IF(195&lt;=COUNTA(半紙!$B$11:$B$310),INDEX(半紙!$H$11:$H$310,195),IF(195&lt;=COUNTA(半紙!$B$11:$B$310)+COUNTA(条幅!$B$11:$B$310),INDEX(条幅!$H$11:$H$310,195-COUNTA(半紙!$B$11:$B$310)),IF(195&lt;=COUNTA(半紙!$B$11:$B$310)+COUNTA(条幅!$B$11:$B$310)+COUNTA(条幅4分の1!$B$11:$B$310),INDEX(条幅4分の1!$H$11:$H$310,195-COUNTA(半紙!$B$11:$B$310)-COUNTA(条幅!$B$11:$B$310)),""))))</f>
        <v/>
      </c>
      <c r="I200" s="38" t="str">
        <f>IF(IF(195&lt;=COUNTA(半紙!$B$11:$B$310),INDEX(半紙!$I$11:$I$310,195),IF(195&lt;=COUNTA(半紙!$B$11:$B$310)+COUNTA(条幅!$B$11:$B$310),INDEX(条幅!$I$11:$I$310,195-COUNTA(半紙!$B$11:$B$310)),IF(195&lt;=COUNTA(半紙!$B$11:$B$310)+COUNTA(条幅!$B$11:$B$310)+COUNTA(条幅4分の1!$B$11:$B$310),INDEX(条幅4分の1!$I$11:$I$310,195-COUNTA(半紙!$B$11:$B$310)-COUNTA(条幅!$B$11:$B$310)),"")))=0,"",IF(195&lt;=COUNTA(半紙!$B$11:$B$310),INDEX(半紙!$I$11:$I$310,195),IF(195&lt;=COUNTA(半紙!$B$11:$B$310)+COUNTA(条幅!$B$11:$B$310),INDEX(条幅!$I$11:$I$310,195-COUNTA(半紙!$B$11:$B$310)),IF(195&lt;=COUNTA(半紙!$B$11:$B$310)+COUNTA(条幅!$B$11:$B$310)+COUNTA(条幅4分の1!$B$11:$B$310),INDEX(条幅4分の1!$I$11:$I$310,195-COUNTA(半紙!$B$11:$B$310)-COUNTA(条幅!$B$11:$B$310)),""))))</f>
        <v/>
      </c>
      <c r="J200" s="38" t="str">
        <f>IF(IF(195&lt;=COUNTA(半紙!$B$11:$B$310),INDEX(半紙!$J$11:$J$310,195),IF(195&lt;=COUNTA(半紙!$B$11:$B$310)+COUNTA(条幅!$B$11:$B$310),INDEX(条幅!$J$11:$J$310,195-COUNTA(半紙!$B$11:$B$310)),IF(195&lt;=COUNTA(半紙!$B$11:$B$310)+COUNTA(条幅!$B$11:$B$310)+COUNTA(条幅4分の1!$B$11:$B$310),INDEX(条幅4分の1!$J$11:$J$310,195-COUNTA(半紙!$B$11:$B$310)-COUNTA(条幅!$B$11:$B$310)),"")))=0,"",IF(195&lt;=COUNTA(半紙!$B$11:$B$310),INDEX(半紙!$J$11:$J$310,195),IF(195&lt;=COUNTA(半紙!$B$11:$B$310)+COUNTA(条幅!$B$11:$B$310),INDEX(条幅!$J$11:$J$310,195-COUNTA(半紙!$B$11:$B$310)),IF(195&lt;=COUNTA(半紙!$B$11:$B$310)+COUNTA(条幅!$B$11:$B$310)+COUNTA(条幅4分の1!$B$11:$B$310),INDEX(条幅4分の1!$J$11:$J$310,195-COUNTA(半紙!$B$11:$B$310)-COUNTA(条幅!$B$11:$B$310)),""))))</f>
        <v/>
      </c>
      <c r="K200" s="38" t="str">
        <f>IF(IF(195&lt;=COUNTA(半紙!$B$11:$B$310),INDEX(半紙!$K$11:$K$310,195),IF(195&lt;=COUNTA(半紙!$B$11:$B$310)+COUNTA(条幅!$B$11:$B$310),INDEX(条幅!$K$11:$K$310,195-COUNTA(半紙!$B$11:$B$310)),IF(195&lt;=COUNTA(半紙!$B$11:$B$310)+COUNTA(条幅!$B$11:$B$310)+COUNTA(条幅4分の1!$B$11:$B$310),INDEX(条幅4分の1!$K$11:$K$310,195-COUNTA(半紙!$B$11:$B$310)-COUNTA(条幅!$B$11:$B$310)),"")))=0,"",IF(195&lt;=COUNTA(半紙!$B$11:$B$310),INDEX(半紙!$K$11:$K$310,195),IF(195&lt;=COUNTA(半紙!$B$11:$B$310)+COUNTA(条幅!$B$11:$B$310),INDEX(条幅!$K$11:$K$310,195-COUNTA(半紙!$B$11:$B$310)),IF(195&lt;=COUNTA(半紙!$B$11:$B$310)+COUNTA(条幅!$B$11:$B$310)+COUNTA(条幅4分の1!$B$11:$B$310),INDEX(条幅4分の1!$K$11:$K$310,195-COUNTA(半紙!$B$11:$B$310)-COUNTA(条幅!$B$11:$B$310)),""))))</f>
        <v/>
      </c>
      <c r="L200" s="48" t="str">
        <f>IF($B200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195))</f>
        <v/>
      </c>
    </row>
    <row r="201" spans="1:12" ht="15" customHeight="1">
      <c r="A201" s="37" t="str">
        <f>IF(196&lt;=COUNTA(半紙!$B$11:$B$310),"半紙",IF(196&lt;=COUNTA(半紙!$B$11:$B$310)+COUNTA(条幅!$B$11:$B$310),"条幅(半切)",IF(196&lt;=COUNTA(半紙!$B$11:$B$310)+COUNTA(条幅!$B$11:$B$310)+COUNTA(条幅4分の1!$B$11:$B$310),"条幅(1/4)","")))</f>
        <v/>
      </c>
      <c r="B201" s="38" t="str">
        <f>IF(IF(196&lt;=COUNTA(半紙!$B$11:$B$310),INDEX(半紙!$B$11:$B$310,196),IF(196&lt;=COUNTA(半紙!$B$11:$B$310)+COUNTA(条幅!$B$11:$B$310),INDEX(条幅!$B$11:$B$310,196-COUNTA(半紙!$B$11:$B$310)),IF(196&lt;=COUNTA(半紙!$B$11:$B$310)+COUNTA(条幅!$B$11:$B$310)+COUNTA(条幅4分の1!$B$11:$B$310),INDEX(条幅4分の1!$B$11:$B$310,196-COUNTA(半紙!$B$11:$B$310)-COUNTA(条幅!$B$11:$B$310)),"")))=0,"",IF(196&lt;=COUNTA(半紙!$B$11:$B$310),INDEX(半紙!$B$11:$B$310,196),IF(196&lt;=COUNTA(半紙!$B$11:$B$310)+COUNTA(条幅!$B$11:$B$310),INDEX(条幅!$B$11:$B$310,196-COUNTA(半紙!$B$11:$B$310)),IF(196&lt;=COUNTA(半紙!$B$11:$B$310)+COUNTA(条幅!$B$11:$B$310)+COUNTA(条幅4分の1!$B$11:$B$310),INDEX(条幅4分の1!$B$11:$B$310,196-COUNTA(半紙!$B$11:$B$310)-COUNTA(条幅!$B$11:$B$310)),""))))</f>
        <v/>
      </c>
      <c r="C201" s="38" t="str">
        <f>IF(IF(196&lt;=COUNTA(半紙!$B$11:$B$310),INDEX(半紙!$C$11:$C$310,196),IF(196&lt;=COUNTA(半紙!$B$11:$B$310)+COUNTA(条幅!$B$11:$B$310),INDEX(条幅!$C$11:$C$310,196-COUNTA(半紙!$B$11:$B$310)),IF(196&lt;=COUNTA(半紙!$B$11:$B$310)+COUNTA(条幅!$B$11:$B$310)+COUNTA(条幅4分の1!$B$11:$B$310),INDEX(条幅4分の1!$C$11:$C$310,196-COUNTA(半紙!$B$11:$B$310)-COUNTA(条幅!$B$11:$B$310)),"")))=0,"",IF(196&lt;=COUNTA(半紙!$B$11:$B$310),INDEX(半紙!$C$11:$C$310,196),IF(196&lt;=COUNTA(半紙!$B$11:$B$310)+COUNTA(条幅!$B$11:$B$310),INDEX(条幅!$C$11:$C$310,196-COUNTA(半紙!$B$11:$B$310)),IF(196&lt;=COUNTA(半紙!$B$11:$B$310)+COUNTA(条幅!$B$11:$B$310)+COUNTA(条幅4分の1!$B$11:$B$310),INDEX(条幅4分の1!$C$11:$C$310,196-COUNTA(半紙!$B$11:$B$310)-COUNTA(条幅!$B$11:$B$310)),""))))</f>
        <v/>
      </c>
      <c r="D201" s="38" t="str">
        <f>IF(IF(196&lt;=COUNTA(半紙!$B$11:$B$310),INDEX(半紙!$D$11:$D$310,196),IF(196&lt;=COUNTA(半紙!$B$11:$B$310)+COUNTA(条幅!$B$11:$B$310),INDEX(条幅!$D$11:$D$310,196-COUNTA(半紙!$B$11:$B$310)),IF(196&lt;=COUNTA(半紙!$B$11:$B$310)+COUNTA(条幅!$B$11:$B$310)+COUNTA(条幅4分の1!$B$11:$B$310),INDEX(条幅4分の1!$D$11:$D$310,196-COUNTA(半紙!$B$11:$B$310)-COUNTA(条幅!$B$11:$B$310)),"")))=0,"",IF(196&lt;=COUNTA(半紙!$B$11:$B$310),INDEX(半紙!$D$11:$D$310,196),IF(196&lt;=COUNTA(半紙!$B$11:$B$310)+COUNTA(条幅!$B$11:$B$310),INDEX(条幅!$D$11:$D$310,196-COUNTA(半紙!$B$11:$B$310)),IF(196&lt;=COUNTA(半紙!$B$11:$B$310)+COUNTA(条幅!$B$11:$B$310)+COUNTA(条幅4分の1!$B$11:$B$310),INDEX(条幅4分の1!$D$11:$D$310,196-COUNTA(半紙!$B$11:$B$310)-COUNTA(条幅!$B$11:$B$310)),""))))</f>
        <v/>
      </c>
      <c r="E201" s="38" t="str">
        <f>IF(IF(196&lt;=COUNTA(半紙!$B$11:$B$310),INDEX(半紙!$E$11:$E$310,196),IF(196&lt;=COUNTA(半紙!$B$11:$B$310)+COUNTA(条幅!$B$11:$B$310),INDEX(条幅!$E$11:$E$310,196-COUNTA(半紙!$B$11:$B$310)),IF(196&lt;=COUNTA(半紙!$B$11:$B$310)+COUNTA(条幅!$B$11:$B$310)+COUNTA(条幅4分の1!$B$11:$B$310),INDEX(条幅4分の1!$E$11:$E$310,196-COUNTA(半紙!$B$11:$B$310)-COUNTA(条幅!$B$11:$B$310)),"")))=0,"",IF(196&lt;=COUNTA(半紙!$B$11:$B$310),INDEX(半紙!$E$11:$E$310,196),IF(196&lt;=COUNTA(半紙!$B$11:$B$310)+COUNTA(条幅!$B$11:$B$310),INDEX(条幅!$E$11:$E$310,196-COUNTA(半紙!$B$11:$B$310)),IF(196&lt;=COUNTA(半紙!$B$11:$B$310)+COUNTA(条幅!$B$11:$B$310)+COUNTA(条幅4分の1!$B$11:$B$310),INDEX(条幅4分の1!$E$11:$E$310,196-COUNTA(半紙!$B$11:$B$310)-COUNTA(条幅!$B$11:$B$310)),""))))</f>
        <v/>
      </c>
      <c r="F201" s="38" t="str">
        <f>IF(IF(196&lt;=COUNTA(半紙!$B$11:$B$310),INDEX(半紙!$F$11:$F$310,196),IF(196&lt;=COUNTA(半紙!$B$11:$B$310)+COUNTA(条幅!$B$11:$B$310),INDEX(条幅!$F$11:$F$310,196-COUNTA(半紙!$B$11:$B$310)),IF(196&lt;=COUNTA(半紙!$B$11:$B$310)+COUNTA(条幅!$B$11:$B$310)+COUNTA(条幅4分の1!$B$11:$B$310),INDEX(条幅4分の1!$F$11:$F$310,196-COUNTA(半紙!$B$11:$B$310)-COUNTA(条幅!$B$11:$B$310)),"")))=0,"",IF(196&lt;=COUNTA(半紙!$B$11:$B$310),INDEX(半紙!$F$11:$F$310,196),IF(196&lt;=COUNTA(半紙!$B$11:$B$310)+COUNTA(条幅!$B$11:$B$310),INDEX(条幅!$F$11:$F$310,196-COUNTA(半紙!$B$11:$B$310)),IF(196&lt;=COUNTA(半紙!$B$11:$B$310)+COUNTA(条幅!$B$11:$B$310)+COUNTA(条幅4分の1!$B$11:$B$310),INDEX(条幅4分の1!$F$11:$F$310,196-COUNTA(半紙!$B$11:$B$310)-COUNTA(条幅!$B$11:$B$310)),""))))</f>
        <v/>
      </c>
      <c r="G201" s="38" t="str">
        <f>IF(IF(196&lt;=COUNTA(半紙!$B$11:$B$310),INDEX(半紙!$G$11:$G$310,196),IF(196&lt;=COUNTA(半紙!$B$11:$B$310)+COUNTA(条幅!$B$11:$B$310),INDEX(条幅!$G$11:$G$310,196-COUNTA(半紙!$B$11:$B$310)),IF(196&lt;=COUNTA(半紙!$B$11:$B$310)+COUNTA(条幅!$B$11:$B$310)+COUNTA(条幅4分の1!$B$11:$B$310),INDEX(条幅4分の1!$G$11:$G$310,196-COUNTA(半紙!$B$11:$B$310)-COUNTA(条幅!$B$11:$B$310)),"")))=0,"",IF(196&lt;=COUNTA(半紙!$B$11:$B$310),INDEX(半紙!$G$11:$G$310,196),IF(196&lt;=COUNTA(半紙!$B$11:$B$310)+COUNTA(条幅!$B$11:$B$310),INDEX(条幅!$G$11:$G$310,196-COUNTA(半紙!$B$11:$B$310)),IF(196&lt;=COUNTA(半紙!$B$11:$B$310)+COUNTA(条幅!$B$11:$B$310)+COUNTA(条幅4分の1!$B$11:$B$310),INDEX(条幅4分の1!$G$11:$G$310,196-COUNTA(半紙!$B$11:$B$310)-COUNTA(条幅!$B$11:$B$310)),""))))</f>
        <v/>
      </c>
      <c r="H201" s="38" t="str">
        <f>IF(IF(196&lt;=COUNTA(半紙!$B$11:$B$310),INDEX(半紙!$H$11:$H$310,196),IF(196&lt;=COUNTA(半紙!$B$11:$B$310)+COUNTA(条幅!$B$11:$B$310),INDEX(条幅!$H$11:$H$310,196-COUNTA(半紙!$B$11:$B$310)),IF(196&lt;=COUNTA(半紙!$B$11:$B$310)+COUNTA(条幅!$B$11:$B$310)+COUNTA(条幅4分の1!$B$11:$B$310),INDEX(条幅4分の1!$H$11:$H$310,196-COUNTA(半紙!$B$11:$B$310)-COUNTA(条幅!$B$11:$B$310)),"")))=0,"",IF(196&lt;=COUNTA(半紙!$B$11:$B$310),INDEX(半紙!$H$11:$H$310,196),IF(196&lt;=COUNTA(半紙!$B$11:$B$310)+COUNTA(条幅!$B$11:$B$310),INDEX(条幅!$H$11:$H$310,196-COUNTA(半紙!$B$11:$B$310)),IF(196&lt;=COUNTA(半紙!$B$11:$B$310)+COUNTA(条幅!$B$11:$B$310)+COUNTA(条幅4分の1!$B$11:$B$310),INDEX(条幅4分の1!$H$11:$H$310,196-COUNTA(半紙!$B$11:$B$310)-COUNTA(条幅!$B$11:$B$310)),""))))</f>
        <v/>
      </c>
      <c r="I201" s="38" t="str">
        <f>IF(IF(196&lt;=COUNTA(半紙!$B$11:$B$310),INDEX(半紙!$I$11:$I$310,196),IF(196&lt;=COUNTA(半紙!$B$11:$B$310)+COUNTA(条幅!$B$11:$B$310),INDEX(条幅!$I$11:$I$310,196-COUNTA(半紙!$B$11:$B$310)),IF(196&lt;=COUNTA(半紙!$B$11:$B$310)+COUNTA(条幅!$B$11:$B$310)+COUNTA(条幅4分の1!$B$11:$B$310),INDEX(条幅4分の1!$I$11:$I$310,196-COUNTA(半紙!$B$11:$B$310)-COUNTA(条幅!$B$11:$B$310)),"")))=0,"",IF(196&lt;=COUNTA(半紙!$B$11:$B$310),INDEX(半紙!$I$11:$I$310,196),IF(196&lt;=COUNTA(半紙!$B$11:$B$310)+COUNTA(条幅!$B$11:$B$310),INDEX(条幅!$I$11:$I$310,196-COUNTA(半紙!$B$11:$B$310)),IF(196&lt;=COUNTA(半紙!$B$11:$B$310)+COUNTA(条幅!$B$11:$B$310)+COUNTA(条幅4分の1!$B$11:$B$310),INDEX(条幅4分の1!$I$11:$I$310,196-COUNTA(半紙!$B$11:$B$310)-COUNTA(条幅!$B$11:$B$310)),""))))</f>
        <v/>
      </c>
      <c r="J201" s="38" t="str">
        <f>IF(IF(196&lt;=COUNTA(半紙!$B$11:$B$310),INDEX(半紙!$J$11:$J$310,196),IF(196&lt;=COUNTA(半紙!$B$11:$B$310)+COUNTA(条幅!$B$11:$B$310),INDEX(条幅!$J$11:$J$310,196-COUNTA(半紙!$B$11:$B$310)),IF(196&lt;=COUNTA(半紙!$B$11:$B$310)+COUNTA(条幅!$B$11:$B$310)+COUNTA(条幅4分の1!$B$11:$B$310),INDEX(条幅4分の1!$J$11:$J$310,196-COUNTA(半紙!$B$11:$B$310)-COUNTA(条幅!$B$11:$B$310)),"")))=0,"",IF(196&lt;=COUNTA(半紙!$B$11:$B$310),INDEX(半紙!$J$11:$J$310,196),IF(196&lt;=COUNTA(半紙!$B$11:$B$310)+COUNTA(条幅!$B$11:$B$310),INDEX(条幅!$J$11:$J$310,196-COUNTA(半紙!$B$11:$B$310)),IF(196&lt;=COUNTA(半紙!$B$11:$B$310)+COUNTA(条幅!$B$11:$B$310)+COUNTA(条幅4分の1!$B$11:$B$310),INDEX(条幅4分の1!$J$11:$J$310,196-COUNTA(半紙!$B$11:$B$310)-COUNTA(条幅!$B$11:$B$310)),""))))</f>
        <v/>
      </c>
      <c r="K201" s="38" t="str">
        <f>IF(IF(196&lt;=COUNTA(半紙!$B$11:$B$310),INDEX(半紙!$K$11:$K$310,196),IF(196&lt;=COUNTA(半紙!$B$11:$B$310)+COUNTA(条幅!$B$11:$B$310),INDEX(条幅!$K$11:$K$310,196-COUNTA(半紙!$B$11:$B$310)),IF(196&lt;=COUNTA(半紙!$B$11:$B$310)+COUNTA(条幅!$B$11:$B$310)+COUNTA(条幅4分の1!$B$11:$B$310),INDEX(条幅4分の1!$K$11:$K$310,196-COUNTA(半紙!$B$11:$B$310)-COUNTA(条幅!$B$11:$B$310)),"")))=0,"",IF(196&lt;=COUNTA(半紙!$B$11:$B$310),INDEX(半紙!$K$11:$K$310,196),IF(196&lt;=COUNTA(半紙!$B$11:$B$310)+COUNTA(条幅!$B$11:$B$310),INDEX(条幅!$K$11:$K$310,196-COUNTA(半紙!$B$11:$B$310)),IF(196&lt;=COUNTA(半紙!$B$11:$B$310)+COUNTA(条幅!$B$11:$B$310)+COUNTA(条幅4分の1!$B$11:$B$310),INDEX(条幅4分の1!$K$11:$K$310,196-COUNTA(半紙!$B$11:$B$310)-COUNTA(条幅!$B$11:$B$310)),""))))</f>
        <v/>
      </c>
      <c r="L201" s="48" t="str">
        <f>IF($B201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196))</f>
        <v/>
      </c>
    </row>
    <row r="202" spans="1:12" ht="15" customHeight="1">
      <c r="A202" s="37" t="str">
        <f>IF(197&lt;=COUNTA(半紙!$B$11:$B$310),"半紙",IF(197&lt;=COUNTA(半紙!$B$11:$B$310)+COUNTA(条幅!$B$11:$B$310),"条幅(半切)",IF(197&lt;=COUNTA(半紙!$B$11:$B$310)+COUNTA(条幅!$B$11:$B$310)+COUNTA(条幅4分の1!$B$11:$B$310),"条幅(1/4)","")))</f>
        <v/>
      </c>
      <c r="B202" s="38" t="str">
        <f>IF(IF(197&lt;=COUNTA(半紙!$B$11:$B$310),INDEX(半紙!$B$11:$B$310,197),IF(197&lt;=COUNTA(半紙!$B$11:$B$310)+COUNTA(条幅!$B$11:$B$310),INDEX(条幅!$B$11:$B$310,197-COUNTA(半紙!$B$11:$B$310)),IF(197&lt;=COUNTA(半紙!$B$11:$B$310)+COUNTA(条幅!$B$11:$B$310)+COUNTA(条幅4分の1!$B$11:$B$310),INDEX(条幅4分の1!$B$11:$B$310,197-COUNTA(半紙!$B$11:$B$310)-COUNTA(条幅!$B$11:$B$310)),"")))=0,"",IF(197&lt;=COUNTA(半紙!$B$11:$B$310),INDEX(半紙!$B$11:$B$310,197),IF(197&lt;=COUNTA(半紙!$B$11:$B$310)+COUNTA(条幅!$B$11:$B$310),INDEX(条幅!$B$11:$B$310,197-COUNTA(半紙!$B$11:$B$310)),IF(197&lt;=COUNTA(半紙!$B$11:$B$310)+COUNTA(条幅!$B$11:$B$310)+COUNTA(条幅4分の1!$B$11:$B$310),INDEX(条幅4分の1!$B$11:$B$310,197-COUNTA(半紙!$B$11:$B$310)-COUNTA(条幅!$B$11:$B$310)),""))))</f>
        <v/>
      </c>
      <c r="C202" s="38" t="str">
        <f>IF(IF(197&lt;=COUNTA(半紙!$B$11:$B$310),INDEX(半紙!$C$11:$C$310,197),IF(197&lt;=COUNTA(半紙!$B$11:$B$310)+COUNTA(条幅!$B$11:$B$310),INDEX(条幅!$C$11:$C$310,197-COUNTA(半紙!$B$11:$B$310)),IF(197&lt;=COUNTA(半紙!$B$11:$B$310)+COUNTA(条幅!$B$11:$B$310)+COUNTA(条幅4分の1!$B$11:$B$310),INDEX(条幅4分の1!$C$11:$C$310,197-COUNTA(半紙!$B$11:$B$310)-COUNTA(条幅!$B$11:$B$310)),"")))=0,"",IF(197&lt;=COUNTA(半紙!$B$11:$B$310),INDEX(半紙!$C$11:$C$310,197),IF(197&lt;=COUNTA(半紙!$B$11:$B$310)+COUNTA(条幅!$B$11:$B$310),INDEX(条幅!$C$11:$C$310,197-COUNTA(半紙!$B$11:$B$310)),IF(197&lt;=COUNTA(半紙!$B$11:$B$310)+COUNTA(条幅!$B$11:$B$310)+COUNTA(条幅4分の1!$B$11:$B$310),INDEX(条幅4分の1!$C$11:$C$310,197-COUNTA(半紙!$B$11:$B$310)-COUNTA(条幅!$B$11:$B$310)),""))))</f>
        <v/>
      </c>
      <c r="D202" s="38" t="str">
        <f>IF(IF(197&lt;=COUNTA(半紙!$B$11:$B$310),INDEX(半紙!$D$11:$D$310,197),IF(197&lt;=COUNTA(半紙!$B$11:$B$310)+COUNTA(条幅!$B$11:$B$310),INDEX(条幅!$D$11:$D$310,197-COUNTA(半紙!$B$11:$B$310)),IF(197&lt;=COUNTA(半紙!$B$11:$B$310)+COUNTA(条幅!$B$11:$B$310)+COUNTA(条幅4分の1!$B$11:$B$310),INDEX(条幅4分の1!$D$11:$D$310,197-COUNTA(半紙!$B$11:$B$310)-COUNTA(条幅!$B$11:$B$310)),"")))=0,"",IF(197&lt;=COUNTA(半紙!$B$11:$B$310),INDEX(半紙!$D$11:$D$310,197),IF(197&lt;=COUNTA(半紙!$B$11:$B$310)+COUNTA(条幅!$B$11:$B$310),INDEX(条幅!$D$11:$D$310,197-COUNTA(半紙!$B$11:$B$310)),IF(197&lt;=COUNTA(半紙!$B$11:$B$310)+COUNTA(条幅!$B$11:$B$310)+COUNTA(条幅4分の1!$B$11:$B$310),INDEX(条幅4分の1!$D$11:$D$310,197-COUNTA(半紙!$B$11:$B$310)-COUNTA(条幅!$B$11:$B$310)),""))))</f>
        <v/>
      </c>
      <c r="E202" s="38" t="str">
        <f>IF(IF(197&lt;=COUNTA(半紙!$B$11:$B$310),INDEX(半紙!$E$11:$E$310,197),IF(197&lt;=COUNTA(半紙!$B$11:$B$310)+COUNTA(条幅!$B$11:$B$310),INDEX(条幅!$E$11:$E$310,197-COUNTA(半紙!$B$11:$B$310)),IF(197&lt;=COUNTA(半紙!$B$11:$B$310)+COUNTA(条幅!$B$11:$B$310)+COUNTA(条幅4分の1!$B$11:$B$310),INDEX(条幅4分の1!$E$11:$E$310,197-COUNTA(半紙!$B$11:$B$310)-COUNTA(条幅!$B$11:$B$310)),"")))=0,"",IF(197&lt;=COUNTA(半紙!$B$11:$B$310),INDEX(半紙!$E$11:$E$310,197),IF(197&lt;=COUNTA(半紙!$B$11:$B$310)+COUNTA(条幅!$B$11:$B$310),INDEX(条幅!$E$11:$E$310,197-COUNTA(半紙!$B$11:$B$310)),IF(197&lt;=COUNTA(半紙!$B$11:$B$310)+COUNTA(条幅!$B$11:$B$310)+COUNTA(条幅4分の1!$B$11:$B$310),INDEX(条幅4分の1!$E$11:$E$310,197-COUNTA(半紙!$B$11:$B$310)-COUNTA(条幅!$B$11:$B$310)),""))))</f>
        <v/>
      </c>
      <c r="F202" s="38" t="str">
        <f>IF(IF(197&lt;=COUNTA(半紙!$B$11:$B$310),INDEX(半紙!$F$11:$F$310,197),IF(197&lt;=COUNTA(半紙!$B$11:$B$310)+COUNTA(条幅!$B$11:$B$310),INDEX(条幅!$F$11:$F$310,197-COUNTA(半紙!$B$11:$B$310)),IF(197&lt;=COUNTA(半紙!$B$11:$B$310)+COUNTA(条幅!$B$11:$B$310)+COUNTA(条幅4分の1!$B$11:$B$310),INDEX(条幅4分の1!$F$11:$F$310,197-COUNTA(半紙!$B$11:$B$310)-COUNTA(条幅!$B$11:$B$310)),"")))=0,"",IF(197&lt;=COUNTA(半紙!$B$11:$B$310),INDEX(半紙!$F$11:$F$310,197),IF(197&lt;=COUNTA(半紙!$B$11:$B$310)+COUNTA(条幅!$B$11:$B$310),INDEX(条幅!$F$11:$F$310,197-COUNTA(半紙!$B$11:$B$310)),IF(197&lt;=COUNTA(半紙!$B$11:$B$310)+COUNTA(条幅!$B$11:$B$310)+COUNTA(条幅4分の1!$B$11:$B$310),INDEX(条幅4分の1!$F$11:$F$310,197-COUNTA(半紙!$B$11:$B$310)-COUNTA(条幅!$B$11:$B$310)),""))))</f>
        <v/>
      </c>
      <c r="G202" s="38" t="str">
        <f>IF(IF(197&lt;=COUNTA(半紙!$B$11:$B$310),INDEX(半紙!$G$11:$G$310,197),IF(197&lt;=COUNTA(半紙!$B$11:$B$310)+COUNTA(条幅!$B$11:$B$310),INDEX(条幅!$G$11:$G$310,197-COUNTA(半紙!$B$11:$B$310)),IF(197&lt;=COUNTA(半紙!$B$11:$B$310)+COUNTA(条幅!$B$11:$B$310)+COUNTA(条幅4分の1!$B$11:$B$310),INDEX(条幅4分の1!$G$11:$G$310,197-COUNTA(半紙!$B$11:$B$310)-COUNTA(条幅!$B$11:$B$310)),"")))=0,"",IF(197&lt;=COUNTA(半紙!$B$11:$B$310),INDEX(半紙!$G$11:$G$310,197),IF(197&lt;=COUNTA(半紙!$B$11:$B$310)+COUNTA(条幅!$B$11:$B$310),INDEX(条幅!$G$11:$G$310,197-COUNTA(半紙!$B$11:$B$310)),IF(197&lt;=COUNTA(半紙!$B$11:$B$310)+COUNTA(条幅!$B$11:$B$310)+COUNTA(条幅4分の1!$B$11:$B$310),INDEX(条幅4分の1!$G$11:$G$310,197-COUNTA(半紙!$B$11:$B$310)-COUNTA(条幅!$B$11:$B$310)),""))))</f>
        <v/>
      </c>
      <c r="H202" s="38" t="str">
        <f>IF(IF(197&lt;=COUNTA(半紙!$B$11:$B$310),INDEX(半紙!$H$11:$H$310,197),IF(197&lt;=COUNTA(半紙!$B$11:$B$310)+COUNTA(条幅!$B$11:$B$310),INDEX(条幅!$H$11:$H$310,197-COUNTA(半紙!$B$11:$B$310)),IF(197&lt;=COUNTA(半紙!$B$11:$B$310)+COUNTA(条幅!$B$11:$B$310)+COUNTA(条幅4分の1!$B$11:$B$310),INDEX(条幅4分の1!$H$11:$H$310,197-COUNTA(半紙!$B$11:$B$310)-COUNTA(条幅!$B$11:$B$310)),"")))=0,"",IF(197&lt;=COUNTA(半紙!$B$11:$B$310),INDEX(半紙!$H$11:$H$310,197),IF(197&lt;=COUNTA(半紙!$B$11:$B$310)+COUNTA(条幅!$B$11:$B$310),INDEX(条幅!$H$11:$H$310,197-COUNTA(半紙!$B$11:$B$310)),IF(197&lt;=COUNTA(半紙!$B$11:$B$310)+COUNTA(条幅!$B$11:$B$310)+COUNTA(条幅4分の1!$B$11:$B$310),INDEX(条幅4分の1!$H$11:$H$310,197-COUNTA(半紙!$B$11:$B$310)-COUNTA(条幅!$B$11:$B$310)),""))))</f>
        <v/>
      </c>
      <c r="I202" s="38" t="str">
        <f>IF(IF(197&lt;=COUNTA(半紙!$B$11:$B$310),INDEX(半紙!$I$11:$I$310,197),IF(197&lt;=COUNTA(半紙!$B$11:$B$310)+COUNTA(条幅!$B$11:$B$310),INDEX(条幅!$I$11:$I$310,197-COUNTA(半紙!$B$11:$B$310)),IF(197&lt;=COUNTA(半紙!$B$11:$B$310)+COUNTA(条幅!$B$11:$B$310)+COUNTA(条幅4分の1!$B$11:$B$310),INDEX(条幅4分の1!$I$11:$I$310,197-COUNTA(半紙!$B$11:$B$310)-COUNTA(条幅!$B$11:$B$310)),"")))=0,"",IF(197&lt;=COUNTA(半紙!$B$11:$B$310),INDEX(半紙!$I$11:$I$310,197),IF(197&lt;=COUNTA(半紙!$B$11:$B$310)+COUNTA(条幅!$B$11:$B$310),INDEX(条幅!$I$11:$I$310,197-COUNTA(半紙!$B$11:$B$310)),IF(197&lt;=COUNTA(半紙!$B$11:$B$310)+COUNTA(条幅!$B$11:$B$310)+COUNTA(条幅4分の1!$B$11:$B$310),INDEX(条幅4分の1!$I$11:$I$310,197-COUNTA(半紙!$B$11:$B$310)-COUNTA(条幅!$B$11:$B$310)),""))))</f>
        <v/>
      </c>
      <c r="J202" s="38" t="str">
        <f>IF(IF(197&lt;=COUNTA(半紙!$B$11:$B$310),INDEX(半紙!$J$11:$J$310,197),IF(197&lt;=COUNTA(半紙!$B$11:$B$310)+COUNTA(条幅!$B$11:$B$310),INDEX(条幅!$J$11:$J$310,197-COUNTA(半紙!$B$11:$B$310)),IF(197&lt;=COUNTA(半紙!$B$11:$B$310)+COUNTA(条幅!$B$11:$B$310)+COUNTA(条幅4分の1!$B$11:$B$310),INDEX(条幅4分の1!$J$11:$J$310,197-COUNTA(半紙!$B$11:$B$310)-COUNTA(条幅!$B$11:$B$310)),"")))=0,"",IF(197&lt;=COUNTA(半紙!$B$11:$B$310),INDEX(半紙!$J$11:$J$310,197),IF(197&lt;=COUNTA(半紙!$B$11:$B$310)+COUNTA(条幅!$B$11:$B$310),INDEX(条幅!$J$11:$J$310,197-COUNTA(半紙!$B$11:$B$310)),IF(197&lt;=COUNTA(半紙!$B$11:$B$310)+COUNTA(条幅!$B$11:$B$310)+COUNTA(条幅4分の1!$B$11:$B$310),INDEX(条幅4分の1!$J$11:$J$310,197-COUNTA(半紙!$B$11:$B$310)-COUNTA(条幅!$B$11:$B$310)),""))))</f>
        <v/>
      </c>
      <c r="K202" s="38" t="str">
        <f>IF(IF(197&lt;=COUNTA(半紙!$B$11:$B$310),INDEX(半紙!$K$11:$K$310,197),IF(197&lt;=COUNTA(半紙!$B$11:$B$310)+COUNTA(条幅!$B$11:$B$310),INDEX(条幅!$K$11:$K$310,197-COUNTA(半紙!$B$11:$B$310)),IF(197&lt;=COUNTA(半紙!$B$11:$B$310)+COUNTA(条幅!$B$11:$B$310)+COUNTA(条幅4分の1!$B$11:$B$310),INDEX(条幅4分の1!$K$11:$K$310,197-COUNTA(半紙!$B$11:$B$310)-COUNTA(条幅!$B$11:$B$310)),"")))=0,"",IF(197&lt;=COUNTA(半紙!$B$11:$B$310),INDEX(半紙!$K$11:$K$310,197),IF(197&lt;=COUNTA(半紙!$B$11:$B$310)+COUNTA(条幅!$B$11:$B$310),INDEX(条幅!$K$11:$K$310,197-COUNTA(半紙!$B$11:$B$310)),IF(197&lt;=COUNTA(半紙!$B$11:$B$310)+COUNTA(条幅!$B$11:$B$310)+COUNTA(条幅4分の1!$B$11:$B$310),INDEX(条幅4分の1!$K$11:$K$310,197-COUNTA(半紙!$B$11:$B$310)-COUNTA(条幅!$B$11:$B$310)),""))))</f>
        <v/>
      </c>
      <c r="L202" s="48" t="str">
        <f>IF($B202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197))</f>
        <v/>
      </c>
    </row>
    <row r="203" spans="1:12" ht="15" customHeight="1">
      <c r="A203" s="37" t="str">
        <f>IF(198&lt;=COUNTA(半紙!$B$11:$B$310),"半紙",IF(198&lt;=COUNTA(半紙!$B$11:$B$310)+COUNTA(条幅!$B$11:$B$310),"条幅(半切)",IF(198&lt;=COUNTA(半紙!$B$11:$B$310)+COUNTA(条幅!$B$11:$B$310)+COUNTA(条幅4分の1!$B$11:$B$310),"条幅(1/4)","")))</f>
        <v/>
      </c>
      <c r="B203" s="38" t="str">
        <f>IF(IF(198&lt;=COUNTA(半紙!$B$11:$B$310),INDEX(半紙!$B$11:$B$310,198),IF(198&lt;=COUNTA(半紙!$B$11:$B$310)+COUNTA(条幅!$B$11:$B$310),INDEX(条幅!$B$11:$B$310,198-COUNTA(半紙!$B$11:$B$310)),IF(198&lt;=COUNTA(半紙!$B$11:$B$310)+COUNTA(条幅!$B$11:$B$310)+COUNTA(条幅4分の1!$B$11:$B$310),INDEX(条幅4分の1!$B$11:$B$310,198-COUNTA(半紙!$B$11:$B$310)-COUNTA(条幅!$B$11:$B$310)),"")))=0,"",IF(198&lt;=COUNTA(半紙!$B$11:$B$310),INDEX(半紙!$B$11:$B$310,198),IF(198&lt;=COUNTA(半紙!$B$11:$B$310)+COUNTA(条幅!$B$11:$B$310),INDEX(条幅!$B$11:$B$310,198-COUNTA(半紙!$B$11:$B$310)),IF(198&lt;=COUNTA(半紙!$B$11:$B$310)+COUNTA(条幅!$B$11:$B$310)+COUNTA(条幅4分の1!$B$11:$B$310),INDEX(条幅4分の1!$B$11:$B$310,198-COUNTA(半紙!$B$11:$B$310)-COUNTA(条幅!$B$11:$B$310)),""))))</f>
        <v/>
      </c>
      <c r="C203" s="38" t="str">
        <f>IF(IF(198&lt;=COUNTA(半紙!$B$11:$B$310),INDEX(半紙!$C$11:$C$310,198),IF(198&lt;=COUNTA(半紙!$B$11:$B$310)+COUNTA(条幅!$B$11:$B$310),INDEX(条幅!$C$11:$C$310,198-COUNTA(半紙!$B$11:$B$310)),IF(198&lt;=COUNTA(半紙!$B$11:$B$310)+COUNTA(条幅!$B$11:$B$310)+COUNTA(条幅4分の1!$B$11:$B$310),INDEX(条幅4分の1!$C$11:$C$310,198-COUNTA(半紙!$B$11:$B$310)-COUNTA(条幅!$B$11:$B$310)),"")))=0,"",IF(198&lt;=COUNTA(半紙!$B$11:$B$310),INDEX(半紙!$C$11:$C$310,198),IF(198&lt;=COUNTA(半紙!$B$11:$B$310)+COUNTA(条幅!$B$11:$B$310),INDEX(条幅!$C$11:$C$310,198-COUNTA(半紙!$B$11:$B$310)),IF(198&lt;=COUNTA(半紙!$B$11:$B$310)+COUNTA(条幅!$B$11:$B$310)+COUNTA(条幅4分の1!$B$11:$B$310),INDEX(条幅4分の1!$C$11:$C$310,198-COUNTA(半紙!$B$11:$B$310)-COUNTA(条幅!$B$11:$B$310)),""))))</f>
        <v/>
      </c>
      <c r="D203" s="38" t="str">
        <f>IF(IF(198&lt;=COUNTA(半紙!$B$11:$B$310),INDEX(半紙!$D$11:$D$310,198),IF(198&lt;=COUNTA(半紙!$B$11:$B$310)+COUNTA(条幅!$B$11:$B$310),INDEX(条幅!$D$11:$D$310,198-COUNTA(半紙!$B$11:$B$310)),IF(198&lt;=COUNTA(半紙!$B$11:$B$310)+COUNTA(条幅!$B$11:$B$310)+COUNTA(条幅4分の1!$B$11:$B$310),INDEX(条幅4分の1!$D$11:$D$310,198-COUNTA(半紙!$B$11:$B$310)-COUNTA(条幅!$B$11:$B$310)),"")))=0,"",IF(198&lt;=COUNTA(半紙!$B$11:$B$310),INDEX(半紙!$D$11:$D$310,198),IF(198&lt;=COUNTA(半紙!$B$11:$B$310)+COUNTA(条幅!$B$11:$B$310),INDEX(条幅!$D$11:$D$310,198-COUNTA(半紙!$B$11:$B$310)),IF(198&lt;=COUNTA(半紙!$B$11:$B$310)+COUNTA(条幅!$B$11:$B$310)+COUNTA(条幅4分の1!$B$11:$B$310),INDEX(条幅4分の1!$D$11:$D$310,198-COUNTA(半紙!$B$11:$B$310)-COUNTA(条幅!$B$11:$B$310)),""))))</f>
        <v/>
      </c>
      <c r="E203" s="38" t="str">
        <f>IF(IF(198&lt;=COUNTA(半紙!$B$11:$B$310),INDEX(半紙!$E$11:$E$310,198),IF(198&lt;=COUNTA(半紙!$B$11:$B$310)+COUNTA(条幅!$B$11:$B$310),INDEX(条幅!$E$11:$E$310,198-COUNTA(半紙!$B$11:$B$310)),IF(198&lt;=COUNTA(半紙!$B$11:$B$310)+COUNTA(条幅!$B$11:$B$310)+COUNTA(条幅4分の1!$B$11:$B$310),INDEX(条幅4分の1!$E$11:$E$310,198-COUNTA(半紙!$B$11:$B$310)-COUNTA(条幅!$B$11:$B$310)),"")))=0,"",IF(198&lt;=COUNTA(半紙!$B$11:$B$310),INDEX(半紙!$E$11:$E$310,198),IF(198&lt;=COUNTA(半紙!$B$11:$B$310)+COUNTA(条幅!$B$11:$B$310),INDEX(条幅!$E$11:$E$310,198-COUNTA(半紙!$B$11:$B$310)),IF(198&lt;=COUNTA(半紙!$B$11:$B$310)+COUNTA(条幅!$B$11:$B$310)+COUNTA(条幅4分の1!$B$11:$B$310),INDEX(条幅4分の1!$E$11:$E$310,198-COUNTA(半紙!$B$11:$B$310)-COUNTA(条幅!$B$11:$B$310)),""))))</f>
        <v/>
      </c>
      <c r="F203" s="38" t="str">
        <f>IF(IF(198&lt;=COUNTA(半紙!$B$11:$B$310),INDEX(半紙!$F$11:$F$310,198),IF(198&lt;=COUNTA(半紙!$B$11:$B$310)+COUNTA(条幅!$B$11:$B$310),INDEX(条幅!$F$11:$F$310,198-COUNTA(半紙!$B$11:$B$310)),IF(198&lt;=COUNTA(半紙!$B$11:$B$310)+COUNTA(条幅!$B$11:$B$310)+COUNTA(条幅4分の1!$B$11:$B$310),INDEX(条幅4分の1!$F$11:$F$310,198-COUNTA(半紙!$B$11:$B$310)-COUNTA(条幅!$B$11:$B$310)),"")))=0,"",IF(198&lt;=COUNTA(半紙!$B$11:$B$310),INDEX(半紙!$F$11:$F$310,198),IF(198&lt;=COUNTA(半紙!$B$11:$B$310)+COUNTA(条幅!$B$11:$B$310),INDEX(条幅!$F$11:$F$310,198-COUNTA(半紙!$B$11:$B$310)),IF(198&lt;=COUNTA(半紙!$B$11:$B$310)+COUNTA(条幅!$B$11:$B$310)+COUNTA(条幅4分の1!$B$11:$B$310),INDEX(条幅4分の1!$F$11:$F$310,198-COUNTA(半紙!$B$11:$B$310)-COUNTA(条幅!$B$11:$B$310)),""))))</f>
        <v/>
      </c>
      <c r="G203" s="38" t="str">
        <f>IF(IF(198&lt;=COUNTA(半紙!$B$11:$B$310),INDEX(半紙!$G$11:$G$310,198),IF(198&lt;=COUNTA(半紙!$B$11:$B$310)+COUNTA(条幅!$B$11:$B$310),INDEX(条幅!$G$11:$G$310,198-COUNTA(半紙!$B$11:$B$310)),IF(198&lt;=COUNTA(半紙!$B$11:$B$310)+COUNTA(条幅!$B$11:$B$310)+COUNTA(条幅4分の1!$B$11:$B$310),INDEX(条幅4分の1!$G$11:$G$310,198-COUNTA(半紙!$B$11:$B$310)-COUNTA(条幅!$B$11:$B$310)),"")))=0,"",IF(198&lt;=COUNTA(半紙!$B$11:$B$310),INDEX(半紙!$G$11:$G$310,198),IF(198&lt;=COUNTA(半紙!$B$11:$B$310)+COUNTA(条幅!$B$11:$B$310),INDEX(条幅!$G$11:$G$310,198-COUNTA(半紙!$B$11:$B$310)),IF(198&lt;=COUNTA(半紙!$B$11:$B$310)+COUNTA(条幅!$B$11:$B$310)+COUNTA(条幅4分の1!$B$11:$B$310),INDEX(条幅4分の1!$G$11:$G$310,198-COUNTA(半紙!$B$11:$B$310)-COUNTA(条幅!$B$11:$B$310)),""))))</f>
        <v/>
      </c>
      <c r="H203" s="38" t="str">
        <f>IF(IF(198&lt;=COUNTA(半紙!$B$11:$B$310),INDEX(半紙!$H$11:$H$310,198),IF(198&lt;=COUNTA(半紙!$B$11:$B$310)+COUNTA(条幅!$B$11:$B$310),INDEX(条幅!$H$11:$H$310,198-COUNTA(半紙!$B$11:$B$310)),IF(198&lt;=COUNTA(半紙!$B$11:$B$310)+COUNTA(条幅!$B$11:$B$310)+COUNTA(条幅4分の1!$B$11:$B$310),INDEX(条幅4分の1!$H$11:$H$310,198-COUNTA(半紙!$B$11:$B$310)-COUNTA(条幅!$B$11:$B$310)),"")))=0,"",IF(198&lt;=COUNTA(半紙!$B$11:$B$310),INDEX(半紙!$H$11:$H$310,198),IF(198&lt;=COUNTA(半紙!$B$11:$B$310)+COUNTA(条幅!$B$11:$B$310),INDEX(条幅!$H$11:$H$310,198-COUNTA(半紙!$B$11:$B$310)),IF(198&lt;=COUNTA(半紙!$B$11:$B$310)+COUNTA(条幅!$B$11:$B$310)+COUNTA(条幅4分の1!$B$11:$B$310),INDEX(条幅4分の1!$H$11:$H$310,198-COUNTA(半紙!$B$11:$B$310)-COUNTA(条幅!$B$11:$B$310)),""))))</f>
        <v/>
      </c>
      <c r="I203" s="38" t="str">
        <f>IF(IF(198&lt;=COUNTA(半紙!$B$11:$B$310),INDEX(半紙!$I$11:$I$310,198),IF(198&lt;=COUNTA(半紙!$B$11:$B$310)+COUNTA(条幅!$B$11:$B$310),INDEX(条幅!$I$11:$I$310,198-COUNTA(半紙!$B$11:$B$310)),IF(198&lt;=COUNTA(半紙!$B$11:$B$310)+COUNTA(条幅!$B$11:$B$310)+COUNTA(条幅4分の1!$B$11:$B$310),INDEX(条幅4分の1!$I$11:$I$310,198-COUNTA(半紙!$B$11:$B$310)-COUNTA(条幅!$B$11:$B$310)),"")))=0,"",IF(198&lt;=COUNTA(半紙!$B$11:$B$310),INDEX(半紙!$I$11:$I$310,198),IF(198&lt;=COUNTA(半紙!$B$11:$B$310)+COUNTA(条幅!$B$11:$B$310),INDEX(条幅!$I$11:$I$310,198-COUNTA(半紙!$B$11:$B$310)),IF(198&lt;=COUNTA(半紙!$B$11:$B$310)+COUNTA(条幅!$B$11:$B$310)+COUNTA(条幅4分の1!$B$11:$B$310),INDEX(条幅4分の1!$I$11:$I$310,198-COUNTA(半紙!$B$11:$B$310)-COUNTA(条幅!$B$11:$B$310)),""))))</f>
        <v/>
      </c>
      <c r="J203" s="38" t="str">
        <f>IF(IF(198&lt;=COUNTA(半紙!$B$11:$B$310),INDEX(半紙!$J$11:$J$310,198),IF(198&lt;=COUNTA(半紙!$B$11:$B$310)+COUNTA(条幅!$B$11:$B$310),INDEX(条幅!$J$11:$J$310,198-COUNTA(半紙!$B$11:$B$310)),IF(198&lt;=COUNTA(半紙!$B$11:$B$310)+COUNTA(条幅!$B$11:$B$310)+COUNTA(条幅4分の1!$B$11:$B$310),INDEX(条幅4分の1!$J$11:$J$310,198-COUNTA(半紙!$B$11:$B$310)-COUNTA(条幅!$B$11:$B$310)),"")))=0,"",IF(198&lt;=COUNTA(半紙!$B$11:$B$310),INDEX(半紙!$J$11:$J$310,198),IF(198&lt;=COUNTA(半紙!$B$11:$B$310)+COUNTA(条幅!$B$11:$B$310),INDEX(条幅!$J$11:$J$310,198-COUNTA(半紙!$B$11:$B$310)),IF(198&lt;=COUNTA(半紙!$B$11:$B$310)+COUNTA(条幅!$B$11:$B$310)+COUNTA(条幅4分の1!$B$11:$B$310),INDEX(条幅4分の1!$J$11:$J$310,198-COUNTA(半紙!$B$11:$B$310)-COUNTA(条幅!$B$11:$B$310)),""))))</f>
        <v/>
      </c>
      <c r="K203" s="38" t="str">
        <f>IF(IF(198&lt;=COUNTA(半紙!$B$11:$B$310),INDEX(半紙!$K$11:$K$310,198),IF(198&lt;=COUNTA(半紙!$B$11:$B$310)+COUNTA(条幅!$B$11:$B$310),INDEX(条幅!$K$11:$K$310,198-COUNTA(半紙!$B$11:$B$310)),IF(198&lt;=COUNTA(半紙!$B$11:$B$310)+COUNTA(条幅!$B$11:$B$310)+COUNTA(条幅4分の1!$B$11:$B$310),INDEX(条幅4分の1!$K$11:$K$310,198-COUNTA(半紙!$B$11:$B$310)-COUNTA(条幅!$B$11:$B$310)),"")))=0,"",IF(198&lt;=COUNTA(半紙!$B$11:$B$310),INDEX(半紙!$K$11:$K$310,198),IF(198&lt;=COUNTA(半紙!$B$11:$B$310)+COUNTA(条幅!$B$11:$B$310),INDEX(条幅!$K$11:$K$310,198-COUNTA(半紙!$B$11:$B$310)),IF(198&lt;=COUNTA(半紙!$B$11:$B$310)+COUNTA(条幅!$B$11:$B$310)+COUNTA(条幅4分の1!$B$11:$B$310),INDEX(条幅4分の1!$K$11:$K$310,198-COUNTA(半紙!$B$11:$B$310)-COUNTA(条幅!$B$11:$B$310)),""))))</f>
        <v/>
      </c>
      <c r="L203" s="48" t="str">
        <f>IF($B203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198))</f>
        <v/>
      </c>
    </row>
    <row r="204" spans="1:12" ht="15" customHeight="1">
      <c r="A204" s="37" t="str">
        <f>IF(199&lt;=COUNTA(半紙!$B$11:$B$310),"半紙",IF(199&lt;=COUNTA(半紙!$B$11:$B$310)+COUNTA(条幅!$B$11:$B$310),"条幅(半切)",IF(199&lt;=COUNTA(半紙!$B$11:$B$310)+COUNTA(条幅!$B$11:$B$310)+COUNTA(条幅4分の1!$B$11:$B$310),"条幅(1/4)","")))</f>
        <v/>
      </c>
      <c r="B204" s="38" t="str">
        <f>IF(IF(199&lt;=COUNTA(半紙!$B$11:$B$310),INDEX(半紙!$B$11:$B$310,199),IF(199&lt;=COUNTA(半紙!$B$11:$B$310)+COUNTA(条幅!$B$11:$B$310),INDEX(条幅!$B$11:$B$310,199-COUNTA(半紙!$B$11:$B$310)),IF(199&lt;=COUNTA(半紙!$B$11:$B$310)+COUNTA(条幅!$B$11:$B$310)+COUNTA(条幅4分の1!$B$11:$B$310),INDEX(条幅4分の1!$B$11:$B$310,199-COUNTA(半紙!$B$11:$B$310)-COUNTA(条幅!$B$11:$B$310)),"")))=0,"",IF(199&lt;=COUNTA(半紙!$B$11:$B$310),INDEX(半紙!$B$11:$B$310,199),IF(199&lt;=COUNTA(半紙!$B$11:$B$310)+COUNTA(条幅!$B$11:$B$310),INDEX(条幅!$B$11:$B$310,199-COUNTA(半紙!$B$11:$B$310)),IF(199&lt;=COUNTA(半紙!$B$11:$B$310)+COUNTA(条幅!$B$11:$B$310)+COUNTA(条幅4分の1!$B$11:$B$310),INDEX(条幅4分の1!$B$11:$B$310,199-COUNTA(半紙!$B$11:$B$310)-COUNTA(条幅!$B$11:$B$310)),""))))</f>
        <v/>
      </c>
      <c r="C204" s="38" t="str">
        <f>IF(IF(199&lt;=COUNTA(半紙!$B$11:$B$310),INDEX(半紙!$C$11:$C$310,199),IF(199&lt;=COUNTA(半紙!$B$11:$B$310)+COUNTA(条幅!$B$11:$B$310),INDEX(条幅!$C$11:$C$310,199-COUNTA(半紙!$B$11:$B$310)),IF(199&lt;=COUNTA(半紙!$B$11:$B$310)+COUNTA(条幅!$B$11:$B$310)+COUNTA(条幅4分の1!$B$11:$B$310),INDEX(条幅4分の1!$C$11:$C$310,199-COUNTA(半紙!$B$11:$B$310)-COUNTA(条幅!$B$11:$B$310)),"")))=0,"",IF(199&lt;=COUNTA(半紙!$B$11:$B$310),INDEX(半紙!$C$11:$C$310,199),IF(199&lt;=COUNTA(半紙!$B$11:$B$310)+COUNTA(条幅!$B$11:$B$310),INDEX(条幅!$C$11:$C$310,199-COUNTA(半紙!$B$11:$B$310)),IF(199&lt;=COUNTA(半紙!$B$11:$B$310)+COUNTA(条幅!$B$11:$B$310)+COUNTA(条幅4分の1!$B$11:$B$310),INDEX(条幅4分の1!$C$11:$C$310,199-COUNTA(半紙!$B$11:$B$310)-COUNTA(条幅!$B$11:$B$310)),""))))</f>
        <v/>
      </c>
      <c r="D204" s="38" t="str">
        <f>IF(IF(199&lt;=COUNTA(半紙!$B$11:$B$310),INDEX(半紙!$D$11:$D$310,199),IF(199&lt;=COUNTA(半紙!$B$11:$B$310)+COUNTA(条幅!$B$11:$B$310),INDEX(条幅!$D$11:$D$310,199-COUNTA(半紙!$B$11:$B$310)),IF(199&lt;=COUNTA(半紙!$B$11:$B$310)+COUNTA(条幅!$B$11:$B$310)+COUNTA(条幅4分の1!$B$11:$B$310),INDEX(条幅4分の1!$D$11:$D$310,199-COUNTA(半紙!$B$11:$B$310)-COUNTA(条幅!$B$11:$B$310)),"")))=0,"",IF(199&lt;=COUNTA(半紙!$B$11:$B$310),INDEX(半紙!$D$11:$D$310,199),IF(199&lt;=COUNTA(半紙!$B$11:$B$310)+COUNTA(条幅!$B$11:$B$310),INDEX(条幅!$D$11:$D$310,199-COUNTA(半紙!$B$11:$B$310)),IF(199&lt;=COUNTA(半紙!$B$11:$B$310)+COUNTA(条幅!$B$11:$B$310)+COUNTA(条幅4分の1!$B$11:$B$310),INDEX(条幅4分の1!$D$11:$D$310,199-COUNTA(半紙!$B$11:$B$310)-COUNTA(条幅!$B$11:$B$310)),""))))</f>
        <v/>
      </c>
      <c r="E204" s="38" t="str">
        <f>IF(IF(199&lt;=COUNTA(半紙!$B$11:$B$310),INDEX(半紙!$E$11:$E$310,199),IF(199&lt;=COUNTA(半紙!$B$11:$B$310)+COUNTA(条幅!$B$11:$B$310),INDEX(条幅!$E$11:$E$310,199-COUNTA(半紙!$B$11:$B$310)),IF(199&lt;=COUNTA(半紙!$B$11:$B$310)+COUNTA(条幅!$B$11:$B$310)+COUNTA(条幅4分の1!$B$11:$B$310),INDEX(条幅4分の1!$E$11:$E$310,199-COUNTA(半紙!$B$11:$B$310)-COUNTA(条幅!$B$11:$B$310)),"")))=0,"",IF(199&lt;=COUNTA(半紙!$B$11:$B$310),INDEX(半紙!$E$11:$E$310,199),IF(199&lt;=COUNTA(半紙!$B$11:$B$310)+COUNTA(条幅!$B$11:$B$310),INDEX(条幅!$E$11:$E$310,199-COUNTA(半紙!$B$11:$B$310)),IF(199&lt;=COUNTA(半紙!$B$11:$B$310)+COUNTA(条幅!$B$11:$B$310)+COUNTA(条幅4分の1!$B$11:$B$310),INDEX(条幅4分の1!$E$11:$E$310,199-COUNTA(半紙!$B$11:$B$310)-COUNTA(条幅!$B$11:$B$310)),""))))</f>
        <v/>
      </c>
      <c r="F204" s="38" t="str">
        <f>IF(IF(199&lt;=COUNTA(半紙!$B$11:$B$310),INDEX(半紙!$F$11:$F$310,199),IF(199&lt;=COUNTA(半紙!$B$11:$B$310)+COUNTA(条幅!$B$11:$B$310),INDEX(条幅!$F$11:$F$310,199-COUNTA(半紙!$B$11:$B$310)),IF(199&lt;=COUNTA(半紙!$B$11:$B$310)+COUNTA(条幅!$B$11:$B$310)+COUNTA(条幅4分の1!$B$11:$B$310),INDEX(条幅4分の1!$F$11:$F$310,199-COUNTA(半紙!$B$11:$B$310)-COUNTA(条幅!$B$11:$B$310)),"")))=0,"",IF(199&lt;=COUNTA(半紙!$B$11:$B$310),INDEX(半紙!$F$11:$F$310,199),IF(199&lt;=COUNTA(半紙!$B$11:$B$310)+COUNTA(条幅!$B$11:$B$310),INDEX(条幅!$F$11:$F$310,199-COUNTA(半紙!$B$11:$B$310)),IF(199&lt;=COUNTA(半紙!$B$11:$B$310)+COUNTA(条幅!$B$11:$B$310)+COUNTA(条幅4分の1!$B$11:$B$310),INDEX(条幅4分の1!$F$11:$F$310,199-COUNTA(半紙!$B$11:$B$310)-COUNTA(条幅!$B$11:$B$310)),""))))</f>
        <v/>
      </c>
      <c r="G204" s="38" t="str">
        <f>IF(IF(199&lt;=COUNTA(半紙!$B$11:$B$310),INDEX(半紙!$G$11:$G$310,199),IF(199&lt;=COUNTA(半紙!$B$11:$B$310)+COUNTA(条幅!$B$11:$B$310),INDEX(条幅!$G$11:$G$310,199-COUNTA(半紙!$B$11:$B$310)),IF(199&lt;=COUNTA(半紙!$B$11:$B$310)+COUNTA(条幅!$B$11:$B$310)+COUNTA(条幅4分の1!$B$11:$B$310),INDEX(条幅4分の1!$G$11:$G$310,199-COUNTA(半紙!$B$11:$B$310)-COUNTA(条幅!$B$11:$B$310)),"")))=0,"",IF(199&lt;=COUNTA(半紙!$B$11:$B$310),INDEX(半紙!$G$11:$G$310,199),IF(199&lt;=COUNTA(半紙!$B$11:$B$310)+COUNTA(条幅!$B$11:$B$310),INDEX(条幅!$G$11:$G$310,199-COUNTA(半紙!$B$11:$B$310)),IF(199&lt;=COUNTA(半紙!$B$11:$B$310)+COUNTA(条幅!$B$11:$B$310)+COUNTA(条幅4分の1!$B$11:$B$310),INDEX(条幅4分の1!$G$11:$G$310,199-COUNTA(半紙!$B$11:$B$310)-COUNTA(条幅!$B$11:$B$310)),""))))</f>
        <v/>
      </c>
      <c r="H204" s="38" t="str">
        <f>IF(IF(199&lt;=COUNTA(半紙!$B$11:$B$310),INDEX(半紙!$H$11:$H$310,199),IF(199&lt;=COUNTA(半紙!$B$11:$B$310)+COUNTA(条幅!$B$11:$B$310),INDEX(条幅!$H$11:$H$310,199-COUNTA(半紙!$B$11:$B$310)),IF(199&lt;=COUNTA(半紙!$B$11:$B$310)+COUNTA(条幅!$B$11:$B$310)+COUNTA(条幅4分の1!$B$11:$B$310),INDEX(条幅4分の1!$H$11:$H$310,199-COUNTA(半紙!$B$11:$B$310)-COUNTA(条幅!$B$11:$B$310)),"")))=0,"",IF(199&lt;=COUNTA(半紙!$B$11:$B$310),INDEX(半紙!$H$11:$H$310,199),IF(199&lt;=COUNTA(半紙!$B$11:$B$310)+COUNTA(条幅!$B$11:$B$310),INDEX(条幅!$H$11:$H$310,199-COUNTA(半紙!$B$11:$B$310)),IF(199&lt;=COUNTA(半紙!$B$11:$B$310)+COUNTA(条幅!$B$11:$B$310)+COUNTA(条幅4分の1!$B$11:$B$310),INDEX(条幅4分の1!$H$11:$H$310,199-COUNTA(半紙!$B$11:$B$310)-COUNTA(条幅!$B$11:$B$310)),""))))</f>
        <v/>
      </c>
      <c r="I204" s="38" t="str">
        <f>IF(IF(199&lt;=COUNTA(半紙!$B$11:$B$310),INDEX(半紙!$I$11:$I$310,199),IF(199&lt;=COUNTA(半紙!$B$11:$B$310)+COUNTA(条幅!$B$11:$B$310),INDEX(条幅!$I$11:$I$310,199-COUNTA(半紙!$B$11:$B$310)),IF(199&lt;=COUNTA(半紙!$B$11:$B$310)+COUNTA(条幅!$B$11:$B$310)+COUNTA(条幅4分の1!$B$11:$B$310),INDEX(条幅4分の1!$I$11:$I$310,199-COUNTA(半紙!$B$11:$B$310)-COUNTA(条幅!$B$11:$B$310)),"")))=0,"",IF(199&lt;=COUNTA(半紙!$B$11:$B$310),INDEX(半紙!$I$11:$I$310,199),IF(199&lt;=COUNTA(半紙!$B$11:$B$310)+COUNTA(条幅!$B$11:$B$310),INDEX(条幅!$I$11:$I$310,199-COUNTA(半紙!$B$11:$B$310)),IF(199&lt;=COUNTA(半紙!$B$11:$B$310)+COUNTA(条幅!$B$11:$B$310)+COUNTA(条幅4分の1!$B$11:$B$310),INDEX(条幅4分の1!$I$11:$I$310,199-COUNTA(半紙!$B$11:$B$310)-COUNTA(条幅!$B$11:$B$310)),""))))</f>
        <v/>
      </c>
      <c r="J204" s="38" t="str">
        <f>IF(IF(199&lt;=COUNTA(半紙!$B$11:$B$310),INDEX(半紙!$J$11:$J$310,199),IF(199&lt;=COUNTA(半紙!$B$11:$B$310)+COUNTA(条幅!$B$11:$B$310),INDEX(条幅!$J$11:$J$310,199-COUNTA(半紙!$B$11:$B$310)),IF(199&lt;=COUNTA(半紙!$B$11:$B$310)+COUNTA(条幅!$B$11:$B$310)+COUNTA(条幅4分の1!$B$11:$B$310),INDEX(条幅4分の1!$J$11:$J$310,199-COUNTA(半紙!$B$11:$B$310)-COUNTA(条幅!$B$11:$B$310)),"")))=0,"",IF(199&lt;=COUNTA(半紙!$B$11:$B$310),INDEX(半紙!$J$11:$J$310,199),IF(199&lt;=COUNTA(半紙!$B$11:$B$310)+COUNTA(条幅!$B$11:$B$310),INDEX(条幅!$J$11:$J$310,199-COUNTA(半紙!$B$11:$B$310)),IF(199&lt;=COUNTA(半紙!$B$11:$B$310)+COUNTA(条幅!$B$11:$B$310)+COUNTA(条幅4分の1!$B$11:$B$310),INDEX(条幅4分の1!$J$11:$J$310,199-COUNTA(半紙!$B$11:$B$310)-COUNTA(条幅!$B$11:$B$310)),""))))</f>
        <v/>
      </c>
      <c r="K204" s="38" t="str">
        <f>IF(IF(199&lt;=COUNTA(半紙!$B$11:$B$310),INDEX(半紙!$K$11:$K$310,199),IF(199&lt;=COUNTA(半紙!$B$11:$B$310)+COUNTA(条幅!$B$11:$B$310),INDEX(条幅!$K$11:$K$310,199-COUNTA(半紙!$B$11:$B$310)),IF(199&lt;=COUNTA(半紙!$B$11:$B$310)+COUNTA(条幅!$B$11:$B$310)+COUNTA(条幅4分の1!$B$11:$B$310),INDEX(条幅4分の1!$K$11:$K$310,199-COUNTA(半紙!$B$11:$B$310)-COUNTA(条幅!$B$11:$B$310)),"")))=0,"",IF(199&lt;=COUNTA(半紙!$B$11:$B$310),INDEX(半紙!$K$11:$K$310,199),IF(199&lt;=COUNTA(半紙!$B$11:$B$310)+COUNTA(条幅!$B$11:$B$310),INDEX(条幅!$K$11:$K$310,199-COUNTA(半紙!$B$11:$B$310)),IF(199&lt;=COUNTA(半紙!$B$11:$B$310)+COUNTA(条幅!$B$11:$B$310)+COUNTA(条幅4分の1!$B$11:$B$310),INDEX(条幅4分の1!$K$11:$K$310,199-COUNTA(半紙!$B$11:$B$310)-COUNTA(条幅!$B$11:$B$310)),""))))</f>
        <v/>
      </c>
      <c r="L204" s="48" t="str">
        <f>IF($B204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199))</f>
        <v/>
      </c>
    </row>
    <row r="205" spans="1:12" ht="15" customHeight="1">
      <c r="A205" s="37" t="str">
        <f>IF(200&lt;=COUNTA(半紙!$B$11:$B$310),"半紙",IF(200&lt;=COUNTA(半紙!$B$11:$B$310)+COUNTA(条幅!$B$11:$B$310),"条幅(半切)",IF(200&lt;=COUNTA(半紙!$B$11:$B$310)+COUNTA(条幅!$B$11:$B$310)+COUNTA(条幅4分の1!$B$11:$B$310),"条幅(1/4)","")))</f>
        <v/>
      </c>
      <c r="B205" s="38" t="str">
        <f>IF(IF(200&lt;=COUNTA(半紙!$B$11:$B$310),INDEX(半紙!$B$11:$B$310,200),IF(200&lt;=COUNTA(半紙!$B$11:$B$310)+COUNTA(条幅!$B$11:$B$310),INDEX(条幅!$B$11:$B$310,200-COUNTA(半紙!$B$11:$B$310)),IF(200&lt;=COUNTA(半紙!$B$11:$B$310)+COUNTA(条幅!$B$11:$B$310)+COUNTA(条幅4分の1!$B$11:$B$310),INDEX(条幅4分の1!$B$11:$B$310,200-COUNTA(半紙!$B$11:$B$310)-COUNTA(条幅!$B$11:$B$310)),"")))=0,"",IF(200&lt;=COUNTA(半紙!$B$11:$B$310),INDEX(半紙!$B$11:$B$310,200),IF(200&lt;=COUNTA(半紙!$B$11:$B$310)+COUNTA(条幅!$B$11:$B$310),INDEX(条幅!$B$11:$B$310,200-COUNTA(半紙!$B$11:$B$310)),IF(200&lt;=COUNTA(半紙!$B$11:$B$310)+COUNTA(条幅!$B$11:$B$310)+COUNTA(条幅4分の1!$B$11:$B$310),INDEX(条幅4分の1!$B$11:$B$310,200-COUNTA(半紙!$B$11:$B$310)-COUNTA(条幅!$B$11:$B$310)),""))))</f>
        <v/>
      </c>
      <c r="C205" s="38" t="str">
        <f>IF(IF(200&lt;=COUNTA(半紙!$B$11:$B$310),INDEX(半紙!$C$11:$C$310,200),IF(200&lt;=COUNTA(半紙!$B$11:$B$310)+COUNTA(条幅!$B$11:$B$310),INDEX(条幅!$C$11:$C$310,200-COUNTA(半紙!$B$11:$B$310)),IF(200&lt;=COUNTA(半紙!$B$11:$B$310)+COUNTA(条幅!$B$11:$B$310)+COUNTA(条幅4分の1!$B$11:$B$310),INDEX(条幅4分の1!$C$11:$C$310,200-COUNTA(半紙!$B$11:$B$310)-COUNTA(条幅!$B$11:$B$310)),"")))=0,"",IF(200&lt;=COUNTA(半紙!$B$11:$B$310),INDEX(半紙!$C$11:$C$310,200),IF(200&lt;=COUNTA(半紙!$B$11:$B$310)+COUNTA(条幅!$B$11:$B$310),INDEX(条幅!$C$11:$C$310,200-COUNTA(半紙!$B$11:$B$310)),IF(200&lt;=COUNTA(半紙!$B$11:$B$310)+COUNTA(条幅!$B$11:$B$310)+COUNTA(条幅4分の1!$B$11:$B$310),INDEX(条幅4分の1!$C$11:$C$310,200-COUNTA(半紙!$B$11:$B$310)-COUNTA(条幅!$B$11:$B$310)),""))))</f>
        <v/>
      </c>
      <c r="D205" s="38" t="str">
        <f>IF(IF(200&lt;=COUNTA(半紙!$B$11:$B$310),INDEX(半紙!$D$11:$D$310,200),IF(200&lt;=COUNTA(半紙!$B$11:$B$310)+COUNTA(条幅!$B$11:$B$310),INDEX(条幅!$D$11:$D$310,200-COUNTA(半紙!$B$11:$B$310)),IF(200&lt;=COUNTA(半紙!$B$11:$B$310)+COUNTA(条幅!$B$11:$B$310)+COUNTA(条幅4分の1!$B$11:$B$310),INDEX(条幅4分の1!$D$11:$D$310,200-COUNTA(半紙!$B$11:$B$310)-COUNTA(条幅!$B$11:$B$310)),"")))=0,"",IF(200&lt;=COUNTA(半紙!$B$11:$B$310),INDEX(半紙!$D$11:$D$310,200),IF(200&lt;=COUNTA(半紙!$B$11:$B$310)+COUNTA(条幅!$B$11:$B$310),INDEX(条幅!$D$11:$D$310,200-COUNTA(半紙!$B$11:$B$310)),IF(200&lt;=COUNTA(半紙!$B$11:$B$310)+COUNTA(条幅!$B$11:$B$310)+COUNTA(条幅4分の1!$B$11:$B$310),INDEX(条幅4分の1!$D$11:$D$310,200-COUNTA(半紙!$B$11:$B$310)-COUNTA(条幅!$B$11:$B$310)),""))))</f>
        <v/>
      </c>
      <c r="E205" s="38" t="str">
        <f>IF(IF(200&lt;=COUNTA(半紙!$B$11:$B$310),INDEX(半紙!$E$11:$E$310,200),IF(200&lt;=COUNTA(半紙!$B$11:$B$310)+COUNTA(条幅!$B$11:$B$310),INDEX(条幅!$E$11:$E$310,200-COUNTA(半紙!$B$11:$B$310)),IF(200&lt;=COUNTA(半紙!$B$11:$B$310)+COUNTA(条幅!$B$11:$B$310)+COUNTA(条幅4分の1!$B$11:$B$310),INDEX(条幅4分の1!$E$11:$E$310,200-COUNTA(半紙!$B$11:$B$310)-COUNTA(条幅!$B$11:$B$310)),"")))=0,"",IF(200&lt;=COUNTA(半紙!$B$11:$B$310),INDEX(半紙!$E$11:$E$310,200),IF(200&lt;=COUNTA(半紙!$B$11:$B$310)+COUNTA(条幅!$B$11:$B$310),INDEX(条幅!$E$11:$E$310,200-COUNTA(半紙!$B$11:$B$310)),IF(200&lt;=COUNTA(半紙!$B$11:$B$310)+COUNTA(条幅!$B$11:$B$310)+COUNTA(条幅4分の1!$B$11:$B$310),INDEX(条幅4分の1!$E$11:$E$310,200-COUNTA(半紙!$B$11:$B$310)-COUNTA(条幅!$B$11:$B$310)),""))))</f>
        <v/>
      </c>
      <c r="F205" s="38" t="str">
        <f>IF(IF(200&lt;=COUNTA(半紙!$B$11:$B$310),INDEX(半紙!$F$11:$F$310,200),IF(200&lt;=COUNTA(半紙!$B$11:$B$310)+COUNTA(条幅!$B$11:$B$310),INDEX(条幅!$F$11:$F$310,200-COUNTA(半紙!$B$11:$B$310)),IF(200&lt;=COUNTA(半紙!$B$11:$B$310)+COUNTA(条幅!$B$11:$B$310)+COUNTA(条幅4分の1!$B$11:$B$310),INDEX(条幅4分の1!$F$11:$F$310,200-COUNTA(半紙!$B$11:$B$310)-COUNTA(条幅!$B$11:$B$310)),"")))=0,"",IF(200&lt;=COUNTA(半紙!$B$11:$B$310),INDEX(半紙!$F$11:$F$310,200),IF(200&lt;=COUNTA(半紙!$B$11:$B$310)+COUNTA(条幅!$B$11:$B$310),INDEX(条幅!$F$11:$F$310,200-COUNTA(半紙!$B$11:$B$310)),IF(200&lt;=COUNTA(半紙!$B$11:$B$310)+COUNTA(条幅!$B$11:$B$310)+COUNTA(条幅4分の1!$B$11:$B$310),INDEX(条幅4分の1!$F$11:$F$310,200-COUNTA(半紙!$B$11:$B$310)-COUNTA(条幅!$B$11:$B$310)),""))))</f>
        <v/>
      </c>
      <c r="G205" s="38" t="str">
        <f>IF(IF(200&lt;=COUNTA(半紙!$B$11:$B$310),INDEX(半紙!$G$11:$G$310,200),IF(200&lt;=COUNTA(半紙!$B$11:$B$310)+COUNTA(条幅!$B$11:$B$310),INDEX(条幅!$G$11:$G$310,200-COUNTA(半紙!$B$11:$B$310)),IF(200&lt;=COUNTA(半紙!$B$11:$B$310)+COUNTA(条幅!$B$11:$B$310)+COUNTA(条幅4分の1!$B$11:$B$310),INDEX(条幅4分の1!$G$11:$G$310,200-COUNTA(半紙!$B$11:$B$310)-COUNTA(条幅!$B$11:$B$310)),"")))=0,"",IF(200&lt;=COUNTA(半紙!$B$11:$B$310),INDEX(半紙!$G$11:$G$310,200),IF(200&lt;=COUNTA(半紙!$B$11:$B$310)+COUNTA(条幅!$B$11:$B$310),INDEX(条幅!$G$11:$G$310,200-COUNTA(半紙!$B$11:$B$310)),IF(200&lt;=COUNTA(半紙!$B$11:$B$310)+COUNTA(条幅!$B$11:$B$310)+COUNTA(条幅4分の1!$B$11:$B$310),INDEX(条幅4分の1!$G$11:$G$310,200-COUNTA(半紙!$B$11:$B$310)-COUNTA(条幅!$B$11:$B$310)),""))))</f>
        <v/>
      </c>
      <c r="H205" s="38" t="str">
        <f>IF(IF(200&lt;=COUNTA(半紙!$B$11:$B$310),INDEX(半紙!$H$11:$H$310,200),IF(200&lt;=COUNTA(半紙!$B$11:$B$310)+COUNTA(条幅!$B$11:$B$310),INDEX(条幅!$H$11:$H$310,200-COUNTA(半紙!$B$11:$B$310)),IF(200&lt;=COUNTA(半紙!$B$11:$B$310)+COUNTA(条幅!$B$11:$B$310)+COUNTA(条幅4分の1!$B$11:$B$310),INDEX(条幅4分の1!$H$11:$H$310,200-COUNTA(半紙!$B$11:$B$310)-COUNTA(条幅!$B$11:$B$310)),"")))=0,"",IF(200&lt;=COUNTA(半紙!$B$11:$B$310),INDEX(半紙!$H$11:$H$310,200),IF(200&lt;=COUNTA(半紙!$B$11:$B$310)+COUNTA(条幅!$B$11:$B$310),INDEX(条幅!$H$11:$H$310,200-COUNTA(半紙!$B$11:$B$310)),IF(200&lt;=COUNTA(半紙!$B$11:$B$310)+COUNTA(条幅!$B$11:$B$310)+COUNTA(条幅4分の1!$B$11:$B$310),INDEX(条幅4分の1!$H$11:$H$310,200-COUNTA(半紙!$B$11:$B$310)-COUNTA(条幅!$B$11:$B$310)),""))))</f>
        <v/>
      </c>
      <c r="I205" s="38" t="str">
        <f>IF(IF(200&lt;=COUNTA(半紙!$B$11:$B$310),INDEX(半紙!$I$11:$I$310,200),IF(200&lt;=COUNTA(半紙!$B$11:$B$310)+COUNTA(条幅!$B$11:$B$310),INDEX(条幅!$I$11:$I$310,200-COUNTA(半紙!$B$11:$B$310)),IF(200&lt;=COUNTA(半紙!$B$11:$B$310)+COUNTA(条幅!$B$11:$B$310)+COUNTA(条幅4分の1!$B$11:$B$310),INDEX(条幅4分の1!$I$11:$I$310,200-COUNTA(半紙!$B$11:$B$310)-COUNTA(条幅!$B$11:$B$310)),"")))=0,"",IF(200&lt;=COUNTA(半紙!$B$11:$B$310),INDEX(半紙!$I$11:$I$310,200),IF(200&lt;=COUNTA(半紙!$B$11:$B$310)+COUNTA(条幅!$B$11:$B$310),INDEX(条幅!$I$11:$I$310,200-COUNTA(半紙!$B$11:$B$310)),IF(200&lt;=COUNTA(半紙!$B$11:$B$310)+COUNTA(条幅!$B$11:$B$310)+COUNTA(条幅4分の1!$B$11:$B$310),INDEX(条幅4分の1!$I$11:$I$310,200-COUNTA(半紙!$B$11:$B$310)-COUNTA(条幅!$B$11:$B$310)),""))))</f>
        <v/>
      </c>
      <c r="J205" s="38" t="str">
        <f>IF(IF(200&lt;=COUNTA(半紙!$B$11:$B$310),INDEX(半紙!$J$11:$J$310,200),IF(200&lt;=COUNTA(半紙!$B$11:$B$310)+COUNTA(条幅!$B$11:$B$310),INDEX(条幅!$J$11:$J$310,200-COUNTA(半紙!$B$11:$B$310)),IF(200&lt;=COUNTA(半紙!$B$11:$B$310)+COUNTA(条幅!$B$11:$B$310)+COUNTA(条幅4分の1!$B$11:$B$310),INDEX(条幅4分の1!$J$11:$J$310,200-COUNTA(半紙!$B$11:$B$310)-COUNTA(条幅!$B$11:$B$310)),"")))=0,"",IF(200&lt;=COUNTA(半紙!$B$11:$B$310),INDEX(半紙!$J$11:$J$310,200),IF(200&lt;=COUNTA(半紙!$B$11:$B$310)+COUNTA(条幅!$B$11:$B$310),INDEX(条幅!$J$11:$J$310,200-COUNTA(半紙!$B$11:$B$310)),IF(200&lt;=COUNTA(半紙!$B$11:$B$310)+COUNTA(条幅!$B$11:$B$310)+COUNTA(条幅4分の1!$B$11:$B$310),INDEX(条幅4分の1!$J$11:$J$310,200-COUNTA(半紙!$B$11:$B$310)-COUNTA(条幅!$B$11:$B$310)),""))))</f>
        <v/>
      </c>
      <c r="K205" s="38" t="str">
        <f>IF(IF(200&lt;=COUNTA(半紙!$B$11:$B$310),INDEX(半紙!$K$11:$K$310,200),IF(200&lt;=COUNTA(半紙!$B$11:$B$310)+COUNTA(条幅!$B$11:$B$310),INDEX(条幅!$K$11:$K$310,200-COUNTA(半紙!$B$11:$B$310)),IF(200&lt;=COUNTA(半紙!$B$11:$B$310)+COUNTA(条幅!$B$11:$B$310)+COUNTA(条幅4分の1!$B$11:$B$310),INDEX(条幅4分の1!$K$11:$K$310,200-COUNTA(半紙!$B$11:$B$310)-COUNTA(条幅!$B$11:$B$310)),"")))=0,"",IF(200&lt;=COUNTA(半紙!$B$11:$B$310),INDEX(半紙!$K$11:$K$310,200),IF(200&lt;=COUNTA(半紙!$B$11:$B$310)+COUNTA(条幅!$B$11:$B$310),INDEX(条幅!$K$11:$K$310,200-COUNTA(半紙!$B$11:$B$310)),IF(200&lt;=COUNTA(半紙!$B$11:$B$310)+COUNTA(条幅!$B$11:$B$310)+COUNTA(条幅4分の1!$B$11:$B$310),INDEX(条幅4分の1!$K$11:$K$310,200-COUNTA(半紙!$B$11:$B$310)-COUNTA(条幅!$B$11:$B$310)),""))))</f>
        <v/>
      </c>
      <c r="L205" s="48" t="str">
        <f>IF($B205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200))</f>
        <v/>
      </c>
    </row>
    <row r="206" spans="1:12" ht="15" customHeight="1">
      <c r="A206" s="37" t="str">
        <f>IF(201&lt;=COUNTA(半紙!$B$11:$B$310),"半紙",IF(201&lt;=COUNTA(半紙!$B$11:$B$310)+COUNTA(条幅!$B$11:$B$310),"条幅(半切)",IF(201&lt;=COUNTA(半紙!$B$11:$B$310)+COUNTA(条幅!$B$11:$B$310)+COUNTA(条幅4分の1!$B$11:$B$310),"条幅(1/4)","")))</f>
        <v/>
      </c>
      <c r="B206" s="38" t="str">
        <f>IF(IF(201&lt;=COUNTA(半紙!$B$11:$B$310),INDEX(半紙!$B$11:$B$310,201),IF(201&lt;=COUNTA(半紙!$B$11:$B$310)+COUNTA(条幅!$B$11:$B$310),INDEX(条幅!$B$11:$B$310,201-COUNTA(半紙!$B$11:$B$310)),IF(201&lt;=COUNTA(半紙!$B$11:$B$310)+COUNTA(条幅!$B$11:$B$310)+COUNTA(条幅4分の1!$B$11:$B$310),INDEX(条幅4分の1!$B$11:$B$310,201-COUNTA(半紙!$B$11:$B$310)-COUNTA(条幅!$B$11:$B$310)),"")))=0,"",IF(201&lt;=COUNTA(半紙!$B$11:$B$310),INDEX(半紙!$B$11:$B$310,201),IF(201&lt;=COUNTA(半紙!$B$11:$B$310)+COUNTA(条幅!$B$11:$B$310),INDEX(条幅!$B$11:$B$310,201-COUNTA(半紙!$B$11:$B$310)),IF(201&lt;=COUNTA(半紙!$B$11:$B$310)+COUNTA(条幅!$B$11:$B$310)+COUNTA(条幅4分の1!$B$11:$B$310),INDEX(条幅4分の1!$B$11:$B$310,201-COUNTA(半紙!$B$11:$B$310)-COUNTA(条幅!$B$11:$B$310)),""))))</f>
        <v/>
      </c>
      <c r="C206" s="38" t="str">
        <f>IF(IF(201&lt;=COUNTA(半紙!$B$11:$B$310),INDEX(半紙!$C$11:$C$310,201),IF(201&lt;=COUNTA(半紙!$B$11:$B$310)+COUNTA(条幅!$B$11:$B$310),INDEX(条幅!$C$11:$C$310,201-COUNTA(半紙!$B$11:$B$310)),IF(201&lt;=COUNTA(半紙!$B$11:$B$310)+COUNTA(条幅!$B$11:$B$310)+COUNTA(条幅4分の1!$B$11:$B$310),INDEX(条幅4分の1!$C$11:$C$310,201-COUNTA(半紙!$B$11:$B$310)-COUNTA(条幅!$B$11:$B$310)),"")))=0,"",IF(201&lt;=COUNTA(半紙!$B$11:$B$310),INDEX(半紙!$C$11:$C$310,201),IF(201&lt;=COUNTA(半紙!$B$11:$B$310)+COUNTA(条幅!$B$11:$B$310),INDEX(条幅!$C$11:$C$310,201-COUNTA(半紙!$B$11:$B$310)),IF(201&lt;=COUNTA(半紙!$B$11:$B$310)+COUNTA(条幅!$B$11:$B$310)+COUNTA(条幅4分の1!$B$11:$B$310),INDEX(条幅4分の1!$C$11:$C$310,201-COUNTA(半紙!$B$11:$B$310)-COUNTA(条幅!$B$11:$B$310)),""))))</f>
        <v/>
      </c>
      <c r="D206" s="38" t="str">
        <f>IF(IF(201&lt;=COUNTA(半紙!$B$11:$B$310),INDEX(半紙!$D$11:$D$310,201),IF(201&lt;=COUNTA(半紙!$B$11:$B$310)+COUNTA(条幅!$B$11:$B$310),INDEX(条幅!$D$11:$D$310,201-COUNTA(半紙!$B$11:$B$310)),IF(201&lt;=COUNTA(半紙!$B$11:$B$310)+COUNTA(条幅!$B$11:$B$310)+COUNTA(条幅4分の1!$B$11:$B$310),INDEX(条幅4分の1!$D$11:$D$310,201-COUNTA(半紙!$B$11:$B$310)-COUNTA(条幅!$B$11:$B$310)),"")))=0,"",IF(201&lt;=COUNTA(半紙!$B$11:$B$310),INDEX(半紙!$D$11:$D$310,201),IF(201&lt;=COUNTA(半紙!$B$11:$B$310)+COUNTA(条幅!$B$11:$B$310),INDEX(条幅!$D$11:$D$310,201-COUNTA(半紙!$B$11:$B$310)),IF(201&lt;=COUNTA(半紙!$B$11:$B$310)+COUNTA(条幅!$B$11:$B$310)+COUNTA(条幅4分の1!$B$11:$B$310),INDEX(条幅4分の1!$D$11:$D$310,201-COUNTA(半紙!$B$11:$B$310)-COUNTA(条幅!$B$11:$B$310)),""))))</f>
        <v/>
      </c>
      <c r="E206" s="38" t="str">
        <f>IF(IF(201&lt;=COUNTA(半紙!$B$11:$B$310),INDEX(半紙!$E$11:$E$310,201),IF(201&lt;=COUNTA(半紙!$B$11:$B$310)+COUNTA(条幅!$B$11:$B$310),INDEX(条幅!$E$11:$E$310,201-COUNTA(半紙!$B$11:$B$310)),IF(201&lt;=COUNTA(半紙!$B$11:$B$310)+COUNTA(条幅!$B$11:$B$310)+COUNTA(条幅4分の1!$B$11:$B$310),INDEX(条幅4分の1!$E$11:$E$310,201-COUNTA(半紙!$B$11:$B$310)-COUNTA(条幅!$B$11:$B$310)),"")))=0,"",IF(201&lt;=COUNTA(半紙!$B$11:$B$310),INDEX(半紙!$E$11:$E$310,201),IF(201&lt;=COUNTA(半紙!$B$11:$B$310)+COUNTA(条幅!$B$11:$B$310),INDEX(条幅!$E$11:$E$310,201-COUNTA(半紙!$B$11:$B$310)),IF(201&lt;=COUNTA(半紙!$B$11:$B$310)+COUNTA(条幅!$B$11:$B$310)+COUNTA(条幅4分の1!$B$11:$B$310),INDEX(条幅4分の1!$E$11:$E$310,201-COUNTA(半紙!$B$11:$B$310)-COUNTA(条幅!$B$11:$B$310)),""))))</f>
        <v/>
      </c>
      <c r="F206" s="38" t="str">
        <f>IF(IF(201&lt;=COUNTA(半紙!$B$11:$B$310),INDEX(半紙!$F$11:$F$310,201),IF(201&lt;=COUNTA(半紙!$B$11:$B$310)+COUNTA(条幅!$B$11:$B$310),INDEX(条幅!$F$11:$F$310,201-COUNTA(半紙!$B$11:$B$310)),IF(201&lt;=COUNTA(半紙!$B$11:$B$310)+COUNTA(条幅!$B$11:$B$310)+COUNTA(条幅4分の1!$B$11:$B$310),INDEX(条幅4分の1!$F$11:$F$310,201-COUNTA(半紙!$B$11:$B$310)-COUNTA(条幅!$B$11:$B$310)),"")))=0,"",IF(201&lt;=COUNTA(半紙!$B$11:$B$310),INDEX(半紙!$F$11:$F$310,201),IF(201&lt;=COUNTA(半紙!$B$11:$B$310)+COUNTA(条幅!$B$11:$B$310),INDEX(条幅!$F$11:$F$310,201-COUNTA(半紙!$B$11:$B$310)),IF(201&lt;=COUNTA(半紙!$B$11:$B$310)+COUNTA(条幅!$B$11:$B$310)+COUNTA(条幅4分の1!$B$11:$B$310),INDEX(条幅4分の1!$F$11:$F$310,201-COUNTA(半紙!$B$11:$B$310)-COUNTA(条幅!$B$11:$B$310)),""))))</f>
        <v/>
      </c>
      <c r="G206" s="38" t="str">
        <f>IF(IF(201&lt;=COUNTA(半紙!$B$11:$B$310),INDEX(半紙!$G$11:$G$310,201),IF(201&lt;=COUNTA(半紙!$B$11:$B$310)+COUNTA(条幅!$B$11:$B$310),INDEX(条幅!$G$11:$G$310,201-COUNTA(半紙!$B$11:$B$310)),IF(201&lt;=COUNTA(半紙!$B$11:$B$310)+COUNTA(条幅!$B$11:$B$310)+COUNTA(条幅4分の1!$B$11:$B$310),INDEX(条幅4分の1!$G$11:$G$310,201-COUNTA(半紙!$B$11:$B$310)-COUNTA(条幅!$B$11:$B$310)),"")))=0,"",IF(201&lt;=COUNTA(半紙!$B$11:$B$310),INDEX(半紙!$G$11:$G$310,201),IF(201&lt;=COUNTA(半紙!$B$11:$B$310)+COUNTA(条幅!$B$11:$B$310),INDEX(条幅!$G$11:$G$310,201-COUNTA(半紙!$B$11:$B$310)),IF(201&lt;=COUNTA(半紙!$B$11:$B$310)+COUNTA(条幅!$B$11:$B$310)+COUNTA(条幅4分の1!$B$11:$B$310),INDEX(条幅4分の1!$G$11:$G$310,201-COUNTA(半紙!$B$11:$B$310)-COUNTA(条幅!$B$11:$B$310)),""))))</f>
        <v/>
      </c>
      <c r="H206" s="38" t="str">
        <f>IF(IF(201&lt;=COUNTA(半紙!$B$11:$B$310),INDEX(半紙!$H$11:$H$310,201),IF(201&lt;=COUNTA(半紙!$B$11:$B$310)+COUNTA(条幅!$B$11:$B$310),INDEX(条幅!$H$11:$H$310,201-COUNTA(半紙!$B$11:$B$310)),IF(201&lt;=COUNTA(半紙!$B$11:$B$310)+COUNTA(条幅!$B$11:$B$310)+COUNTA(条幅4分の1!$B$11:$B$310),INDEX(条幅4分の1!$H$11:$H$310,201-COUNTA(半紙!$B$11:$B$310)-COUNTA(条幅!$B$11:$B$310)),"")))=0,"",IF(201&lt;=COUNTA(半紙!$B$11:$B$310),INDEX(半紙!$H$11:$H$310,201),IF(201&lt;=COUNTA(半紙!$B$11:$B$310)+COUNTA(条幅!$B$11:$B$310),INDEX(条幅!$H$11:$H$310,201-COUNTA(半紙!$B$11:$B$310)),IF(201&lt;=COUNTA(半紙!$B$11:$B$310)+COUNTA(条幅!$B$11:$B$310)+COUNTA(条幅4分の1!$B$11:$B$310),INDEX(条幅4分の1!$H$11:$H$310,201-COUNTA(半紙!$B$11:$B$310)-COUNTA(条幅!$B$11:$B$310)),""))))</f>
        <v/>
      </c>
      <c r="I206" s="38" t="str">
        <f>IF(IF(201&lt;=COUNTA(半紙!$B$11:$B$310),INDEX(半紙!$I$11:$I$310,201),IF(201&lt;=COUNTA(半紙!$B$11:$B$310)+COUNTA(条幅!$B$11:$B$310),INDEX(条幅!$I$11:$I$310,201-COUNTA(半紙!$B$11:$B$310)),IF(201&lt;=COUNTA(半紙!$B$11:$B$310)+COUNTA(条幅!$B$11:$B$310)+COUNTA(条幅4分の1!$B$11:$B$310),INDEX(条幅4分の1!$I$11:$I$310,201-COUNTA(半紙!$B$11:$B$310)-COUNTA(条幅!$B$11:$B$310)),"")))=0,"",IF(201&lt;=COUNTA(半紙!$B$11:$B$310),INDEX(半紙!$I$11:$I$310,201),IF(201&lt;=COUNTA(半紙!$B$11:$B$310)+COUNTA(条幅!$B$11:$B$310),INDEX(条幅!$I$11:$I$310,201-COUNTA(半紙!$B$11:$B$310)),IF(201&lt;=COUNTA(半紙!$B$11:$B$310)+COUNTA(条幅!$B$11:$B$310)+COUNTA(条幅4分の1!$B$11:$B$310),INDEX(条幅4分の1!$I$11:$I$310,201-COUNTA(半紙!$B$11:$B$310)-COUNTA(条幅!$B$11:$B$310)),""))))</f>
        <v/>
      </c>
      <c r="J206" s="38" t="str">
        <f>IF(IF(201&lt;=COUNTA(半紙!$B$11:$B$310),INDEX(半紙!$J$11:$J$310,201),IF(201&lt;=COUNTA(半紙!$B$11:$B$310)+COUNTA(条幅!$B$11:$B$310),INDEX(条幅!$J$11:$J$310,201-COUNTA(半紙!$B$11:$B$310)),IF(201&lt;=COUNTA(半紙!$B$11:$B$310)+COUNTA(条幅!$B$11:$B$310)+COUNTA(条幅4分の1!$B$11:$B$310),INDEX(条幅4分の1!$J$11:$J$310,201-COUNTA(半紙!$B$11:$B$310)-COUNTA(条幅!$B$11:$B$310)),"")))=0,"",IF(201&lt;=COUNTA(半紙!$B$11:$B$310),INDEX(半紙!$J$11:$J$310,201),IF(201&lt;=COUNTA(半紙!$B$11:$B$310)+COUNTA(条幅!$B$11:$B$310),INDEX(条幅!$J$11:$J$310,201-COUNTA(半紙!$B$11:$B$310)),IF(201&lt;=COUNTA(半紙!$B$11:$B$310)+COUNTA(条幅!$B$11:$B$310)+COUNTA(条幅4分の1!$B$11:$B$310),INDEX(条幅4分の1!$J$11:$J$310,201-COUNTA(半紙!$B$11:$B$310)-COUNTA(条幅!$B$11:$B$310)),""))))</f>
        <v/>
      </c>
      <c r="K206" s="38" t="str">
        <f>IF(IF(201&lt;=COUNTA(半紙!$B$11:$B$310),INDEX(半紙!$K$11:$K$310,201),IF(201&lt;=COUNTA(半紙!$B$11:$B$310)+COUNTA(条幅!$B$11:$B$310),INDEX(条幅!$K$11:$K$310,201-COUNTA(半紙!$B$11:$B$310)),IF(201&lt;=COUNTA(半紙!$B$11:$B$310)+COUNTA(条幅!$B$11:$B$310)+COUNTA(条幅4分の1!$B$11:$B$310),INDEX(条幅4分の1!$K$11:$K$310,201-COUNTA(半紙!$B$11:$B$310)-COUNTA(条幅!$B$11:$B$310)),"")))=0,"",IF(201&lt;=COUNTA(半紙!$B$11:$B$310),INDEX(半紙!$K$11:$K$310,201),IF(201&lt;=COUNTA(半紙!$B$11:$B$310)+COUNTA(条幅!$B$11:$B$310),INDEX(条幅!$K$11:$K$310,201-COUNTA(半紙!$B$11:$B$310)),IF(201&lt;=COUNTA(半紙!$B$11:$B$310)+COUNTA(条幅!$B$11:$B$310)+COUNTA(条幅4分の1!$B$11:$B$310),INDEX(条幅4分の1!$K$11:$K$310,201-COUNTA(半紙!$B$11:$B$310)-COUNTA(条幅!$B$11:$B$310)),""))))</f>
        <v/>
      </c>
      <c r="L206" s="48" t="str">
        <f>IF($B206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201))</f>
        <v/>
      </c>
    </row>
    <row r="207" spans="1:12" ht="15" customHeight="1">
      <c r="A207" s="37" t="str">
        <f>IF(202&lt;=COUNTA(半紙!$B$11:$B$310),"半紙",IF(202&lt;=COUNTA(半紙!$B$11:$B$310)+COUNTA(条幅!$B$11:$B$310),"条幅(半切)",IF(202&lt;=COUNTA(半紙!$B$11:$B$310)+COUNTA(条幅!$B$11:$B$310)+COUNTA(条幅4分の1!$B$11:$B$310),"条幅(1/4)","")))</f>
        <v/>
      </c>
      <c r="B207" s="38" t="str">
        <f>IF(IF(202&lt;=COUNTA(半紙!$B$11:$B$310),INDEX(半紙!$B$11:$B$310,202),IF(202&lt;=COUNTA(半紙!$B$11:$B$310)+COUNTA(条幅!$B$11:$B$310),INDEX(条幅!$B$11:$B$310,202-COUNTA(半紙!$B$11:$B$310)),IF(202&lt;=COUNTA(半紙!$B$11:$B$310)+COUNTA(条幅!$B$11:$B$310)+COUNTA(条幅4分の1!$B$11:$B$310),INDEX(条幅4分の1!$B$11:$B$310,202-COUNTA(半紙!$B$11:$B$310)-COUNTA(条幅!$B$11:$B$310)),"")))=0,"",IF(202&lt;=COUNTA(半紙!$B$11:$B$310),INDEX(半紙!$B$11:$B$310,202),IF(202&lt;=COUNTA(半紙!$B$11:$B$310)+COUNTA(条幅!$B$11:$B$310),INDEX(条幅!$B$11:$B$310,202-COUNTA(半紙!$B$11:$B$310)),IF(202&lt;=COUNTA(半紙!$B$11:$B$310)+COUNTA(条幅!$B$11:$B$310)+COUNTA(条幅4分の1!$B$11:$B$310),INDEX(条幅4分の1!$B$11:$B$310,202-COUNTA(半紙!$B$11:$B$310)-COUNTA(条幅!$B$11:$B$310)),""))))</f>
        <v/>
      </c>
      <c r="C207" s="38" t="str">
        <f>IF(IF(202&lt;=COUNTA(半紙!$B$11:$B$310),INDEX(半紙!$C$11:$C$310,202),IF(202&lt;=COUNTA(半紙!$B$11:$B$310)+COUNTA(条幅!$B$11:$B$310),INDEX(条幅!$C$11:$C$310,202-COUNTA(半紙!$B$11:$B$310)),IF(202&lt;=COUNTA(半紙!$B$11:$B$310)+COUNTA(条幅!$B$11:$B$310)+COUNTA(条幅4分の1!$B$11:$B$310),INDEX(条幅4分の1!$C$11:$C$310,202-COUNTA(半紙!$B$11:$B$310)-COUNTA(条幅!$B$11:$B$310)),"")))=0,"",IF(202&lt;=COUNTA(半紙!$B$11:$B$310),INDEX(半紙!$C$11:$C$310,202),IF(202&lt;=COUNTA(半紙!$B$11:$B$310)+COUNTA(条幅!$B$11:$B$310),INDEX(条幅!$C$11:$C$310,202-COUNTA(半紙!$B$11:$B$310)),IF(202&lt;=COUNTA(半紙!$B$11:$B$310)+COUNTA(条幅!$B$11:$B$310)+COUNTA(条幅4分の1!$B$11:$B$310),INDEX(条幅4分の1!$C$11:$C$310,202-COUNTA(半紙!$B$11:$B$310)-COUNTA(条幅!$B$11:$B$310)),""))))</f>
        <v/>
      </c>
      <c r="D207" s="38" t="str">
        <f>IF(IF(202&lt;=COUNTA(半紙!$B$11:$B$310),INDEX(半紙!$D$11:$D$310,202),IF(202&lt;=COUNTA(半紙!$B$11:$B$310)+COUNTA(条幅!$B$11:$B$310),INDEX(条幅!$D$11:$D$310,202-COUNTA(半紙!$B$11:$B$310)),IF(202&lt;=COUNTA(半紙!$B$11:$B$310)+COUNTA(条幅!$B$11:$B$310)+COUNTA(条幅4分の1!$B$11:$B$310),INDEX(条幅4分の1!$D$11:$D$310,202-COUNTA(半紙!$B$11:$B$310)-COUNTA(条幅!$B$11:$B$310)),"")))=0,"",IF(202&lt;=COUNTA(半紙!$B$11:$B$310),INDEX(半紙!$D$11:$D$310,202),IF(202&lt;=COUNTA(半紙!$B$11:$B$310)+COUNTA(条幅!$B$11:$B$310),INDEX(条幅!$D$11:$D$310,202-COUNTA(半紙!$B$11:$B$310)),IF(202&lt;=COUNTA(半紙!$B$11:$B$310)+COUNTA(条幅!$B$11:$B$310)+COUNTA(条幅4分の1!$B$11:$B$310),INDEX(条幅4分の1!$D$11:$D$310,202-COUNTA(半紙!$B$11:$B$310)-COUNTA(条幅!$B$11:$B$310)),""))))</f>
        <v/>
      </c>
      <c r="E207" s="38" t="str">
        <f>IF(IF(202&lt;=COUNTA(半紙!$B$11:$B$310),INDEX(半紙!$E$11:$E$310,202),IF(202&lt;=COUNTA(半紙!$B$11:$B$310)+COUNTA(条幅!$B$11:$B$310),INDEX(条幅!$E$11:$E$310,202-COUNTA(半紙!$B$11:$B$310)),IF(202&lt;=COUNTA(半紙!$B$11:$B$310)+COUNTA(条幅!$B$11:$B$310)+COUNTA(条幅4分の1!$B$11:$B$310),INDEX(条幅4分の1!$E$11:$E$310,202-COUNTA(半紙!$B$11:$B$310)-COUNTA(条幅!$B$11:$B$310)),"")))=0,"",IF(202&lt;=COUNTA(半紙!$B$11:$B$310),INDEX(半紙!$E$11:$E$310,202),IF(202&lt;=COUNTA(半紙!$B$11:$B$310)+COUNTA(条幅!$B$11:$B$310),INDEX(条幅!$E$11:$E$310,202-COUNTA(半紙!$B$11:$B$310)),IF(202&lt;=COUNTA(半紙!$B$11:$B$310)+COUNTA(条幅!$B$11:$B$310)+COUNTA(条幅4分の1!$B$11:$B$310),INDEX(条幅4分の1!$E$11:$E$310,202-COUNTA(半紙!$B$11:$B$310)-COUNTA(条幅!$B$11:$B$310)),""))))</f>
        <v/>
      </c>
      <c r="F207" s="38" t="str">
        <f>IF(IF(202&lt;=COUNTA(半紙!$B$11:$B$310),INDEX(半紙!$F$11:$F$310,202),IF(202&lt;=COUNTA(半紙!$B$11:$B$310)+COUNTA(条幅!$B$11:$B$310),INDEX(条幅!$F$11:$F$310,202-COUNTA(半紙!$B$11:$B$310)),IF(202&lt;=COUNTA(半紙!$B$11:$B$310)+COUNTA(条幅!$B$11:$B$310)+COUNTA(条幅4分の1!$B$11:$B$310),INDEX(条幅4分の1!$F$11:$F$310,202-COUNTA(半紙!$B$11:$B$310)-COUNTA(条幅!$B$11:$B$310)),"")))=0,"",IF(202&lt;=COUNTA(半紙!$B$11:$B$310),INDEX(半紙!$F$11:$F$310,202),IF(202&lt;=COUNTA(半紙!$B$11:$B$310)+COUNTA(条幅!$B$11:$B$310),INDEX(条幅!$F$11:$F$310,202-COUNTA(半紙!$B$11:$B$310)),IF(202&lt;=COUNTA(半紙!$B$11:$B$310)+COUNTA(条幅!$B$11:$B$310)+COUNTA(条幅4分の1!$B$11:$B$310),INDEX(条幅4分の1!$F$11:$F$310,202-COUNTA(半紙!$B$11:$B$310)-COUNTA(条幅!$B$11:$B$310)),""))))</f>
        <v/>
      </c>
      <c r="G207" s="38" t="str">
        <f>IF(IF(202&lt;=COUNTA(半紙!$B$11:$B$310),INDEX(半紙!$G$11:$G$310,202),IF(202&lt;=COUNTA(半紙!$B$11:$B$310)+COUNTA(条幅!$B$11:$B$310),INDEX(条幅!$G$11:$G$310,202-COUNTA(半紙!$B$11:$B$310)),IF(202&lt;=COUNTA(半紙!$B$11:$B$310)+COUNTA(条幅!$B$11:$B$310)+COUNTA(条幅4分の1!$B$11:$B$310),INDEX(条幅4分の1!$G$11:$G$310,202-COUNTA(半紙!$B$11:$B$310)-COUNTA(条幅!$B$11:$B$310)),"")))=0,"",IF(202&lt;=COUNTA(半紙!$B$11:$B$310),INDEX(半紙!$G$11:$G$310,202),IF(202&lt;=COUNTA(半紙!$B$11:$B$310)+COUNTA(条幅!$B$11:$B$310),INDEX(条幅!$G$11:$G$310,202-COUNTA(半紙!$B$11:$B$310)),IF(202&lt;=COUNTA(半紙!$B$11:$B$310)+COUNTA(条幅!$B$11:$B$310)+COUNTA(条幅4分の1!$B$11:$B$310),INDEX(条幅4分の1!$G$11:$G$310,202-COUNTA(半紙!$B$11:$B$310)-COUNTA(条幅!$B$11:$B$310)),""))))</f>
        <v/>
      </c>
      <c r="H207" s="38" t="str">
        <f>IF(IF(202&lt;=COUNTA(半紙!$B$11:$B$310),INDEX(半紙!$H$11:$H$310,202),IF(202&lt;=COUNTA(半紙!$B$11:$B$310)+COUNTA(条幅!$B$11:$B$310),INDEX(条幅!$H$11:$H$310,202-COUNTA(半紙!$B$11:$B$310)),IF(202&lt;=COUNTA(半紙!$B$11:$B$310)+COUNTA(条幅!$B$11:$B$310)+COUNTA(条幅4分の1!$B$11:$B$310),INDEX(条幅4分の1!$H$11:$H$310,202-COUNTA(半紙!$B$11:$B$310)-COUNTA(条幅!$B$11:$B$310)),"")))=0,"",IF(202&lt;=COUNTA(半紙!$B$11:$B$310),INDEX(半紙!$H$11:$H$310,202),IF(202&lt;=COUNTA(半紙!$B$11:$B$310)+COUNTA(条幅!$B$11:$B$310),INDEX(条幅!$H$11:$H$310,202-COUNTA(半紙!$B$11:$B$310)),IF(202&lt;=COUNTA(半紙!$B$11:$B$310)+COUNTA(条幅!$B$11:$B$310)+COUNTA(条幅4分の1!$B$11:$B$310),INDEX(条幅4分の1!$H$11:$H$310,202-COUNTA(半紙!$B$11:$B$310)-COUNTA(条幅!$B$11:$B$310)),""))))</f>
        <v/>
      </c>
      <c r="I207" s="38" t="str">
        <f>IF(IF(202&lt;=COUNTA(半紙!$B$11:$B$310),INDEX(半紙!$I$11:$I$310,202),IF(202&lt;=COUNTA(半紙!$B$11:$B$310)+COUNTA(条幅!$B$11:$B$310),INDEX(条幅!$I$11:$I$310,202-COUNTA(半紙!$B$11:$B$310)),IF(202&lt;=COUNTA(半紙!$B$11:$B$310)+COUNTA(条幅!$B$11:$B$310)+COUNTA(条幅4分の1!$B$11:$B$310),INDEX(条幅4分の1!$I$11:$I$310,202-COUNTA(半紙!$B$11:$B$310)-COUNTA(条幅!$B$11:$B$310)),"")))=0,"",IF(202&lt;=COUNTA(半紙!$B$11:$B$310),INDEX(半紙!$I$11:$I$310,202),IF(202&lt;=COUNTA(半紙!$B$11:$B$310)+COUNTA(条幅!$B$11:$B$310),INDEX(条幅!$I$11:$I$310,202-COUNTA(半紙!$B$11:$B$310)),IF(202&lt;=COUNTA(半紙!$B$11:$B$310)+COUNTA(条幅!$B$11:$B$310)+COUNTA(条幅4分の1!$B$11:$B$310),INDEX(条幅4分の1!$I$11:$I$310,202-COUNTA(半紙!$B$11:$B$310)-COUNTA(条幅!$B$11:$B$310)),""))))</f>
        <v/>
      </c>
      <c r="J207" s="38" t="str">
        <f>IF(IF(202&lt;=COUNTA(半紙!$B$11:$B$310),INDEX(半紙!$J$11:$J$310,202),IF(202&lt;=COUNTA(半紙!$B$11:$B$310)+COUNTA(条幅!$B$11:$B$310),INDEX(条幅!$J$11:$J$310,202-COUNTA(半紙!$B$11:$B$310)),IF(202&lt;=COUNTA(半紙!$B$11:$B$310)+COUNTA(条幅!$B$11:$B$310)+COUNTA(条幅4分の1!$B$11:$B$310),INDEX(条幅4分の1!$J$11:$J$310,202-COUNTA(半紙!$B$11:$B$310)-COUNTA(条幅!$B$11:$B$310)),"")))=0,"",IF(202&lt;=COUNTA(半紙!$B$11:$B$310),INDEX(半紙!$J$11:$J$310,202),IF(202&lt;=COUNTA(半紙!$B$11:$B$310)+COUNTA(条幅!$B$11:$B$310),INDEX(条幅!$J$11:$J$310,202-COUNTA(半紙!$B$11:$B$310)),IF(202&lt;=COUNTA(半紙!$B$11:$B$310)+COUNTA(条幅!$B$11:$B$310)+COUNTA(条幅4分の1!$B$11:$B$310),INDEX(条幅4分の1!$J$11:$J$310,202-COUNTA(半紙!$B$11:$B$310)-COUNTA(条幅!$B$11:$B$310)),""))))</f>
        <v/>
      </c>
      <c r="K207" s="38" t="str">
        <f>IF(IF(202&lt;=COUNTA(半紙!$B$11:$B$310),INDEX(半紙!$K$11:$K$310,202),IF(202&lt;=COUNTA(半紙!$B$11:$B$310)+COUNTA(条幅!$B$11:$B$310),INDEX(条幅!$K$11:$K$310,202-COUNTA(半紙!$B$11:$B$310)),IF(202&lt;=COUNTA(半紙!$B$11:$B$310)+COUNTA(条幅!$B$11:$B$310)+COUNTA(条幅4分の1!$B$11:$B$310),INDEX(条幅4分の1!$K$11:$K$310,202-COUNTA(半紙!$B$11:$B$310)-COUNTA(条幅!$B$11:$B$310)),"")))=0,"",IF(202&lt;=COUNTA(半紙!$B$11:$B$310),INDEX(半紙!$K$11:$K$310,202),IF(202&lt;=COUNTA(半紙!$B$11:$B$310)+COUNTA(条幅!$B$11:$B$310),INDEX(条幅!$K$11:$K$310,202-COUNTA(半紙!$B$11:$B$310)),IF(202&lt;=COUNTA(半紙!$B$11:$B$310)+COUNTA(条幅!$B$11:$B$310)+COUNTA(条幅4分の1!$B$11:$B$310),INDEX(条幅4分の1!$K$11:$K$310,202-COUNTA(半紙!$B$11:$B$310)-COUNTA(条幅!$B$11:$B$310)),""))))</f>
        <v/>
      </c>
      <c r="L207" s="48" t="str">
        <f>IF($B207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202))</f>
        <v/>
      </c>
    </row>
    <row r="208" spans="1:12" ht="15" customHeight="1">
      <c r="A208" s="37" t="str">
        <f>IF(203&lt;=COUNTA(半紙!$B$11:$B$310),"半紙",IF(203&lt;=COUNTA(半紙!$B$11:$B$310)+COUNTA(条幅!$B$11:$B$310),"条幅(半切)",IF(203&lt;=COUNTA(半紙!$B$11:$B$310)+COUNTA(条幅!$B$11:$B$310)+COUNTA(条幅4分の1!$B$11:$B$310),"条幅(1/4)","")))</f>
        <v/>
      </c>
      <c r="B208" s="38" t="str">
        <f>IF(IF(203&lt;=COUNTA(半紙!$B$11:$B$310),INDEX(半紙!$B$11:$B$310,203),IF(203&lt;=COUNTA(半紙!$B$11:$B$310)+COUNTA(条幅!$B$11:$B$310),INDEX(条幅!$B$11:$B$310,203-COUNTA(半紙!$B$11:$B$310)),IF(203&lt;=COUNTA(半紙!$B$11:$B$310)+COUNTA(条幅!$B$11:$B$310)+COUNTA(条幅4分の1!$B$11:$B$310),INDEX(条幅4分の1!$B$11:$B$310,203-COUNTA(半紙!$B$11:$B$310)-COUNTA(条幅!$B$11:$B$310)),"")))=0,"",IF(203&lt;=COUNTA(半紙!$B$11:$B$310),INDEX(半紙!$B$11:$B$310,203),IF(203&lt;=COUNTA(半紙!$B$11:$B$310)+COUNTA(条幅!$B$11:$B$310),INDEX(条幅!$B$11:$B$310,203-COUNTA(半紙!$B$11:$B$310)),IF(203&lt;=COUNTA(半紙!$B$11:$B$310)+COUNTA(条幅!$B$11:$B$310)+COUNTA(条幅4分の1!$B$11:$B$310),INDEX(条幅4分の1!$B$11:$B$310,203-COUNTA(半紙!$B$11:$B$310)-COUNTA(条幅!$B$11:$B$310)),""))))</f>
        <v/>
      </c>
      <c r="C208" s="38" t="str">
        <f>IF(IF(203&lt;=COUNTA(半紙!$B$11:$B$310),INDEX(半紙!$C$11:$C$310,203),IF(203&lt;=COUNTA(半紙!$B$11:$B$310)+COUNTA(条幅!$B$11:$B$310),INDEX(条幅!$C$11:$C$310,203-COUNTA(半紙!$B$11:$B$310)),IF(203&lt;=COUNTA(半紙!$B$11:$B$310)+COUNTA(条幅!$B$11:$B$310)+COUNTA(条幅4分の1!$B$11:$B$310),INDEX(条幅4分の1!$C$11:$C$310,203-COUNTA(半紙!$B$11:$B$310)-COUNTA(条幅!$B$11:$B$310)),"")))=0,"",IF(203&lt;=COUNTA(半紙!$B$11:$B$310),INDEX(半紙!$C$11:$C$310,203),IF(203&lt;=COUNTA(半紙!$B$11:$B$310)+COUNTA(条幅!$B$11:$B$310),INDEX(条幅!$C$11:$C$310,203-COUNTA(半紙!$B$11:$B$310)),IF(203&lt;=COUNTA(半紙!$B$11:$B$310)+COUNTA(条幅!$B$11:$B$310)+COUNTA(条幅4分の1!$B$11:$B$310),INDEX(条幅4分の1!$C$11:$C$310,203-COUNTA(半紙!$B$11:$B$310)-COUNTA(条幅!$B$11:$B$310)),""))))</f>
        <v/>
      </c>
      <c r="D208" s="38" t="str">
        <f>IF(IF(203&lt;=COUNTA(半紙!$B$11:$B$310),INDEX(半紙!$D$11:$D$310,203),IF(203&lt;=COUNTA(半紙!$B$11:$B$310)+COUNTA(条幅!$B$11:$B$310),INDEX(条幅!$D$11:$D$310,203-COUNTA(半紙!$B$11:$B$310)),IF(203&lt;=COUNTA(半紙!$B$11:$B$310)+COUNTA(条幅!$B$11:$B$310)+COUNTA(条幅4分の1!$B$11:$B$310),INDEX(条幅4分の1!$D$11:$D$310,203-COUNTA(半紙!$B$11:$B$310)-COUNTA(条幅!$B$11:$B$310)),"")))=0,"",IF(203&lt;=COUNTA(半紙!$B$11:$B$310),INDEX(半紙!$D$11:$D$310,203),IF(203&lt;=COUNTA(半紙!$B$11:$B$310)+COUNTA(条幅!$B$11:$B$310),INDEX(条幅!$D$11:$D$310,203-COUNTA(半紙!$B$11:$B$310)),IF(203&lt;=COUNTA(半紙!$B$11:$B$310)+COUNTA(条幅!$B$11:$B$310)+COUNTA(条幅4分の1!$B$11:$B$310),INDEX(条幅4分の1!$D$11:$D$310,203-COUNTA(半紙!$B$11:$B$310)-COUNTA(条幅!$B$11:$B$310)),""))))</f>
        <v/>
      </c>
      <c r="E208" s="38" t="str">
        <f>IF(IF(203&lt;=COUNTA(半紙!$B$11:$B$310),INDEX(半紙!$E$11:$E$310,203),IF(203&lt;=COUNTA(半紙!$B$11:$B$310)+COUNTA(条幅!$B$11:$B$310),INDEX(条幅!$E$11:$E$310,203-COUNTA(半紙!$B$11:$B$310)),IF(203&lt;=COUNTA(半紙!$B$11:$B$310)+COUNTA(条幅!$B$11:$B$310)+COUNTA(条幅4分の1!$B$11:$B$310),INDEX(条幅4分の1!$E$11:$E$310,203-COUNTA(半紙!$B$11:$B$310)-COUNTA(条幅!$B$11:$B$310)),"")))=0,"",IF(203&lt;=COUNTA(半紙!$B$11:$B$310),INDEX(半紙!$E$11:$E$310,203),IF(203&lt;=COUNTA(半紙!$B$11:$B$310)+COUNTA(条幅!$B$11:$B$310),INDEX(条幅!$E$11:$E$310,203-COUNTA(半紙!$B$11:$B$310)),IF(203&lt;=COUNTA(半紙!$B$11:$B$310)+COUNTA(条幅!$B$11:$B$310)+COUNTA(条幅4分の1!$B$11:$B$310),INDEX(条幅4分の1!$E$11:$E$310,203-COUNTA(半紙!$B$11:$B$310)-COUNTA(条幅!$B$11:$B$310)),""))))</f>
        <v/>
      </c>
      <c r="F208" s="38" t="str">
        <f>IF(IF(203&lt;=COUNTA(半紙!$B$11:$B$310),INDEX(半紙!$F$11:$F$310,203),IF(203&lt;=COUNTA(半紙!$B$11:$B$310)+COUNTA(条幅!$B$11:$B$310),INDEX(条幅!$F$11:$F$310,203-COUNTA(半紙!$B$11:$B$310)),IF(203&lt;=COUNTA(半紙!$B$11:$B$310)+COUNTA(条幅!$B$11:$B$310)+COUNTA(条幅4分の1!$B$11:$B$310),INDEX(条幅4分の1!$F$11:$F$310,203-COUNTA(半紙!$B$11:$B$310)-COUNTA(条幅!$B$11:$B$310)),"")))=0,"",IF(203&lt;=COUNTA(半紙!$B$11:$B$310),INDEX(半紙!$F$11:$F$310,203),IF(203&lt;=COUNTA(半紙!$B$11:$B$310)+COUNTA(条幅!$B$11:$B$310),INDEX(条幅!$F$11:$F$310,203-COUNTA(半紙!$B$11:$B$310)),IF(203&lt;=COUNTA(半紙!$B$11:$B$310)+COUNTA(条幅!$B$11:$B$310)+COUNTA(条幅4分の1!$B$11:$B$310),INDEX(条幅4分の1!$F$11:$F$310,203-COUNTA(半紙!$B$11:$B$310)-COUNTA(条幅!$B$11:$B$310)),""))))</f>
        <v/>
      </c>
      <c r="G208" s="38" t="str">
        <f>IF(IF(203&lt;=COUNTA(半紙!$B$11:$B$310),INDEX(半紙!$G$11:$G$310,203),IF(203&lt;=COUNTA(半紙!$B$11:$B$310)+COUNTA(条幅!$B$11:$B$310),INDEX(条幅!$G$11:$G$310,203-COUNTA(半紙!$B$11:$B$310)),IF(203&lt;=COUNTA(半紙!$B$11:$B$310)+COUNTA(条幅!$B$11:$B$310)+COUNTA(条幅4分の1!$B$11:$B$310),INDEX(条幅4分の1!$G$11:$G$310,203-COUNTA(半紙!$B$11:$B$310)-COUNTA(条幅!$B$11:$B$310)),"")))=0,"",IF(203&lt;=COUNTA(半紙!$B$11:$B$310),INDEX(半紙!$G$11:$G$310,203),IF(203&lt;=COUNTA(半紙!$B$11:$B$310)+COUNTA(条幅!$B$11:$B$310),INDEX(条幅!$G$11:$G$310,203-COUNTA(半紙!$B$11:$B$310)),IF(203&lt;=COUNTA(半紙!$B$11:$B$310)+COUNTA(条幅!$B$11:$B$310)+COUNTA(条幅4分の1!$B$11:$B$310),INDEX(条幅4分の1!$G$11:$G$310,203-COUNTA(半紙!$B$11:$B$310)-COUNTA(条幅!$B$11:$B$310)),""))))</f>
        <v/>
      </c>
      <c r="H208" s="38" t="str">
        <f>IF(IF(203&lt;=COUNTA(半紙!$B$11:$B$310),INDEX(半紙!$H$11:$H$310,203),IF(203&lt;=COUNTA(半紙!$B$11:$B$310)+COUNTA(条幅!$B$11:$B$310),INDEX(条幅!$H$11:$H$310,203-COUNTA(半紙!$B$11:$B$310)),IF(203&lt;=COUNTA(半紙!$B$11:$B$310)+COUNTA(条幅!$B$11:$B$310)+COUNTA(条幅4分の1!$B$11:$B$310),INDEX(条幅4分の1!$H$11:$H$310,203-COUNTA(半紙!$B$11:$B$310)-COUNTA(条幅!$B$11:$B$310)),"")))=0,"",IF(203&lt;=COUNTA(半紙!$B$11:$B$310),INDEX(半紙!$H$11:$H$310,203),IF(203&lt;=COUNTA(半紙!$B$11:$B$310)+COUNTA(条幅!$B$11:$B$310),INDEX(条幅!$H$11:$H$310,203-COUNTA(半紙!$B$11:$B$310)),IF(203&lt;=COUNTA(半紙!$B$11:$B$310)+COUNTA(条幅!$B$11:$B$310)+COUNTA(条幅4分の1!$B$11:$B$310),INDEX(条幅4分の1!$H$11:$H$310,203-COUNTA(半紙!$B$11:$B$310)-COUNTA(条幅!$B$11:$B$310)),""))))</f>
        <v/>
      </c>
      <c r="I208" s="38" t="str">
        <f>IF(IF(203&lt;=COUNTA(半紙!$B$11:$B$310),INDEX(半紙!$I$11:$I$310,203),IF(203&lt;=COUNTA(半紙!$B$11:$B$310)+COUNTA(条幅!$B$11:$B$310),INDEX(条幅!$I$11:$I$310,203-COUNTA(半紙!$B$11:$B$310)),IF(203&lt;=COUNTA(半紙!$B$11:$B$310)+COUNTA(条幅!$B$11:$B$310)+COUNTA(条幅4分の1!$B$11:$B$310),INDEX(条幅4分の1!$I$11:$I$310,203-COUNTA(半紙!$B$11:$B$310)-COUNTA(条幅!$B$11:$B$310)),"")))=0,"",IF(203&lt;=COUNTA(半紙!$B$11:$B$310),INDEX(半紙!$I$11:$I$310,203),IF(203&lt;=COUNTA(半紙!$B$11:$B$310)+COUNTA(条幅!$B$11:$B$310),INDEX(条幅!$I$11:$I$310,203-COUNTA(半紙!$B$11:$B$310)),IF(203&lt;=COUNTA(半紙!$B$11:$B$310)+COUNTA(条幅!$B$11:$B$310)+COUNTA(条幅4分の1!$B$11:$B$310),INDEX(条幅4分の1!$I$11:$I$310,203-COUNTA(半紙!$B$11:$B$310)-COUNTA(条幅!$B$11:$B$310)),""))))</f>
        <v/>
      </c>
      <c r="J208" s="38" t="str">
        <f>IF(IF(203&lt;=COUNTA(半紙!$B$11:$B$310),INDEX(半紙!$J$11:$J$310,203),IF(203&lt;=COUNTA(半紙!$B$11:$B$310)+COUNTA(条幅!$B$11:$B$310),INDEX(条幅!$J$11:$J$310,203-COUNTA(半紙!$B$11:$B$310)),IF(203&lt;=COUNTA(半紙!$B$11:$B$310)+COUNTA(条幅!$B$11:$B$310)+COUNTA(条幅4分の1!$B$11:$B$310),INDEX(条幅4分の1!$J$11:$J$310,203-COUNTA(半紙!$B$11:$B$310)-COUNTA(条幅!$B$11:$B$310)),"")))=0,"",IF(203&lt;=COUNTA(半紙!$B$11:$B$310),INDEX(半紙!$J$11:$J$310,203),IF(203&lt;=COUNTA(半紙!$B$11:$B$310)+COUNTA(条幅!$B$11:$B$310),INDEX(条幅!$J$11:$J$310,203-COUNTA(半紙!$B$11:$B$310)),IF(203&lt;=COUNTA(半紙!$B$11:$B$310)+COUNTA(条幅!$B$11:$B$310)+COUNTA(条幅4分の1!$B$11:$B$310),INDEX(条幅4分の1!$J$11:$J$310,203-COUNTA(半紙!$B$11:$B$310)-COUNTA(条幅!$B$11:$B$310)),""))))</f>
        <v/>
      </c>
      <c r="K208" s="38" t="str">
        <f>IF(IF(203&lt;=COUNTA(半紙!$B$11:$B$310),INDEX(半紙!$K$11:$K$310,203),IF(203&lt;=COUNTA(半紙!$B$11:$B$310)+COUNTA(条幅!$B$11:$B$310),INDEX(条幅!$K$11:$K$310,203-COUNTA(半紙!$B$11:$B$310)),IF(203&lt;=COUNTA(半紙!$B$11:$B$310)+COUNTA(条幅!$B$11:$B$310)+COUNTA(条幅4分の1!$B$11:$B$310),INDEX(条幅4分の1!$K$11:$K$310,203-COUNTA(半紙!$B$11:$B$310)-COUNTA(条幅!$B$11:$B$310)),"")))=0,"",IF(203&lt;=COUNTA(半紙!$B$11:$B$310),INDEX(半紙!$K$11:$K$310,203),IF(203&lt;=COUNTA(半紙!$B$11:$B$310)+COUNTA(条幅!$B$11:$B$310),INDEX(条幅!$K$11:$K$310,203-COUNTA(半紙!$B$11:$B$310)),IF(203&lt;=COUNTA(半紙!$B$11:$B$310)+COUNTA(条幅!$B$11:$B$310)+COUNTA(条幅4分の1!$B$11:$B$310),INDEX(条幅4分の1!$K$11:$K$310,203-COUNTA(半紙!$B$11:$B$310)-COUNTA(条幅!$B$11:$B$310)),""))))</f>
        <v/>
      </c>
      <c r="L208" s="48" t="str">
        <f>IF($B208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203))</f>
        <v/>
      </c>
    </row>
    <row r="209" spans="1:12" ht="15" customHeight="1">
      <c r="A209" s="37" t="str">
        <f>IF(204&lt;=COUNTA(半紙!$B$11:$B$310),"半紙",IF(204&lt;=COUNTA(半紙!$B$11:$B$310)+COUNTA(条幅!$B$11:$B$310),"条幅(半切)",IF(204&lt;=COUNTA(半紙!$B$11:$B$310)+COUNTA(条幅!$B$11:$B$310)+COUNTA(条幅4分の1!$B$11:$B$310),"条幅(1/4)","")))</f>
        <v/>
      </c>
      <c r="B209" s="38" t="str">
        <f>IF(IF(204&lt;=COUNTA(半紙!$B$11:$B$310),INDEX(半紙!$B$11:$B$310,204),IF(204&lt;=COUNTA(半紙!$B$11:$B$310)+COUNTA(条幅!$B$11:$B$310),INDEX(条幅!$B$11:$B$310,204-COUNTA(半紙!$B$11:$B$310)),IF(204&lt;=COUNTA(半紙!$B$11:$B$310)+COUNTA(条幅!$B$11:$B$310)+COUNTA(条幅4分の1!$B$11:$B$310),INDEX(条幅4分の1!$B$11:$B$310,204-COUNTA(半紙!$B$11:$B$310)-COUNTA(条幅!$B$11:$B$310)),"")))=0,"",IF(204&lt;=COUNTA(半紙!$B$11:$B$310),INDEX(半紙!$B$11:$B$310,204),IF(204&lt;=COUNTA(半紙!$B$11:$B$310)+COUNTA(条幅!$B$11:$B$310),INDEX(条幅!$B$11:$B$310,204-COUNTA(半紙!$B$11:$B$310)),IF(204&lt;=COUNTA(半紙!$B$11:$B$310)+COUNTA(条幅!$B$11:$B$310)+COUNTA(条幅4分の1!$B$11:$B$310),INDEX(条幅4分の1!$B$11:$B$310,204-COUNTA(半紙!$B$11:$B$310)-COUNTA(条幅!$B$11:$B$310)),""))))</f>
        <v/>
      </c>
      <c r="C209" s="38" t="str">
        <f>IF(IF(204&lt;=COUNTA(半紙!$B$11:$B$310),INDEX(半紙!$C$11:$C$310,204),IF(204&lt;=COUNTA(半紙!$B$11:$B$310)+COUNTA(条幅!$B$11:$B$310),INDEX(条幅!$C$11:$C$310,204-COUNTA(半紙!$B$11:$B$310)),IF(204&lt;=COUNTA(半紙!$B$11:$B$310)+COUNTA(条幅!$B$11:$B$310)+COUNTA(条幅4分の1!$B$11:$B$310),INDEX(条幅4分の1!$C$11:$C$310,204-COUNTA(半紙!$B$11:$B$310)-COUNTA(条幅!$B$11:$B$310)),"")))=0,"",IF(204&lt;=COUNTA(半紙!$B$11:$B$310),INDEX(半紙!$C$11:$C$310,204),IF(204&lt;=COUNTA(半紙!$B$11:$B$310)+COUNTA(条幅!$B$11:$B$310),INDEX(条幅!$C$11:$C$310,204-COUNTA(半紙!$B$11:$B$310)),IF(204&lt;=COUNTA(半紙!$B$11:$B$310)+COUNTA(条幅!$B$11:$B$310)+COUNTA(条幅4分の1!$B$11:$B$310),INDEX(条幅4分の1!$C$11:$C$310,204-COUNTA(半紙!$B$11:$B$310)-COUNTA(条幅!$B$11:$B$310)),""))))</f>
        <v/>
      </c>
      <c r="D209" s="38" t="str">
        <f>IF(IF(204&lt;=COUNTA(半紙!$B$11:$B$310),INDEX(半紙!$D$11:$D$310,204),IF(204&lt;=COUNTA(半紙!$B$11:$B$310)+COUNTA(条幅!$B$11:$B$310),INDEX(条幅!$D$11:$D$310,204-COUNTA(半紙!$B$11:$B$310)),IF(204&lt;=COUNTA(半紙!$B$11:$B$310)+COUNTA(条幅!$B$11:$B$310)+COUNTA(条幅4分の1!$B$11:$B$310),INDEX(条幅4分の1!$D$11:$D$310,204-COUNTA(半紙!$B$11:$B$310)-COUNTA(条幅!$B$11:$B$310)),"")))=0,"",IF(204&lt;=COUNTA(半紙!$B$11:$B$310),INDEX(半紙!$D$11:$D$310,204),IF(204&lt;=COUNTA(半紙!$B$11:$B$310)+COUNTA(条幅!$B$11:$B$310),INDEX(条幅!$D$11:$D$310,204-COUNTA(半紙!$B$11:$B$310)),IF(204&lt;=COUNTA(半紙!$B$11:$B$310)+COUNTA(条幅!$B$11:$B$310)+COUNTA(条幅4分の1!$B$11:$B$310),INDEX(条幅4分の1!$D$11:$D$310,204-COUNTA(半紙!$B$11:$B$310)-COUNTA(条幅!$B$11:$B$310)),""))))</f>
        <v/>
      </c>
      <c r="E209" s="38" t="str">
        <f>IF(IF(204&lt;=COUNTA(半紙!$B$11:$B$310),INDEX(半紙!$E$11:$E$310,204),IF(204&lt;=COUNTA(半紙!$B$11:$B$310)+COUNTA(条幅!$B$11:$B$310),INDEX(条幅!$E$11:$E$310,204-COUNTA(半紙!$B$11:$B$310)),IF(204&lt;=COUNTA(半紙!$B$11:$B$310)+COUNTA(条幅!$B$11:$B$310)+COUNTA(条幅4分の1!$B$11:$B$310),INDEX(条幅4分の1!$E$11:$E$310,204-COUNTA(半紙!$B$11:$B$310)-COUNTA(条幅!$B$11:$B$310)),"")))=0,"",IF(204&lt;=COUNTA(半紙!$B$11:$B$310),INDEX(半紙!$E$11:$E$310,204),IF(204&lt;=COUNTA(半紙!$B$11:$B$310)+COUNTA(条幅!$B$11:$B$310),INDEX(条幅!$E$11:$E$310,204-COUNTA(半紙!$B$11:$B$310)),IF(204&lt;=COUNTA(半紙!$B$11:$B$310)+COUNTA(条幅!$B$11:$B$310)+COUNTA(条幅4分の1!$B$11:$B$310),INDEX(条幅4分の1!$E$11:$E$310,204-COUNTA(半紙!$B$11:$B$310)-COUNTA(条幅!$B$11:$B$310)),""))))</f>
        <v/>
      </c>
      <c r="F209" s="38" t="str">
        <f>IF(IF(204&lt;=COUNTA(半紙!$B$11:$B$310),INDEX(半紙!$F$11:$F$310,204),IF(204&lt;=COUNTA(半紙!$B$11:$B$310)+COUNTA(条幅!$B$11:$B$310),INDEX(条幅!$F$11:$F$310,204-COUNTA(半紙!$B$11:$B$310)),IF(204&lt;=COUNTA(半紙!$B$11:$B$310)+COUNTA(条幅!$B$11:$B$310)+COUNTA(条幅4分の1!$B$11:$B$310),INDEX(条幅4分の1!$F$11:$F$310,204-COUNTA(半紙!$B$11:$B$310)-COUNTA(条幅!$B$11:$B$310)),"")))=0,"",IF(204&lt;=COUNTA(半紙!$B$11:$B$310),INDEX(半紙!$F$11:$F$310,204),IF(204&lt;=COUNTA(半紙!$B$11:$B$310)+COUNTA(条幅!$B$11:$B$310),INDEX(条幅!$F$11:$F$310,204-COUNTA(半紙!$B$11:$B$310)),IF(204&lt;=COUNTA(半紙!$B$11:$B$310)+COUNTA(条幅!$B$11:$B$310)+COUNTA(条幅4分の1!$B$11:$B$310),INDEX(条幅4分の1!$F$11:$F$310,204-COUNTA(半紙!$B$11:$B$310)-COUNTA(条幅!$B$11:$B$310)),""))))</f>
        <v/>
      </c>
      <c r="G209" s="38" t="str">
        <f>IF(IF(204&lt;=COUNTA(半紙!$B$11:$B$310),INDEX(半紙!$G$11:$G$310,204),IF(204&lt;=COUNTA(半紙!$B$11:$B$310)+COUNTA(条幅!$B$11:$B$310),INDEX(条幅!$G$11:$G$310,204-COUNTA(半紙!$B$11:$B$310)),IF(204&lt;=COUNTA(半紙!$B$11:$B$310)+COUNTA(条幅!$B$11:$B$310)+COUNTA(条幅4分の1!$B$11:$B$310),INDEX(条幅4分の1!$G$11:$G$310,204-COUNTA(半紙!$B$11:$B$310)-COUNTA(条幅!$B$11:$B$310)),"")))=0,"",IF(204&lt;=COUNTA(半紙!$B$11:$B$310),INDEX(半紙!$G$11:$G$310,204),IF(204&lt;=COUNTA(半紙!$B$11:$B$310)+COUNTA(条幅!$B$11:$B$310),INDEX(条幅!$G$11:$G$310,204-COUNTA(半紙!$B$11:$B$310)),IF(204&lt;=COUNTA(半紙!$B$11:$B$310)+COUNTA(条幅!$B$11:$B$310)+COUNTA(条幅4分の1!$B$11:$B$310),INDEX(条幅4分の1!$G$11:$G$310,204-COUNTA(半紙!$B$11:$B$310)-COUNTA(条幅!$B$11:$B$310)),""))))</f>
        <v/>
      </c>
      <c r="H209" s="38" t="str">
        <f>IF(IF(204&lt;=COUNTA(半紙!$B$11:$B$310),INDEX(半紙!$H$11:$H$310,204),IF(204&lt;=COUNTA(半紙!$B$11:$B$310)+COUNTA(条幅!$B$11:$B$310),INDEX(条幅!$H$11:$H$310,204-COUNTA(半紙!$B$11:$B$310)),IF(204&lt;=COUNTA(半紙!$B$11:$B$310)+COUNTA(条幅!$B$11:$B$310)+COUNTA(条幅4分の1!$B$11:$B$310),INDEX(条幅4分の1!$H$11:$H$310,204-COUNTA(半紙!$B$11:$B$310)-COUNTA(条幅!$B$11:$B$310)),"")))=0,"",IF(204&lt;=COUNTA(半紙!$B$11:$B$310),INDEX(半紙!$H$11:$H$310,204),IF(204&lt;=COUNTA(半紙!$B$11:$B$310)+COUNTA(条幅!$B$11:$B$310),INDEX(条幅!$H$11:$H$310,204-COUNTA(半紙!$B$11:$B$310)),IF(204&lt;=COUNTA(半紙!$B$11:$B$310)+COUNTA(条幅!$B$11:$B$310)+COUNTA(条幅4分の1!$B$11:$B$310),INDEX(条幅4分の1!$H$11:$H$310,204-COUNTA(半紙!$B$11:$B$310)-COUNTA(条幅!$B$11:$B$310)),""))))</f>
        <v/>
      </c>
      <c r="I209" s="38" t="str">
        <f>IF(IF(204&lt;=COUNTA(半紙!$B$11:$B$310),INDEX(半紙!$I$11:$I$310,204),IF(204&lt;=COUNTA(半紙!$B$11:$B$310)+COUNTA(条幅!$B$11:$B$310),INDEX(条幅!$I$11:$I$310,204-COUNTA(半紙!$B$11:$B$310)),IF(204&lt;=COUNTA(半紙!$B$11:$B$310)+COUNTA(条幅!$B$11:$B$310)+COUNTA(条幅4分の1!$B$11:$B$310),INDEX(条幅4分の1!$I$11:$I$310,204-COUNTA(半紙!$B$11:$B$310)-COUNTA(条幅!$B$11:$B$310)),"")))=0,"",IF(204&lt;=COUNTA(半紙!$B$11:$B$310),INDEX(半紙!$I$11:$I$310,204),IF(204&lt;=COUNTA(半紙!$B$11:$B$310)+COUNTA(条幅!$B$11:$B$310),INDEX(条幅!$I$11:$I$310,204-COUNTA(半紙!$B$11:$B$310)),IF(204&lt;=COUNTA(半紙!$B$11:$B$310)+COUNTA(条幅!$B$11:$B$310)+COUNTA(条幅4分の1!$B$11:$B$310),INDEX(条幅4分の1!$I$11:$I$310,204-COUNTA(半紙!$B$11:$B$310)-COUNTA(条幅!$B$11:$B$310)),""))))</f>
        <v/>
      </c>
      <c r="J209" s="38" t="str">
        <f>IF(IF(204&lt;=COUNTA(半紙!$B$11:$B$310),INDEX(半紙!$J$11:$J$310,204),IF(204&lt;=COUNTA(半紙!$B$11:$B$310)+COUNTA(条幅!$B$11:$B$310),INDEX(条幅!$J$11:$J$310,204-COUNTA(半紙!$B$11:$B$310)),IF(204&lt;=COUNTA(半紙!$B$11:$B$310)+COUNTA(条幅!$B$11:$B$310)+COUNTA(条幅4分の1!$B$11:$B$310),INDEX(条幅4分の1!$J$11:$J$310,204-COUNTA(半紙!$B$11:$B$310)-COUNTA(条幅!$B$11:$B$310)),"")))=0,"",IF(204&lt;=COUNTA(半紙!$B$11:$B$310),INDEX(半紙!$J$11:$J$310,204),IF(204&lt;=COUNTA(半紙!$B$11:$B$310)+COUNTA(条幅!$B$11:$B$310),INDEX(条幅!$J$11:$J$310,204-COUNTA(半紙!$B$11:$B$310)),IF(204&lt;=COUNTA(半紙!$B$11:$B$310)+COUNTA(条幅!$B$11:$B$310)+COUNTA(条幅4分の1!$B$11:$B$310),INDEX(条幅4分の1!$J$11:$J$310,204-COUNTA(半紙!$B$11:$B$310)-COUNTA(条幅!$B$11:$B$310)),""))))</f>
        <v/>
      </c>
      <c r="K209" s="38" t="str">
        <f>IF(IF(204&lt;=COUNTA(半紙!$B$11:$B$310),INDEX(半紙!$K$11:$K$310,204),IF(204&lt;=COUNTA(半紙!$B$11:$B$310)+COUNTA(条幅!$B$11:$B$310),INDEX(条幅!$K$11:$K$310,204-COUNTA(半紙!$B$11:$B$310)),IF(204&lt;=COUNTA(半紙!$B$11:$B$310)+COUNTA(条幅!$B$11:$B$310)+COUNTA(条幅4分の1!$B$11:$B$310),INDEX(条幅4分の1!$K$11:$K$310,204-COUNTA(半紙!$B$11:$B$310)-COUNTA(条幅!$B$11:$B$310)),"")))=0,"",IF(204&lt;=COUNTA(半紙!$B$11:$B$310),INDEX(半紙!$K$11:$K$310,204),IF(204&lt;=COUNTA(半紙!$B$11:$B$310)+COUNTA(条幅!$B$11:$B$310),INDEX(条幅!$K$11:$K$310,204-COUNTA(半紙!$B$11:$B$310)),IF(204&lt;=COUNTA(半紙!$B$11:$B$310)+COUNTA(条幅!$B$11:$B$310)+COUNTA(条幅4分の1!$B$11:$B$310),INDEX(条幅4分の1!$K$11:$K$310,204-COUNTA(半紙!$B$11:$B$310)-COUNTA(条幅!$B$11:$B$310)),""))))</f>
        <v/>
      </c>
      <c r="L209" s="48" t="str">
        <f>IF($B209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204))</f>
        <v/>
      </c>
    </row>
    <row r="210" spans="1:12" ht="15" customHeight="1">
      <c r="A210" s="37" t="str">
        <f>IF(205&lt;=COUNTA(半紙!$B$11:$B$310),"半紙",IF(205&lt;=COUNTA(半紙!$B$11:$B$310)+COUNTA(条幅!$B$11:$B$310),"条幅(半切)",IF(205&lt;=COUNTA(半紙!$B$11:$B$310)+COUNTA(条幅!$B$11:$B$310)+COUNTA(条幅4分の1!$B$11:$B$310),"条幅(1/4)","")))</f>
        <v/>
      </c>
      <c r="B210" s="38" t="str">
        <f>IF(IF(205&lt;=COUNTA(半紙!$B$11:$B$310),INDEX(半紙!$B$11:$B$310,205),IF(205&lt;=COUNTA(半紙!$B$11:$B$310)+COUNTA(条幅!$B$11:$B$310),INDEX(条幅!$B$11:$B$310,205-COUNTA(半紙!$B$11:$B$310)),IF(205&lt;=COUNTA(半紙!$B$11:$B$310)+COUNTA(条幅!$B$11:$B$310)+COUNTA(条幅4分の1!$B$11:$B$310),INDEX(条幅4分の1!$B$11:$B$310,205-COUNTA(半紙!$B$11:$B$310)-COUNTA(条幅!$B$11:$B$310)),"")))=0,"",IF(205&lt;=COUNTA(半紙!$B$11:$B$310),INDEX(半紙!$B$11:$B$310,205),IF(205&lt;=COUNTA(半紙!$B$11:$B$310)+COUNTA(条幅!$B$11:$B$310),INDEX(条幅!$B$11:$B$310,205-COUNTA(半紙!$B$11:$B$310)),IF(205&lt;=COUNTA(半紙!$B$11:$B$310)+COUNTA(条幅!$B$11:$B$310)+COUNTA(条幅4分の1!$B$11:$B$310),INDEX(条幅4分の1!$B$11:$B$310,205-COUNTA(半紙!$B$11:$B$310)-COUNTA(条幅!$B$11:$B$310)),""))))</f>
        <v/>
      </c>
      <c r="C210" s="38" t="str">
        <f>IF(IF(205&lt;=COUNTA(半紙!$B$11:$B$310),INDEX(半紙!$C$11:$C$310,205),IF(205&lt;=COUNTA(半紙!$B$11:$B$310)+COUNTA(条幅!$B$11:$B$310),INDEX(条幅!$C$11:$C$310,205-COUNTA(半紙!$B$11:$B$310)),IF(205&lt;=COUNTA(半紙!$B$11:$B$310)+COUNTA(条幅!$B$11:$B$310)+COUNTA(条幅4分の1!$B$11:$B$310),INDEX(条幅4分の1!$C$11:$C$310,205-COUNTA(半紙!$B$11:$B$310)-COUNTA(条幅!$B$11:$B$310)),"")))=0,"",IF(205&lt;=COUNTA(半紙!$B$11:$B$310),INDEX(半紙!$C$11:$C$310,205),IF(205&lt;=COUNTA(半紙!$B$11:$B$310)+COUNTA(条幅!$B$11:$B$310),INDEX(条幅!$C$11:$C$310,205-COUNTA(半紙!$B$11:$B$310)),IF(205&lt;=COUNTA(半紙!$B$11:$B$310)+COUNTA(条幅!$B$11:$B$310)+COUNTA(条幅4分の1!$B$11:$B$310),INDEX(条幅4分の1!$C$11:$C$310,205-COUNTA(半紙!$B$11:$B$310)-COUNTA(条幅!$B$11:$B$310)),""))))</f>
        <v/>
      </c>
      <c r="D210" s="38" t="str">
        <f>IF(IF(205&lt;=COUNTA(半紙!$B$11:$B$310),INDEX(半紙!$D$11:$D$310,205),IF(205&lt;=COUNTA(半紙!$B$11:$B$310)+COUNTA(条幅!$B$11:$B$310),INDEX(条幅!$D$11:$D$310,205-COUNTA(半紙!$B$11:$B$310)),IF(205&lt;=COUNTA(半紙!$B$11:$B$310)+COUNTA(条幅!$B$11:$B$310)+COUNTA(条幅4分の1!$B$11:$B$310),INDEX(条幅4分の1!$D$11:$D$310,205-COUNTA(半紙!$B$11:$B$310)-COUNTA(条幅!$B$11:$B$310)),"")))=0,"",IF(205&lt;=COUNTA(半紙!$B$11:$B$310),INDEX(半紙!$D$11:$D$310,205),IF(205&lt;=COUNTA(半紙!$B$11:$B$310)+COUNTA(条幅!$B$11:$B$310),INDEX(条幅!$D$11:$D$310,205-COUNTA(半紙!$B$11:$B$310)),IF(205&lt;=COUNTA(半紙!$B$11:$B$310)+COUNTA(条幅!$B$11:$B$310)+COUNTA(条幅4分の1!$B$11:$B$310),INDEX(条幅4分の1!$D$11:$D$310,205-COUNTA(半紙!$B$11:$B$310)-COUNTA(条幅!$B$11:$B$310)),""))))</f>
        <v/>
      </c>
      <c r="E210" s="38" t="str">
        <f>IF(IF(205&lt;=COUNTA(半紙!$B$11:$B$310),INDEX(半紙!$E$11:$E$310,205),IF(205&lt;=COUNTA(半紙!$B$11:$B$310)+COUNTA(条幅!$B$11:$B$310),INDEX(条幅!$E$11:$E$310,205-COUNTA(半紙!$B$11:$B$310)),IF(205&lt;=COUNTA(半紙!$B$11:$B$310)+COUNTA(条幅!$B$11:$B$310)+COUNTA(条幅4分の1!$B$11:$B$310),INDEX(条幅4分の1!$E$11:$E$310,205-COUNTA(半紙!$B$11:$B$310)-COUNTA(条幅!$B$11:$B$310)),"")))=0,"",IF(205&lt;=COUNTA(半紙!$B$11:$B$310),INDEX(半紙!$E$11:$E$310,205),IF(205&lt;=COUNTA(半紙!$B$11:$B$310)+COUNTA(条幅!$B$11:$B$310),INDEX(条幅!$E$11:$E$310,205-COUNTA(半紙!$B$11:$B$310)),IF(205&lt;=COUNTA(半紙!$B$11:$B$310)+COUNTA(条幅!$B$11:$B$310)+COUNTA(条幅4分の1!$B$11:$B$310),INDEX(条幅4分の1!$E$11:$E$310,205-COUNTA(半紙!$B$11:$B$310)-COUNTA(条幅!$B$11:$B$310)),""))))</f>
        <v/>
      </c>
      <c r="F210" s="38" t="str">
        <f>IF(IF(205&lt;=COUNTA(半紙!$B$11:$B$310),INDEX(半紙!$F$11:$F$310,205),IF(205&lt;=COUNTA(半紙!$B$11:$B$310)+COUNTA(条幅!$B$11:$B$310),INDEX(条幅!$F$11:$F$310,205-COUNTA(半紙!$B$11:$B$310)),IF(205&lt;=COUNTA(半紙!$B$11:$B$310)+COUNTA(条幅!$B$11:$B$310)+COUNTA(条幅4分の1!$B$11:$B$310),INDEX(条幅4分の1!$F$11:$F$310,205-COUNTA(半紙!$B$11:$B$310)-COUNTA(条幅!$B$11:$B$310)),"")))=0,"",IF(205&lt;=COUNTA(半紙!$B$11:$B$310),INDEX(半紙!$F$11:$F$310,205),IF(205&lt;=COUNTA(半紙!$B$11:$B$310)+COUNTA(条幅!$B$11:$B$310),INDEX(条幅!$F$11:$F$310,205-COUNTA(半紙!$B$11:$B$310)),IF(205&lt;=COUNTA(半紙!$B$11:$B$310)+COUNTA(条幅!$B$11:$B$310)+COUNTA(条幅4分の1!$B$11:$B$310),INDEX(条幅4分の1!$F$11:$F$310,205-COUNTA(半紙!$B$11:$B$310)-COUNTA(条幅!$B$11:$B$310)),""))))</f>
        <v/>
      </c>
      <c r="G210" s="38" t="str">
        <f>IF(IF(205&lt;=COUNTA(半紙!$B$11:$B$310),INDEX(半紙!$G$11:$G$310,205),IF(205&lt;=COUNTA(半紙!$B$11:$B$310)+COUNTA(条幅!$B$11:$B$310),INDEX(条幅!$G$11:$G$310,205-COUNTA(半紙!$B$11:$B$310)),IF(205&lt;=COUNTA(半紙!$B$11:$B$310)+COUNTA(条幅!$B$11:$B$310)+COUNTA(条幅4分の1!$B$11:$B$310),INDEX(条幅4分の1!$G$11:$G$310,205-COUNTA(半紙!$B$11:$B$310)-COUNTA(条幅!$B$11:$B$310)),"")))=0,"",IF(205&lt;=COUNTA(半紙!$B$11:$B$310),INDEX(半紙!$G$11:$G$310,205),IF(205&lt;=COUNTA(半紙!$B$11:$B$310)+COUNTA(条幅!$B$11:$B$310),INDEX(条幅!$G$11:$G$310,205-COUNTA(半紙!$B$11:$B$310)),IF(205&lt;=COUNTA(半紙!$B$11:$B$310)+COUNTA(条幅!$B$11:$B$310)+COUNTA(条幅4分の1!$B$11:$B$310),INDEX(条幅4分の1!$G$11:$G$310,205-COUNTA(半紙!$B$11:$B$310)-COUNTA(条幅!$B$11:$B$310)),""))))</f>
        <v/>
      </c>
      <c r="H210" s="38" t="str">
        <f>IF(IF(205&lt;=COUNTA(半紙!$B$11:$B$310),INDEX(半紙!$H$11:$H$310,205),IF(205&lt;=COUNTA(半紙!$B$11:$B$310)+COUNTA(条幅!$B$11:$B$310),INDEX(条幅!$H$11:$H$310,205-COUNTA(半紙!$B$11:$B$310)),IF(205&lt;=COUNTA(半紙!$B$11:$B$310)+COUNTA(条幅!$B$11:$B$310)+COUNTA(条幅4分の1!$B$11:$B$310),INDEX(条幅4分の1!$H$11:$H$310,205-COUNTA(半紙!$B$11:$B$310)-COUNTA(条幅!$B$11:$B$310)),"")))=0,"",IF(205&lt;=COUNTA(半紙!$B$11:$B$310),INDEX(半紙!$H$11:$H$310,205),IF(205&lt;=COUNTA(半紙!$B$11:$B$310)+COUNTA(条幅!$B$11:$B$310),INDEX(条幅!$H$11:$H$310,205-COUNTA(半紙!$B$11:$B$310)),IF(205&lt;=COUNTA(半紙!$B$11:$B$310)+COUNTA(条幅!$B$11:$B$310)+COUNTA(条幅4分の1!$B$11:$B$310),INDEX(条幅4分の1!$H$11:$H$310,205-COUNTA(半紙!$B$11:$B$310)-COUNTA(条幅!$B$11:$B$310)),""))))</f>
        <v/>
      </c>
      <c r="I210" s="38" t="str">
        <f>IF(IF(205&lt;=COUNTA(半紙!$B$11:$B$310),INDEX(半紙!$I$11:$I$310,205),IF(205&lt;=COUNTA(半紙!$B$11:$B$310)+COUNTA(条幅!$B$11:$B$310),INDEX(条幅!$I$11:$I$310,205-COUNTA(半紙!$B$11:$B$310)),IF(205&lt;=COUNTA(半紙!$B$11:$B$310)+COUNTA(条幅!$B$11:$B$310)+COUNTA(条幅4分の1!$B$11:$B$310),INDEX(条幅4分の1!$I$11:$I$310,205-COUNTA(半紙!$B$11:$B$310)-COUNTA(条幅!$B$11:$B$310)),"")))=0,"",IF(205&lt;=COUNTA(半紙!$B$11:$B$310),INDEX(半紙!$I$11:$I$310,205),IF(205&lt;=COUNTA(半紙!$B$11:$B$310)+COUNTA(条幅!$B$11:$B$310),INDEX(条幅!$I$11:$I$310,205-COUNTA(半紙!$B$11:$B$310)),IF(205&lt;=COUNTA(半紙!$B$11:$B$310)+COUNTA(条幅!$B$11:$B$310)+COUNTA(条幅4分の1!$B$11:$B$310),INDEX(条幅4分の1!$I$11:$I$310,205-COUNTA(半紙!$B$11:$B$310)-COUNTA(条幅!$B$11:$B$310)),""))))</f>
        <v/>
      </c>
      <c r="J210" s="38" t="str">
        <f>IF(IF(205&lt;=COUNTA(半紙!$B$11:$B$310),INDEX(半紙!$J$11:$J$310,205),IF(205&lt;=COUNTA(半紙!$B$11:$B$310)+COUNTA(条幅!$B$11:$B$310),INDEX(条幅!$J$11:$J$310,205-COUNTA(半紙!$B$11:$B$310)),IF(205&lt;=COUNTA(半紙!$B$11:$B$310)+COUNTA(条幅!$B$11:$B$310)+COUNTA(条幅4分の1!$B$11:$B$310),INDEX(条幅4分の1!$J$11:$J$310,205-COUNTA(半紙!$B$11:$B$310)-COUNTA(条幅!$B$11:$B$310)),"")))=0,"",IF(205&lt;=COUNTA(半紙!$B$11:$B$310),INDEX(半紙!$J$11:$J$310,205),IF(205&lt;=COUNTA(半紙!$B$11:$B$310)+COUNTA(条幅!$B$11:$B$310),INDEX(条幅!$J$11:$J$310,205-COUNTA(半紙!$B$11:$B$310)),IF(205&lt;=COUNTA(半紙!$B$11:$B$310)+COUNTA(条幅!$B$11:$B$310)+COUNTA(条幅4分の1!$B$11:$B$310),INDEX(条幅4分の1!$J$11:$J$310,205-COUNTA(半紙!$B$11:$B$310)-COUNTA(条幅!$B$11:$B$310)),""))))</f>
        <v/>
      </c>
      <c r="K210" s="38" t="str">
        <f>IF(IF(205&lt;=COUNTA(半紙!$B$11:$B$310),INDEX(半紙!$K$11:$K$310,205),IF(205&lt;=COUNTA(半紙!$B$11:$B$310)+COUNTA(条幅!$B$11:$B$310),INDEX(条幅!$K$11:$K$310,205-COUNTA(半紙!$B$11:$B$310)),IF(205&lt;=COUNTA(半紙!$B$11:$B$310)+COUNTA(条幅!$B$11:$B$310)+COUNTA(条幅4分の1!$B$11:$B$310),INDEX(条幅4分の1!$K$11:$K$310,205-COUNTA(半紙!$B$11:$B$310)-COUNTA(条幅!$B$11:$B$310)),"")))=0,"",IF(205&lt;=COUNTA(半紙!$B$11:$B$310),INDEX(半紙!$K$11:$K$310,205),IF(205&lt;=COUNTA(半紙!$B$11:$B$310)+COUNTA(条幅!$B$11:$B$310),INDEX(条幅!$K$11:$K$310,205-COUNTA(半紙!$B$11:$B$310)),IF(205&lt;=COUNTA(半紙!$B$11:$B$310)+COUNTA(条幅!$B$11:$B$310)+COUNTA(条幅4分の1!$B$11:$B$310),INDEX(条幅4分の1!$K$11:$K$310,205-COUNTA(半紙!$B$11:$B$310)-COUNTA(条幅!$B$11:$B$310)),""))))</f>
        <v/>
      </c>
      <c r="L210" s="48" t="str">
        <f>IF($B210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205))</f>
        <v/>
      </c>
    </row>
    <row r="211" spans="1:12" ht="15" customHeight="1">
      <c r="A211" s="37" t="str">
        <f>IF(206&lt;=COUNTA(半紙!$B$11:$B$310),"半紙",IF(206&lt;=COUNTA(半紙!$B$11:$B$310)+COUNTA(条幅!$B$11:$B$310),"条幅(半切)",IF(206&lt;=COUNTA(半紙!$B$11:$B$310)+COUNTA(条幅!$B$11:$B$310)+COUNTA(条幅4分の1!$B$11:$B$310),"条幅(1/4)","")))</f>
        <v/>
      </c>
      <c r="B211" s="38" t="str">
        <f>IF(IF(206&lt;=COUNTA(半紙!$B$11:$B$310),INDEX(半紙!$B$11:$B$310,206),IF(206&lt;=COUNTA(半紙!$B$11:$B$310)+COUNTA(条幅!$B$11:$B$310),INDEX(条幅!$B$11:$B$310,206-COUNTA(半紙!$B$11:$B$310)),IF(206&lt;=COUNTA(半紙!$B$11:$B$310)+COUNTA(条幅!$B$11:$B$310)+COUNTA(条幅4分の1!$B$11:$B$310),INDEX(条幅4分の1!$B$11:$B$310,206-COUNTA(半紙!$B$11:$B$310)-COUNTA(条幅!$B$11:$B$310)),"")))=0,"",IF(206&lt;=COUNTA(半紙!$B$11:$B$310),INDEX(半紙!$B$11:$B$310,206),IF(206&lt;=COUNTA(半紙!$B$11:$B$310)+COUNTA(条幅!$B$11:$B$310),INDEX(条幅!$B$11:$B$310,206-COUNTA(半紙!$B$11:$B$310)),IF(206&lt;=COUNTA(半紙!$B$11:$B$310)+COUNTA(条幅!$B$11:$B$310)+COUNTA(条幅4分の1!$B$11:$B$310),INDEX(条幅4分の1!$B$11:$B$310,206-COUNTA(半紙!$B$11:$B$310)-COUNTA(条幅!$B$11:$B$310)),""))))</f>
        <v/>
      </c>
      <c r="C211" s="38" t="str">
        <f>IF(IF(206&lt;=COUNTA(半紙!$B$11:$B$310),INDEX(半紙!$C$11:$C$310,206),IF(206&lt;=COUNTA(半紙!$B$11:$B$310)+COUNTA(条幅!$B$11:$B$310),INDEX(条幅!$C$11:$C$310,206-COUNTA(半紙!$B$11:$B$310)),IF(206&lt;=COUNTA(半紙!$B$11:$B$310)+COUNTA(条幅!$B$11:$B$310)+COUNTA(条幅4分の1!$B$11:$B$310),INDEX(条幅4分の1!$C$11:$C$310,206-COUNTA(半紙!$B$11:$B$310)-COUNTA(条幅!$B$11:$B$310)),"")))=0,"",IF(206&lt;=COUNTA(半紙!$B$11:$B$310),INDEX(半紙!$C$11:$C$310,206),IF(206&lt;=COUNTA(半紙!$B$11:$B$310)+COUNTA(条幅!$B$11:$B$310),INDEX(条幅!$C$11:$C$310,206-COUNTA(半紙!$B$11:$B$310)),IF(206&lt;=COUNTA(半紙!$B$11:$B$310)+COUNTA(条幅!$B$11:$B$310)+COUNTA(条幅4分の1!$B$11:$B$310),INDEX(条幅4分の1!$C$11:$C$310,206-COUNTA(半紙!$B$11:$B$310)-COUNTA(条幅!$B$11:$B$310)),""))))</f>
        <v/>
      </c>
      <c r="D211" s="38" t="str">
        <f>IF(IF(206&lt;=COUNTA(半紙!$B$11:$B$310),INDEX(半紙!$D$11:$D$310,206),IF(206&lt;=COUNTA(半紙!$B$11:$B$310)+COUNTA(条幅!$B$11:$B$310),INDEX(条幅!$D$11:$D$310,206-COUNTA(半紙!$B$11:$B$310)),IF(206&lt;=COUNTA(半紙!$B$11:$B$310)+COUNTA(条幅!$B$11:$B$310)+COUNTA(条幅4分の1!$B$11:$B$310),INDEX(条幅4分の1!$D$11:$D$310,206-COUNTA(半紙!$B$11:$B$310)-COUNTA(条幅!$B$11:$B$310)),"")))=0,"",IF(206&lt;=COUNTA(半紙!$B$11:$B$310),INDEX(半紙!$D$11:$D$310,206),IF(206&lt;=COUNTA(半紙!$B$11:$B$310)+COUNTA(条幅!$B$11:$B$310),INDEX(条幅!$D$11:$D$310,206-COUNTA(半紙!$B$11:$B$310)),IF(206&lt;=COUNTA(半紙!$B$11:$B$310)+COUNTA(条幅!$B$11:$B$310)+COUNTA(条幅4分の1!$B$11:$B$310),INDEX(条幅4分の1!$D$11:$D$310,206-COUNTA(半紙!$B$11:$B$310)-COUNTA(条幅!$B$11:$B$310)),""))))</f>
        <v/>
      </c>
      <c r="E211" s="38" t="str">
        <f>IF(IF(206&lt;=COUNTA(半紙!$B$11:$B$310),INDEX(半紙!$E$11:$E$310,206),IF(206&lt;=COUNTA(半紙!$B$11:$B$310)+COUNTA(条幅!$B$11:$B$310),INDEX(条幅!$E$11:$E$310,206-COUNTA(半紙!$B$11:$B$310)),IF(206&lt;=COUNTA(半紙!$B$11:$B$310)+COUNTA(条幅!$B$11:$B$310)+COUNTA(条幅4分の1!$B$11:$B$310),INDEX(条幅4分の1!$E$11:$E$310,206-COUNTA(半紙!$B$11:$B$310)-COUNTA(条幅!$B$11:$B$310)),"")))=0,"",IF(206&lt;=COUNTA(半紙!$B$11:$B$310),INDEX(半紙!$E$11:$E$310,206),IF(206&lt;=COUNTA(半紙!$B$11:$B$310)+COUNTA(条幅!$B$11:$B$310),INDEX(条幅!$E$11:$E$310,206-COUNTA(半紙!$B$11:$B$310)),IF(206&lt;=COUNTA(半紙!$B$11:$B$310)+COUNTA(条幅!$B$11:$B$310)+COUNTA(条幅4分の1!$B$11:$B$310),INDEX(条幅4分の1!$E$11:$E$310,206-COUNTA(半紙!$B$11:$B$310)-COUNTA(条幅!$B$11:$B$310)),""))))</f>
        <v/>
      </c>
      <c r="F211" s="38" t="str">
        <f>IF(IF(206&lt;=COUNTA(半紙!$B$11:$B$310),INDEX(半紙!$F$11:$F$310,206),IF(206&lt;=COUNTA(半紙!$B$11:$B$310)+COUNTA(条幅!$B$11:$B$310),INDEX(条幅!$F$11:$F$310,206-COUNTA(半紙!$B$11:$B$310)),IF(206&lt;=COUNTA(半紙!$B$11:$B$310)+COUNTA(条幅!$B$11:$B$310)+COUNTA(条幅4分の1!$B$11:$B$310),INDEX(条幅4分の1!$F$11:$F$310,206-COUNTA(半紙!$B$11:$B$310)-COUNTA(条幅!$B$11:$B$310)),"")))=0,"",IF(206&lt;=COUNTA(半紙!$B$11:$B$310),INDEX(半紙!$F$11:$F$310,206),IF(206&lt;=COUNTA(半紙!$B$11:$B$310)+COUNTA(条幅!$B$11:$B$310),INDEX(条幅!$F$11:$F$310,206-COUNTA(半紙!$B$11:$B$310)),IF(206&lt;=COUNTA(半紙!$B$11:$B$310)+COUNTA(条幅!$B$11:$B$310)+COUNTA(条幅4分の1!$B$11:$B$310),INDEX(条幅4分の1!$F$11:$F$310,206-COUNTA(半紙!$B$11:$B$310)-COUNTA(条幅!$B$11:$B$310)),""))))</f>
        <v/>
      </c>
      <c r="G211" s="38" t="str">
        <f>IF(IF(206&lt;=COUNTA(半紙!$B$11:$B$310),INDEX(半紙!$G$11:$G$310,206),IF(206&lt;=COUNTA(半紙!$B$11:$B$310)+COUNTA(条幅!$B$11:$B$310),INDEX(条幅!$G$11:$G$310,206-COUNTA(半紙!$B$11:$B$310)),IF(206&lt;=COUNTA(半紙!$B$11:$B$310)+COUNTA(条幅!$B$11:$B$310)+COUNTA(条幅4分の1!$B$11:$B$310),INDEX(条幅4分の1!$G$11:$G$310,206-COUNTA(半紙!$B$11:$B$310)-COUNTA(条幅!$B$11:$B$310)),"")))=0,"",IF(206&lt;=COUNTA(半紙!$B$11:$B$310),INDEX(半紙!$G$11:$G$310,206),IF(206&lt;=COUNTA(半紙!$B$11:$B$310)+COUNTA(条幅!$B$11:$B$310),INDEX(条幅!$G$11:$G$310,206-COUNTA(半紙!$B$11:$B$310)),IF(206&lt;=COUNTA(半紙!$B$11:$B$310)+COUNTA(条幅!$B$11:$B$310)+COUNTA(条幅4分の1!$B$11:$B$310),INDEX(条幅4分の1!$G$11:$G$310,206-COUNTA(半紙!$B$11:$B$310)-COUNTA(条幅!$B$11:$B$310)),""))))</f>
        <v/>
      </c>
      <c r="H211" s="38" t="str">
        <f>IF(IF(206&lt;=COUNTA(半紙!$B$11:$B$310),INDEX(半紙!$H$11:$H$310,206),IF(206&lt;=COUNTA(半紙!$B$11:$B$310)+COUNTA(条幅!$B$11:$B$310),INDEX(条幅!$H$11:$H$310,206-COUNTA(半紙!$B$11:$B$310)),IF(206&lt;=COUNTA(半紙!$B$11:$B$310)+COUNTA(条幅!$B$11:$B$310)+COUNTA(条幅4分の1!$B$11:$B$310),INDEX(条幅4分の1!$H$11:$H$310,206-COUNTA(半紙!$B$11:$B$310)-COUNTA(条幅!$B$11:$B$310)),"")))=0,"",IF(206&lt;=COUNTA(半紙!$B$11:$B$310),INDEX(半紙!$H$11:$H$310,206),IF(206&lt;=COUNTA(半紙!$B$11:$B$310)+COUNTA(条幅!$B$11:$B$310),INDEX(条幅!$H$11:$H$310,206-COUNTA(半紙!$B$11:$B$310)),IF(206&lt;=COUNTA(半紙!$B$11:$B$310)+COUNTA(条幅!$B$11:$B$310)+COUNTA(条幅4分の1!$B$11:$B$310),INDEX(条幅4分の1!$H$11:$H$310,206-COUNTA(半紙!$B$11:$B$310)-COUNTA(条幅!$B$11:$B$310)),""))))</f>
        <v/>
      </c>
      <c r="I211" s="38" t="str">
        <f>IF(IF(206&lt;=COUNTA(半紙!$B$11:$B$310),INDEX(半紙!$I$11:$I$310,206),IF(206&lt;=COUNTA(半紙!$B$11:$B$310)+COUNTA(条幅!$B$11:$B$310),INDEX(条幅!$I$11:$I$310,206-COUNTA(半紙!$B$11:$B$310)),IF(206&lt;=COUNTA(半紙!$B$11:$B$310)+COUNTA(条幅!$B$11:$B$310)+COUNTA(条幅4分の1!$B$11:$B$310),INDEX(条幅4分の1!$I$11:$I$310,206-COUNTA(半紙!$B$11:$B$310)-COUNTA(条幅!$B$11:$B$310)),"")))=0,"",IF(206&lt;=COUNTA(半紙!$B$11:$B$310),INDEX(半紙!$I$11:$I$310,206),IF(206&lt;=COUNTA(半紙!$B$11:$B$310)+COUNTA(条幅!$B$11:$B$310),INDEX(条幅!$I$11:$I$310,206-COUNTA(半紙!$B$11:$B$310)),IF(206&lt;=COUNTA(半紙!$B$11:$B$310)+COUNTA(条幅!$B$11:$B$310)+COUNTA(条幅4分の1!$B$11:$B$310),INDEX(条幅4分の1!$I$11:$I$310,206-COUNTA(半紙!$B$11:$B$310)-COUNTA(条幅!$B$11:$B$310)),""))))</f>
        <v/>
      </c>
      <c r="J211" s="38" t="str">
        <f>IF(IF(206&lt;=COUNTA(半紙!$B$11:$B$310),INDEX(半紙!$J$11:$J$310,206),IF(206&lt;=COUNTA(半紙!$B$11:$B$310)+COUNTA(条幅!$B$11:$B$310),INDEX(条幅!$J$11:$J$310,206-COUNTA(半紙!$B$11:$B$310)),IF(206&lt;=COUNTA(半紙!$B$11:$B$310)+COUNTA(条幅!$B$11:$B$310)+COUNTA(条幅4分の1!$B$11:$B$310),INDEX(条幅4分の1!$J$11:$J$310,206-COUNTA(半紙!$B$11:$B$310)-COUNTA(条幅!$B$11:$B$310)),"")))=0,"",IF(206&lt;=COUNTA(半紙!$B$11:$B$310),INDEX(半紙!$J$11:$J$310,206),IF(206&lt;=COUNTA(半紙!$B$11:$B$310)+COUNTA(条幅!$B$11:$B$310),INDEX(条幅!$J$11:$J$310,206-COUNTA(半紙!$B$11:$B$310)),IF(206&lt;=COUNTA(半紙!$B$11:$B$310)+COUNTA(条幅!$B$11:$B$310)+COUNTA(条幅4分の1!$B$11:$B$310),INDEX(条幅4分の1!$J$11:$J$310,206-COUNTA(半紙!$B$11:$B$310)-COUNTA(条幅!$B$11:$B$310)),""))))</f>
        <v/>
      </c>
      <c r="K211" s="38" t="str">
        <f>IF(IF(206&lt;=COUNTA(半紙!$B$11:$B$310),INDEX(半紙!$K$11:$K$310,206),IF(206&lt;=COUNTA(半紙!$B$11:$B$310)+COUNTA(条幅!$B$11:$B$310),INDEX(条幅!$K$11:$K$310,206-COUNTA(半紙!$B$11:$B$310)),IF(206&lt;=COUNTA(半紙!$B$11:$B$310)+COUNTA(条幅!$B$11:$B$310)+COUNTA(条幅4分の1!$B$11:$B$310),INDEX(条幅4分の1!$K$11:$K$310,206-COUNTA(半紙!$B$11:$B$310)-COUNTA(条幅!$B$11:$B$310)),"")))=0,"",IF(206&lt;=COUNTA(半紙!$B$11:$B$310),INDEX(半紙!$K$11:$K$310,206),IF(206&lt;=COUNTA(半紙!$B$11:$B$310)+COUNTA(条幅!$B$11:$B$310),INDEX(条幅!$K$11:$K$310,206-COUNTA(半紙!$B$11:$B$310)),IF(206&lt;=COUNTA(半紙!$B$11:$B$310)+COUNTA(条幅!$B$11:$B$310)+COUNTA(条幅4分の1!$B$11:$B$310),INDEX(条幅4分の1!$K$11:$K$310,206-COUNTA(半紙!$B$11:$B$310)-COUNTA(条幅!$B$11:$B$310)),""))))</f>
        <v/>
      </c>
      <c r="L211" s="48" t="str">
        <f>IF($B211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206))</f>
        <v/>
      </c>
    </row>
    <row r="212" spans="1:12" ht="15" customHeight="1">
      <c r="A212" s="37" t="str">
        <f>IF(207&lt;=COUNTA(半紙!$B$11:$B$310),"半紙",IF(207&lt;=COUNTA(半紙!$B$11:$B$310)+COUNTA(条幅!$B$11:$B$310),"条幅(半切)",IF(207&lt;=COUNTA(半紙!$B$11:$B$310)+COUNTA(条幅!$B$11:$B$310)+COUNTA(条幅4分の1!$B$11:$B$310),"条幅(1/4)","")))</f>
        <v/>
      </c>
      <c r="B212" s="38" t="str">
        <f>IF(IF(207&lt;=COUNTA(半紙!$B$11:$B$310),INDEX(半紙!$B$11:$B$310,207),IF(207&lt;=COUNTA(半紙!$B$11:$B$310)+COUNTA(条幅!$B$11:$B$310),INDEX(条幅!$B$11:$B$310,207-COUNTA(半紙!$B$11:$B$310)),IF(207&lt;=COUNTA(半紙!$B$11:$B$310)+COUNTA(条幅!$B$11:$B$310)+COUNTA(条幅4分の1!$B$11:$B$310),INDEX(条幅4分の1!$B$11:$B$310,207-COUNTA(半紙!$B$11:$B$310)-COUNTA(条幅!$B$11:$B$310)),"")))=0,"",IF(207&lt;=COUNTA(半紙!$B$11:$B$310),INDEX(半紙!$B$11:$B$310,207),IF(207&lt;=COUNTA(半紙!$B$11:$B$310)+COUNTA(条幅!$B$11:$B$310),INDEX(条幅!$B$11:$B$310,207-COUNTA(半紙!$B$11:$B$310)),IF(207&lt;=COUNTA(半紙!$B$11:$B$310)+COUNTA(条幅!$B$11:$B$310)+COUNTA(条幅4分の1!$B$11:$B$310),INDEX(条幅4分の1!$B$11:$B$310,207-COUNTA(半紙!$B$11:$B$310)-COUNTA(条幅!$B$11:$B$310)),""))))</f>
        <v/>
      </c>
      <c r="C212" s="38" t="str">
        <f>IF(IF(207&lt;=COUNTA(半紙!$B$11:$B$310),INDEX(半紙!$C$11:$C$310,207),IF(207&lt;=COUNTA(半紙!$B$11:$B$310)+COUNTA(条幅!$B$11:$B$310),INDEX(条幅!$C$11:$C$310,207-COUNTA(半紙!$B$11:$B$310)),IF(207&lt;=COUNTA(半紙!$B$11:$B$310)+COUNTA(条幅!$B$11:$B$310)+COUNTA(条幅4分の1!$B$11:$B$310),INDEX(条幅4分の1!$C$11:$C$310,207-COUNTA(半紙!$B$11:$B$310)-COUNTA(条幅!$B$11:$B$310)),"")))=0,"",IF(207&lt;=COUNTA(半紙!$B$11:$B$310),INDEX(半紙!$C$11:$C$310,207),IF(207&lt;=COUNTA(半紙!$B$11:$B$310)+COUNTA(条幅!$B$11:$B$310),INDEX(条幅!$C$11:$C$310,207-COUNTA(半紙!$B$11:$B$310)),IF(207&lt;=COUNTA(半紙!$B$11:$B$310)+COUNTA(条幅!$B$11:$B$310)+COUNTA(条幅4分の1!$B$11:$B$310),INDEX(条幅4分の1!$C$11:$C$310,207-COUNTA(半紙!$B$11:$B$310)-COUNTA(条幅!$B$11:$B$310)),""))))</f>
        <v/>
      </c>
      <c r="D212" s="38" t="str">
        <f>IF(IF(207&lt;=COUNTA(半紙!$B$11:$B$310),INDEX(半紙!$D$11:$D$310,207),IF(207&lt;=COUNTA(半紙!$B$11:$B$310)+COUNTA(条幅!$B$11:$B$310),INDEX(条幅!$D$11:$D$310,207-COUNTA(半紙!$B$11:$B$310)),IF(207&lt;=COUNTA(半紙!$B$11:$B$310)+COUNTA(条幅!$B$11:$B$310)+COUNTA(条幅4分の1!$B$11:$B$310),INDEX(条幅4分の1!$D$11:$D$310,207-COUNTA(半紙!$B$11:$B$310)-COUNTA(条幅!$B$11:$B$310)),"")))=0,"",IF(207&lt;=COUNTA(半紙!$B$11:$B$310),INDEX(半紙!$D$11:$D$310,207),IF(207&lt;=COUNTA(半紙!$B$11:$B$310)+COUNTA(条幅!$B$11:$B$310),INDEX(条幅!$D$11:$D$310,207-COUNTA(半紙!$B$11:$B$310)),IF(207&lt;=COUNTA(半紙!$B$11:$B$310)+COUNTA(条幅!$B$11:$B$310)+COUNTA(条幅4分の1!$B$11:$B$310),INDEX(条幅4分の1!$D$11:$D$310,207-COUNTA(半紙!$B$11:$B$310)-COUNTA(条幅!$B$11:$B$310)),""))))</f>
        <v/>
      </c>
      <c r="E212" s="38" t="str">
        <f>IF(IF(207&lt;=COUNTA(半紙!$B$11:$B$310),INDEX(半紙!$E$11:$E$310,207),IF(207&lt;=COUNTA(半紙!$B$11:$B$310)+COUNTA(条幅!$B$11:$B$310),INDEX(条幅!$E$11:$E$310,207-COUNTA(半紙!$B$11:$B$310)),IF(207&lt;=COUNTA(半紙!$B$11:$B$310)+COUNTA(条幅!$B$11:$B$310)+COUNTA(条幅4分の1!$B$11:$B$310),INDEX(条幅4分の1!$E$11:$E$310,207-COUNTA(半紙!$B$11:$B$310)-COUNTA(条幅!$B$11:$B$310)),"")))=0,"",IF(207&lt;=COUNTA(半紙!$B$11:$B$310),INDEX(半紙!$E$11:$E$310,207),IF(207&lt;=COUNTA(半紙!$B$11:$B$310)+COUNTA(条幅!$B$11:$B$310),INDEX(条幅!$E$11:$E$310,207-COUNTA(半紙!$B$11:$B$310)),IF(207&lt;=COUNTA(半紙!$B$11:$B$310)+COUNTA(条幅!$B$11:$B$310)+COUNTA(条幅4分の1!$B$11:$B$310),INDEX(条幅4分の1!$E$11:$E$310,207-COUNTA(半紙!$B$11:$B$310)-COUNTA(条幅!$B$11:$B$310)),""))))</f>
        <v/>
      </c>
      <c r="F212" s="38" t="str">
        <f>IF(IF(207&lt;=COUNTA(半紙!$B$11:$B$310),INDEX(半紙!$F$11:$F$310,207),IF(207&lt;=COUNTA(半紙!$B$11:$B$310)+COUNTA(条幅!$B$11:$B$310),INDEX(条幅!$F$11:$F$310,207-COUNTA(半紙!$B$11:$B$310)),IF(207&lt;=COUNTA(半紙!$B$11:$B$310)+COUNTA(条幅!$B$11:$B$310)+COUNTA(条幅4分の1!$B$11:$B$310),INDEX(条幅4分の1!$F$11:$F$310,207-COUNTA(半紙!$B$11:$B$310)-COUNTA(条幅!$B$11:$B$310)),"")))=0,"",IF(207&lt;=COUNTA(半紙!$B$11:$B$310),INDEX(半紙!$F$11:$F$310,207),IF(207&lt;=COUNTA(半紙!$B$11:$B$310)+COUNTA(条幅!$B$11:$B$310),INDEX(条幅!$F$11:$F$310,207-COUNTA(半紙!$B$11:$B$310)),IF(207&lt;=COUNTA(半紙!$B$11:$B$310)+COUNTA(条幅!$B$11:$B$310)+COUNTA(条幅4分の1!$B$11:$B$310),INDEX(条幅4分の1!$F$11:$F$310,207-COUNTA(半紙!$B$11:$B$310)-COUNTA(条幅!$B$11:$B$310)),""))))</f>
        <v/>
      </c>
      <c r="G212" s="38" t="str">
        <f>IF(IF(207&lt;=COUNTA(半紙!$B$11:$B$310),INDEX(半紙!$G$11:$G$310,207),IF(207&lt;=COUNTA(半紙!$B$11:$B$310)+COUNTA(条幅!$B$11:$B$310),INDEX(条幅!$G$11:$G$310,207-COUNTA(半紙!$B$11:$B$310)),IF(207&lt;=COUNTA(半紙!$B$11:$B$310)+COUNTA(条幅!$B$11:$B$310)+COUNTA(条幅4分の1!$B$11:$B$310),INDEX(条幅4分の1!$G$11:$G$310,207-COUNTA(半紙!$B$11:$B$310)-COUNTA(条幅!$B$11:$B$310)),"")))=0,"",IF(207&lt;=COUNTA(半紙!$B$11:$B$310),INDEX(半紙!$G$11:$G$310,207),IF(207&lt;=COUNTA(半紙!$B$11:$B$310)+COUNTA(条幅!$B$11:$B$310),INDEX(条幅!$G$11:$G$310,207-COUNTA(半紙!$B$11:$B$310)),IF(207&lt;=COUNTA(半紙!$B$11:$B$310)+COUNTA(条幅!$B$11:$B$310)+COUNTA(条幅4分の1!$B$11:$B$310),INDEX(条幅4分の1!$G$11:$G$310,207-COUNTA(半紙!$B$11:$B$310)-COUNTA(条幅!$B$11:$B$310)),""))))</f>
        <v/>
      </c>
      <c r="H212" s="38" t="str">
        <f>IF(IF(207&lt;=COUNTA(半紙!$B$11:$B$310),INDEX(半紙!$H$11:$H$310,207),IF(207&lt;=COUNTA(半紙!$B$11:$B$310)+COUNTA(条幅!$B$11:$B$310),INDEX(条幅!$H$11:$H$310,207-COUNTA(半紙!$B$11:$B$310)),IF(207&lt;=COUNTA(半紙!$B$11:$B$310)+COUNTA(条幅!$B$11:$B$310)+COUNTA(条幅4分の1!$B$11:$B$310),INDEX(条幅4分の1!$H$11:$H$310,207-COUNTA(半紙!$B$11:$B$310)-COUNTA(条幅!$B$11:$B$310)),"")))=0,"",IF(207&lt;=COUNTA(半紙!$B$11:$B$310),INDEX(半紙!$H$11:$H$310,207),IF(207&lt;=COUNTA(半紙!$B$11:$B$310)+COUNTA(条幅!$B$11:$B$310),INDEX(条幅!$H$11:$H$310,207-COUNTA(半紙!$B$11:$B$310)),IF(207&lt;=COUNTA(半紙!$B$11:$B$310)+COUNTA(条幅!$B$11:$B$310)+COUNTA(条幅4分の1!$B$11:$B$310),INDEX(条幅4分の1!$H$11:$H$310,207-COUNTA(半紙!$B$11:$B$310)-COUNTA(条幅!$B$11:$B$310)),""))))</f>
        <v/>
      </c>
      <c r="I212" s="38" t="str">
        <f>IF(IF(207&lt;=COUNTA(半紙!$B$11:$B$310),INDEX(半紙!$I$11:$I$310,207),IF(207&lt;=COUNTA(半紙!$B$11:$B$310)+COUNTA(条幅!$B$11:$B$310),INDEX(条幅!$I$11:$I$310,207-COUNTA(半紙!$B$11:$B$310)),IF(207&lt;=COUNTA(半紙!$B$11:$B$310)+COUNTA(条幅!$B$11:$B$310)+COUNTA(条幅4分の1!$B$11:$B$310),INDEX(条幅4分の1!$I$11:$I$310,207-COUNTA(半紙!$B$11:$B$310)-COUNTA(条幅!$B$11:$B$310)),"")))=0,"",IF(207&lt;=COUNTA(半紙!$B$11:$B$310),INDEX(半紙!$I$11:$I$310,207),IF(207&lt;=COUNTA(半紙!$B$11:$B$310)+COUNTA(条幅!$B$11:$B$310),INDEX(条幅!$I$11:$I$310,207-COUNTA(半紙!$B$11:$B$310)),IF(207&lt;=COUNTA(半紙!$B$11:$B$310)+COUNTA(条幅!$B$11:$B$310)+COUNTA(条幅4分の1!$B$11:$B$310),INDEX(条幅4分の1!$I$11:$I$310,207-COUNTA(半紙!$B$11:$B$310)-COUNTA(条幅!$B$11:$B$310)),""))))</f>
        <v/>
      </c>
      <c r="J212" s="38" t="str">
        <f>IF(IF(207&lt;=COUNTA(半紙!$B$11:$B$310),INDEX(半紙!$J$11:$J$310,207),IF(207&lt;=COUNTA(半紙!$B$11:$B$310)+COUNTA(条幅!$B$11:$B$310),INDEX(条幅!$J$11:$J$310,207-COUNTA(半紙!$B$11:$B$310)),IF(207&lt;=COUNTA(半紙!$B$11:$B$310)+COUNTA(条幅!$B$11:$B$310)+COUNTA(条幅4分の1!$B$11:$B$310),INDEX(条幅4分の1!$J$11:$J$310,207-COUNTA(半紙!$B$11:$B$310)-COUNTA(条幅!$B$11:$B$310)),"")))=0,"",IF(207&lt;=COUNTA(半紙!$B$11:$B$310),INDEX(半紙!$J$11:$J$310,207),IF(207&lt;=COUNTA(半紙!$B$11:$B$310)+COUNTA(条幅!$B$11:$B$310),INDEX(条幅!$J$11:$J$310,207-COUNTA(半紙!$B$11:$B$310)),IF(207&lt;=COUNTA(半紙!$B$11:$B$310)+COUNTA(条幅!$B$11:$B$310)+COUNTA(条幅4分の1!$B$11:$B$310),INDEX(条幅4分の1!$J$11:$J$310,207-COUNTA(半紙!$B$11:$B$310)-COUNTA(条幅!$B$11:$B$310)),""))))</f>
        <v/>
      </c>
      <c r="K212" s="38" t="str">
        <f>IF(IF(207&lt;=COUNTA(半紙!$B$11:$B$310),INDEX(半紙!$K$11:$K$310,207),IF(207&lt;=COUNTA(半紙!$B$11:$B$310)+COUNTA(条幅!$B$11:$B$310),INDEX(条幅!$K$11:$K$310,207-COUNTA(半紙!$B$11:$B$310)),IF(207&lt;=COUNTA(半紙!$B$11:$B$310)+COUNTA(条幅!$B$11:$B$310)+COUNTA(条幅4分の1!$B$11:$B$310),INDEX(条幅4分の1!$K$11:$K$310,207-COUNTA(半紙!$B$11:$B$310)-COUNTA(条幅!$B$11:$B$310)),"")))=0,"",IF(207&lt;=COUNTA(半紙!$B$11:$B$310),INDEX(半紙!$K$11:$K$310,207),IF(207&lt;=COUNTA(半紙!$B$11:$B$310)+COUNTA(条幅!$B$11:$B$310),INDEX(条幅!$K$11:$K$310,207-COUNTA(半紙!$B$11:$B$310)),IF(207&lt;=COUNTA(半紙!$B$11:$B$310)+COUNTA(条幅!$B$11:$B$310)+COUNTA(条幅4分の1!$B$11:$B$310),INDEX(条幅4分の1!$K$11:$K$310,207-COUNTA(半紙!$B$11:$B$310)-COUNTA(条幅!$B$11:$B$310)),""))))</f>
        <v/>
      </c>
      <c r="L212" s="48" t="str">
        <f>IF($B212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207))</f>
        <v/>
      </c>
    </row>
    <row r="213" spans="1:12" ht="15" customHeight="1">
      <c r="A213" s="37" t="str">
        <f>IF(208&lt;=COUNTA(半紙!$B$11:$B$310),"半紙",IF(208&lt;=COUNTA(半紙!$B$11:$B$310)+COUNTA(条幅!$B$11:$B$310),"条幅(半切)",IF(208&lt;=COUNTA(半紙!$B$11:$B$310)+COUNTA(条幅!$B$11:$B$310)+COUNTA(条幅4分の1!$B$11:$B$310),"条幅(1/4)","")))</f>
        <v/>
      </c>
      <c r="B213" s="38" t="str">
        <f>IF(IF(208&lt;=COUNTA(半紙!$B$11:$B$310),INDEX(半紙!$B$11:$B$310,208),IF(208&lt;=COUNTA(半紙!$B$11:$B$310)+COUNTA(条幅!$B$11:$B$310),INDEX(条幅!$B$11:$B$310,208-COUNTA(半紙!$B$11:$B$310)),IF(208&lt;=COUNTA(半紙!$B$11:$B$310)+COUNTA(条幅!$B$11:$B$310)+COUNTA(条幅4分の1!$B$11:$B$310),INDEX(条幅4分の1!$B$11:$B$310,208-COUNTA(半紙!$B$11:$B$310)-COUNTA(条幅!$B$11:$B$310)),"")))=0,"",IF(208&lt;=COUNTA(半紙!$B$11:$B$310),INDEX(半紙!$B$11:$B$310,208),IF(208&lt;=COUNTA(半紙!$B$11:$B$310)+COUNTA(条幅!$B$11:$B$310),INDEX(条幅!$B$11:$B$310,208-COUNTA(半紙!$B$11:$B$310)),IF(208&lt;=COUNTA(半紙!$B$11:$B$310)+COUNTA(条幅!$B$11:$B$310)+COUNTA(条幅4分の1!$B$11:$B$310),INDEX(条幅4分の1!$B$11:$B$310,208-COUNTA(半紙!$B$11:$B$310)-COUNTA(条幅!$B$11:$B$310)),""))))</f>
        <v/>
      </c>
      <c r="C213" s="38" t="str">
        <f>IF(IF(208&lt;=COUNTA(半紙!$B$11:$B$310),INDEX(半紙!$C$11:$C$310,208),IF(208&lt;=COUNTA(半紙!$B$11:$B$310)+COUNTA(条幅!$B$11:$B$310),INDEX(条幅!$C$11:$C$310,208-COUNTA(半紙!$B$11:$B$310)),IF(208&lt;=COUNTA(半紙!$B$11:$B$310)+COUNTA(条幅!$B$11:$B$310)+COUNTA(条幅4分の1!$B$11:$B$310),INDEX(条幅4分の1!$C$11:$C$310,208-COUNTA(半紙!$B$11:$B$310)-COUNTA(条幅!$B$11:$B$310)),"")))=0,"",IF(208&lt;=COUNTA(半紙!$B$11:$B$310),INDEX(半紙!$C$11:$C$310,208),IF(208&lt;=COUNTA(半紙!$B$11:$B$310)+COUNTA(条幅!$B$11:$B$310),INDEX(条幅!$C$11:$C$310,208-COUNTA(半紙!$B$11:$B$310)),IF(208&lt;=COUNTA(半紙!$B$11:$B$310)+COUNTA(条幅!$B$11:$B$310)+COUNTA(条幅4分の1!$B$11:$B$310),INDEX(条幅4分の1!$C$11:$C$310,208-COUNTA(半紙!$B$11:$B$310)-COUNTA(条幅!$B$11:$B$310)),""))))</f>
        <v/>
      </c>
      <c r="D213" s="38" t="str">
        <f>IF(IF(208&lt;=COUNTA(半紙!$B$11:$B$310),INDEX(半紙!$D$11:$D$310,208),IF(208&lt;=COUNTA(半紙!$B$11:$B$310)+COUNTA(条幅!$B$11:$B$310),INDEX(条幅!$D$11:$D$310,208-COUNTA(半紙!$B$11:$B$310)),IF(208&lt;=COUNTA(半紙!$B$11:$B$310)+COUNTA(条幅!$B$11:$B$310)+COUNTA(条幅4分の1!$B$11:$B$310),INDEX(条幅4分の1!$D$11:$D$310,208-COUNTA(半紙!$B$11:$B$310)-COUNTA(条幅!$B$11:$B$310)),"")))=0,"",IF(208&lt;=COUNTA(半紙!$B$11:$B$310),INDEX(半紙!$D$11:$D$310,208),IF(208&lt;=COUNTA(半紙!$B$11:$B$310)+COUNTA(条幅!$B$11:$B$310),INDEX(条幅!$D$11:$D$310,208-COUNTA(半紙!$B$11:$B$310)),IF(208&lt;=COUNTA(半紙!$B$11:$B$310)+COUNTA(条幅!$B$11:$B$310)+COUNTA(条幅4分の1!$B$11:$B$310),INDEX(条幅4分の1!$D$11:$D$310,208-COUNTA(半紙!$B$11:$B$310)-COUNTA(条幅!$B$11:$B$310)),""))))</f>
        <v/>
      </c>
      <c r="E213" s="38" t="str">
        <f>IF(IF(208&lt;=COUNTA(半紙!$B$11:$B$310),INDEX(半紙!$E$11:$E$310,208),IF(208&lt;=COUNTA(半紙!$B$11:$B$310)+COUNTA(条幅!$B$11:$B$310),INDEX(条幅!$E$11:$E$310,208-COUNTA(半紙!$B$11:$B$310)),IF(208&lt;=COUNTA(半紙!$B$11:$B$310)+COUNTA(条幅!$B$11:$B$310)+COUNTA(条幅4分の1!$B$11:$B$310),INDEX(条幅4分の1!$E$11:$E$310,208-COUNTA(半紙!$B$11:$B$310)-COUNTA(条幅!$B$11:$B$310)),"")))=0,"",IF(208&lt;=COUNTA(半紙!$B$11:$B$310),INDEX(半紙!$E$11:$E$310,208),IF(208&lt;=COUNTA(半紙!$B$11:$B$310)+COUNTA(条幅!$B$11:$B$310),INDEX(条幅!$E$11:$E$310,208-COUNTA(半紙!$B$11:$B$310)),IF(208&lt;=COUNTA(半紙!$B$11:$B$310)+COUNTA(条幅!$B$11:$B$310)+COUNTA(条幅4分の1!$B$11:$B$310),INDEX(条幅4分の1!$E$11:$E$310,208-COUNTA(半紙!$B$11:$B$310)-COUNTA(条幅!$B$11:$B$310)),""))))</f>
        <v/>
      </c>
      <c r="F213" s="38" t="str">
        <f>IF(IF(208&lt;=COUNTA(半紙!$B$11:$B$310),INDEX(半紙!$F$11:$F$310,208),IF(208&lt;=COUNTA(半紙!$B$11:$B$310)+COUNTA(条幅!$B$11:$B$310),INDEX(条幅!$F$11:$F$310,208-COUNTA(半紙!$B$11:$B$310)),IF(208&lt;=COUNTA(半紙!$B$11:$B$310)+COUNTA(条幅!$B$11:$B$310)+COUNTA(条幅4分の1!$B$11:$B$310),INDEX(条幅4分の1!$F$11:$F$310,208-COUNTA(半紙!$B$11:$B$310)-COUNTA(条幅!$B$11:$B$310)),"")))=0,"",IF(208&lt;=COUNTA(半紙!$B$11:$B$310),INDEX(半紙!$F$11:$F$310,208),IF(208&lt;=COUNTA(半紙!$B$11:$B$310)+COUNTA(条幅!$B$11:$B$310),INDEX(条幅!$F$11:$F$310,208-COUNTA(半紙!$B$11:$B$310)),IF(208&lt;=COUNTA(半紙!$B$11:$B$310)+COUNTA(条幅!$B$11:$B$310)+COUNTA(条幅4分の1!$B$11:$B$310),INDEX(条幅4分の1!$F$11:$F$310,208-COUNTA(半紙!$B$11:$B$310)-COUNTA(条幅!$B$11:$B$310)),""))))</f>
        <v/>
      </c>
      <c r="G213" s="38" t="str">
        <f>IF(IF(208&lt;=COUNTA(半紙!$B$11:$B$310),INDEX(半紙!$G$11:$G$310,208),IF(208&lt;=COUNTA(半紙!$B$11:$B$310)+COUNTA(条幅!$B$11:$B$310),INDEX(条幅!$G$11:$G$310,208-COUNTA(半紙!$B$11:$B$310)),IF(208&lt;=COUNTA(半紙!$B$11:$B$310)+COUNTA(条幅!$B$11:$B$310)+COUNTA(条幅4分の1!$B$11:$B$310),INDEX(条幅4分の1!$G$11:$G$310,208-COUNTA(半紙!$B$11:$B$310)-COUNTA(条幅!$B$11:$B$310)),"")))=0,"",IF(208&lt;=COUNTA(半紙!$B$11:$B$310),INDEX(半紙!$G$11:$G$310,208),IF(208&lt;=COUNTA(半紙!$B$11:$B$310)+COUNTA(条幅!$B$11:$B$310),INDEX(条幅!$G$11:$G$310,208-COUNTA(半紙!$B$11:$B$310)),IF(208&lt;=COUNTA(半紙!$B$11:$B$310)+COUNTA(条幅!$B$11:$B$310)+COUNTA(条幅4分の1!$B$11:$B$310),INDEX(条幅4分の1!$G$11:$G$310,208-COUNTA(半紙!$B$11:$B$310)-COUNTA(条幅!$B$11:$B$310)),""))))</f>
        <v/>
      </c>
      <c r="H213" s="38" t="str">
        <f>IF(IF(208&lt;=COUNTA(半紙!$B$11:$B$310),INDEX(半紙!$H$11:$H$310,208),IF(208&lt;=COUNTA(半紙!$B$11:$B$310)+COUNTA(条幅!$B$11:$B$310),INDEX(条幅!$H$11:$H$310,208-COUNTA(半紙!$B$11:$B$310)),IF(208&lt;=COUNTA(半紙!$B$11:$B$310)+COUNTA(条幅!$B$11:$B$310)+COUNTA(条幅4分の1!$B$11:$B$310),INDEX(条幅4分の1!$H$11:$H$310,208-COUNTA(半紙!$B$11:$B$310)-COUNTA(条幅!$B$11:$B$310)),"")))=0,"",IF(208&lt;=COUNTA(半紙!$B$11:$B$310),INDEX(半紙!$H$11:$H$310,208),IF(208&lt;=COUNTA(半紙!$B$11:$B$310)+COUNTA(条幅!$B$11:$B$310),INDEX(条幅!$H$11:$H$310,208-COUNTA(半紙!$B$11:$B$310)),IF(208&lt;=COUNTA(半紙!$B$11:$B$310)+COUNTA(条幅!$B$11:$B$310)+COUNTA(条幅4分の1!$B$11:$B$310),INDEX(条幅4分の1!$H$11:$H$310,208-COUNTA(半紙!$B$11:$B$310)-COUNTA(条幅!$B$11:$B$310)),""))))</f>
        <v/>
      </c>
      <c r="I213" s="38" t="str">
        <f>IF(IF(208&lt;=COUNTA(半紙!$B$11:$B$310),INDEX(半紙!$I$11:$I$310,208),IF(208&lt;=COUNTA(半紙!$B$11:$B$310)+COUNTA(条幅!$B$11:$B$310),INDEX(条幅!$I$11:$I$310,208-COUNTA(半紙!$B$11:$B$310)),IF(208&lt;=COUNTA(半紙!$B$11:$B$310)+COUNTA(条幅!$B$11:$B$310)+COUNTA(条幅4分の1!$B$11:$B$310),INDEX(条幅4分の1!$I$11:$I$310,208-COUNTA(半紙!$B$11:$B$310)-COUNTA(条幅!$B$11:$B$310)),"")))=0,"",IF(208&lt;=COUNTA(半紙!$B$11:$B$310),INDEX(半紙!$I$11:$I$310,208),IF(208&lt;=COUNTA(半紙!$B$11:$B$310)+COUNTA(条幅!$B$11:$B$310),INDEX(条幅!$I$11:$I$310,208-COUNTA(半紙!$B$11:$B$310)),IF(208&lt;=COUNTA(半紙!$B$11:$B$310)+COUNTA(条幅!$B$11:$B$310)+COUNTA(条幅4分の1!$B$11:$B$310),INDEX(条幅4分の1!$I$11:$I$310,208-COUNTA(半紙!$B$11:$B$310)-COUNTA(条幅!$B$11:$B$310)),""))))</f>
        <v/>
      </c>
      <c r="J213" s="38" t="str">
        <f>IF(IF(208&lt;=COUNTA(半紙!$B$11:$B$310),INDEX(半紙!$J$11:$J$310,208),IF(208&lt;=COUNTA(半紙!$B$11:$B$310)+COUNTA(条幅!$B$11:$B$310),INDEX(条幅!$J$11:$J$310,208-COUNTA(半紙!$B$11:$B$310)),IF(208&lt;=COUNTA(半紙!$B$11:$B$310)+COUNTA(条幅!$B$11:$B$310)+COUNTA(条幅4分の1!$B$11:$B$310),INDEX(条幅4分の1!$J$11:$J$310,208-COUNTA(半紙!$B$11:$B$310)-COUNTA(条幅!$B$11:$B$310)),"")))=0,"",IF(208&lt;=COUNTA(半紙!$B$11:$B$310),INDEX(半紙!$J$11:$J$310,208),IF(208&lt;=COUNTA(半紙!$B$11:$B$310)+COUNTA(条幅!$B$11:$B$310),INDEX(条幅!$J$11:$J$310,208-COUNTA(半紙!$B$11:$B$310)),IF(208&lt;=COUNTA(半紙!$B$11:$B$310)+COUNTA(条幅!$B$11:$B$310)+COUNTA(条幅4分の1!$B$11:$B$310),INDEX(条幅4分の1!$J$11:$J$310,208-COUNTA(半紙!$B$11:$B$310)-COUNTA(条幅!$B$11:$B$310)),""))))</f>
        <v/>
      </c>
      <c r="K213" s="38" t="str">
        <f>IF(IF(208&lt;=COUNTA(半紙!$B$11:$B$310),INDEX(半紙!$K$11:$K$310,208),IF(208&lt;=COUNTA(半紙!$B$11:$B$310)+COUNTA(条幅!$B$11:$B$310),INDEX(条幅!$K$11:$K$310,208-COUNTA(半紙!$B$11:$B$310)),IF(208&lt;=COUNTA(半紙!$B$11:$B$310)+COUNTA(条幅!$B$11:$B$310)+COUNTA(条幅4分の1!$B$11:$B$310),INDEX(条幅4分の1!$K$11:$K$310,208-COUNTA(半紙!$B$11:$B$310)-COUNTA(条幅!$B$11:$B$310)),"")))=0,"",IF(208&lt;=COUNTA(半紙!$B$11:$B$310),INDEX(半紙!$K$11:$K$310,208),IF(208&lt;=COUNTA(半紙!$B$11:$B$310)+COUNTA(条幅!$B$11:$B$310),INDEX(条幅!$K$11:$K$310,208-COUNTA(半紙!$B$11:$B$310)),IF(208&lt;=COUNTA(半紙!$B$11:$B$310)+COUNTA(条幅!$B$11:$B$310)+COUNTA(条幅4分の1!$B$11:$B$310),INDEX(条幅4分の1!$K$11:$K$310,208-COUNTA(半紙!$B$11:$B$310)-COUNTA(条幅!$B$11:$B$310)),""))))</f>
        <v/>
      </c>
      <c r="L213" s="48" t="str">
        <f>IF($B213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208))</f>
        <v/>
      </c>
    </row>
    <row r="214" spans="1:12" ht="15" customHeight="1">
      <c r="A214" s="37" t="str">
        <f>IF(209&lt;=COUNTA(半紙!$B$11:$B$310),"半紙",IF(209&lt;=COUNTA(半紙!$B$11:$B$310)+COUNTA(条幅!$B$11:$B$310),"条幅(半切)",IF(209&lt;=COUNTA(半紙!$B$11:$B$310)+COUNTA(条幅!$B$11:$B$310)+COUNTA(条幅4分の1!$B$11:$B$310),"条幅(1/4)","")))</f>
        <v/>
      </c>
      <c r="B214" s="38" t="str">
        <f>IF(IF(209&lt;=COUNTA(半紙!$B$11:$B$310),INDEX(半紙!$B$11:$B$310,209),IF(209&lt;=COUNTA(半紙!$B$11:$B$310)+COUNTA(条幅!$B$11:$B$310),INDEX(条幅!$B$11:$B$310,209-COUNTA(半紙!$B$11:$B$310)),IF(209&lt;=COUNTA(半紙!$B$11:$B$310)+COUNTA(条幅!$B$11:$B$310)+COUNTA(条幅4分の1!$B$11:$B$310),INDEX(条幅4分の1!$B$11:$B$310,209-COUNTA(半紙!$B$11:$B$310)-COUNTA(条幅!$B$11:$B$310)),"")))=0,"",IF(209&lt;=COUNTA(半紙!$B$11:$B$310),INDEX(半紙!$B$11:$B$310,209),IF(209&lt;=COUNTA(半紙!$B$11:$B$310)+COUNTA(条幅!$B$11:$B$310),INDEX(条幅!$B$11:$B$310,209-COUNTA(半紙!$B$11:$B$310)),IF(209&lt;=COUNTA(半紙!$B$11:$B$310)+COUNTA(条幅!$B$11:$B$310)+COUNTA(条幅4分の1!$B$11:$B$310),INDEX(条幅4分の1!$B$11:$B$310,209-COUNTA(半紙!$B$11:$B$310)-COUNTA(条幅!$B$11:$B$310)),""))))</f>
        <v/>
      </c>
      <c r="C214" s="38" t="str">
        <f>IF(IF(209&lt;=COUNTA(半紙!$B$11:$B$310),INDEX(半紙!$C$11:$C$310,209),IF(209&lt;=COUNTA(半紙!$B$11:$B$310)+COUNTA(条幅!$B$11:$B$310),INDEX(条幅!$C$11:$C$310,209-COUNTA(半紙!$B$11:$B$310)),IF(209&lt;=COUNTA(半紙!$B$11:$B$310)+COUNTA(条幅!$B$11:$B$310)+COUNTA(条幅4分の1!$B$11:$B$310),INDEX(条幅4分の1!$C$11:$C$310,209-COUNTA(半紙!$B$11:$B$310)-COUNTA(条幅!$B$11:$B$310)),"")))=0,"",IF(209&lt;=COUNTA(半紙!$B$11:$B$310),INDEX(半紙!$C$11:$C$310,209),IF(209&lt;=COUNTA(半紙!$B$11:$B$310)+COUNTA(条幅!$B$11:$B$310),INDEX(条幅!$C$11:$C$310,209-COUNTA(半紙!$B$11:$B$310)),IF(209&lt;=COUNTA(半紙!$B$11:$B$310)+COUNTA(条幅!$B$11:$B$310)+COUNTA(条幅4分の1!$B$11:$B$310),INDEX(条幅4分の1!$C$11:$C$310,209-COUNTA(半紙!$B$11:$B$310)-COUNTA(条幅!$B$11:$B$310)),""))))</f>
        <v/>
      </c>
      <c r="D214" s="38" t="str">
        <f>IF(IF(209&lt;=COUNTA(半紙!$B$11:$B$310),INDEX(半紙!$D$11:$D$310,209),IF(209&lt;=COUNTA(半紙!$B$11:$B$310)+COUNTA(条幅!$B$11:$B$310),INDEX(条幅!$D$11:$D$310,209-COUNTA(半紙!$B$11:$B$310)),IF(209&lt;=COUNTA(半紙!$B$11:$B$310)+COUNTA(条幅!$B$11:$B$310)+COUNTA(条幅4分の1!$B$11:$B$310),INDEX(条幅4分の1!$D$11:$D$310,209-COUNTA(半紙!$B$11:$B$310)-COUNTA(条幅!$B$11:$B$310)),"")))=0,"",IF(209&lt;=COUNTA(半紙!$B$11:$B$310),INDEX(半紙!$D$11:$D$310,209),IF(209&lt;=COUNTA(半紙!$B$11:$B$310)+COUNTA(条幅!$B$11:$B$310),INDEX(条幅!$D$11:$D$310,209-COUNTA(半紙!$B$11:$B$310)),IF(209&lt;=COUNTA(半紙!$B$11:$B$310)+COUNTA(条幅!$B$11:$B$310)+COUNTA(条幅4分の1!$B$11:$B$310),INDEX(条幅4分の1!$D$11:$D$310,209-COUNTA(半紙!$B$11:$B$310)-COUNTA(条幅!$B$11:$B$310)),""))))</f>
        <v/>
      </c>
      <c r="E214" s="38" t="str">
        <f>IF(IF(209&lt;=COUNTA(半紙!$B$11:$B$310),INDEX(半紙!$E$11:$E$310,209),IF(209&lt;=COUNTA(半紙!$B$11:$B$310)+COUNTA(条幅!$B$11:$B$310),INDEX(条幅!$E$11:$E$310,209-COUNTA(半紙!$B$11:$B$310)),IF(209&lt;=COUNTA(半紙!$B$11:$B$310)+COUNTA(条幅!$B$11:$B$310)+COUNTA(条幅4分の1!$B$11:$B$310),INDEX(条幅4分の1!$E$11:$E$310,209-COUNTA(半紙!$B$11:$B$310)-COUNTA(条幅!$B$11:$B$310)),"")))=0,"",IF(209&lt;=COUNTA(半紙!$B$11:$B$310),INDEX(半紙!$E$11:$E$310,209),IF(209&lt;=COUNTA(半紙!$B$11:$B$310)+COUNTA(条幅!$B$11:$B$310),INDEX(条幅!$E$11:$E$310,209-COUNTA(半紙!$B$11:$B$310)),IF(209&lt;=COUNTA(半紙!$B$11:$B$310)+COUNTA(条幅!$B$11:$B$310)+COUNTA(条幅4分の1!$B$11:$B$310),INDEX(条幅4分の1!$E$11:$E$310,209-COUNTA(半紙!$B$11:$B$310)-COUNTA(条幅!$B$11:$B$310)),""))))</f>
        <v/>
      </c>
      <c r="F214" s="38" t="str">
        <f>IF(IF(209&lt;=COUNTA(半紙!$B$11:$B$310),INDEX(半紙!$F$11:$F$310,209),IF(209&lt;=COUNTA(半紙!$B$11:$B$310)+COUNTA(条幅!$B$11:$B$310),INDEX(条幅!$F$11:$F$310,209-COUNTA(半紙!$B$11:$B$310)),IF(209&lt;=COUNTA(半紙!$B$11:$B$310)+COUNTA(条幅!$B$11:$B$310)+COUNTA(条幅4分の1!$B$11:$B$310),INDEX(条幅4分の1!$F$11:$F$310,209-COUNTA(半紙!$B$11:$B$310)-COUNTA(条幅!$B$11:$B$310)),"")))=0,"",IF(209&lt;=COUNTA(半紙!$B$11:$B$310),INDEX(半紙!$F$11:$F$310,209),IF(209&lt;=COUNTA(半紙!$B$11:$B$310)+COUNTA(条幅!$B$11:$B$310),INDEX(条幅!$F$11:$F$310,209-COUNTA(半紙!$B$11:$B$310)),IF(209&lt;=COUNTA(半紙!$B$11:$B$310)+COUNTA(条幅!$B$11:$B$310)+COUNTA(条幅4分の1!$B$11:$B$310),INDEX(条幅4分の1!$F$11:$F$310,209-COUNTA(半紙!$B$11:$B$310)-COUNTA(条幅!$B$11:$B$310)),""))))</f>
        <v/>
      </c>
      <c r="G214" s="38" t="str">
        <f>IF(IF(209&lt;=COUNTA(半紙!$B$11:$B$310),INDEX(半紙!$G$11:$G$310,209),IF(209&lt;=COUNTA(半紙!$B$11:$B$310)+COUNTA(条幅!$B$11:$B$310),INDEX(条幅!$G$11:$G$310,209-COUNTA(半紙!$B$11:$B$310)),IF(209&lt;=COUNTA(半紙!$B$11:$B$310)+COUNTA(条幅!$B$11:$B$310)+COUNTA(条幅4分の1!$B$11:$B$310),INDEX(条幅4分の1!$G$11:$G$310,209-COUNTA(半紙!$B$11:$B$310)-COUNTA(条幅!$B$11:$B$310)),"")))=0,"",IF(209&lt;=COUNTA(半紙!$B$11:$B$310),INDEX(半紙!$G$11:$G$310,209),IF(209&lt;=COUNTA(半紙!$B$11:$B$310)+COUNTA(条幅!$B$11:$B$310),INDEX(条幅!$G$11:$G$310,209-COUNTA(半紙!$B$11:$B$310)),IF(209&lt;=COUNTA(半紙!$B$11:$B$310)+COUNTA(条幅!$B$11:$B$310)+COUNTA(条幅4分の1!$B$11:$B$310),INDEX(条幅4分の1!$G$11:$G$310,209-COUNTA(半紙!$B$11:$B$310)-COUNTA(条幅!$B$11:$B$310)),""))))</f>
        <v/>
      </c>
      <c r="H214" s="38" t="str">
        <f>IF(IF(209&lt;=COUNTA(半紙!$B$11:$B$310),INDEX(半紙!$H$11:$H$310,209),IF(209&lt;=COUNTA(半紙!$B$11:$B$310)+COUNTA(条幅!$B$11:$B$310),INDEX(条幅!$H$11:$H$310,209-COUNTA(半紙!$B$11:$B$310)),IF(209&lt;=COUNTA(半紙!$B$11:$B$310)+COUNTA(条幅!$B$11:$B$310)+COUNTA(条幅4分の1!$B$11:$B$310),INDEX(条幅4分の1!$H$11:$H$310,209-COUNTA(半紙!$B$11:$B$310)-COUNTA(条幅!$B$11:$B$310)),"")))=0,"",IF(209&lt;=COUNTA(半紙!$B$11:$B$310),INDEX(半紙!$H$11:$H$310,209),IF(209&lt;=COUNTA(半紙!$B$11:$B$310)+COUNTA(条幅!$B$11:$B$310),INDEX(条幅!$H$11:$H$310,209-COUNTA(半紙!$B$11:$B$310)),IF(209&lt;=COUNTA(半紙!$B$11:$B$310)+COUNTA(条幅!$B$11:$B$310)+COUNTA(条幅4分の1!$B$11:$B$310),INDEX(条幅4分の1!$H$11:$H$310,209-COUNTA(半紙!$B$11:$B$310)-COUNTA(条幅!$B$11:$B$310)),""))))</f>
        <v/>
      </c>
      <c r="I214" s="38" t="str">
        <f>IF(IF(209&lt;=COUNTA(半紙!$B$11:$B$310),INDEX(半紙!$I$11:$I$310,209),IF(209&lt;=COUNTA(半紙!$B$11:$B$310)+COUNTA(条幅!$B$11:$B$310),INDEX(条幅!$I$11:$I$310,209-COUNTA(半紙!$B$11:$B$310)),IF(209&lt;=COUNTA(半紙!$B$11:$B$310)+COUNTA(条幅!$B$11:$B$310)+COUNTA(条幅4分の1!$B$11:$B$310),INDEX(条幅4分の1!$I$11:$I$310,209-COUNTA(半紙!$B$11:$B$310)-COUNTA(条幅!$B$11:$B$310)),"")))=0,"",IF(209&lt;=COUNTA(半紙!$B$11:$B$310),INDEX(半紙!$I$11:$I$310,209),IF(209&lt;=COUNTA(半紙!$B$11:$B$310)+COUNTA(条幅!$B$11:$B$310),INDEX(条幅!$I$11:$I$310,209-COUNTA(半紙!$B$11:$B$310)),IF(209&lt;=COUNTA(半紙!$B$11:$B$310)+COUNTA(条幅!$B$11:$B$310)+COUNTA(条幅4分の1!$B$11:$B$310),INDEX(条幅4分の1!$I$11:$I$310,209-COUNTA(半紙!$B$11:$B$310)-COUNTA(条幅!$B$11:$B$310)),""))))</f>
        <v/>
      </c>
      <c r="J214" s="38" t="str">
        <f>IF(IF(209&lt;=COUNTA(半紙!$B$11:$B$310),INDEX(半紙!$J$11:$J$310,209),IF(209&lt;=COUNTA(半紙!$B$11:$B$310)+COUNTA(条幅!$B$11:$B$310),INDEX(条幅!$J$11:$J$310,209-COUNTA(半紙!$B$11:$B$310)),IF(209&lt;=COUNTA(半紙!$B$11:$B$310)+COUNTA(条幅!$B$11:$B$310)+COUNTA(条幅4分の1!$B$11:$B$310),INDEX(条幅4分の1!$J$11:$J$310,209-COUNTA(半紙!$B$11:$B$310)-COUNTA(条幅!$B$11:$B$310)),"")))=0,"",IF(209&lt;=COUNTA(半紙!$B$11:$B$310),INDEX(半紙!$J$11:$J$310,209),IF(209&lt;=COUNTA(半紙!$B$11:$B$310)+COUNTA(条幅!$B$11:$B$310),INDEX(条幅!$J$11:$J$310,209-COUNTA(半紙!$B$11:$B$310)),IF(209&lt;=COUNTA(半紙!$B$11:$B$310)+COUNTA(条幅!$B$11:$B$310)+COUNTA(条幅4分の1!$B$11:$B$310),INDEX(条幅4分の1!$J$11:$J$310,209-COUNTA(半紙!$B$11:$B$310)-COUNTA(条幅!$B$11:$B$310)),""))))</f>
        <v/>
      </c>
      <c r="K214" s="38" t="str">
        <f>IF(IF(209&lt;=COUNTA(半紙!$B$11:$B$310),INDEX(半紙!$K$11:$K$310,209),IF(209&lt;=COUNTA(半紙!$B$11:$B$310)+COUNTA(条幅!$B$11:$B$310),INDEX(条幅!$K$11:$K$310,209-COUNTA(半紙!$B$11:$B$310)),IF(209&lt;=COUNTA(半紙!$B$11:$B$310)+COUNTA(条幅!$B$11:$B$310)+COUNTA(条幅4分の1!$B$11:$B$310),INDEX(条幅4分の1!$K$11:$K$310,209-COUNTA(半紙!$B$11:$B$310)-COUNTA(条幅!$B$11:$B$310)),"")))=0,"",IF(209&lt;=COUNTA(半紙!$B$11:$B$310),INDEX(半紙!$K$11:$K$310,209),IF(209&lt;=COUNTA(半紙!$B$11:$B$310)+COUNTA(条幅!$B$11:$B$310),INDEX(条幅!$K$11:$K$310,209-COUNTA(半紙!$B$11:$B$310)),IF(209&lt;=COUNTA(半紙!$B$11:$B$310)+COUNTA(条幅!$B$11:$B$310)+COUNTA(条幅4分の1!$B$11:$B$310),INDEX(条幅4分の1!$K$11:$K$310,209-COUNTA(半紙!$B$11:$B$310)-COUNTA(条幅!$B$11:$B$310)),""))))</f>
        <v/>
      </c>
      <c r="L214" s="48" t="str">
        <f>IF($B214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209))</f>
        <v/>
      </c>
    </row>
    <row r="215" spans="1:12" ht="15" customHeight="1">
      <c r="A215" s="37" t="str">
        <f>IF(210&lt;=COUNTA(半紙!$B$11:$B$310),"半紙",IF(210&lt;=COUNTA(半紙!$B$11:$B$310)+COUNTA(条幅!$B$11:$B$310),"条幅(半切)",IF(210&lt;=COUNTA(半紙!$B$11:$B$310)+COUNTA(条幅!$B$11:$B$310)+COUNTA(条幅4分の1!$B$11:$B$310),"条幅(1/4)","")))</f>
        <v/>
      </c>
      <c r="B215" s="38" t="str">
        <f>IF(IF(210&lt;=COUNTA(半紙!$B$11:$B$310),INDEX(半紙!$B$11:$B$310,210),IF(210&lt;=COUNTA(半紙!$B$11:$B$310)+COUNTA(条幅!$B$11:$B$310),INDEX(条幅!$B$11:$B$310,210-COUNTA(半紙!$B$11:$B$310)),IF(210&lt;=COUNTA(半紙!$B$11:$B$310)+COUNTA(条幅!$B$11:$B$310)+COUNTA(条幅4分の1!$B$11:$B$310),INDEX(条幅4分の1!$B$11:$B$310,210-COUNTA(半紙!$B$11:$B$310)-COUNTA(条幅!$B$11:$B$310)),"")))=0,"",IF(210&lt;=COUNTA(半紙!$B$11:$B$310),INDEX(半紙!$B$11:$B$310,210),IF(210&lt;=COUNTA(半紙!$B$11:$B$310)+COUNTA(条幅!$B$11:$B$310),INDEX(条幅!$B$11:$B$310,210-COUNTA(半紙!$B$11:$B$310)),IF(210&lt;=COUNTA(半紙!$B$11:$B$310)+COUNTA(条幅!$B$11:$B$310)+COUNTA(条幅4分の1!$B$11:$B$310),INDEX(条幅4分の1!$B$11:$B$310,210-COUNTA(半紙!$B$11:$B$310)-COUNTA(条幅!$B$11:$B$310)),""))))</f>
        <v/>
      </c>
      <c r="C215" s="38" t="str">
        <f>IF(IF(210&lt;=COUNTA(半紙!$B$11:$B$310),INDEX(半紙!$C$11:$C$310,210),IF(210&lt;=COUNTA(半紙!$B$11:$B$310)+COUNTA(条幅!$B$11:$B$310),INDEX(条幅!$C$11:$C$310,210-COUNTA(半紙!$B$11:$B$310)),IF(210&lt;=COUNTA(半紙!$B$11:$B$310)+COUNTA(条幅!$B$11:$B$310)+COUNTA(条幅4分の1!$B$11:$B$310),INDEX(条幅4分の1!$C$11:$C$310,210-COUNTA(半紙!$B$11:$B$310)-COUNTA(条幅!$B$11:$B$310)),"")))=0,"",IF(210&lt;=COUNTA(半紙!$B$11:$B$310),INDEX(半紙!$C$11:$C$310,210),IF(210&lt;=COUNTA(半紙!$B$11:$B$310)+COUNTA(条幅!$B$11:$B$310),INDEX(条幅!$C$11:$C$310,210-COUNTA(半紙!$B$11:$B$310)),IF(210&lt;=COUNTA(半紙!$B$11:$B$310)+COUNTA(条幅!$B$11:$B$310)+COUNTA(条幅4分の1!$B$11:$B$310),INDEX(条幅4分の1!$C$11:$C$310,210-COUNTA(半紙!$B$11:$B$310)-COUNTA(条幅!$B$11:$B$310)),""))))</f>
        <v/>
      </c>
      <c r="D215" s="38" t="str">
        <f>IF(IF(210&lt;=COUNTA(半紙!$B$11:$B$310),INDEX(半紙!$D$11:$D$310,210),IF(210&lt;=COUNTA(半紙!$B$11:$B$310)+COUNTA(条幅!$B$11:$B$310),INDEX(条幅!$D$11:$D$310,210-COUNTA(半紙!$B$11:$B$310)),IF(210&lt;=COUNTA(半紙!$B$11:$B$310)+COUNTA(条幅!$B$11:$B$310)+COUNTA(条幅4分の1!$B$11:$B$310),INDEX(条幅4分の1!$D$11:$D$310,210-COUNTA(半紙!$B$11:$B$310)-COUNTA(条幅!$B$11:$B$310)),"")))=0,"",IF(210&lt;=COUNTA(半紙!$B$11:$B$310),INDEX(半紙!$D$11:$D$310,210),IF(210&lt;=COUNTA(半紙!$B$11:$B$310)+COUNTA(条幅!$B$11:$B$310),INDEX(条幅!$D$11:$D$310,210-COUNTA(半紙!$B$11:$B$310)),IF(210&lt;=COUNTA(半紙!$B$11:$B$310)+COUNTA(条幅!$B$11:$B$310)+COUNTA(条幅4分の1!$B$11:$B$310),INDEX(条幅4分の1!$D$11:$D$310,210-COUNTA(半紙!$B$11:$B$310)-COUNTA(条幅!$B$11:$B$310)),""))))</f>
        <v/>
      </c>
      <c r="E215" s="38" t="str">
        <f>IF(IF(210&lt;=COUNTA(半紙!$B$11:$B$310),INDEX(半紙!$E$11:$E$310,210),IF(210&lt;=COUNTA(半紙!$B$11:$B$310)+COUNTA(条幅!$B$11:$B$310),INDEX(条幅!$E$11:$E$310,210-COUNTA(半紙!$B$11:$B$310)),IF(210&lt;=COUNTA(半紙!$B$11:$B$310)+COUNTA(条幅!$B$11:$B$310)+COUNTA(条幅4分の1!$B$11:$B$310),INDEX(条幅4分の1!$E$11:$E$310,210-COUNTA(半紙!$B$11:$B$310)-COUNTA(条幅!$B$11:$B$310)),"")))=0,"",IF(210&lt;=COUNTA(半紙!$B$11:$B$310),INDEX(半紙!$E$11:$E$310,210),IF(210&lt;=COUNTA(半紙!$B$11:$B$310)+COUNTA(条幅!$B$11:$B$310),INDEX(条幅!$E$11:$E$310,210-COUNTA(半紙!$B$11:$B$310)),IF(210&lt;=COUNTA(半紙!$B$11:$B$310)+COUNTA(条幅!$B$11:$B$310)+COUNTA(条幅4分の1!$B$11:$B$310),INDEX(条幅4分の1!$E$11:$E$310,210-COUNTA(半紙!$B$11:$B$310)-COUNTA(条幅!$B$11:$B$310)),""))))</f>
        <v/>
      </c>
      <c r="F215" s="38" t="str">
        <f>IF(IF(210&lt;=COUNTA(半紙!$B$11:$B$310),INDEX(半紙!$F$11:$F$310,210),IF(210&lt;=COUNTA(半紙!$B$11:$B$310)+COUNTA(条幅!$B$11:$B$310),INDEX(条幅!$F$11:$F$310,210-COUNTA(半紙!$B$11:$B$310)),IF(210&lt;=COUNTA(半紙!$B$11:$B$310)+COUNTA(条幅!$B$11:$B$310)+COUNTA(条幅4分の1!$B$11:$B$310),INDEX(条幅4分の1!$F$11:$F$310,210-COUNTA(半紙!$B$11:$B$310)-COUNTA(条幅!$B$11:$B$310)),"")))=0,"",IF(210&lt;=COUNTA(半紙!$B$11:$B$310),INDEX(半紙!$F$11:$F$310,210),IF(210&lt;=COUNTA(半紙!$B$11:$B$310)+COUNTA(条幅!$B$11:$B$310),INDEX(条幅!$F$11:$F$310,210-COUNTA(半紙!$B$11:$B$310)),IF(210&lt;=COUNTA(半紙!$B$11:$B$310)+COUNTA(条幅!$B$11:$B$310)+COUNTA(条幅4分の1!$B$11:$B$310),INDEX(条幅4分の1!$F$11:$F$310,210-COUNTA(半紙!$B$11:$B$310)-COUNTA(条幅!$B$11:$B$310)),""))))</f>
        <v/>
      </c>
      <c r="G215" s="38" t="str">
        <f>IF(IF(210&lt;=COUNTA(半紙!$B$11:$B$310),INDEX(半紙!$G$11:$G$310,210),IF(210&lt;=COUNTA(半紙!$B$11:$B$310)+COUNTA(条幅!$B$11:$B$310),INDEX(条幅!$G$11:$G$310,210-COUNTA(半紙!$B$11:$B$310)),IF(210&lt;=COUNTA(半紙!$B$11:$B$310)+COUNTA(条幅!$B$11:$B$310)+COUNTA(条幅4分の1!$B$11:$B$310),INDEX(条幅4分の1!$G$11:$G$310,210-COUNTA(半紙!$B$11:$B$310)-COUNTA(条幅!$B$11:$B$310)),"")))=0,"",IF(210&lt;=COUNTA(半紙!$B$11:$B$310),INDEX(半紙!$G$11:$G$310,210),IF(210&lt;=COUNTA(半紙!$B$11:$B$310)+COUNTA(条幅!$B$11:$B$310),INDEX(条幅!$G$11:$G$310,210-COUNTA(半紙!$B$11:$B$310)),IF(210&lt;=COUNTA(半紙!$B$11:$B$310)+COUNTA(条幅!$B$11:$B$310)+COUNTA(条幅4分の1!$B$11:$B$310),INDEX(条幅4分の1!$G$11:$G$310,210-COUNTA(半紙!$B$11:$B$310)-COUNTA(条幅!$B$11:$B$310)),""))))</f>
        <v/>
      </c>
      <c r="H215" s="38" t="str">
        <f>IF(IF(210&lt;=COUNTA(半紙!$B$11:$B$310),INDEX(半紙!$H$11:$H$310,210),IF(210&lt;=COUNTA(半紙!$B$11:$B$310)+COUNTA(条幅!$B$11:$B$310),INDEX(条幅!$H$11:$H$310,210-COUNTA(半紙!$B$11:$B$310)),IF(210&lt;=COUNTA(半紙!$B$11:$B$310)+COUNTA(条幅!$B$11:$B$310)+COUNTA(条幅4分の1!$B$11:$B$310),INDEX(条幅4分の1!$H$11:$H$310,210-COUNTA(半紙!$B$11:$B$310)-COUNTA(条幅!$B$11:$B$310)),"")))=0,"",IF(210&lt;=COUNTA(半紙!$B$11:$B$310),INDEX(半紙!$H$11:$H$310,210),IF(210&lt;=COUNTA(半紙!$B$11:$B$310)+COUNTA(条幅!$B$11:$B$310),INDEX(条幅!$H$11:$H$310,210-COUNTA(半紙!$B$11:$B$310)),IF(210&lt;=COUNTA(半紙!$B$11:$B$310)+COUNTA(条幅!$B$11:$B$310)+COUNTA(条幅4分の1!$B$11:$B$310),INDEX(条幅4分の1!$H$11:$H$310,210-COUNTA(半紙!$B$11:$B$310)-COUNTA(条幅!$B$11:$B$310)),""))))</f>
        <v/>
      </c>
      <c r="I215" s="38" t="str">
        <f>IF(IF(210&lt;=COUNTA(半紙!$B$11:$B$310),INDEX(半紙!$I$11:$I$310,210),IF(210&lt;=COUNTA(半紙!$B$11:$B$310)+COUNTA(条幅!$B$11:$B$310),INDEX(条幅!$I$11:$I$310,210-COUNTA(半紙!$B$11:$B$310)),IF(210&lt;=COUNTA(半紙!$B$11:$B$310)+COUNTA(条幅!$B$11:$B$310)+COUNTA(条幅4分の1!$B$11:$B$310),INDEX(条幅4分の1!$I$11:$I$310,210-COUNTA(半紙!$B$11:$B$310)-COUNTA(条幅!$B$11:$B$310)),"")))=0,"",IF(210&lt;=COUNTA(半紙!$B$11:$B$310),INDEX(半紙!$I$11:$I$310,210),IF(210&lt;=COUNTA(半紙!$B$11:$B$310)+COUNTA(条幅!$B$11:$B$310),INDEX(条幅!$I$11:$I$310,210-COUNTA(半紙!$B$11:$B$310)),IF(210&lt;=COUNTA(半紙!$B$11:$B$310)+COUNTA(条幅!$B$11:$B$310)+COUNTA(条幅4分の1!$B$11:$B$310),INDEX(条幅4分の1!$I$11:$I$310,210-COUNTA(半紙!$B$11:$B$310)-COUNTA(条幅!$B$11:$B$310)),""))))</f>
        <v/>
      </c>
      <c r="J215" s="38" t="str">
        <f>IF(IF(210&lt;=COUNTA(半紙!$B$11:$B$310),INDEX(半紙!$J$11:$J$310,210),IF(210&lt;=COUNTA(半紙!$B$11:$B$310)+COUNTA(条幅!$B$11:$B$310),INDEX(条幅!$J$11:$J$310,210-COUNTA(半紙!$B$11:$B$310)),IF(210&lt;=COUNTA(半紙!$B$11:$B$310)+COUNTA(条幅!$B$11:$B$310)+COUNTA(条幅4分の1!$B$11:$B$310),INDEX(条幅4分の1!$J$11:$J$310,210-COUNTA(半紙!$B$11:$B$310)-COUNTA(条幅!$B$11:$B$310)),"")))=0,"",IF(210&lt;=COUNTA(半紙!$B$11:$B$310),INDEX(半紙!$J$11:$J$310,210),IF(210&lt;=COUNTA(半紙!$B$11:$B$310)+COUNTA(条幅!$B$11:$B$310),INDEX(条幅!$J$11:$J$310,210-COUNTA(半紙!$B$11:$B$310)),IF(210&lt;=COUNTA(半紙!$B$11:$B$310)+COUNTA(条幅!$B$11:$B$310)+COUNTA(条幅4分の1!$B$11:$B$310),INDEX(条幅4分の1!$J$11:$J$310,210-COUNTA(半紙!$B$11:$B$310)-COUNTA(条幅!$B$11:$B$310)),""))))</f>
        <v/>
      </c>
      <c r="K215" s="38" t="str">
        <f>IF(IF(210&lt;=COUNTA(半紙!$B$11:$B$310),INDEX(半紙!$K$11:$K$310,210),IF(210&lt;=COUNTA(半紙!$B$11:$B$310)+COUNTA(条幅!$B$11:$B$310),INDEX(条幅!$K$11:$K$310,210-COUNTA(半紙!$B$11:$B$310)),IF(210&lt;=COUNTA(半紙!$B$11:$B$310)+COUNTA(条幅!$B$11:$B$310)+COUNTA(条幅4分の1!$B$11:$B$310),INDEX(条幅4分の1!$K$11:$K$310,210-COUNTA(半紙!$B$11:$B$310)-COUNTA(条幅!$B$11:$B$310)),"")))=0,"",IF(210&lt;=COUNTA(半紙!$B$11:$B$310),INDEX(半紙!$K$11:$K$310,210),IF(210&lt;=COUNTA(半紙!$B$11:$B$310)+COUNTA(条幅!$B$11:$B$310),INDEX(条幅!$K$11:$K$310,210-COUNTA(半紙!$B$11:$B$310)),IF(210&lt;=COUNTA(半紙!$B$11:$B$310)+COUNTA(条幅!$B$11:$B$310)+COUNTA(条幅4分の1!$B$11:$B$310),INDEX(条幅4分の1!$K$11:$K$310,210-COUNTA(半紙!$B$11:$B$310)-COUNTA(条幅!$B$11:$B$310)),""))))</f>
        <v/>
      </c>
      <c r="L215" s="48" t="str">
        <f>IF($B215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210))</f>
        <v/>
      </c>
    </row>
    <row r="216" spans="1:12" ht="15" customHeight="1">
      <c r="A216" s="37" t="str">
        <f>IF(211&lt;=COUNTA(半紙!$B$11:$B$310),"半紙",IF(211&lt;=COUNTA(半紙!$B$11:$B$310)+COUNTA(条幅!$B$11:$B$310),"条幅(半切)",IF(211&lt;=COUNTA(半紙!$B$11:$B$310)+COUNTA(条幅!$B$11:$B$310)+COUNTA(条幅4分の1!$B$11:$B$310),"条幅(1/4)","")))</f>
        <v/>
      </c>
      <c r="B216" s="38" t="str">
        <f>IF(IF(211&lt;=COUNTA(半紙!$B$11:$B$310),INDEX(半紙!$B$11:$B$310,211),IF(211&lt;=COUNTA(半紙!$B$11:$B$310)+COUNTA(条幅!$B$11:$B$310),INDEX(条幅!$B$11:$B$310,211-COUNTA(半紙!$B$11:$B$310)),IF(211&lt;=COUNTA(半紙!$B$11:$B$310)+COUNTA(条幅!$B$11:$B$310)+COUNTA(条幅4分の1!$B$11:$B$310),INDEX(条幅4分の1!$B$11:$B$310,211-COUNTA(半紙!$B$11:$B$310)-COUNTA(条幅!$B$11:$B$310)),"")))=0,"",IF(211&lt;=COUNTA(半紙!$B$11:$B$310),INDEX(半紙!$B$11:$B$310,211),IF(211&lt;=COUNTA(半紙!$B$11:$B$310)+COUNTA(条幅!$B$11:$B$310),INDEX(条幅!$B$11:$B$310,211-COUNTA(半紙!$B$11:$B$310)),IF(211&lt;=COUNTA(半紙!$B$11:$B$310)+COUNTA(条幅!$B$11:$B$310)+COUNTA(条幅4分の1!$B$11:$B$310),INDEX(条幅4分の1!$B$11:$B$310,211-COUNTA(半紙!$B$11:$B$310)-COUNTA(条幅!$B$11:$B$310)),""))))</f>
        <v/>
      </c>
      <c r="C216" s="38" t="str">
        <f>IF(IF(211&lt;=COUNTA(半紙!$B$11:$B$310),INDEX(半紙!$C$11:$C$310,211),IF(211&lt;=COUNTA(半紙!$B$11:$B$310)+COUNTA(条幅!$B$11:$B$310),INDEX(条幅!$C$11:$C$310,211-COUNTA(半紙!$B$11:$B$310)),IF(211&lt;=COUNTA(半紙!$B$11:$B$310)+COUNTA(条幅!$B$11:$B$310)+COUNTA(条幅4分の1!$B$11:$B$310),INDEX(条幅4分の1!$C$11:$C$310,211-COUNTA(半紙!$B$11:$B$310)-COUNTA(条幅!$B$11:$B$310)),"")))=0,"",IF(211&lt;=COUNTA(半紙!$B$11:$B$310),INDEX(半紙!$C$11:$C$310,211),IF(211&lt;=COUNTA(半紙!$B$11:$B$310)+COUNTA(条幅!$B$11:$B$310),INDEX(条幅!$C$11:$C$310,211-COUNTA(半紙!$B$11:$B$310)),IF(211&lt;=COUNTA(半紙!$B$11:$B$310)+COUNTA(条幅!$B$11:$B$310)+COUNTA(条幅4分の1!$B$11:$B$310),INDEX(条幅4分の1!$C$11:$C$310,211-COUNTA(半紙!$B$11:$B$310)-COUNTA(条幅!$B$11:$B$310)),""))))</f>
        <v/>
      </c>
      <c r="D216" s="38" t="str">
        <f>IF(IF(211&lt;=COUNTA(半紙!$B$11:$B$310),INDEX(半紙!$D$11:$D$310,211),IF(211&lt;=COUNTA(半紙!$B$11:$B$310)+COUNTA(条幅!$B$11:$B$310),INDEX(条幅!$D$11:$D$310,211-COUNTA(半紙!$B$11:$B$310)),IF(211&lt;=COUNTA(半紙!$B$11:$B$310)+COUNTA(条幅!$B$11:$B$310)+COUNTA(条幅4分の1!$B$11:$B$310),INDEX(条幅4分の1!$D$11:$D$310,211-COUNTA(半紙!$B$11:$B$310)-COUNTA(条幅!$B$11:$B$310)),"")))=0,"",IF(211&lt;=COUNTA(半紙!$B$11:$B$310),INDEX(半紙!$D$11:$D$310,211),IF(211&lt;=COUNTA(半紙!$B$11:$B$310)+COUNTA(条幅!$B$11:$B$310),INDEX(条幅!$D$11:$D$310,211-COUNTA(半紙!$B$11:$B$310)),IF(211&lt;=COUNTA(半紙!$B$11:$B$310)+COUNTA(条幅!$B$11:$B$310)+COUNTA(条幅4分の1!$B$11:$B$310),INDEX(条幅4分の1!$D$11:$D$310,211-COUNTA(半紙!$B$11:$B$310)-COUNTA(条幅!$B$11:$B$310)),""))))</f>
        <v/>
      </c>
      <c r="E216" s="38" t="str">
        <f>IF(IF(211&lt;=COUNTA(半紙!$B$11:$B$310),INDEX(半紙!$E$11:$E$310,211),IF(211&lt;=COUNTA(半紙!$B$11:$B$310)+COUNTA(条幅!$B$11:$B$310),INDEX(条幅!$E$11:$E$310,211-COUNTA(半紙!$B$11:$B$310)),IF(211&lt;=COUNTA(半紙!$B$11:$B$310)+COUNTA(条幅!$B$11:$B$310)+COUNTA(条幅4分の1!$B$11:$B$310),INDEX(条幅4分の1!$E$11:$E$310,211-COUNTA(半紙!$B$11:$B$310)-COUNTA(条幅!$B$11:$B$310)),"")))=0,"",IF(211&lt;=COUNTA(半紙!$B$11:$B$310),INDEX(半紙!$E$11:$E$310,211),IF(211&lt;=COUNTA(半紙!$B$11:$B$310)+COUNTA(条幅!$B$11:$B$310),INDEX(条幅!$E$11:$E$310,211-COUNTA(半紙!$B$11:$B$310)),IF(211&lt;=COUNTA(半紙!$B$11:$B$310)+COUNTA(条幅!$B$11:$B$310)+COUNTA(条幅4分の1!$B$11:$B$310),INDEX(条幅4分の1!$E$11:$E$310,211-COUNTA(半紙!$B$11:$B$310)-COUNTA(条幅!$B$11:$B$310)),""))))</f>
        <v/>
      </c>
      <c r="F216" s="38" t="str">
        <f>IF(IF(211&lt;=COUNTA(半紙!$B$11:$B$310),INDEX(半紙!$F$11:$F$310,211),IF(211&lt;=COUNTA(半紙!$B$11:$B$310)+COUNTA(条幅!$B$11:$B$310),INDEX(条幅!$F$11:$F$310,211-COUNTA(半紙!$B$11:$B$310)),IF(211&lt;=COUNTA(半紙!$B$11:$B$310)+COUNTA(条幅!$B$11:$B$310)+COUNTA(条幅4分の1!$B$11:$B$310),INDEX(条幅4分の1!$F$11:$F$310,211-COUNTA(半紙!$B$11:$B$310)-COUNTA(条幅!$B$11:$B$310)),"")))=0,"",IF(211&lt;=COUNTA(半紙!$B$11:$B$310),INDEX(半紙!$F$11:$F$310,211),IF(211&lt;=COUNTA(半紙!$B$11:$B$310)+COUNTA(条幅!$B$11:$B$310),INDEX(条幅!$F$11:$F$310,211-COUNTA(半紙!$B$11:$B$310)),IF(211&lt;=COUNTA(半紙!$B$11:$B$310)+COUNTA(条幅!$B$11:$B$310)+COUNTA(条幅4分の1!$B$11:$B$310),INDEX(条幅4分の1!$F$11:$F$310,211-COUNTA(半紙!$B$11:$B$310)-COUNTA(条幅!$B$11:$B$310)),""))))</f>
        <v/>
      </c>
      <c r="G216" s="38" t="str">
        <f>IF(IF(211&lt;=COUNTA(半紙!$B$11:$B$310),INDEX(半紙!$G$11:$G$310,211),IF(211&lt;=COUNTA(半紙!$B$11:$B$310)+COUNTA(条幅!$B$11:$B$310),INDEX(条幅!$G$11:$G$310,211-COUNTA(半紙!$B$11:$B$310)),IF(211&lt;=COUNTA(半紙!$B$11:$B$310)+COUNTA(条幅!$B$11:$B$310)+COUNTA(条幅4分の1!$B$11:$B$310),INDEX(条幅4分の1!$G$11:$G$310,211-COUNTA(半紙!$B$11:$B$310)-COUNTA(条幅!$B$11:$B$310)),"")))=0,"",IF(211&lt;=COUNTA(半紙!$B$11:$B$310),INDEX(半紙!$G$11:$G$310,211),IF(211&lt;=COUNTA(半紙!$B$11:$B$310)+COUNTA(条幅!$B$11:$B$310),INDEX(条幅!$G$11:$G$310,211-COUNTA(半紙!$B$11:$B$310)),IF(211&lt;=COUNTA(半紙!$B$11:$B$310)+COUNTA(条幅!$B$11:$B$310)+COUNTA(条幅4分の1!$B$11:$B$310),INDEX(条幅4分の1!$G$11:$G$310,211-COUNTA(半紙!$B$11:$B$310)-COUNTA(条幅!$B$11:$B$310)),""))))</f>
        <v/>
      </c>
      <c r="H216" s="38" t="str">
        <f>IF(IF(211&lt;=COUNTA(半紙!$B$11:$B$310),INDEX(半紙!$H$11:$H$310,211),IF(211&lt;=COUNTA(半紙!$B$11:$B$310)+COUNTA(条幅!$B$11:$B$310),INDEX(条幅!$H$11:$H$310,211-COUNTA(半紙!$B$11:$B$310)),IF(211&lt;=COUNTA(半紙!$B$11:$B$310)+COUNTA(条幅!$B$11:$B$310)+COUNTA(条幅4分の1!$B$11:$B$310),INDEX(条幅4分の1!$H$11:$H$310,211-COUNTA(半紙!$B$11:$B$310)-COUNTA(条幅!$B$11:$B$310)),"")))=0,"",IF(211&lt;=COUNTA(半紙!$B$11:$B$310),INDEX(半紙!$H$11:$H$310,211),IF(211&lt;=COUNTA(半紙!$B$11:$B$310)+COUNTA(条幅!$B$11:$B$310),INDEX(条幅!$H$11:$H$310,211-COUNTA(半紙!$B$11:$B$310)),IF(211&lt;=COUNTA(半紙!$B$11:$B$310)+COUNTA(条幅!$B$11:$B$310)+COUNTA(条幅4分の1!$B$11:$B$310),INDEX(条幅4分の1!$H$11:$H$310,211-COUNTA(半紙!$B$11:$B$310)-COUNTA(条幅!$B$11:$B$310)),""))))</f>
        <v/>
      </c>
      <c r="I216" s="38" t="str">
        <f>IF(IF(211&lt;=COUNTA(半紙!$B$11:$B$310),INDEX(半紙!$I$11:$I$310,211),IF(211&lt;=COUNTA(半紙!$B$11:$B$310)+COUNTA(条幅!$B$11:$B$310),INDEX(条幅!$I$11:$I$310,211-COUNTA(半紙!$B$11:$B$310)),IF(211&lt;=COUNTA(半紙!$B$11:$B$310)+COUNTA(条幅!$B$11:$B$310)+COUNTA(条幅4分の1!$B$11:$B$310),INDEX(条幅4分の1!$I$11:$I$310,211-COUNTA(半紙!$B$11:$B$310)-COUNTA(条幅!$B$11:$B$310)),"")))=0,"",IF(211&lt;=COUNTA(半紙!$B$11:$B$310),INDEX(半紙!$I$11:$I$310,211),IF(211&lt;=COUNTA(半紙!$B$11:$B$310)+COUNTA(条幅!$B$11:$B$310),INDEX(条幅!$I$11:$I$310,211-COUNTA(半紙!$B$11:$B$310)),IF(211&lt;=COUNTA(半紙!$B$11:$B$310)+COUNTA(条幅!$B$11:$B$310)+COUNTA(条幅4分の1!$B$11:$B$310),INDEX(条幅4分の1!$I$11:$I$310,211-COUNTA(半紙!$B$11:$B$310)-COUNTA(条幅!$B$11:$B$310)),""))))</f>
        <v/>
      </c>
      <c r="J216" s="38" t="str">
        <f>IF(IF(211&lt;=COUNTA(半紙!$B$11:$B$310),INDEX(半紙!$J$11:$J$310,211),IF(211&lt;=COUNTA(半紙!$B$11:$B$310)+COUNTA(条幅!$B$11:$B$310),INDEX(条幅!$J$11:$J$310,211-COUNTA(半紙!$B$11:$B$310)),IF(211&lt;=COUNTA(半紙!$B$11:$B$310)+COUNTA(条幅!$B$11:$B$310)+COUNTA(条幅4分の1!$B$11:$B$310),INDEX(条幅4分の1!$J$11:$J$310,211-COUNTA(半紙!$B$11:$B$310)-COUNTA(条幅!$B$11:$B$310)),"")))=0,"",IF(211&lt;=COUNTA(半紙!$B$11:$B$310),INDEX(半紙!$J$11:$J$310,211),IF(211&lt;=COUNTA(半紙!$B$11:$B$310)+COUNTA(条幅!$B$11:$B$310),INDEX(条幅!$J$11:$J$310,211-COUNTA(半紙!$B$11:$B$310)),IF(211&lt;=COUNTA(半紙!$B$11:$B$310)+COUNTA(条幅!$B$11:$B$310)+COUNTA(条幅4分の1!$B$11:$B$310),INDEX(条幅4分の1!$J$11:$J$310,211-COUNTA(半紙!$B$11:$B$310)-COUNTA(条幅!$B$11:$B$310)),""))))</f>
        <v/>
      </c>
      <c r="K216" s="38" t="str">
        <f>IF(IF(211&lt;=COUNTA(半紙!$B$11:$B$310),INDEX(半紙!$K$11:$K$310,211),IF(211&lt;=COUNTA(半紙!$B$11:$B$310)+COUNTA(条幅!$B$11:$B$310),INDEX(条幅!$K$11:$K$310,211-COUNTA(半紙!$B$11:$B$310)),IF(211&lt;=COUNTA(半紙!$B$11:$B$310)+COUNTA(条幅!$B$11:$B$310)+COUNTA(条幅4分の1!$B$11:$B$310),INDEX(条幅4分の1!$K$11:$K$310,211-COUNTA(半紙!$B$11:$B$310)-COUNTA(条幅!$B$11:$B$310)),"")))=0,"",IF(211&lt;=COUNTA(半紙!$B$11:$B$310),INDEX(半紙!$K$11:$K$310,211),IF(211&lt;=COUNTA(半紙!$B$11:$B$310)+COUNTA(条幅!$B$11:$B$310),INDEX(条幅!$K$11:$K$310,211-COUNTA(半紙!$B$11:$B$310)),IF(211&lt;=COUNTA(半紙!$B$11:$B$310)+COUNTA(条幅!$B$11:$B$310)+COUNTA(条幅4分の1!$B$11:$B$310),INDEX(条幅4分の1!$K$11:$K$310,211-COUNTA(半紙!$B$11:$B$310)-COUNTA(条幅!$B$11:$B$310)),""))))</f>
        <v/>
      </c>
      <c r="L216" s="48" t="str">
        <f>IF($B216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211))</f>
        <v/>
      </c>
    </row>
    <row r="217" spans="1:12" ht="15" customHeight="1">
      <c r="A217" s="37" t="str">
        <f>IF(212&lt;=COUNTA(半紙!$B$11:$B$310),"半紙",IF(212&lt;=COUNTA(半紙!$B$11:$B$310)+COUNTA(条幅!$B$11:$B$310),"条幅(半切)",IF(212&lt;=COUNTA(半紙!$B$11:$B$310)+COUNTA(条幅!$B$11:$B$310)+COUNTA(条幅4分の1!$B$11:$B$310),"条幅(1/4)","")))</f>
        <v/>
      </c>
      <c r="B217" s="38" t="str">
        <f>IF(IF(212&lt;=COUNTA(半紙!$B$11:$B$310),INDEX(半紙!$B$11:$B$310,212),IF(212&lt;=COUNTA(半紙!$B$11:$B$310)+COUNTA(条幅!$B$11:$B$310),INDEX(条幅!$B$11:$B$310,212-COUNTA(半紙!$B$11:$B$310)),IF(212&lt;=COUNTA(半紙!$B$11:$B$310)+COUNTA(条幅!$B$11:$B$310)+COUNTA(条幅4分の1!$B$11:$B$310),INDEX(条幅4分の1!$B$11:$B$310,212-COUNTA(半紙!$B$11:$B$310)-COUNTA(条幅!$B$11:$B$310)),"")))=0,"",IF(212&lt;=COUNTA(半紙!$B$11:$B$310),INDEX(半紙!$B$11:$B$310,212),IF(212&lt;=COUNTA(半紙!$B$11:$B$310)+COUNTA(条幅!$B$11:$B$310),INDEX(条幅!$B$11:$B$310,212-COUNTA(半紙!$B$11:$B$310)),IF(212&lt;=COUNTA(半紙!$B$11:$B$310)+COUNTA(条幅!$B$11:$B$310)+COUNTA(条幅4分の1!$B$11:$B$310),INDEX(条幅4分の1!$B$11:$B$310,212-COUNTA(半紙!$B$11:$B$310)-COUNTA(条幅!$B$11:$B$310)),""))))</f>
        <v/>
      </c>
      <c r="C217" s="38" t="str">
        <f>IF(IF(212&lt;=COUNTA(半紙!$B$11:$B$310),INDEX(半紙!$C$11:$C$310,212),IF(212&lt;=COUNTA(半紙!$B$11:$B$310)+COUNTA(条幅!$B$11:$B$310),INDEX(条幅!$C$11:$C$310,212-COUNTA(半紙!$B$11:$B$310)),IF(212&lt;=COUNTA(半紙!$B$11:$B$310)+COUNTA(条幅!$B$11:$B$310)+COUNTA(条幅4分の1!$B$11:$B$310),INDEX(条幅4分の1!$C$11:$C$310,212-COUNTA(半紙!$B$11:$B$310)-COUNTA(条幅!$B$11:$B$310)),"")))=0,"",IF(212&lt;=COUNTA(半紙!$B$11:$B$310),INDEX(半紙!$C$11:$C$310,212),IF(212&lt;=COUNTA(半紙!$B$11:$B$310)+COUNTA(条幅!$B$11:$B$310),INDEX(条幅!$C$11:$C$310,212-COUNTA(半紙!$B$11:$B$310)),IF(212&lt;=COUNTA(半紙!$B$11:$B$310)+COUNTA(条幅!$B$11:$B$310)+COUNTA(条幅4分の1!$B$11:$B$310),INDEX(条幅4分の1!$C$11:$C$310,212-COUNTA(半紙!$B$11:$B$310)-COUNTA(条幅!$B$11:$B$310)),""))))</f>
        <v/>
      </c>
      <c r="D217" s="38" t="str">
        <f>IF(IF(212&lt;=COUNTA(半紙!$B$11:$B$310),INDEX(半紙!$D$11:$D$310,212),IF(212&lt;=COUNTA(半紙!$B$11:$B$310)+COUNTA(条幅!$B$11:$B$310),INDEX(条幅!$D$11:$D$310,212-COUNTA(半紙!$B$11:$B$310)),IF(212&lt;=COUNTA(半紙!$B$11:$B$310)+COUNTA(条幅!$B$11:$B$310)+COUNTA(条幅4分の1!$B$11:$B$310),INDEX(条幅4分の1!$D$11:$D$310,212-COUNTA(半紙!$B$11:$B$310)-COUNTA(条幅!$B$11:$B$310)),"")))=0,"",IF(212&lt;=COUNTA(半紙!$B$11:$B$310),INDEX(半紙!$D$11:$D$310,212),IF(212&lt;=COUNTA(半紙!$B$11:$B$310)+COUNTA(条幅!$B$11:$B$310),INDEX(条幅!$D$11:$D$310,212-COUNTA(半紙!$B$11:$B$310)),IF(212&lt;=COUNTA(半紙!$B$11:$B$310)+COUNTA(条幅!$B$11:$B$310)+COUNTA(条幅4分の1!$B$11:$B$310),INDEX(条幅4分の1!$D$11:$D$310,212-COUNTA(半紙!$B$11:$B$310)-COUNTA(条幅!$B$11:$B$310)),""))))</f>
        <v/>
      </c>
      <c r="E217" s="38" t="str">
        <f>IF(IF(212&lt;=COUNTA(半紙!$B$11:$B$310),INDEX(半紙!$E$11:$E$310,212),IF(212&lt;=COUNTA(半紙!$B$11:$B$310)+COUNTA(条幅!$B$11:$B$310),INDEX(条幅!$E$11:$E$310,212-COUNTA(半紙!$B$11:$B$310)),IF(212&lt;=COUNTA(半紙!$B$11:$B$310)+COUNTA(条幅!$B$11:$B$310)+COUNTA(条幅4分の1!$B$11:$B$310),INDEX(条幅4分の1!$E$11:$E$310,212-COUNTA(半紙!$B$11:$B$310)-COUNTA(条幅!$B$11:$B$310)),"")))=0,"",IF(212&lt;=COUNTA(半紙!$B$11:$B$310),INDEX(半紙!$E$11:$E$310,212),IF(212&lt;=COUNTA(半紙!$B$11:$B$310)+COUNTA(条幅!$B$11:$B$310),INDEX(条幅!$E$11:$E$310,212-COUNTA(半紙!$B$11:$B$310)),IF(212&lt;=COUNTA(半紙!$B$11:$B$310)+COUNTA(条幅!$B$11:$B$310)+COUNTA(条幅4分の1!$B$11:$B$310),INDEX(条幅4分の1!$E$11:$E$310,212-COUNTA(半紙!$B$11:$B$310)-COUNTA(条幅!$B$11:$B$310)),""))))</f>
        <v/>
      </c>
      <c r="F217" s="38" t="str">
        <f>IF(IF(212&lt;=COUNTA(半紙!$B$11:$B$310),INDEX(半紙!$F$11:$F$310,212),IF(212&lt;=COUNTA(半紙!$B$11:$B$310)+COUNTA(条幅!$B$11:$B$310),INDEX(条幅!$F$11:$F$310,212-COUNTA(半紙!$B$11:$B$310)),IF(212&lt;=COUNTA(半紙!$B$11:$B$310)+COUNTA(条幅!$B$11:$B$310)+COUNTA(条幅4分の1!$B$11:$B$310),INDEX(条幅4分の1!$F$11:$F$310,212-COUNTA(半紙!$B$11:$B$310)-COUNTA(条幅!$B$11:$B$310)),"")))=0,"",IF(212&lt;=COUNTA(半紙!$B$11:$B$310),INDEX(半紙!$F$11:$F$310,212),IF(212&lt;=COUNTA(半紙!$B$11:$B$310)+COUNTA(条幅!$B$11:$B$310),INDEX(条幅!$F$11:$F$310,212-COUNTA(半紙!$B$11:$B$310)),IF(212&lt;=COUNTA(半紙!$B$11:$B$310)+COUNTA(条幅!$B$11:$B$310)+COUNTA(条幅4分の1!$B$11:$B$310),INDEX(条幅4分の1!$F$11:$F$310,212-COUNTA(半紙!$B$11:$B$310)-COUNTA(条幅!$B$11:$B$310)),""))))</f>
        <v/>
      </c>
      <c r="G217" s="38" t="str">
        <f>IF(IF(212&lt;=COUNTA(半紙!$B$11:$B$310),INDEX(半紙!$G$11:$G$310,212),IF(212&lt;=COUNTA(半紙!$B$11:$B$310)+COUNTA(条幅!$B$11:$B$310),INDEX(条幅!$G$11:$G$310,212-COUNTA(半紙!$B$11:$B$310)),IF(212&lt;=COUNTA(半紙!$B$11:$B$310)+COUNTA(条幅!$B$11:$B$310)+COUNTA(条幅4分の1!$B$11:$B$310),INDEX(条幅4分の1!$G$11:$G$310,212-COUNTA(半紙!$B$11:$B$310)-COUNTA(条幅!$B$11:$B$310)),"")))=0,"",IF(212&lt;=COUNTA(半紙!$B$11:$B$310),INDEX(半紙!$G$11:$G$310,212),IF(212&lt;=COUNTA(半紙!$B$11:$B$310)+COUNTA(条幅!$B$11:$B$310),INDEX(条幅!$G$11:$G$310,212-COUNTA(半紙!$B$11:$B$310)),IF(212&lt;=COUNTA(半紙!$B$11:$B$310)+COUNTA(条幅!$B$11:$B$310)+COUNTA(条幅4分の1!$B$11:$B$310),INDEX(条幅4分の1!$G$11:$G$310,212-COUNTA(半紙!$B$11:$B$310)-COUNTA(条幅!$B$11:$B$310)),""))))</f>
        <v/>
      </c>
      <c r="H217" s="38" t="str">
        <f>IF(IF(212&lt;=COUNTA(半紙!$B$11:$B$310),INDEX(半紙!$H$11:$H$310,212),IF(212&lt;=COUNTA(半紙!$B$11:$B$310)+COUNTA(条幅!$B$11:$B$310),INDEX(条幅!$H$11:$H$310,212-COUNTA(半紙!$B$11:$B$310)),IF(212&lt;=COUNTA(半紙!$B$11:$B$310)+COUNTA(条幅!$B$11:$B$310)+COUNTA(条幅4分の1!$B$11:$B$310),INDEX(条幅4分の1!$H$11:$H$310,212-COUNTA(半紙!$B$11:$B$310)-COUNTA(条幅!$B$11:$B$310)),"")))=0,"",IF(212&lt;=COUNTA(半紙!$B$11:$B$310),INDEX(半紙!$H$11:$H$310,212),IF(212&lt;=COUNTA(半紙!$B$11:$B$310)+COUNTA(条幅!$B$11:$B$310),INDEX(条幅!$H$11:$H$310,212-COUNTA(半紙!$B$11:$B$310)),IF(212&lt;=COUNTA(半紙!$B$11:$B$310)+COUNTA(条幅!$B$11:$B$310)+COUNTA(条幅4分の1!$B$11:$B$310),INDEX(条幅4分の1!$H$11:$H$310,212-COUNTA(半紙!$B$11:$B$310)-COUNTA(条幅!$B$11:$B$310)),""))))</f>
        <v/>
      </c>
      <c r="I217" s="38" t="str">
        <f>IF(IF(212&lt;=COUNTA(半紙!$B$11:$B$310),INDEX(半紙!$I$11:$I$310,212),IF(212&lt;=COUNTA(半紙!$B$11:$B$310)+COUNTA(条幅!$B$11:$B$310),INDEX(条幅!$I$11:$I$310,212-COUNTA(半紙!$B$11:$B$310)),IF(212&lt;=COUNTA(半紙!$B$11:$B$310)+COUNTA(条幅!$B$11:$B$310)+COUNTA(条幅4分の1!$B$11:$B$310),INDEX(条幅4分の1!$I$11:$I$310,212-COUNTA(半紙!$B$11:$B$310)-COUNTA(条幅!$B$11:$B$310)),"")))=0,"",IF(212&lt;=COUNTA(半紙!$B$11:$B$310),INDEX(半紙!$I$11:$I$310,212),IF(212&lt;=COUNTA(半紙!$B$11:$B$310)+COUNTA(条幅!$B$11:$B$310),INDEX(条幅!$I$11:$I$310,212-COUNTA(半紙!$B$11:$B$310)),IF(212&lt;=COUNTA(半紙!$B$11:$B$310)+COUNTA(条幅!$B$11:$B$310)+COUNTA(条幅4分の1!$B$11:$B$310),INDEX(条幅4分の1!$I$11:$I$310,212-COUNTA(半紙!$B$11:$B$310)-COUNTA(条幅!$B$11:$B$310)),""))))</f>
        <v/>
      </c>
      <c r="J217" s="38" t="str">
        <f>IF(IF(212&lt;=COUNTA(半紙!$B$11:$B$310),INDEX(半紙!$J$11:$J$310,212),IF(212&lt;=COUNTA(半紙!$B$11:$B$310)+COUNTA(条幅!$B$11:$B$310),INDEX(条幅!$J$11:$J$310,212-COUNTA(半紙!$B$11:$B$310)),IF(212&lt;=COUNTA(半紙!$B$11:$B$310)+COUNTA(条幅!$B$11:$B$310)+COUNTA(条幅4分の1!$B$11:$B$310),INDEX(条幅4分の1!$J$11:$J$310,212-COUNTA(半紙!$B$11:$B$310)-COUNTA(条幅!$B$11:$B$310)),"")))=0,"",IF(212&lt;=COUNTA(半紙!$B$11:$B$310),INDEX(半紙!$J$11:$J$310,212),IF(212&lt;=COUNTA(半紙!$B$11:$B$310)+COUNTA(条幅!$B$11:$B$310),INDEX(条幅!$J$11:$J$310,212-COUNTA(半紙!$B$11:$B$310)),IF(212&lt;=COUNTA(半紙!$B$11:$B$310)+COUNTA(条幅!$B$11:$B$310)+COUNTA(条幅4分の1!$B$11:$B$310),INDEX(条幅4分の1!$J$11:$J$310,212-COUNTA(半紙!$B$11:$B$310)-COUNTA(条幅!$B$11:$B$310)),""))))</f>
        <v/>
      </c>
      <c r="K217" s="38" t="str">
        <f>IF(IF(212&lt;=COUNTA(半紙!$B$11:$B$310),INDEX(半紙!$K$11:$K$310,212),IF(212&lt;=COUNTA(半紙!$B$11:$B$310)+COUNTA(条幅!$B$11:$B$310),INDEX(条幅!$K$11:$K$310,212-COUNTA(半紙!$B$11:$B$310)),IF(212&lt;=COUNTA(半紙!$B$11:$B$310)+COUNTA(条幅!$B$11:$B$310)+COUNTA(条幅4分の1!$B$11:$B$310),INDEX(条幅4分の1!$K$11:$K$310,212-COUNTA(半紙!$B$11:$B$310)-COUNTA(条幅!$B$11:$B$310)),"")))=0,"",IF(212&lt;=COUNTA(半紙!$B$11:$B$310),INDEX(半紙!$K$11:$K$310,212),IF(212&lt;=COUNTA(半紙!$B$11:$B$310)+COUNTA(条幅!$B$11:$B$310),INDEX(条幅!$K$11:$K$310,212-COUNTA(半紙!$B$11:$B$310)),IF(212&lt;=COUNTA(半紙!$B$11:$B$310)+COUNTA(条幅!$B$11:$B$310)+COUNTA(条幅4分の1!$B$11:$B$310),INDEX(条幅4分の1!$K$11:$K$310,212-COUNTA(半紙!$B$11:$B$310)-COUNTA(条幅!$B$11:$B$310)),""))))</f>
        <v/>
      </c>
      <c r="L217" s="48" t="str">
        <f>IF($B217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212))</f>
        <v/>
      </c>
    </row>
    <row r="218" spans="1:12" ht="15" customHeight="1">
      <c r="A218" s="37" t="str">
        <f>IF(213&lt;=COUNTA(半紙!$B$11:$B$310),"半紙",IF(213&lt;=COUNTA(半紙!$B$11:$B$310)+COUNTA(条幅!$B$11:$B$310),"条幅(半切)",IF(213&lt;=COUNTA(半紙!$B$11:$B$310)+COUNTA(条幅!$B$11:$B$310)+COUNTA(条幅4分の1!$B$11:$B$310),"条幅(1/4)","")))</f>
        <v/>
      </c>
      <c r="B218" s="38" t="str">
        <f>IF(IF(213&lt;=COUNTA(半紙!$B$11:$B$310),INDEX(半紙!$B$11:$B$310,213),IF(213&lt;=COUNTA(半紙!$B$11:$B$310)+COUNTA(条幅!$B$11:$B$310),INDEX(条幅!$B$11:$B$310,213-COUNTA(半紙!$B$11:$B$310)),IF(213&lt;=COUNTA(半紙!$B$11:$B$310)+COUNTA(条幅!$B$11:$B$310)+COUNTA(条幅4分の1!$B$11:$B$310),INDEX(条幅4分の1!$B$11:$B$310,213-COUNTA(半紙!$B$11:$B$310)-COUNTA(条幅!$B$11:$B$310)),"")))=0,"",IF(213&lt;=COUNTA(半紙!$B$11:$B$310),INDEX(半紙!$B$11:$B$310,213),IF(213&lt;=COUNTA(半紙!$B$11:$B$310)+COUNTA(条幅!$B$11:$B$310),INDEX(条幅!$B$11:$B$310,213-COUNTA(半紙!$B$11:$B$310)),IF(213&lt;=COUNTA(半紙!$B$11:$B$310)+COUNTA(条幅!$B$11:$B$310)+COUNTA(条幅4分の1!$B$11:$B$310),INDEX(条幅4分の1!$B$11:$B$310,213-COUNTA(半紙!$B$11:$B$310)-COUNTA(条幅!$B$11:$B$310)),""))))</f>
        <v/>
      </c>
      <c r="C218" s="38" t="str">
        <f>IF(IF(213&lt;=COUNTA(半紙!$B$11:$B$310),INDEX(半紙!$C$11:$C$310,213),IF(213&lt;=COUNTA(半紙!$B$11:$B$310)+COUNTA(条幅!$B$11:$B$310),INDEX(条幅!$C$11:$C$310,213-COUNTA(半紙!$B$11:$B$310)),IF(213&lt;=COUNTA(半紙!$B$11:$B$310)+COUNTA(条幅!$B$11:$B$310)+COUNTA(条幅4分の1!$B$11:$B$310),INDEX(条幅4分の1!$C$11:$C$310,213-COUNTA(半紙!$B$11:$B$310)-COUNTA(条幅!$B$11:$B$310)),"")))=0,"",IF(213&lt;=COUNTA(半紙!$B$11:$B$310),INDEX(半紙!$C$11:$C$310,213),IF(213&lt;=COUNTA(半紙!$B$11:$B$310)+COUNTA(条幅!$B$11:$B$310),INDEX(条幅!$C$11:$C$310,213-COUNTA(半紙!$B$11:$B$310)),IF(213&lt;=COUNTA(半紙!$B$11:$B$310)+COUNTA(条幅!$B$11:$B$310)+COUNTA(条幅4分の1!$B$11:$B$310),INDEX(条幅4分の1!$C$11:$C$310,213-COUNTA(半紙!$B$11:$B$310)-COUNTA(条幅!$B$11:$B$310)),""))))</f>
        <v/>
      </c>
      <c r="D218" s="38" t="str">
        <f>IF(IF(213&lt;=COUNTA(半紙!$B$11:$B$310),INDEX(半紙!$D$11:$D$310,213),IF(213&lt;=COUNTA(半紙!$B$11:$B$310)+COUNTA(条幅!$B$11:$B$310),INDEX(条幅!$D$11:$D$310,213-COUNTA(半紙!$B$11:$B$310)),IF(213&lt;=COUNTA(半紙!$B$11:$B$310)+COUNTA(条幅!$B$11:$B$310)+COUNTA(条幅4分の1!$B$11:$B$310),INDEX(条幅4分の1!$D$11:$D$310,213-COUNTA(半紙!$B$11:$B$310)-COUNTA(条幅!$B$11:$B$310)),"")))=0,"",IF(213&lt;=COUNTA(半紙!$B$11:$B$310),INDEX(半紙!$D$11:$D$310,213),IF(213&lt;=COUNTA(半紙!$B$11:$B$310)+COUNTA(条幅!$B$11:$B$310),INDEX(条幅!$D$11:$D$310,213-COUNTA(半紙!$B$11:$B$310)),IF(213&lt;=COUNTA(半紙!$B$11:$B$310)+COUNTA(条幅!$B$11:$B$310)+COUNTA(条幅4分の1!$B$11:$B$310),INDEX(条幅4分の1!$D$11:$D$310,213-COUNTA(半紙!$B$11:$B$310)-COUNTA(条幅!$B$11:$B$310)),""))))</f>
        <v/>
      </c>
      <c r="E218" s="38" t="str">
        <f>IF(IF(213&lt;=COUNTA(半紙!$B$11:$B$310),INDEX(半紙!$E$11:$E$310,213),IF(213&lt;=COUNTA(半紙!$B$11:$B$310)+COUNTA(条幅!$B$11:$B$310),INDEX(条幅!$E$11:$E$310,213-COUNTA(半紙!$B$11:$B$310)),IF(213&lt;=COUNTA(半紙!$B$11:$B$310)+COUNTA(条幅!$B$11:$B$310)+COUNTA(条幅4分の1!$B$11:$B$310),INDEX(条幅4分の1!$E$11:$E$310,213-COUNTA(半紙!$B$11:$B$310)-COUNTA(条幅!$B$11:$B$310)),"")))=0,"",IF(213&lt;=COUNTA(半紙!$B$11:$B$310),INDEX(半紙!$E$11:$E$310,213),IF(213&lt;=COUNTA(半紙!$B$11:$B$310)+COUNTA(条幅!$B$11:$B$310),INDEX(条幅!$E$11:$E$310,213-COUNTA(半紙!$B$11:$B$310)),IF(213&lt;=COUNTA(半紙!$B$11:$B$310)+COUNTA(条幅!$B$11:$B$310)+COUNTA(条幅4分の1!$B$11:$B$310),INDEX(条幅4分の1!$E$11:$E$310,213-COUNTA(半紙!$B$11:$B$310)-COUNTA(条幅!$B$11:$B$310)),""))))</f>
        <v/>
      </c>
      <c r="F218" s="38" t="str">
        <f>IF(IF(213&lt;=COUNTA(半紙!$B$11:$B$310),INDEX(半紙!$F$11:$F$310,213),IF(213&lt;=COUNTA(半紙!$B$11:$B$310)+COUNTA(条幅!$B$11:$B$310),INDEX(条幅!$F$11:$F$310,213-COUNTA(半紙!$B$11:$B$310)),IF(213&lt;=COUNTA(半紙!$B$11:$B$310)+COUNTA(条幅!$B$11:$B$310)+COUNTA(条幅4分の1!$B$11:$B$310),INDEX(条幅4分の1!$F$11:$F$310,213-COUNTA(半紙!$B$11:$B$310)-COUNTA(条幅!$B$11:$B$310)),"")))=0,"",IF(213&lt;=COUNTA(半紙!$B$11:$B$310),INDEX(半紙!$F$11:$F$310,213),IF(213&lt;=COUNTA(半紙!$B$11:$B$310)+COUNTA(条幅!$B$11:$B$310),INDEX(条幅!$F$11:$F$310,213-COUNTA(半紙!$B$11:$B$310)),IF(213&lt;=COUNTA(半紙!$B$11:$B$310)+COUNTA(条幅!$B$11:$B$310)+COUNTA(条幅4分の1!$B$11:$B$310),INDEX(条幅4分の1!$F$11:$F$310,213-COUNTA(半紙!$B$11:$B$310)-COUNTA(条幅!$B$11:$B$310)),""))))</f>
        <v/>
      </c>
      <c r="G218" s="38" t="str">
        <f>IF(IF(213&lt;=COUNTA(半紙!$B$11:$B$310),INDEX(半紙!$G$11:$G$310,213),IF(213&lt;=COUNTA(半紙!$B$11:$B$310)+COUNTA(条幅!$B$11:$B$310),INDEX(条幅!$G$11:$G$310,213-COUNTA(半紙!$B$11:$B$310)),IF(213&lt;=COUNTA(半紙!$B$11:$B$310)+COUNTA(条幅!$B$11:$B$310)+COUNTA(条幅4分の1!$B$11:$B$310),INDEX(条幅4分の1!$G$11:$G$310,213-COUNTA(半紙!$B$11:$B$310)-COUNTA(条幅!$B$11:$B$310)),"")))=0,"",IF(213&lt;=COUNTA(半紙!$B$11:$B$310),INDEX(半紙!$G$11:$G$310,213),IF(213&lt;=COUNTA(半紙!$B$11:$B$310)+COUNTA(条幅!$B$11:$B$310),INDEX(条幅!$G$11:$G$310,213-COUNTA(半紙!$B$11:$B$310)),IF(213&lt;=COUNTA(半紙!$B$11:$B$310)+COUNTA(条幅!$B$11:$B$310)+COUNTA(条幅4分の1!$B$11:$B$310),INDEX(条幅4分の1!$G$11:$G$310,213-COUNTA(半紙!$B$11:$B$310)-COUNTA(条幅!$B$11:$B$310)),""))))</f>
        <v/>
      </c>
      <c r="H218" s="38" t="str">
        <f>IF(IF(213&lt;=COUNTA(半紙!$B$11:$B$310),INDEX(半紙!$H$11:$H$310,213),IF(213&lt;=COUNTA(半紙!$B$11:$B$310)+COUNTA(条幅!$B$11:$B$310),INDEX(条幅!$H$11:$H$310,213-COUNTA(半紙!$B$11:$B$310)),IF(213&lt;=COUNTA(半紙!$B$11:$B$310)+COUNTA(条幅!$B$11:$B$310)+COUNTA(条幅4分の1!$B$11:$B$310),INDEX(条幅4分の1!$H$11:$H$310,213-COUNTA(半紙!$B$11:$B$310)-COUNTA(条幅!$B$11:$B$310)),"")))=0,"",IF(213&lt;=COUNTA(半紙!$B$11:$B$310),INDEX(半紙!$H$11:$H$310,213),IF(213&lt;=COUNTA(半紙!$B$11:$B$310)+COUNTA(条幅!$B$11:$B$310),INDEX(条幅!$H$11:$H$310,213-COUNTA(半紙!$B$11:$B$310)),IF(213&lt;=COUNTA(半紙!$B$11:$B$310)+COUNTA(条幅!$B$11:$B$310)+COUNTA(条幅4分の1!$B$11:$B$310),INDEX(条幅4分の1!$H$11:$H$310,213-COUNTA(半紙!$B$11:$B$310)-COUNTA(条幅!$B$11:$B$310)),""))))</f>
        <v/>
      </c>
      <c r="I218" s="38" t="str">
        <f>IF(IF(213&lt;=COUNTA(半紙!$B$11:$B$310),INDEX(半紙!$I$11:$I$310,213),IF(213&lt;=COUNTA(半紙!$B$11:$B$310)+COUNTA(条幅!$B$11:$B$310),INDEX(条幅!$I$11:$I$310,213-COUNTA(半紙!$B$11:$B$310)),IF(213&lt;=COUNTA(半紙!$B$11:$B$310)+COUNTA(条幅!$B$11:$B$310)+COUNTA(条幅4分の1!$B$11:$B$310),INDEX(条幅4分の1!$I$11:$I$310,213-COUNTA(半紙!$B$11:$B$310)-COUNTA(条幅!$B$11:$B$310)),"")))=0,"",IF(213&lt;=COUNTA(半紙!$B$11:$B$310),INDEX(半紙!$I$11:$I$310,213),IF(213&lt;=COUNTA(半紙!$B$11:$B$310)+COUNTA(条幅!$B$11:$B$310),INDEX(条幅!$I$11:$I$310,213-COUNTA(半紙!$B$11:$B$310)),IF(213&lt;=COUNTA(半紙!$B$11:$B$310)+COUNTA(条幅!$B$11:$B$310)+COUNTA(条幅4分の1!$B$11:$B$310),INDEX(条幅4分の1!$I$11:$I$310,213-COUNTA(半紙!$B$11:$B$310)-COUNTA(条幅!$B$11:$B$310)),""))))</f>
        <v/>
      </c>
      <c r="J218" s="38" t="str">
        <f>IF(IF(213&lt;=COUNTA(半紙!$B$11:$B$310),INDEX(半紙!$J$11:$J$310,213),IF(213&lt;=COUNTA(半紙!$B$11:$B$310)+COUNTA(条幅!$B$11:$B$310),INDEX(条幅!$J$11:$J$310,213-COUNTA(半紙!$B$11:$B$310)),IF(213&lt;=COUNTA(半紙!$B$11:$B$310)+COUNTA(条幅!$B$11:$B$310)+COUNTA(条幅4分の1!$B$11:$B$310),INDEX(条幅4分の1!$J$11:$J$310,213-COUNTA(半紙!$B$11:$B$310)-COUNTA(条幅!$B$11:$B$310)),"")))=0,"",IF(213&lt;=COUNTA(半紙!$B$11:$B$310),INDEX(半紙!$J$11:$J$310,213),IF(213&lt;=COUNTA(半紙!$B$11:$B$310)+COUNTA(条幅!$B$11:$B$310),INDEX(条幅!$J$11:$J$310,213-COUNTA(半紙!$B$11:$B$310)),IF(213&lt;=COUNTA(半紙!$B$11:$B$310)+COUNTA(条幅!$B$11:$B$310)+COUNTA(条幅4分の1!$B$11:$B$310),INDEX(条幅4分の1!$J$11:$J$310,213-COUNTA(半紙!$B$11:$B$310)-COUNTA(条幅!$B$11:$B$310)),""))))</f>
        <v/>
      </c>
      <c r="K218" s="38" t="str">
        <f>IF(IF(213&lt;=COUNTA(半紙!$B$11:$B$310),INDEX(半紙!$K$11:$K$310,213),IF(213&lt;=COUNTA(半紙!$B$11:$B$310)+COUNTA(条幅!$B$11:$B$310),INDEX(条幅!$K$11:$K$310,213-COUNTA(半紙!$B$11:$B$310)),IF(213&lt;=COUNTA(半紙!$B$11:$B$310)+COUNTA(条幅!$B$11:$B$310)+COUNTA(条幅4分の1!$B$11:$B$310),INDEX(条幅4分の1!$K$11:$K$310,213-COUNTA(半紙!$B$11:$B$310)-COUNTA(条幅!$B$11:$B$310)),"")))=0,"",IF(213&lt;=COUNTA(半紙!$B$11:$B$310),INDEX(半紙!$K$11:$K$310,213),IF(213&lt;=COUNTA(半紙!$B$11:$B$310)+COUNTA(条幅!$B$11:$B$310),INDEX(条幅!$K$11:$K$310,213-COUNTA(半紙!$B$11:$B$310)),IF(213&lt;=COUNTA(半紙!$B$11:$B$310)+COUNTA(条幅!$B$11:$B$310)+COUNTA(条幅4分の1!$B$11:$B$310),INDEX(条幅4分の1!$K$11:$K$310,213-COUNTA(半紙!$B$11:$B$310)-COUNTA(条幅!$B$11:$B$310)),""))))</f>
        <v/>
      </c>
      <c r="L218" s="48" t="str">
        <f>IF($B218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213))</f>
        <v/>
      </c>
    </row>
    <row r="219" spans="1:12" ht="15" customHeight="1">
      <c r="A219" s="37" t="str">
        <f>IF(214&lt;=COUNTA(半紙!$B$11:$B$310),"半紙",IF(214&lt;=COUNTA(半紙!$B$11:$B$310)+COUNTA(条幅!$B$11:$B$310),"条幅(半切)",IF(214&lt;=COUNTA(半紙!$B$11:$B$310)+COUNTA(条幅!$B$11:$B$310)+COUNTA(条幅4分の1!$B$11:$B$310),"条幅(1/4)","")))</f>
        <v/>
      </c>
      <c r="B219" s="38" t="str">
        <f>IF(IF(214&lt;=COUNTA(半紙!$B$11:$B$310),INDEX(半紙!$B$11:$B$310,214),IF(214&lt;=COUNTA(半紙!$B$11:$B$310)+COUNTA(条幅!$B$11:$B$310),INDEX(条幅!$B$11:$B$310,214-COUNTA(半紙!$B$11:$B$310)),IF(214&lt;=COUNTA(半紙!$B$11:$B$310)+COUNTA(条幅!$B$11:$B$310)+COUNTA(条幅4分の1!$B$11:$B$310),INDEX(条幅4分の1!$B$11:$B$310,214-COUNTA(半紙!$B$11:$B$310)-COUNTA(条幅!$B$11:$B$310)),"")))=0,"",IF(214&lt;=COUNTA(半紙!$B$11:$B$310),INDEX(半紙!$B$11:$B$310,214),IF(214&lt;=COUNTA(半紙!$B$11:$B$310)+COUNTA(条幅!$B$11:$B$310),INDEX(条幅!$B$11:$B$310,214-COUNTA(半紙!$B$11:$B$310)),IF(214&lt;=COUNTA(半紙!$B$11:$B$310)+COUNTA(条幅!$B$11:$B$310)+COUNTA(条幅4分の1!$B$11:$B$310),INDEX(条幅4分の1!$B$11:$B$310,214-COUNTA(半紙!$B$11:$B$310)-COUNTA(条幅!$B$11:$B$310)),""))))</f>
        <v/>
      </c>
      <c r="C219" s="38" t="str">
        <f>IF(IF(214&lt;=COUNTA(半紙!$B$11:$B$310),INDEX(半紙!$C$11:$C$310,214),IF(214&lt;=COUNTA(半紙!$B$11:$B$310)+COUNTA(条幅!$B$11:$B$310),INDEX(条幅!$C$11:$C$310,214-COUNTA(半紙!$B$11:$B$310)),IF(214&lt;=COUNTA(半紙!$B$11:$B$310)+COUNTA(条幅!$B$11:$B$310)+COUNTA(条幅4分の1!$B$11:$B$310),INDEX(条幅4分の1!$C$11:$C$310,214-COUNTA(半紙!$B$11:$B$310)-COUNTA(条幅!$B$11:$B$310)),"")))=0,"",IF(214&lt;=COUNTA(半紙!$B$11:$B$310),INDEX(半紙!$C$11:$C$310,214),IF(214&lt;=COUNTA(半紙!$B$11:$B$310)+COUNTA(条幅!$B$11:$B$310),INDEX(条幅!$C$11:$C$310,214-COUNTA(半紙!$B$11:$B$310)),IF(214&lt;=COUNTA(半紙!$B$11:$B$310)+COUNTA(条幅!$B$11:$B$310)+COUNTA(条幅4分の1!$B$11:$B$310),INDEX(条幅4分の1!$C$11:$C$310,214-COUNTA(半紙!$B$11:$B$310)-COUNTA(条幅!$B$11:$B$310)),""))))</f>
        <v/>
      </c>
      <c r="D219" s="38" t="str">
        <f>IF(IF(214&lt;=COUNTA(半紙!$B$11:$B$310),INDEX(半紙!$D$11:$D$310,214),IF(214&lt;=COUNTA(半紙!$B$11:$B$310)+COUNTA(条幅!$B$11:$B$310),INDEX(条幅!$D$11:$D$310,214-COUNTA(半紙!$B$11:$B$310)),IF(214&lt;=COUNTA(半紙!$B$11:$B$310)+COUNTA(条幅!$B$11:$B$310)+COUNTA(条幅4分の1!$B$11:$B$310),INDEX(条幅4分の1!$D$11:$D$310,214-COUNTA(半紙!$B$11:$B$310)-COUNTA(条幅!$B$11:$B$310)),"")))=0,"",IF(214&lt;=COUNTA(半紙!$B$11:$B$310),INDEX(半紙!$D$11:$D$310,214),IF(214&lt;=COUNTA(半紙!$B$11:$B$310)+COUNTA(条幅!$B$11:$B$310),INDEX(条幅!$D$11:$D$310,214-COUNTA(半紙!$B$11:$B$310)),IF(214&lt;=COUNTA(半紙!$B$11:$B$310)+COUNTA(条幅!$B$11:$B$310)+COUNTA(条幅4分の1!$B$11:$B$310),INDEX(条幅4分の1!$D$11:$D$310,214-COUNTA(半紙!$B$11:$B$310)-COUNTA(条幅!$B$11:$B$310)),""))))</f>
        <v/>
      </c>
      <c r="E219" s="38" t="str">
        <f>IF(IF(214&lt;=COUNTA(半紙!$B$11:$B$310),INDEX(半紙!$E$11:$E$310,214),IF(214&lt;=COUNTA(半紙!$B$11:$B$310)+COUNTA(条幅!$B$11:$B$310),INDEX(条幅!$E$11:$E$310,214-COUNTA(半紙!$B$11:$B$310)),IF(214&lt;=COUNTA(半紙!$B$11:$B$310)+COUNTA(条幅!$B$11:$B$310)+COUNTA(条幅4分の1!$B$11:$B$310),INDEX(条幅4分の1!$E$11:$E$310,214-COUNTA(半紙!$B$11:$B$310)-COUNTA(条幅!$B$11:$B$310)),"")))=0,"",IF(214&lt;=COUNTA(半紙!$B$11:$B$310),INDEX(半紙!$E$11:$E$310,214),IF(214&lt;=COUNTA(半紙!$B$11:$B$310)+COUNTA(条幅!$B$11:$B$310),INDEX(条幅!$E$11:$E$310,214-COUNTA(半紙!$B$11:$B$310)),IF(214&lt;=COUNTA(半紙!$B$11:$B$310)+COUNTA(条幅!$B$11:$B$310)+COUNTA(条幅4分の1!$B$11:$B$310),INDEX(条幅4分の1!$E$11:$E$310,214-COUNTA(半紙!$B$11:$B$310)-COUNTA(条幅!$B$11:$B$310)),""))))</f>
        <v/>
      </c>
      <c r="F219" s="38" t="str">
        <f>IF(IF(214&lt;=COUNTA(半紙!$B$11:$B$310),INDEX(半紙!$F$11:$F$310,214),IF(214&lt;=COUNTA(半紙!$B$11:$B$310)+COUNTA(条幅!$B$11:$B$310),INDEX(条幅!$F$11:$F$310,214-COUNTA(半紙!$B$11:$B$310)),IF(214&lt;=COUNTA(半紙!$B$11:$B$310)+COUNTA(条幅!$B$11:$B$310)+COUNTA(条幅4分の1!$B$11:$B$310),INDEX(条幅4分の1!$F$11:$F$310,214-COUNTA(半紙!$B$11:$B$310)-COUNTA(条幅!$B$11:$B$310)),"")))=0,"",IF(214&lt;=COUNTA(半紙!$B$11:$B$310),INDEX(半紙!$F$11:$F$310,214),IF(214&lt;=COUNTA(半紙!$B$11:$B$310)+COUNTA(条幅!$B$11:$B$310),INDEX(条幅!$F$11:$F$310,214-COUNTA(半紙!$B$11:$B$310)),IF(214&lt;=COUNTA(半紙!$B$11:$B$310)+COUNTA(条幅!$B$11:$B$310)+COUNTA(条幅4分の1!$B$11:$B$310),INDEX(条幅4分の1!$F$11:$F$310,214-COUNTA(半紙!$B$11:$B$310)-COUNTA(条幅!$B$11:$B$310)),""))))</f>
        <v/>
      </c>
      <c r="G219" s="38" t="str">
        <f>IF(IF(214&lt;=COUNTA(半紙!$B$11:$B$310),INDEX(半紙!$G$11:$G$310,214),IF(214&lt;=COUNTA(半紙!$B$11:$B$310)+COUNTA(条幅!$B$11:$B$310),INDEX(条幅!$G$11:$G$310,214-COUNTA(半紙!$B$11:$B$310)),IF(214&lt;=COUNTA(半紙!$B$11:$B$310)+COUNTA(条幅!$B$11:$B$310)+COUNTA(条幅4分の1!$B$11:$B$310),INDEX(条幅4分の1!$G$11:$G$310,214-COUNTA(半紙!$B$11:$B$310)-COUNTA(条幅!$B$11:$B$310)),"")))=0,"",IF(214&lt;=COUNTA(半紙!$B$11:$B$310),INDEX(半紙!$G$11:$G$310,214),IF(214&lt;=COUNTA(半紙!$B$11:$B$310)+COUNTA(条幅!$B$11:$B$310),INDEX(条幅!$G$11:$G$310,214-COUNTA(半紙!$B$11:$B$310)),IF(214&lt;=COUNTA(半紙!$B$11:$B$310)+COUNTA(条幅!$B$11:$B$310)+COUNTA(条幅4分の1!$B$11:$B$310),INDEX(条幅4分の1!$G$11:$G$310,214-COUNTA(半紙!$B$11:$B$310)-COUNTA(条幅!$B$11:$B$310)),""))))</f>
        <v/>
      </c>
      <c r="H219" s="38" t="str">
        <f>IF(IF(214&lt;=COUNTA(半紙!$B$11:$B$310),INDEX(半紙!$H$11:$H$310,214),IF(214&lt;=COUNTA(半紙!$B$11:$B$310)+COUNTA(条幅!$B$11:$B$310),INDEX(条幅!$H$11:$H$310,214-COUNTA(半紙!$B$11:$B$310)),IF(214&lt;=COUNTA(半紙!$B$11:$B$310)+COUNTA(条幅!$B$11:$B$310)+COUNTA(条幅4分の1!$B$11:$B$310),INDEX(条幅4分の1!$H$11:$H$310,214-COUNTA(半紙!$B$11:$B$310)-COUNTA(条幅!$B$11:$B$310)),"")))=0,"",IF(214&lt;=COUNTA(半紙!$B$11:$B$310),INDEX(半紙!$H$11:$H$310,214),IF(214&lt;=COUNTA(半紙!$B$11:$B$310)+COUNTA(条幅!$B$11:$B$310),INDEX(条幅!$H$11:$H$310,214-COUNTA(半紙!$B$11:$B$310)),IF(214&lt;=COUNTA(半紙!$B$11:$B$310)+COUNTA(条幅!$B$11:$B$310)+COUNTA(条幅4分の1!$B$11:$B$310),INDEX(条幅4分の1!$H$11:$H$310,214-COUNTA(半紙!$B$11:$B$310)-COUNTA(条幅!$B$11:$B$310)),""))))</f>
        <v/>
      </c>
      <c r="I219" s="38" t="str">
        <f>IF(IF(214&lt;=COUNTA(半紙!$B$11:$B$310),INDEX(半紙!$I$11:$I$310,214),IF(214&lt;=COUNTA(半紙!$B$11:$B$310)+COUNTA(条幅!$B$11:$B$310),INDEX(条幅!$I$11:$I$310,214-COUNTA(半紙!$B$11:$B$310)),IF(214&lt;=COUNTA(半紙!$B$11:$B$310)+COUNTA(条幅!$B$11:$B$310)+COUNTA(条幅4分の1!$B$11:$B$310),INDEX(条幅4分の1!$I$11:$I$310,214-COUNTA(半紙!$B$11:$B$310)-COUNTA(条幅!$B$11:$B$310)),"")))=0,"",IF(214&lt;=COUNTA(半紙!$B$11:$B$310),INDEX(半紙!$I$11:$I$310,214),IF(214&lt;=COUNTA(半紙!$B$11:$B$310)+COUNTA(条幅!$B$11:$B$310),INDEX(条幅!$I$11:$I$310,214-COUNTA(半紙!$B$11:$B$310)),IF(214&lt;=COUNTA(半紙!$B$11:$B$310)+COUNTA(条幅!$B$11:$B$310)+COUNTA(条幅4分の1!$B$11:$B$310),INDEX(条幅4分の1!$I$11:$I$310,214-COUNTA(半紙!$B$11:$B$310)-COUNTA(条幅!$B$11:$B$310)),""))))</f>
        <v/>
      </c>
      <c r="J219" s="38" t="str">
        <f>IF(IF(214&lt;=COUNTA(半紙!$B$11:$B$310),INDEX(半紙!$J$11:$J$310,214),IF(214&lt;=COUNTA(半紙!$B$11:$B$310)+COUNTA(条幅!$B$11:$B$310),INDEX(条幅!$J$11:$J$310,214-COUNTA(半紙!$B$11:$B$310)),IF(214&lt;=COUNTA(半紙!$B$11:$B$310)+COUNTA(条幅!$B$11:$B$310)+COUNTA(条幅4分の1!$B$11:$B$310),INDEX(条幅4分の1!$J$11:$J$310,214-COUNTA(半紙!$B$11:$B$310)-COUNTA(条幅!$B$11:$B$310)),"")))=0,"",IF(214&lt;=COUNTA(半紙!$B$11:$B$310),INDEX(半紙!$J$11:$J$310,214),IF(214&lt;=COUNTA(半紙!$B$11:$B$310)+COUNTA(条幅!$B$11:$B$310),INDEX(条幅!$J$11:$J$310,214-COUNTA(半紙!$B$11:$B$310)),IF(214&lt;=COUNTA(半紙!$B$11:$B$310)+COUNTA(条幅!$B$11:$B$310)+COUNTA(条幅4分の1!$B$11:$B$310),INDEX(条幅4分の1!$J$11:$J$310,214-COUNTA(半紙!$B$11:$B$310)-COUNTA(条幅!$B$11:$B$310)),""))))</f>
        <v/>
      </c>
      <c r="K219" s="38" t="str">
        <f>IF(IF(214&lt;=COUNTA(半紙!$B$11:$B$310),INDEX(半紙!$K$11:$K$310,214),IF(214&lt;=COUNTA(半紙!$B$11:$B$310)+COUNTA(条幅!$B$11:$B$310),INDEX(条幅!$K$11:$K$310,214-COUNTA(半紙!$B$11:$B$310)),IF(214&lt;=COUNTA(半紙!$B$11:$B$310)+COUNTA(条幅!$B$11:$B$310)+COUNTA(条幅4分の1!$B$11:$B$310),INDEX(条幅4分の1!$K$11:$K$310,214-COUNTA(半紙!$B$11:$B$310)-COUNTA(条幅!$B$11:$B$310)),"")))=0,"",IF(214&lt;=COUNTA(半紙!$B$11:$B$310),INDEX(半紙!$K$11:$K$310,214),IF(214&lt;=COUNTA(半紙!$B$11:$B$310)+COUNTA(条幅!$B$11:$B$310),INDEX(条幅!$K$11:$K$310,214-COUNTA(半紙!$B$11:$B$310)),IF(214&lt;=COUNTA(半紙!$B$11:$B$310)+COUNTA(条幅!$B$11:$B$310)+COUNTA(条幅4分の1!$B$11:$B$310),INDEX(条幅4分の1!$K$11:$K$310,214-COUNTA(半紙!$B$11:$B$310)-COUNTA(条幅!$B$11:$B$310)),""))))</f>
        <v/>
      </c>
      <c r="L219" s="48" t="str">
        <f>IF($B219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214))</f>
        <v/>
      </c>
    </row>
    <row r="220" spans="1:12" ht="15" customHeight="1">
      <c r="A220" s="37" t="str">
        <f>IF(215&lt;=COUNTA(半紙!$B$11:$B$310),"半紙",IF(215&lt;=COUNTA(半紙!$B$11:$B$310)+COUNTA(条幅!$B$11:$B$310),"条幅(半切)",IF(215&lt;=COUNTA(半紙!$B$11:$B$310)+COUNTA(条幅!$B$11:$B$310)+COUNTA(条幅4分の1!$B$11:$B$310),"条幅(1/4)","")))</f>
        <v/>
      </c>
      <c r="B220" s="38" t="str">
        <f>IF(IF(215&lt;=COUNTA(半紙!$B$11:$B$310),INDEX(半紙!$B$11:$B$310,215),IF(215&lt;=COUNTA(半紙!$B$11:$B$310)+COUNTA(条幅!$B$11:$B$310),INDEX(条幅!$B$11:$B$310,215-COUNTA(半紙!$B$11:$B$310)),IF(215&lt;=COUNTA(半紙!$B$11:$B$310)+COUNTA(条幅!$B$11:$B$310)+COUNTA(条幅4分の1!$B$11:$B$310),INDEX(条幅4分の1!$B$11:$B$310,215-COUNTA(半紙!$B$11:$B$310)-COUNTA(条幅!$B$11:$B$310)),"")))=0,"",IF(215&lt;=COUNTA(半紙!$B$11:$B$310),INDEX(半紙!$B$11:$B$310,215),IF(215&lt;=COUNTA(半紙!$B$11:$B$310)+COUNTA(条幅!$B$11:$B$310),INDEX(条幅!$B$11:$B$310,215-COUNTA(半紙!$B$11:$B$310)),IF(215&lt;=COUNTA(半紙!$B$11:$B$310)+COUNTA(条幅!$B$11:$B$310)+COUNTA(条幅4分の1!$B$11:$B$310),INDEX(条幅4分の1!$B$11:$B$310,215-COUNTA(半紙!$B$11:$B$310)-COUNTA(条幅!$B$11:$B$310)),""))))</f>
        <v/>
      </c>
      <c r="C220" s="38" t="str">
        <f>IF(IF(215&lt;=COUNTA(半紙!$B$11:$B$310),INDEX(半紙!$C$11:$C$310,215),IF(215&lt;=COUNTA(半紙!$B$11:$B$310)+COUNTA(条幅!$B$11:$B$310),INDEX(条幅!$C$11:$C$310,215-COUNTA(半紙!$B$11:$B$310)),IF(215&lt;=COUNTA(半紙!$B$11:$B$310)+COUNTA(条幅!$B$11:$B$310)+COUNTA(条幅4分の1!$B$11:$B$310),INDEX(条幅4分の1!$C$11:$C$310,215-COUNTA(半紙!$B$11:$B$310)-COUNTA(条幅!$B$11:$B$310)),"")))=0,"",IF(215&lt;=COUNTA(半紙!$B$11:$B$310),INDEX(半紙!$C$11:$C$310,215),IF(215&lt;=COUNTA(半紙!$B$11:$B$310)+COUNTA(条幅!$B$11:$B$310),INDEX(条幅!$C$11:$C$310,215-COUNTA(半紙!$B$11:$B$310)),IF(215&lt;=COUNTA(半紙!$B$11:$B$310)+COUNTA(条幅!$B$11:$B$310)+COUNTA(条幅4分の1!$B$11:$B$310),INDEX(条幅4分の1!$C$11:$C$310,215-COUNTA(半紙!$B$11:$B$310)-COUNTA(条幅!$B$11:$B$310)),""))))</f>
        <v/>
      </c>
      <c r="D220" s="38" t="str">
        <f>IF(IF(215&lt;=COUNTA(半紙!$B$11:$B$310),INDEX(半紙!$D$11:$D$310,215),IF(215&lt;=COUNTA(半紙!$B$11:$B$310)+COUNTA(条幅!$B$11:$B$310),INDEX(条幅!$D$11:$D$310,215-COUNTA(半紙!$B$11:$B$310)),IF(215&lt;=COUNTA(半紙!$B$11:$B$310)+COUNTA(条幅!$B$11:$B$310)+COUNTA(条幅4分の1!$B$11:$B$310),INDEX(条幅4分の1!$D$11:$D$310,215-COUNTA(半紙!$B$11:$B$310)-COUNTA(条幅!$B$11:$B$310)),"")))=0,"",IF(215&lt;=COUNTA(半紙!$B$11:$B$310),INDEX(半紙!$D$11:$D$310,215),IF(215&lt;=COUNTA(半紙!$B$11:$B$310)+COUNTA(条幅!$B$11:$B$310),INDEX(条幅!$D$11:$D$310,215-COUNTA(半紙!$B$11:$B$310)),IF(215&lt;=COUNTA(半紙!$B$11:$B$310)+COUNTA(条幅!$B$11:$B$310)+COUNTA(条幅4分の1!$B$11:$B$310),INDEX(条幅4分の1!$D$11:$D$310,215-COUNTA(半紙!$B$11:$B$310)-COUNTA(条幅!$B$11:$B$310)),""))))</f>
        <v/>
      </c>
      <c r="E220" s="38" t="str">
        <f>IF(IF(215&lt;=COUNTA(半紙!$B$11:$B$310),INDEX(半紙!$E$11:$E$310,215),IF(215&lt;=COUNTA(半紙!$B$11:$B$310)+COUNTA(条幅!$B$11:$B$310),INDEX(条幅!$E$11:$E$310,215-COUNTA(半紙!$B$11:$B$310)),IF(215&lt;=COUNTA(半紙!$B$11:$B$310)+COUNTA(条幅!$B$11:$B$310)+COUNTA(条幅4分の1!$B$11:$B$310),INDEX(条幅4分の1!$E$11:$E$310,215-COUNTA(半紙!$B$11:$B$310)-COUNTA(条幅!$B$11:$B$310)),"")))=0,"",IF(215&lt;=COUNTA(半紙!$B$11:$B$310),INDEX(半紙!$E$11:$E$310,215),IF(215&lt;=COUNTA(半紙!$B$11:$B$310)+COUNTA(条幅!$B$11:$B$310),INDEX(条幅!$E$11:$E$310,215-COUNTA(半紙!$B$11:$B$310)),IF(215&lt;=COUNTA(半紙!$B$11:$B$310)+COUNTA(条幅!$B$11:$B$310)+COUNTA(条幅4分の1!$B$11:$B$310),INDEX(条幅4分の1!$E$11:$E$310,215-COUNTA(半紙!$B$11:$B$310)-COUNTA(条幅!$B$11:$B$310)),""))))</f>
        <v/>
      </c>
      <c r="F220" s="38" t="str">
        <f>IF(IF(215&lt;=COUNTA(半紙!$B$11:$B$310),INDEX(半紙!$F$11:$F$310,215),IF(215&lt;=COUNTA(半紙!$B$11:$B$310)+COUNTA(条幅!$B$11:$B$310),INDEX(条幅!$F$11:$F$310,215-COUNTA(半紙!$B$11:$B$310)),IF(215&lt;=COUNTA(半紙!$B$11:$B$310)+COUNTA(条幅!$B$11:$B$310)+COUNTA(条幅4分の1!$B$11:$B$310),INDEX(条幅4分の1!$F$11:$F$310,215-COUNTA(半紙!$B$11:$B$310)-COUNTA(条幅!$B$11:$B$310)),"")))=0,"",IF(215&lt;=COUNTA(半紙!$B$11:$B$310),INDEX(半紙!$F$11:$F$310,215),IF(215&lt;=COUNTA(半紙!$B$11:$B$310)+COUNTA(条幅!$B$11:$B$310),INDEX(条幅!$F$11:$F$310,215-COUNTA(半紙!$B$11:$B$310)),IF(215&lt;=COUNTA(半紙!$B$11:$B$310)+COUNTA(条幅!$B$11:$B$310)+COUNTA(条幅4分の1!$B$11:$B$310),INDEX(条幅4分の1!$F$11:$F$310,215-COUNTA(半紙!$B$11:$B$310)-COUNTA(条幅!$B$11:$B$310)),""))))</f>
        <v/>
      </c>
      <c r="G220" s="38" t="str">
        <f>IF(IF(215&lt;=COUNTA(半紙!$B$11:$B$310),INDEX(半紙!$G$11:$G$310,215),IF(215&lt;=COUNTA(半紙!$B$11:$B$310)+COUNTA(条幅!$B$11:$B$310),INDEX(条幅!$G$11:$G$310,215-COUNTA(半紙!$B$11:$B$310)),IF(215&lt;=COUNTA(半紙!$B$11:$B$310)+COUNTA(条幅!$B$11:$B$310)+COUNTA(条幅4分の1!$B$11:$B$310),INDEX(条幅4分の1!$G$11:$G$310,215-COUNTA(半紙!$B$11:$B$310)-COUNTA(条幅!$B$11:$B$310)),"")))=0,"",IF(215&lt;=COUNTA(半紙!$B$11:$B$310),INDEX(半紙!$G$11:$G$310,215),IF(215&lt;=COUNTA(半紙!$B$11:$B$310)+COUNTA(条幅!$B$11:$B$310),INDEX(条幅!$G$11:$G$310,215-COUNTA(半紙!$B$11:$B$310)),IF(215&lt;=COUNTA(半紙!$B$11:$B$310)+COUNTA(条幅!$B$11:$B$310)+COUNTA(条幅4分の1!$B$11:$B$310),INDEX(条幅4分の1!$G$11:$G$310,215-COUNTA(半紙!$B$11:$B$310)-COUNTA(条幅!$B$11:$B$310)),""))))</f>
        <v/>
      </c>
      <c r="H220" s="38" t="str">
        <f>IF(IF(215&lt;=COUNTA(半紙!$B$11:$B$310),INDEX(半紙!$H$11:$H$310,215),IF(215&lt;=COUNTA(半紙!$B$11:$B$310)+COUNTA(条幅!$B$11:$B$310),INDEX(条幅!$H$11:$H$310,215-COUNTA(半紙!$B$11:$B$310)),IF(215&lt;=COUNTA(半紙!$B$11:$B$310)+COUNTA(条幅!$B$11:$B$310)+COUNTA(条幅4分の1!$B$11:$B$310),INDEX(条幅4分の1!$H$11:$H$310,215-COUNTA(半紙!$B$11:$B$310)-COUNTA(条幅!$B$11:$B$310)),"")))=0,"",IF(215&lt;=COUNTA(半紙!$B$11:$B$310),INDEX(半紙!$H$11:$H$310,215),IF(215&lt;=COUNTA(半紙!$B$11:$B$310)+COUNTA(条幅!$B$11:$B$310),INDEX(条幅!$H$11:$H$310,215-COUNTA(半紙!$B$11:$B$310)),IF(215&lt;=COUNTA(半紙!$B$11:$B$310)+COUNTA(条幅!$B$11:$B$310)+COUNTA(条幅4分の1!$B$11:$B$310),INDEX(条幅4分の1!$H$11:$H$310,215-COUNTA(半紙!$B$11:$B$310)-COUNTA(条幅!$B$11:$B$310)),""))))</f>
        <v/>
      </c>
      <c r="I220" s="38" t="str">
        <f>IF(IF(215&lt;=COUNTA(半紙!$B$11:$B$310),INDEX(半紙!$I$11:$I$310,215),IF(215&lt;=COUNTA(半紙!$B$11:$B$310)+COUNTA(条幅!$B$11:$B$310),INDEX(条幅!$I$11:$I$310,215-COUNTA(半紙!$B$11:$B$310)),IF(215&lt;=COUNTA(半紙!$B$11:$B$310)+COUNTA(条幅!$B$11:$B$310)+COUNTA(条幅4分の1!$B$11:$B$310),INDEX(条幅4分の1!$I$11:$I$310,215-COUNTA(半紙!$B$11:$B$310)-COUNTA(条幅!$B$11:$B$310)),"")))=0,"",IF(215&lt;=COUNTA(半紙!$B$11:$B$310),INDEX(半紙!$I$11:$I$310,215),IF(215&lt;=COUNTA(半紙!$B$11:$B$310)+COUNTA(条幅!$B$11:$B$310),INDEX(条幅!$I$11:$I$310,215-COUNTA(半紙!$B$11:$B$310)),IF(215&lt;=COUNTA(半紙!$B$11:$B$310)+COUNTA(条幅!$B$11:$B$310)+COUNTA(条幅4分の1!$B$11:$B$310),INDEX(条幅4分の1!$I$11:$I$310,215-COUNTA(半紙!$B$11:$B$310)-COUNTA(条幅!$B$11:$B$310)),""))))</f>
        <v/>
      </c>
      <c r="J220" s="38" t="str">
        <f>IF(IF(215&lt;=COUNTA(半紙!$B$11:$B$310),INDEX(半紙!$J$11:$J$310,215),IF(215&lt;=COUNTA(半紙!$B$11:$B$310)+COUNTA(条幅!$B$11:$B$310),INDEX(条幅!$J$11:$J$310,215-COUNTA(半紙!$B$11:$B$310)),IF(215&lt;=COUNTA(半紙!$B$11:$B$310)+COUNTA(条幅!$B$11:$B$310)+COUNTA(条幅4分の1!$B$11:$B$310),INDEX(条幅4分の1!$J$11:$J$310,215-COUNTA(半紙!$B$11:$B$310)-COUNTA(条幅!$B$11:$B$310)),"")))=0,"",IF(215&lt;=COUNTA(半紙!$B$11:$B$310),INDEX(半紙!$J$11:$J$310,215),IF(215&lt;=COUNTA(半紙!$B$11:$B$310)+COUNTA(条幅!$B$11:$B$310),INDEX(条幅!$J$11:$J$310,215-COUNTA(半紙!$B$11:$B$310)),IF(215&lt;=COUNTA(半紙!$B$11:$B$310)+COUNTA(条幅!$B$11:$B$310)+COUNTA(条幅4分の1!$B$11:$B$310),INDEX(条幅4分の1!$J$11:$J$310,215-COUNTA(半紙!$B$11:$B$310)-COUNTA(条幅!$B$11:$B$310)),""))))</f>
        <v/>
      </c>
      <c r="K220" s="38" t="str">
        <f>IF(IF(215&lt;=COUNTA(半紙!$B$11:$B$310),INDEX(半紙!$K$11:$K$310,215),IF(215&lt;=COUNTA(半紙!$B$11:$B$310)+COUNTA(条幅!$B$11:$B$310),INDEX(条幅!$K$11:$K$310,215-COUNTA(半紙!$B$11:$B$310)),IF(215&lt;=COUNTA(半紙!$B$11:$B$310)+COUNTA(条幅!$B$11:$B$310)+COUNTA(条幅4分の1!$B$11:$B$310),INDEX(条幅4分の1!$K$11:$K$310,215-COUNTA(半紙!$B$11:$B$310)-COUNTA(条幅!$B$11:$B$310)),"")))=0,"",IF(215&lt;=COUNTA(半紙!$B$11:$B$310),INDEX(半紙!$K$11:$K$310,215),IF(215&lt;=COUNTA(半紙!$B$11:$B$310)+COUNTA(条幅!$B$11:$B$310),INDEX(条幅!$K$11:$K$310,215-COUNTA(半紙!$B$11:$B$310)),IF(215&lt;=COUNTA(半紙!$B$11:$B$310)+COUNTA(条幅!$B$11:$B$310)+COUNTA(条幅4分の1!$B$11:$B$310),INDEX(条幅4分の1!$K$11:$K$310,215-COUNTA(半紙!$B$11:$B$310)-COUNTA(条幅!$B$11:$B$310)),""))))</f>
        <v/>
      </c>
      <c r="L220" s="48" t="str">
        <f>IF($B220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215))</f>
        <v/>
      </c>
    </row>
    <row r="221" spans="1:12" ht="15" customHeight="1">
      <c r="A221" s="37" t="str">
        <f>IF(216&lt;=COUNTA(半紙!$B$11:$B$310),"半紙",IF(216&lt;=COUNTA(半紙!$B$11:$B$310)+COUNTA(条幅!$B$11:$B$310),"条幅(半切)",IF(216&lt;=COUNTA(半紙!$B$11:$B$310)+COUNTA(条幅!$B$11:$B$310)+COUNTA(条幅4分の1!$B$11:$B$310),"条幅(1/4)","")))</f>
        <v/>
      </c>
      <c r="B221" s="38" t="str">
        <f>IF(IF(216&lt;=COUNTA(半紙!$B$11:$B$310),INDEX(半紙!$B$11:$B$310,216),IF(216&lt;=COUNTA(半紙!$B$11:$B$310)+COUNTA(条幅!$B$11:$B$310),INDEX(条幅!$B$11:$B$310,216-COUNTA(半紙!$B$11:$B$310)),IF(216&lt;=COUNTA(半紙!$B$11:$B$310)+COUNTA(条幅!$B$11:$B$310)+COUNTA(条幅4分の1!$B$11:$B$310),INDEX(条幅4分の1!$B$11:$B$310,216-COUNTA(半紙!$B$11:$B$310)-COUNTA(条幅!$B$11:$B$310)),"")))=0,"",IF(216&lt;=COUNTA(半紙!$B$11:$B$310),INDEX(半紙!$B$11:$B$310,216),IF(216&lt;=COUNTA(半紙!$B$11:$B$310)+COUNTA(条幅!$B$11:$B$310),INDEX(条幅!$B$11:$B$310,216-COUNTA(半紙!$B$11:$B$310)),IF(216&lt;=COUNTA(半紙!$B$11:$B$310)+COUNTA(条幅!$B$11:$B$310)+COUNTA(条幅4分の1!$B$11:$B$310),INDEX(条幅4分の1!$B$11:$B$310,216-COUNTA(半紙!$B$11:$B$310)-COUNTA(条幅!$B$11:$B$310)),""))))</f>
        <v/>
      </c>
      <c r="C221" s="38" t="str">
        <f>IF(IF(216&lt;=COUNTA(半紙!$B$11:$B$310),INDEX(半紙!$C$11:$C$310,216),IF(216&lt;=COUNTA(半紙!$B$11:$B$310)+COUNTA(条幅!$B$11:$B$310),INDEX(条幅!$C$11:$C$310,216-COUNTA(半紙!$B$11:$B$310)),IF(216&lt;=COUNTA(半紙!$B$11:$B$310)+COUNTA(条幅!$B$11:$B$310)+COUNTA(条幅4分の1!$B$11:$B$310),INDEX(条幅4分の1!$C$11:$C$310,216-COUNTA(半紙!$B$11:$B$310)-COUNTA(条幅!$B$11:$B$310)),"")))=0,"",IF(216&lt;=COUNTA(半紙!$B$11:$B$310),INDEX(半紙!$C$11:$C$310,216),IF(216&lt;=COUNTA(半紙!$B$11:$B$310)+COUNTA(条幅!$B$11:$B$310),INDEX(条幅!$C$11:$C$310,216-COUNTA(半紙!$B$11:$B$310)),IF(216&lt;=COUNTA(半紙!$B$11:$B$310)+COUNTA(条幅!$B$11:$B$310)+COUNTA(条幅4分の1!$B$11:$B$310),INDEX(条幅4分の1!$C$11:$C$310,216-COUNTA(半紙!$B$11:$B$310)-COUNTA(条幅!$B$11:$B$310)),""))))</f>
        <v/>
      </c>
      <c r="D221" s="38" t="str">
        <f>IF(IF(216&lt;=COUNTA(半紙!$B$11:$B$310),INDEX(半紙!$D$11:$D$310,216),IF(216&lt;=COUNTA(半紙!$B$11:$B$310)+COUNTA(条幅!$B$11:$B$310),INDEX(条幅!$D$11:$D$310,216-COUNTA(半紙!$B$11:$B$310)),IF(216&lt;=COUNTA(半紙!$B$11:$B$310)+COUNTA(条幅!$B$11:$B$310)+COUNTA(条幅4分の1!$B$11:$B$310),INDEX(条幅4分の1!$D$11:$D$310,216-COUNTA(半紙!$B$11:$B$310)-COUNTA(条幅!$B$11:$B$310)),"")))=0,"",IF(216&lt;=COUNTA(半紙!$B$11:$B$310),INDEX(半紙!$D$11:$D$310,216),IF(216&lt;=COUNTA(半紙!$B$11:$B$310)+COUNTA(条幅!$B$11:$B$310),INDEX(条幅!$D$11:$D$310,216-COUNTA(半紙!$B$11:$B$310)),IF(216&lt;=COUNTA(半紙!$B$11:$B$310)+COUNTA(条幅!$B$11:$B$310)+COUNTA(条幅4分の1!$B$11:$B$310),INDEX(条幅4分の1!$D$11:$D$310,216-COUNTA(半紙!$B$11:$B$310)-COUNTA(条幅!$B$11:$B$310)),""))))</f>
        <v/>
      </c>
      <c r="E221" s="38" t="str">
        <f>IF(IF(216&lt;=COUNTA(半紙!$B$11:$B$310),INDEX(半紙!$E$11:$E$310,216),IF(216&lt;=COUNTA(半紙!$B$11:$B$310)+COUNTA(条幅!$B$11:$B$310),INDEX(条幅!$E$11:$E$310,216-COUNTA(半紙!$B$11:$B$310)),IF(216&lt;=COUNTA(半紙!$B$11:$B$310)+COUNTA(条幅!$B$11:$B$310)+COUNTA(条幅4分の1!$B$11:$B$310),INDEX(条幅4分の1!$E$11:$E$310,216-COUNTA(半紙!$B$11:$B$310)-COUNTA(条幅!$B$11:$B$310)),"")))=0,"",IF(216&lt;=COUNTA(半紙!$B$11:$B$310),INDEX(半紙!$E$11:$E$310,216),IF(216&lt;=COUNTA(半紙!$B$11:$B$310)+COUNTA(条幅!$B$11:$B$310),INDEX(条幅!$E$11:$E$310,216-COUNTA(半紙!$B$11:$B$310)),IF(216&lt;=COUNTA(半紙!$B$11:$B$310)+COUNTA(条幅!$B$11:$B$310)+COUNTA(条幅4分の1!$B$11:$B$310),INDEX(条幅4分の1!$E$11:$E$310,216-COUNTA(半紙!$B$11:$B$310)-COUNTA(条幅!$B$11:$B$310)),""))))</f>
        <v/>
      </c>
      <c r="F221" s="38" t="str">
        <f>IF(IF(216&lt;=COUNTA(半紙!$B$11:$B$310),INDEX(半紙!$F$11:$F$310,216),IF(216&lt;=COUNTA(半紙!$B$11:$B$310)+COUNTA(条幅!$B$11:$B$310),INDEX(条幅!$F$11:$F$310,216-COUNTA(半紙!$B$11:$B$310)),IF(216&lt;=COUNTA(半紙!$B$11:$B$310)+COUNTA(条幅!$B$11:$B$310)+COUNTA(条幅4分の1!$B$11:$B$310),INDEX(条幅4分の1!$F$11:$F$310,216-COUNTA(半紙!$B$11:$B$310)-COUNTA(条幅!$B$11:$B$310)),"")))=0,"",IF(216&lt;=COUNTA(半紙!$B$11:$B$310),INDEX(半紙!$F$11:$F$310,216),IF(216&lt;=COUNTA(半紙!$B$11:$B$310)+COUNTA(条幅!$B$11:$B$310),INDEX(条幅!$F$11:$F$310,216-COUNTA(半紙!$B$11:$B$310)),IF(216&lt;=COUNTA(半紙!$B$11:$B$310)+COUNTA(条幅!$B$11:$B$310)+COUNTA(条幅4分の1!$B$11:$B$310),INDEX(条幅4分の1!$F$11:$F$310,216-COUNTA(半紙!$B$11:$B$310)-COUNTA(条幅!$B$11:$B$310)),""))))</f>
        <v/>
      </c>
      <c r="G221" s="38" t="str">
        <f>IF(IF(216&lt;=COUNTA(半紙!$B$11:$B$310),INDEX(半紙!$G$11:$G$310,216),IF(216&lt;=COUNTA(半紙!$B$11:$B$310)+COUNTA(条幅!$B$11:$B$310),INDEX(条幅!$G$11:$G$310,216-COUNTA(半紙!$B$11:$B$310)),IF(216&lt;=COUNTA(半紙!$B$11:$B$310)+COUNTA(条幅!$B$11:$B$310)+COUNTA(条幅4分の1!$B$11:$B$310),INDEX(条幅4分の1!$G$11:$G$310,216-COUNTA(半紙!$B$11:$B$310)-COUNTA(条幅!$B$11:$B$310)),"")))=0,"",IF(216&lt;=COUNTA(半紙!$B$11:$B$310),INDEX(半紙!$G$11:$G$310,216),IF(216&lt;=COUNTA(半紙!$B$11:$B$310)+COUNTA(条幅!$B$11:$B$310),INDEX(条幅!$G$11:$G$310,216-COUNTA(半紙!$B$11:$B$310)),IF(216&lt;=COUNTA(半紙!$B$11:$B$310)+COUNTA(条幅!$B$11:$B$310)+COUNTA(条幅4分の1!$B$11:$B$310),INDEX(条幅4分の1!$G$11:$G$310,216-COUNTA(半紙!$B$11:$B$310)-COUNTA(条幅!$B$11:$B$310)),""))))</f>
        <v/>
      </c>
      <c r="H221" s="38" t="str">
        <f>IF(IF(216&lt;=COUNTA(半紙!$B$11:$B$310),INDEX(半紙!$H$11:$H$310,216),IF(216&lt;=COUNTA(半紙!$B$11:$B$310)+COUNTA(条幅!$B$11:$B$310),INDEX(条幅!$H$11:$H$310,216-COUNTA(半紙!$B$11:$B$310)),IF(216&lt;=COUNTA(半紙!$B$11:$B$310)+COUNTA(条幅!$B$11:$B$310)+COUNTA(条幅4分の1!$B$11:$B$310),INDEX(条幅4分の1!$H$11:$H$310,216-COUNTA(半紙!$B$11:$B$310)-COUNTA(条幅!$B$11:$B$310)),"")))=0,"",IF(216&lt;=COUNTA(半紙!$B$11:$B$310),INDEX(半紙!$H$11:$H$310,216),IF(216&lt;=COUNTA(半紙!$B$11:$B$310)+COUNTA(条幅!$B$11:$B$310),INDEX(条幅!$H$11:$H$310,216-COUNTA(半紙!$B$11:$B$310)),IF(216&lt;=COUNTA(半紙!$B$11:$B$310)+COUNTA(条幅!$B$11:$B$310)+COUNTA(条幅4分の1!$B$11:$B$310),INDEX(条幅4分の1!$H$11:$H$310,216-COUNTA(半紙!$B$11:$B$310)-COUNTA(条幅!$B$11:$B$310)),""))))</f>
        <v/>
      </c>
      <c r="I221" s="38" t="str">
        <f>IF(IF(216&lt;=COUNTA(半紙!$B$11:$B$310),INDEX(半紙!$I$11:$I$310,216),IF(216&lt;=COUNTA(半紙!$B$11:$B$310)+COUNTA(条幅!$B$11:$B$310),INDEX(条幅!$I$11:$I$310,216-COUNTA(半紙!$B$11:$B$310)),IF(216&lt;=COUNTA(半紙!$B$11:$B$310)+COUNTA(条幅!$B$11:$B$310)+COUNTA(条幅4分の1!$B$11:$B$310),INDEX(条幅4分の1!$I$11:$I$310,216-COUNTA(半紙!$B$11:$B$310)-COUNTA(条幅!$B$11:$B$310)),"")))=0,"",IF(216&lt;=COUNTA(半紙!$B$11:$B$310),INDEX(半紙!$I$11:$I$310,216),IF(216&lt;=COUNTA(半紙!$B$11:$B$310)+COUNTA(条幅!$B$11:$B$310),INDEX(条幅!$I$11:$I$310,216-COUNTA(半紙!$B$11:$B$310)),IF(216&lt;=COUNTA(半紙!$B$11:$B$310)+COUNTA(条幅!$B$11:$B$310)+COUNTA(条幅4分の1!$B$11:$B$310),INDEX(条幅4分の1!$I$11:$I$310,216-COUNTA(半紙!$B$11:$B$310)-COUNTA(条幅!$B$11:$B$310)),""))))</f>
        <v/>
      </c>
      <c r="J221" s="38" t="str">
        <f>IF(IF(216&lt;=COUNTA(半紙!$B$11:$B$310),INDEX(半紙!$J$11:$J$310,216),IF(216&lt;=COUNTA(半紙!$B$11:$B$310)+COUNTA(条幅!$B$11:$B$310),INDEX(条幅!$J$11:$J$310,216-COUNTA(半紙!$B$11:$B$310)),IF(216&lt;=COUNTA(半紙!$B$11:$B$310)+COUNTA(条幅!$B$11:$B$310)+COUNTA(条幅4分の1!$B$11:$B$310),INDEX(条幅4分の1!$J$11:$J$310,216-COUNTA(半紙!$B$11:$B$310)-COUNTA(条幅!$B$11:$B$310)),"")))=0,"",IF(216&lt;=COUNTA(半紙!$B$11:$B$310),INDEX(半紙!$J$11:$J$310,216),IF(216&lt;=COUNTA(半紙!$B$11:$B$310)+COUNTA(条幅!$B$11:$B$310),INDEX(条幅!$J$11:$J$310,216-COUNTA(半紙!$B$11:$B$310)),IF(216&lt;=COUNTA(半紙!$B$11:$B$310)+COUNTA(条幅!$B$11:$B$310)+COUNTA(条幅4分の1!$B$11:$B$310),INDEX(条幅4分の1!$J$11:$J$310,216-COUNTA(半紙!$B$11:$B$310)-COUNTA(条幅!$B$11:$B$310)),""))))</f>
        <v/>
      </c>
      <c r="K221" s="38" t="str">
        <f>IF(IF(216&lt;=COUNTA(半紙!$B$11:$B$310),INDEX(半紙!$K$11:$K$310,216),IF(216&lt;=COUNTA(半紙!$B$11:$B$310)+COUNTA(条幅!$B$11:$B$310),INDEX(条幅!$K$11:$K$310,216-COUNTA(半紙!$B$11:$B$310)),IF(216&lt;=COUNTA(半紙!$B$11:$B$310)+COUNTA(条幅!$B$11:$B$310)+COUNTA(条幅4分の1!$B$11:$B$310),INDEX(条幅4分の1!$K$11:$K$310,216-COUNTA(半紙!$B$11:$B$310)-COUNTA(条幅!$B$11:$B$310)),"")))=0,"",IF(216&lt;=COUNTA(半紙!$B$11:$B$310),INDEX(半紙!$K$11:$K$310,216),IF(216&lt;=COUNTA(半紙!$B$11:$B$310)+COUNTA(条幅!$B$11:$B$310),INDEX(条幅!$K$11:$K$310,216-COUNTA(半紙!$B$11:$B$310)),IF(216&lt;=COUNTA(半紙!$B$11:$B$310)+COUNTA(条幅!$B$11:$B$310)+COUNTA(条幅4分の1!$B$11:$B$310),INDEX(条幅4分の1!$K$11:$K$310,216-COUNTA(半紙!$B$11:$B$310)-COUNTA(条幅!$B$11:$B$310)),""))))</f>
        <v/>
      </c>
      <c r="L221" s="48" t="str">
        <f>IF($B221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216))</f>
        <v/>
      </c>
    </row>
    <row r="222" spans="1:12" ht="15" customHeight="1">
      <c r="A222" s="37" t="str">
        <f>IF(217&lt;=COUNTA(半紙!$B$11:$B$310),"半紙",IF(217&lt;=COUNTA(半紙!$B$11:$B$310)+COUNTA(条幅!$B$11:$B$310),"条幅(半切)",IF(217&lt;=COUNTA(半紙!$B$11:$B$310)+COUNTA(条幅!$B$11:$B$310)+COUNTA(条幅4分の1!$B$11:$B$310),"条幅(1/4)","")))</f>
        <v/>
      </c>
      <c r="B222" s="38" t="str">
        <f>IF(IF(217&lt;=COUNTA(半紙!$B$11:$B$310),INDEX(半紙!$B$11:$B$310,217),IF(217&lt;=COUNTA(半紙!$B$11:$B$310)+COUNTA(条幅!$B$11:$B$310),INDEX(条幅!$B$11:$B$310,217-COUNTA(半紙!$B$11:$B$310)),IF(217&lt;=COUNTA(半紙!$B$11:$B$310)+COUNTA(条幅!$B$11:$B$310)+COUNTA(条幅4分の1!$B$11:$B$310),INDEX(条幅4分の1!$B$11:$B$310,217-COUNTA(半紙!$B$11:$B$310)-COUNTA(条幅!$B$11:$B$310)),"")))=0,"",IF(217&lt;=COUNTA(半紙!$B$11:$B$310),INDEX(半紙!$B$11:$B$310,217),IF(217&lt;=COUNTA(半紙!$B$11:$B$310)+COUNTA(条幅!$B$11:$B$310),INDEX(条幅!$B$11:$B$310,217-COUNTA(半紙!$B$11:$B$310)),IF(217&lt;=COUNTA(半紙!$B$11:$B$310)+COUNTA(条幅!$B$11:$B$310)+COUNTA(条幅4分の1!$B$11:$B$310),INDEX(条幅4分の1!$B$11:$B$310,217-COUNTA(半紙!$B$11:$B$310)-COUNTA(条幅!$B$11:$B$310)),""))))</f>
        <v/>
      </c>
      <c r="C222" s="38" t="str">
        <f>IF(IF(217&lt;=COUNTA(半紙!$B$11:$B$310),INDEX(半紙!$C$11:$C$310,217),IF(217&lt;=COUNTA(半紙!$B$11:$B$310)+COUNTA(条幅!$B$11:$B$310),INDEX(条幅!$C$11:$C$310,217-COUNTA(半紙!$B$11:$B$310)),IF(217&lt;=COUNTA(半紙!$B$11:$B$310)+COUNTA(条幅!$B$11:$B$310)+COUNTA(条幅4分の1!$B$11:$B$310),INDEX(条幅4分の1!$C$11:$C$310,217-COUNTA(半紙!$B$11:$B$310)-COUNTA(条幅!$B$11:$B$310)),"")))=0,"",IF(217&lt;=COUNTA(半紙!$B$11:$B$310),INDEX(半紙!$C$11:$C$310,217),IF(217&lt;=COUNTA(半紙!$B$11:$B$310)+COUNTA(条幅!$B$11:$B$310),INDEX(条幅!$C$11:$C$310,217-COUNTA(半紙!$B$11:$B$310)),IF(217&lt;=COUNTA(半紙!$B$11:$B$310)+COUNTA(条幅!$B$11:$B$310)+COUNTA(条幅4分の1!$B$11:$B$310),INDEX(条幅4分の1!$C$11:$C$310,217-COUNTA(半紙!$B$11:$B$310)-COUNTA(条幅!$B$11:$B$310)),""))))</f>
        <v/>
      </c>
      <c r="D222" s="38" t="str">
        <f>IF(IF(217&lt;=COUNTA(半紙!$B$11:$B$310),INDEX(半紙!$D$11:$D$310,217),IF(217&lt;=COUNTA(半紙!$B$11:$B$310)+COUNTA(条幅!$B$11:$B$310),INDEX(条幅!$D$11:$D$310,217-COUNTA(半紙!$B$11:$B$310)),IF(217&lt;=COUNTA(半紙!$B$11:$B$310)+COUNTA(条幅!$B$11:$B$310)+COUNTA(条幅4分の1!$B$11:$B$310),INDEX(条幅4分の1!$D$11:$D$310,217-COUNTA(半紙!$B$11:$B$310)-COUNTA(条幅!$B$11:$B$310)),"")))=0,"",IF(217&lt;=COUNTA(半紙!$B$11:$B$310),INDEX(半紙!$D$11:$D$310,217),IF(217&lt;=COUNTA(半紙!$B$11:$B$310)+COUNTA(条幅!$B$11:$B$310),INDEX(条幅!$D$11:$D$310,217-COUNTA(半紙!$B$11:$B$310)),IF(217&lt;=COUNTA(半紙!$B$11:$B$310)+COUNTA(条幅!$B$11:$B$310)+COUNTA(条幅4分の1!$B$11:$B$310),INDEX(条幅4分の1!$D$11:$D$310,217-COUNTA(半紙!$B$11:$B$310)-COUNTA(条幅!$B$11:$B$310)),""))))</f>
        <v/>
      </c>
      <c r="E222" s="38" t="str">
        <f>IF(IF(217&lt;=COUNTA(半紙!$B$11:$B$310),INDEX(半紙!$E$11:$E$310,217),IF(217&lt;=COUNTA(半紙!$B$11:$B$310)+COUNTA(条幅!$B$11:$B$310),INDEX(条幅!$E$11:$E$310,217-COUNTA(半紙!$B$11:$B$310)),IF(217&lt;=COUNTA(半紙!$B$11:$B$310)+COUNTA(条幅!$B$11:$B$310)+COUNTA(条幅4分の1!$B$11:$B$310),INDEX(条幅4分の1!$E$11:$E$310,217-COUNTA(半紙!$B$11:$B$310)-COUNTA(条幅!$B$11:$B$310)),"")))=0,"",IF(217&lt;=COUNTA(半紙!$B$11:$B$310),INDEX(半紙!$E$11:$E$310,217),IF(217&lt;=COUNTA(半紙!$B$11:$B$310)+COUNTA(条幅!$B$11:$B$310),INDEX(条幅!$E$11:$E$310,217-COUNTA(半紙!$B$11:$B$310)),IF(217&lt;=COUNTA(半紙!$B$11:$B$310)+COUNTA(条幅!$B$11:$B$310)+COUNTA(条幅4分の1!$B$11:$B$310),INDEX(条幅4分の1!$E$11:$E$310,217-COUNTA(半紙!$B$11:$B$310)-COUNTA(条幅!$B$11:$B$310)),""))))</f>
        <v/>
      </c>
      <c r="F222" s="38" t="str">
        <f>IF(IF(217&lt;=COUNTA(半紙!$B$11:$B$310),INDEX(半紙!$F$11:$F$310,217),IF(217&lt;=COUNTA(半紙!$B$11:$B$310)+COUNTA(条幅!$B$11:$B$310),INDEX(条幅!$F$11:$F$310,217-COUNTA(半紙!$B$11:$B$310)),IF(217&lt;=COUNTA(半紙!$B$11:$B$310)+COUNTA(条幅!$B$11:$B$310)+COUNTA(条幅4分の1!$B$11:$B$310),INDEX(条幅4分の1!$F$11:$F$310,217-COUNTA(半紙!$B$11:$B$310)-COUNTA(条幅!$B$11:$B$310)),"")))=0,"",IF(217&lt;=COUNTA(半紙!$B$11:$B$310),INDEX(半紙!$F$11:$F$310,217),IF(217&lt;=COUNTA(半紙!$B$11:$B$310)+COUNTA(条幅!$B$11:$B$310),INDEX(条幅!$F$11:$F$310,217-COUNTA(半紙!$B$11:$B$310)),IF(217&lt;=COUNTA(半紙!$B$11:$B$310)+COUNTA(条幅!$B$11:$B$310)+COUNTA(条幅4分の1!$B$11:$B$310),INDEX(条幅4分の1!$F$11:$F$310,217-COUNTA(半紙!$B$11:$B$310)-COUNTA(条幅!$B$11:$B$310)),""))))</f>
        <v/>
      </c>
      <c r="G222" s="38" t="str">
        <f>IF(IF(217&lt;=COUNTA(半紙!$B$11:$B$310),INDEX(半紙!$G$11:$G$310,217),IF(217&lt;=COUNTA(半紙!$B$11:$B$310)+COUNTA(条幅!$B$11:$B$310),INDEX(条幅!$G$11:$G$310,217-COUNTA(半紙!$B$11:$B$310)),IF(217&lt;=COUNTA(半紙!$B$11:$B$310)+COUNTA(条幅!$B$11:$B$310)+COUNTA(条幅4分の1!$B$11:$B$310),INDEX(条幅4分の1!$G$11:$G$310,217-COUNTA(半紙!$B$11:$B$310)-COUNTA(条幅!$B$11:$B$310)),"")))=0,"",IF(217&lt;=COUNTA(半紙!$B$11:$B$310),INDEX(半紙!$G$11:$G$310,217),IF(217&lt;=COUNTA(半紙!$B$11:$B$310)+COUNTA(条幅!$B$11:$B$310),INDEX(条幅!$G$11:$G$310,217-COUNTA(半紙!$B$11:$B$310)),IF(217&lt;=COUNTA(半紙!$B$11:$B$310)+COUNTA(条幅!$B$11:$B$310)+COUNTA(条幅4分の1!$B$11:$B$310),INDEX(条幅4分の1!$G$11:$G$310,217-COUNTA(半紙!$B$11:$B$310)-COUNTA(条幅!$B$11:$B$310)),""))))</f>
        <v/>
      </c>
      <c r="H222" s="38" t="str">
        <f>IF(IF(217&lt;=COUNTA(半紙!$B$11:$B$310),INDEX(半紙!$H$11:$H$310,217),IF(217&lt;=COUNTA(半紙!$B$11:$B$310)+COUNTA(条幅!$B$11:$B$310),INDEX(条幅!$H$11:$H$310,217-COUNTA(半紙!$B$11:$B$310)),IF(217&lt;=COUNTA(半紙!$B$11:$B$310)+COUNTA(条幅!$B$11:$B$310)+COUNTA(条幅4分の1!$B$11:$B$310),INDEX(条幅4分の1!$H$11:$H$310,217-COUNTA(半紙!$B$11:$B$310)-COUNTA(条幅!$B$11:$B$310)),"")))=0,"",IF(217&lt;=COUNTA(半紙!$B$11:$B$310),INDEX(半紙!$H$11:$H$310,217),IF(217&lt;=COUNTA(半紙!$B$11:$B$310)+COUNTA(条幅!$B$11:$B$310),INDEX(条幅!$H$11:$H$310,217-COUNTA(半紙!$B$11:$B$310)),IF(217&lt;=COUNTA(半紙!$B$11:$B$310)+COUNTA(条幅!$B$11:$B$310)+COUNTA(条幅4分の1!$B$11:$B$310),INDEX(条幅4分の1!$H$11:$H$310,217-COUNTA(半紙!$B$11:$B$310)-COUNTA(条幅!$B$11:$B$310)),""))))</f>
        <v/>
      </c>
      <c r="I222" s="38" t="str">
        <f>IF(IF(217&lt;=COUNTA(半紙!$B$11:$B$310),INDEX(半紙!$I$11:$I$310,217),IF(217&lt;=COUNTA(半紙!$B$11:$B$310)+COUNTA(条幅!$B$11:$B$310),INDEX(条幅!$I$11:$I$310,217-COUNTA(半紙!$B$11:$B$310)),IF(217&lt;=COUNTA(半紙!$B$11:$B$310)+COUNTA(条幅!$B$11:$B$310)+COUNTA(条幅4分の1!$B$11:$B$310),INDEX(条幅4分の1!$I$11:$I$310,217-COUNTA(半紙!$B$11:$B$310)-COUNTA(条幅!$B$11:$B$310)),"")))=0,"",IF(217&lt;=COUNTA(半紙!$B$11:$B$310),INDEX(半紙!$I$11:$I$310,217),IF(217&lt;=COUNTA(半紙!$B$11:$B$310)+COUNTA(条幅!$B$11:$B$310),INDEX(条幅!$I$11:$I$310,217-COUNTA(半紙!$B$11:$B$310)),IF(217&lt;=COUNTA(半紙!$B$11:$B$310)+COUNTA(条幅!$B$11:$B$310)+COUNTA(条幅4分の1!$B$11:$B$310),INDEX(条幅4分の1!$I$11:$I$310,217-COUNTA(半紙!$B$11:$B$310)-COUNTA(条幅!$B$11:$B$310)),""))))</f>
        <v/>
      </c>
      <c r="J222" s="38" t="str">
        <f>IF(IF(217&lt;=COUNTA(半紙!$B$11:$B$310),INDEX(半紙!$J$11:$J$310,217),IF(217&lt;=COUNTA(半紙!$B$11:$B$310)+COUNTA(条幅!$B$11:$B$310),INDEX(条幅!$J$11:$J$310,217-COUNTA(半紙!$B$11:$B$310)),IF(217&lt;=COUNTA(半紙!$B$11:$B$310)+COUNTA(条幅!$B$11:$B$310)+COUNTA(条幅4分の1!$B$11:$B$310),INDEX(条幅4分の1!$J$11:$J$310,217-COUNTA(半紙!$B$11:$B$310)-COUNTA(条幅!$B$11:$B$310)),"")))=0,"",IF(217&lt;=COUNTA(半紙!$B$11:$B$310),INDEX(半紙!$J$11:$J$310,217),IF(217&lt;=COUNTA(半紙!$B$11:$B$310)+COUNTA(条幅!$B$11:$B$310),INDEX(条幅!$J$11:$J$310,217-COUNTA(半紙!$B$11:$B$310)),IF(217&lt;=COUNTA(半紙!$B$11:$B$310)+COUNTA(条幅!$B$11:$B$310)+COUNTA(条幅4分の1!$B$11:$B$310),INDEX(条幅4分の1!$J$11:$J$310,217-COUNTA(半紙!$B$11:$B$310)-COUNTA(条幅!$B$11:$B$310)),""))))</f>
        <v/>
      </c>
      <c r="K222" s="38" t="str">
        <f>IF(IF(217&lt;=COUNTA(半紙!$B$11:$B$310),INDEX(半紙!$K$11:$K$310,217),IF(217&lt;=COUNTA(半紙!$B$11:$B$310)+COUNTA(条幅!$B$11:$B$310),INDEX(条幅!$K$11:$K$310,217-COUNTA(半紙!$B$11:$B$310)),IF(217&lt;=COUNTA(半紙!$B$11:$B$310)+COUNTA(条幅!$B$11:$B$310)+COUNTA(条幅4分の1!$B$11:$B$310),INDEX(条幅4分の1!$K$11:$K$310,217-COUNTA(半紙!$B$11:$B$310)-COUNTA(条幅!$B$11:$B$310)),"")))=0,"",IF(217&lt;=COUNTA(半紙!$B$11:$B$310),INDEX(半紙!$K$11:$K$310,217),IF(217&lt;=COUNTA(半紙!$B$11:$B$310)+COUNTA(条幅!$B$11:$B$310),INDEX(条幅!$K$11:$K$310,217-COUNTA(半紙!$B$11:$B$310)),IF(217&lt;=COUNTA(半紙!$B$11:$B$310)+COUNTA(条幅!$B$11:$B$310)+COUNTA(条幅4分の1!$B$11:$B$310),INDEX(条幅4分の1!$K$11:$K$310,217-COUNTA(半紙!$B$11:$B$310)-COUNTA(条幅!$B$11:$B$310)),""))))</f>
        <v/>
      </c>
      <c r="L222" s="48" t="str">
        <f>IF($B222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217))</f>
        <v/>
      </c>
    </row>
    <row r="223" spans="1:12" ht="15" customHeight="1">
      <c r="A223" s="37" t="str">
        <f>IF(218&lt;=COUNTA(半紙!$B$11:$B$310),"半紙",IF(218&lt;=COUNTA(半紙!$B$11:$B$310)+COUNTA(条幅!$B$11:$B$310),"条幅(半切)",IF(218&lt;=COUNTA(半紙!$B$11:$B$310)+COUNTA(条幅!$B$11:$B$310)+COUNTA(条幅4分の1!$B$11:$B$310),"条幅(1/4)","")))</f>
        <v/>
      </c>
      <c r="B223" s="38" t="str">
        <f>IF(IF(218&lt;=COUNTA(半紙!$B$11:$B$310),INDEX(半紙!$B$11:$B$310,218),IF(218&lt;=COUNTA(半紙!$B$11:$B$310)+COUNTA(条幅!$B$11:$B$310),INDEX(条幅!$B$11:$B$310,218-COUNTA(半紙!$B$11:$B$310)),IF(218&lt;=COUNTA(半紙!$B$11:$B$310)+COUNTA(条幅!$B$11:$B$310)+COUNTA(条幅4分の1!$B$11:$B$310),INDEX(条幅4分の1!$B$11:$B$310,218-COUNTA(半紙!$B$11:$B$310)-COUNTA(条幅!$B$11:$B$310)),"")))=0,"",IF(218&lt;=COUNTA(半紙!$B$11:$B$310),INDEX(半紙!$B$11:$B$310,218),IF(218&lt;=COUNTA(半紙!$B$11:$B$310)+COUNTA(条幅!$B$11:$B$310),INDEX(条幅!$B$11:$B$310,218-COUNTA(半紙!$B$11:$B$310)),IF(218&lt;=COUNTA(半紙!$B$11:$B$310)+COUNTA(条幅!$B$11:$B$310)+COUNTA(条幅4分の1!$B$11:$B$310),INDEX(条幅4分の1!$B$11:$B$310,218-COUNTA(半紙!$B$11:$B$310)-COUNTA(条幅!$B$11:$B$310)),""))))</f>
        <v/>
      </c>
      <c r="C223" s="38" t="str">
        <f>IF(IF(218&lt;=COUNTA(半紙!$B$11:$B$310),INDEX(半紙!$C$11:$C$310,218),IF(218&lt;=COUNTA(半紙!$B$11:$B$310)+COUNTA(条幅!$B$11:$B$310),INDEX(条幅!$C$11:$C$310,218-COUNTA(半紙!$B$11:$B$310)),IF(218&lt;=COUNTA(半紙!$B$11:$B$310)+COUNTA(条幅!$B$11:$B$310)+COUNTA(条幅4分の1!$B$11:$B$310),INDEX(条幅4分の1!$C$11:$C$310,218-COUNTA(半紙!$B$11:$B$310)-COUNTA(条幅!$B$11:$B$310)),"")))=0,"",IF(218&lt;=COUNTA(半紙!$B$11:$B$310),INDEX(半紙!$C$11:$C$310,218),IF(218&lt;=COUNTA(半紙!$B$11:$B$310)+COUNTA(条幅!$B$11:$B$310),INDEX(条幅!$C$11:$C$310,218-COUNTA(半紙!$B$11:$B$310)),IF(218&lt;=COUNTA(半紙!$B$11:$B$310)+COUNTA(条幅!$B$11:$B$310)+COUNTA(条幅4分の1!$B$11:$B$310),INDEX(条幅4分の1!$C$11:$C$310,218-COUNTA(半紙!$B$11:$B$310)-COUNTA(条幅!$B$11:$B$310)),""))))</f>
        <v/>
      </c>
      <c r="D223" s="38" t="str">
        <f>IF(IF(218&lt;=COUNTA(半紙!$B$11:$B$310),INDEX(半紙!$D$11:$D$310,218),IF(218&lt;=COUNTA(半紙!$B$11:$B$310)+COUNTA(条幅!$B$11:$B$310),INDEX(条幅!$D$11:$D$310,218-COUNTA(半紙!$B$11:$B$310)),IF(218&lt;=COUNTA(半紙!$B$11:$B$310)+COUNTA(条幅!$B$11:$B$310)+COUNTA(条幅4分の1!$B$11:$B$310),INDEX(条幅4分の1!$D$11:$D$310,218-COUNTA(半紙!$B$11:$B$310)-COUNTA(条幅!$B$11:$B$310)),"")))=0,"",IF(218&lt;=COUNTA(半紙!$B$11:$B$310),INDEX(半紙!$D$11:$D$310,218),IF(218&lt;=COUNTA(半紙!$B$11:$B$310)+COUNTA(条幅!$B$11:$B$310),INDEX(条幅!$D$11:$D$310,218-COUNTA(半紙!$B$11:$B$310)),IF(218&lt;=COUNTA(半紙!$B$11:$B$310)+COUNTA(条幅!$B$11:$B$310)+COUNTA(条幅4分の1!$B$11:$B$310),INDEX(条幅4分の1!$D$11:$D$310,218-COUNTA(半紙!$B$11:$B$310)-COUNTA(条幅!$B$11:$B$310)),""))))</f>
        <v/>
      </c>
      <c r="E223" s="38" t="str">
        <f>IF(IF(218&lt;=COUNTA(半紙!$B$11:$B$310),INDEX(半紙!$E$11:$E$310,218),IF(218&lt;=COUNTA(半紙!$B$11:$B$310)+COUNTA(条幅!$B$11:$B$310),INDEX(条幅!$E$11:$E$310,218-COUNTA(半紙!$B$11:$B$310)),IF(218&lt;=COUNTA(半紙!$B$11:$B$310)+COUNTA(条幅!$B$11:$B$310)+COUNTA(条幅4分の1!$B$11:$B$310),INDEX(条幅4分の1!$E$11:$E$310,218-COUNTA(半紙!$B$11:$B$310)-COUNTA(条幅!$B$11:$B$310)),"")))=0,"",IF(218&lt;=COUNTA(半紙!$B$11:$B$310),INDEX(半紙!$E$11:$E$310,218),IF(218&lt;=COUNTA(半紙!$B$11:$B$310)+COUNTA(条幅!$B$11:$B$310),INDEX(条幅!$E$11:$E$310,218-COUNTA(半紙!$B$11:$B$310)),IF(218&lt;=COUNTA(半紙!$B$11:$B$310)+COUNTA(条幅!$B$11:$B$310)+COUNTA(条幅4分の1!$B$11:$B$310),INDEX(条幅4分の1!$E$11:$E$310,218-COUNTA(半紙!$B$11:$B$310)-COUNTA(条幅!$B$11:$B$310)),""))))</f>
        <v/>
      </c>
      <c r="F223" s="38" t="str">
        <f>IF(IF(218&lt;=COUNTA(半紙!$B$11:$B$310),INDEX(半紙!$F$11:$F$310,218),IF(218&lt;=COUNTA(半紙!$B$11:$B$310)+COUNTA(条幅!$B$11:$B$310),INDEX(条幅!$F$11:$F$310,218-COUNTA(半紙!$B$11:$B$310)),IF(218&lt;=COUNTA(半紙!$B$11:$B$310)+COUNTA(条幅!$B$11:$B$310)+COUNTA(条幅4分の1!$B$11:$B$310),INDEX(条幅4分の1!$F$11:$F$310,218-COUNTA(半紙!$B$11:$B$310)-COUNTA(条幅!$B$11:$B$310)),"")))=0,"",IF(218&lt;=COUNTA(半紙!$B$11:$B$310),INDEX(半紙!$F$11:$F$310,218),IF(218&lt;=COUNTA(半紙!$B$11:$B$310)+COUNTA(条幅!$B$11:$B$310),INDEX(条幅!$F$11:$F$310,218-COUNTA(半紙!$B$11:$B$310)),IF(218&lt;=COUNTA(半紙!$B$11:$B$310)+COUNTA(条幅!$B$11:$B$310)+COUNTA(条幅4分の1!$B$11:$B$310),INDEX(条幅4分の1!$F$11:$F$310,218-COUNTA(半紙!$B$11:$B$310)-COUNTA(条幅!$B$11:$B$310)),""))))</f>
        <v/>
      </c>
      <c r="G223" s="38" t="str">
        <f>IF(IF(218&lt;=COUNTA(半紙!$B$11:$B$310),INDEX(半紙!$G$11:$G$310,218),IF(218&lt;=COUNTA(半紙!$B$11:$B$310)+COUNTA(条幅!$B$11:$B$310),INDEX(条幅!$G$11:$G$310,218-COUNTA(半紙!$B$11:$B$310)),IF(218&lt;=COUNTA(半紙!$B$11:$B$310)+COUNTA(条幅!$B$11:$B$310)+COUNTA(条幅4分の1!$B$11:$B$310),INDEX(条幅4分の1!$G$11:$G$310,218-COUNTA(半紙!$B$11:$B$310)-COUNTA(条幅!$B$11:$B$310)),"")))=0,"",IF(218&lt;=COUNTA(半紙!$B$11:$B$310),INDEX(半紙!$G$11:$G$310,218),IF(218&lt;=COUNTA(半紙!$B$11:$B$310)+COUNTA(条幅!$B$11:$B$310),INDEX(条幅!$G$11:$G$310,218-COUNTA(半紙!$B$11:$B$310)),IF(218&lt;=COUNTA(半紙!$B$11:$B$310)+COUNTA(条幅!$B$11:$B$310)+COUNTA(条幅4分の1!$B$11:$B$310),INDEX(条幅4分の1!$G$11:$G$310,218-COUNTA(半紙!$B$11:$B$310)-COUNTA(条幅!$B$11:$B$310)),""))))</f>
        <v/>
      </c>
      <c r="H223" s="38" t="str">
        <f>IF(IF(218&lt;=COUNTA(半紙!$B$11:$B$310),INDEX(半紙!$H$11:$H$310,218),IF(218&lt;=COUNTA(半紙!$B$11:$B$310)+COUNTA(条幅!$B$11:$B$310),INDEX(条幅!$H$11:$H$310,218-COUNTA(半紙!$B$11:$B$310)),IF(218&lt;=COUNTA(半紙!$B$11:$B$310)+COUNTA(条幅!$B$11:$B$310)+COUNTA(条幅4分の1!$B$11:$B$310),INDEX(条幅4分の1!$H$11:$H$310,218-COUNTA(半紙!$B$11:$B$310)-COUNTA(条幅!$B$11:$B$310)),"")))=0,"",IF(218&lt;=COUNTA(半紙!$B$11:$B$310),INDEX(半紙!$H$11:$H$310,218),IF(218&lt;=COUNTA(半紙!$B$11:$B$310)+COUNTA(条幅!$B$11:$B$310),INDEX(条幅!$H$11:$H$310,218-COUNTA(半紙!$B$11:$B$310)),IF(218&lt;=COUNTA(半紙!$B$11:$B$310)+COUNTA(条幅!$B$11:$B$310)+COUNTA(条幅4分の1!$B$11:$B$310),INDEX(条幅4分の1!$H$11:$H$310,218-COUNTA(半紙!$B$11:$B$310)-COUNTA(条幅!$B$11:$B$310)),""))))</f>
        <v/>
      </c>
      <c r="I223" s="38" t="str">
        <f>IF(IF(218&lt;=COUNTA(半紙!$B$11:$B$310),INDEX(半紙!$I$11:$I$310,218),IF(218&lt;=COUNTA(半紙!$B$11:$B$310)+COUNTA(条幅!$B$11:$B$310),INDEX(条幅!$I$11:$I$310,218-COUNTA(半紙!$B$11:$B$310)),IF(218&lt;=COUNTA(半紙!$B$11:$B$310)+COUNTA(条幅!$B$11:$B$310)+COUNTA(条幅4分の1!$B$11:$B$310),INDEX(条幅4分の1!$I$11:$I$310,218-COUNTA(半紙!$B$11:$B$310)-COUNTA(条幅!$B$11:$B$310)),"")))=0,"",IF(218&lt;=COUNTA(半紙!$B$11:$B$310),INDEX(半紙!$I$11:$I$310,218),IF(218&lt;=COUNTA(半紙!$B$11:$B$310)+COUNTA(条幅!$B$11:$B$310),INDEX(条幅!$I$11:$I$310,218-COUNTA(半紙!$B$11:$B$310)),IF(218&lt;=COUNTA(半紙!$B$11:$B$310)+COUNTA(条幅!$B$11:$B$310)+COUNTA(条幅4分の1!$B$11:$B$310),INDEX(条幅4分の1!$I$11:$I$310,218-COUNTA(半紙!$B$11:$B$310)-COUNTA(条幅!$B$11:$B$310)),""))))</f>
        <v/>
      </c>
      <c r="J223" s="38" t="str">
        <f>IF(IF(218&lt;=COUNTA(半紙!$B$11:$B$310),INDEX(半紙!$J$11:$J$310,218),IF(218&lt;=COUNTA(半紙!$B$11:$B$310)+COUNTA(条幅!$B$11:$B$310),INDEX(条幅!$J$11:$J$310,218-COUNTA(半紙!$B$11:$B$310)),IF(218&lt;=COUNTA(半紙!$B$11:$B$310)+COUNTA(条幅!$B$11:$B$310)+COUNTA(条幅4分の1!$B$11:$B$310),INDEX(条幅4分の1!$J$11:$J$310,218-COUNTA(半紙!$B$11:$B$310)-COUNTA(条幅!$B$11:$B$310)),"")))=0,"",IF(218&lt;=COUNTA(半紙!$B$11:$B$310),INDEX(半紙!$J$11:$J$310,218),IF(218&lt;=COUNTA(半紙!$B$11:$B$310)+COUNTA(条幅!$B$11:$B$310),INDEX(条幅!$J$11:$J$310,218-COUNTA(半紙!$B$11:$B$310)),IF(218&lt;=COUNTA(半紙!$B$11:$B$310)+COUNTA(条幅!$B$11:$B$310)+COUNTA(条幅4分の1!$B$11:$B$310),INDEX(条幅4分の1!$J$11:$J$310,218-COUNTA(半紙!$B$11:$B$310)-COUNTA(条幅!$B$11:$B$310)),""))))</f>
        <v/>
      </c>
      <c r="K223" s="38" t="str">
        <f>IF(IF(218&lt;=COUNTA(半紙!$B$11:$B$310),INDEX(半紙!$K$11:$K$310,218),IF(218&lt;=COUNTA(半紙!$B$11:$B$310)+COUNTA(条幅!$B$11:$B$310),INDEX(条幅!$K$11:$K$310,218-COUNTA(半紙!$B$11:$B$310)),IF(218&lt;=COUNTA(半紙!$B$11:$B$310)+COUNTA(条幅!$B$11:$B$310)+COUNTA(条幅4分の1!$B$11:$B$310),INDEX(条幅4分の1!$K$11:$K$310,218-COUNTA(半紙!$B$11:$B$310)-COUNTA(条幅!$B$11:$B$310)),"")))=0,"",IF(218&lt;=COUNTA(半紙!$B$11:$B$310),INDEX(半紙!$K$11:$K$310,218),IF(218&lt;=COUNTA(半紙!$B$11:$B$310)+COUNTA(条幅!$B$11:$B$310),INDEX(条幅!$K$11:$K$310,218-COUNTA(半紙!$B$11:$B$310)),IF(218&lt;=COUNTA(半紙!$B$11:$B$310)+COUNTA(条幅!$B$11:$B$310)+COUNTA(条幅4分の1!$B$11:$B$310),INDEX(条幅4分の1!$K$11:$K$310,218-COUNTA(半紙!$B$11:$B$310)-COUNTA(条幅!$B$11:$B$310)),""))))</f>
        <v/>
      </c>
      <c r="L223" s="48" t="str">
        <f>IF($B223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218))</f>
        <v/>
      </c>
    </row>
    <row r="224" spans="1:12" ht="15" customHeight="1">
      <c r="A224" s="37" t="str">
        <f>IF(219&lt;=COUNTA(半紙!$B$11:$B$310),"半紙",IF(219&lt;=COUNTA(半紙!$B$11:$B$310)+COUNTA(条幅!$B$11:$B$310),"条幅(半切)",IF(219&lt;=COUNTA(半紙!$B$11:$B$310)+COUNTA(条幅!$B$11:$B$310)+COUNTA(条幅4分の1!$B$11:$B$310),"条幅(1/4)","")))</f>
        <v/>
      </c>
      <c r="B224" s="38" t="str">
        <f>IF(IF(219&lt;=COUNTA(半紙!$B$11:$B$310),INDEX(半紙!$B$11:$B$310,219),IF(219&lt;=COUNTA(半紙!$B$11:$B$310)+COUNTA(条幅!$B$11:$B$310),INDEX(条幅!$B$11:$B$310,219-COUNTA(半紙!$B$11:$B$310)),IF(219&lt;=COUNTA(半紙!$B$11:$B$310)+COUNTA(条幅!$B$11:$B$310)+COUNTA(条幅4分の1!$B$11:$B$310),INDEX(条幅4分の1!$B$11:$B$310,219-COUNTA(半紙!$B$11:$B$310)-COUNTA(条幅!$B$11:$B$310)),"")))=0,"",IF(219&lt;=COUNTA(半紙!$B$11:$B$310),INDEX(半紙!$B$11:$B$310,219),IF(219&lt;=COUNTA(半紙!$B$11:$B$310)+COUNTA(条幅!$B$11:$B$310),INDEX(条幅!$B$11:$B$310,219-COUNTA(半紙!$B$11:$B$310)),IF(219&lt;=COUNTA(半紙!$B$11:$B$310)+COUNTA(条幅!$B$11:$B$310)+COUNTA(条幅4分の1!$B$11:$B$310),INDEX(条幅4分の1!$B$11:$B$310,219-COUNTA(半紙!$B$11:$B$310)-COUNTA(条幅!$B$11:$B$310)),""))))</f>
        <v/>
      </c>
      <c r="C224" s="38" t="str">
        <f>IF(IF(219&lt;=COUNTA(半紙!$B$11:$B$310),INDEX(半紙!$C$11:$C$310,219),IF(219&lt;=COUNTA(半紙!$B$11:$B$310)+COUNTA(条幅!$B$11:$B$310),INDEX(条幅!$C$11:$C$310,219-COUNTA(半紙!$B$11:$B$310)),IF(219&lt;=COUNTA(半紙!$B$11:$B$310)+COUNTA(条幅!$B$11:$B$310)+COUNTA(条幅4分の1!$B$11:$B$310),INDEX(条幅4分の1!$C$11:$C$310,219-COUNTA(半紙!$B$11:$B$310)-COUNTA(条幅!$B$11:$B$310)),"")))=0,"",IF(219&lt;=COUNTA(半紙!$B$11:$B$310),INDEX(半紙!$C$11:$C$310,219),IF(219&lt;=COUNTA(半紙!$B$11:$B$310)+COUNTA(条幅!$B$11:$B$310),INDEX(条幅!$C$11:$C$310,219-COUNTA(半紙!$B$11:$B$310)),IF(219&lt;=COUNTA(半紙!$B$11:$B$310)+COUNTA(条幅!$B$11:$B$310)+COUNTA(条幅4分の1!$B$11:$B$310),INDEX(条幅4分の1!$C$11:$C$310,219-COUNTA(半紙!$B$11:$B$310)-COUNTA(条幅!$B$11:$B$310)),""))))</f>
        <v/>
      </c>
      <c r="D224" s="38" t="str">
        <f>IF(IF(219&lt;=COUNTA(半紙!$B$11:$B$310),INDEX(半紙!$D$11:$D$310,219),IF(219&lt;=COUNTA(半紙!$B$11:$B$310)+COUNTA(条幅!$B$11:$B$310),INDEX(条幅!$D$11:$D$310,219-COUNTA(半紙!$B$11:$B$310)),IF(219&lt;=COUNTA(半紙!$B$11:$B$310)+COUNTA(条幅!$B$11:$B$310)+COUNTA(条幅4分の1!$B$11:$B$310),INDEX(条幅4分の1!$D$11:$D$310,219-COUNTA(半紙!$B$11:$B$310)-COUNTA(条幅!$B$11:$B$310)),"")))=0,"",IF(219&lt;=COUNTA(半紙!$B$11:$B$310),INDEX(半紙!$D$11:$D$310,219),IF(219&lt;=COUNTA(半紙!$B$11:$B$310)+COUNTA(条幅!$B$11:$B$310),INDEX(条幅!$D$11:$D$310,219-COUNTA(半紙!$B$11:$B$310)),IF(219&lt;=COUNTA(半紙!$B$11:$B$310)+COUNTA(条幅!$B$11:$B$310)+COUNTA(条幅4分の1!$B$11:$B$310),INDEX(条幅4分の1!$D$11:$D$310,219-COUNTA(半紙!$B$11:$B$310)-COUNTA(条幅!$B$11:$B$310)),""))))</f>
        <v/>
      </c>
      <c r="E224" s="38" t="str">
        <f>IF(IF(219&lt;=COUNTA(半紙!$B$11:$B$310),INDEX(半紙!$E$11:$E$310,219),IF(219&lt;=COUNTA(半紙!$B$11:$B$310)+COUNTA(条幅!$B$11:$B$310),INDEX(条幅!$E$11:$E$310,219-COUNTA(半紙!$B$11:$B$310)),IF(219&lt;=COUNTA(半紙!$B$11:$B$310)+COUNTA(条幅!$B$11:$B$310)+COUNTA(条幅4分の1!$B$11:$B$310),INDEX(条幅4分の1!$E$11:$E$310,219-COUNTA(半紙!$B$11:$B$310)-COUNTA(条幅!$B$11:$B$310)),"")))=0,"",IF(219&lt;=COUNTA(半紙!$B$11:$B$310),INDEX(半紙!$E$11:$E$310,219),IF(219&lt;=COUNTA(半紙!$B$11:$B$310)+COUNTA(条幅!$B$11:$B$310),INDEX(条幅!$E$11:$E$310,219-COUNTA(半紙!$B$11:$B$310)),IF(219&lt;=COUNTA(半紙!$B$11:$B$310)+COUNTA(条幅!$B$11:$B$310)+COUNTA(条幅4分の1!$B$11:$B$310),INDEX(条幅4分の1!$E$11:$E$310,219-COUNTA(半紙!$B$11:$B$310)-COUNTA(条幅!$B$11:$B$310)),""))))</f>
        <v/>
      </c>
      <c r="F224" s="38" t="str">
        <f>IF(IF(219&lt;=COUNTA(半紙!$B$11:$B$310),INDEX(半紙!$F$11:$F$310,219),IF(219&lt;=COUNTA(半紙!$B$11:$B$310)+COUNTA(条幅!$B$11:$B$310),INDEX(条幅!$F$11:$F$310,219-COUNTA(半紙!$B$11:$B$310)),IF(219&lt;=COUNTA(半紙!$B$11:$B$310)+COUNTA(条幅!$B$11:$B$310)+COUNTA(条幅4分の1!$B$11:$B$310),INDEX(条幅4分の1!$F$11:$F$310,219-COUNTA(半紙!$B$11:$B$310)-COUNTA(条幅!$B$11:$B$310)),"")))=0,"",IF(219&lt;=COUNTA(半紙!$B$11:$B$310),INDEX(半紙!$F$11:$F$310,219),IF(219&lt;=COUNTA(半紙!$B$11:$B$310)+COUNTA(条幅!$B$11:$B$310),INDEX(条幅!$F$11:$F$310,219-COUNTA(半紙!$B$11:$B$310)),IF(219&lt;=COUNTA(半紙!$B$11:$B$310)+COUNTA(条幅!$B$11:$B$310)+COUNTA(条幅4分の1!$B$11:$B$310),INDEX(条幅4分の1!$F$11:$F$310,219-COUNTA(半紙!$B$11:$B$310)-COUNTA(条幅!$B$11:$B$310)),""))))</f>
        <v/>
      </c>
      <c r="G224" s="38" t="str">
        <f>IF(IF(219&lt;=COUNTA(半紙!$B$11:$B$310),INDEX(半紙!$G$11:$G$310,219),IF(219&lt;=COUNTA(半紙!$B$11:$B$310)+COUNTA(条幅!$B$11:$B$310),INDEX(条幅!$G$11:$G$310,219-COUNTA(半紙!$B$11:$B$310)),IF(219&lt;=COUNTA(半紙!$B$11:$B$310)+COUNTA(条幅!$B$11:$B$310)+COUNTA(条幅4分の1!$B$11:$B$310),INDEX(条幅4分の1!$G$11:$G$310,219-COUNTA(半紙!$B$11:$B$310)-COUNTA(条幅!$B$11:$B$310)),"")))=0,"",IF(219&lt;=COUNTA(半紙!$B$11:$B$310),INDEX(半紙!$G$11:$G$310,219),IF(219&lt;=COUNTA(半紙!$B$11:$B$310)+COUNTA(条幅!$B$11:$B$310),INDEX(条幅!$G$11:$G$310,219-COUNTA(半紙!$B$11:$B$310)),IF(219&lt;=COUNTA(半紙!$B$11:$B$310)+COUNTA(条幅!$B$11:$B$310)+COUNTA(条幅4分の1!$B$11:$B$310),INDEX(条幅4分の1!$G$11:$G$310,219-COUNTA(半紙!$B$11:$B$310)-COUNTA(条幅!$B$11:$B$310)),""))))</f>
        <v/>
      </c>
      <c r="H224" s="38" t="str">
        <f>IF(IF(219&lt;=COUNTA(半紙!$B$11:$B$310),INDEX(半紙!$H$11:$H$310,219),IF(219&lt;=COUNTA(半紙!$B$11:$B$310)+COUNTA(条幅!$B$11:$B$310),INDEX(条幅!$H$11:$H$310,219-COUNTA(半紙!$B$11:$B$310)),IF(219&lt;=COUNTA(半紙!$B$11:$B$310)+COUNTA(条幅!$B$11:$B$310)+COUNTA(条幅4分の1!$B$11:$B$310),INDEX(条幅4分の1!$H$11:$H$310,219-COUNTA(半紙!$B$11:$B$310)-COUNTA(条幅!$B$11:$B$310)),"")))=0,"",IF(219&lt;=COUNTA(半紙!$B$11:$B$310),INDEX(半紙!$H$11:$H$310,219),IF(219&lt;=COUNTA(半紙!$B$11:$B$310)+COUNTA(条幅!$B$11:$B$310),INDEX(条幅!$H$11:$H$310,219-COUNTA(半紙!$B$11:$B$310)),IF(219&lt;=COUNTA(半紙!$B$11:$B$310)+COUNTA(条幅!$B$11:$B$310)+COUNTA(条幅4分の1!$B$11:$B$310),INDEX(条幅4分の1!$H$11:$H$310,219-COUNTA(半紙!$B$11:$B$310)-COUNTA(条幅!$B$11:$B$310)),""))))</f>
        <v/>
      </c>
      <c r="I224" s="38" t="str">
        <f>IF(IF(219&lt;=COUNTA(半紙!$B$11:$B$310),INDEX(半紙!$I$11:$I$310,219),IF(219&lt;=COUNTA(半紙!$B$11:$B$310)+COUNTA(条幅!$B$11:$B$310),INDEX(条幅!$I$11:$I$310,219-COUNTA(半紙!$B$11:$B$310)),IF(219&lt;=COUNTA(半紙!$B$11:$B$310)+COUNTA(条幅!$B$11:$B$310)+COUNTA(条幅4分の1!$B$11:$B$310),INDEX(条幅4分の1!$I$11:$I$310,219-COUNTA(半紙!$B$11:$B$310)-COUNTA(条幅!$B$11:$B$310)),"")))=0,"",IF(219&lt;=COUNTA(半紙!$B$11:$B$310),INDEX(半紙!$I$11:$I$310,219),IF(219&lt;=COUNTA(半紙!$B$11:$B$310)+COUNTA(条幅!$B$11:$B$310),INDEX(条幅!$I$11:$I$310,219-COUNTA(半紙!$B$11:$B$310)),IF(219&lt;=COUNTA(半紙!$B$11:$B$310)+COUNTA(条幅!$B$11:$B$310)+COUNTA(条幅4分の1!$B$11:$B$310),INDEX(条幅4分の1!$I$11:$I$310,219-COUNTA(半紙!$B$11:$B$310)-COUNTA(条幅!$B$11:$B$310)),""))))</f>
        <v/>
      </c>
      <c r="J224" s="38" t="str">
        <f>IF(IF(219&lt;=COUNTA(半紙!$B$11:$B$310),INDEX(半紙!$J$11:$J$310,219),IF(219&lt;=COUNTA(半紙!$B$11:$B$310)+COUNTA(条幅!$B$11:$B$310),INDEX(条幅!$J$11:$J$310,219-COUNTA(半紙!$B$11:$B$310)),IF(219&lt;=COUNTA(半紙!$B$11:$B$310)+COUNTA(条幅!$B$11:$B$310)+COUNTA(条幅4分の1!$B$11:$B$310),INDEX(条幅4分の1!$J$11:$J$310,219-COUNTA(半紙!$B$11:$B$310)-COUNTA(条幅!$B$11:$B$310)),"")))=0,"",IF(219&lt;=COUNTA(半紙!$B$11:$B$310),INDEX(半紙!$J$11:$J$310,219),IF(219&lt;=COUNTA(半紙!$B$11:$B$310)+COUNTA(条幅!$B$11:$B$310),INDEX(条幅!$J$11:$J$310,219-COUNTA(半紙!$B$11:$B$310)),IF(219&lt;=COUNTA(半紙!$B$11:$B$310)+COUNTA(条幅!$B$11:$B$310)+COUNTA(条幅4分の1!$B$11:$B$310),INDEX(条幅4分の1!$J$11:$J$310,219-COUNTA(半紙!$B$11:$B$310)-COUNTA(条幅!$B$11:$B$310)),""))))</f>
        <v/>
      </c>
      <c r="K224" s="38" t="str">
        <f>IF(IF(219&lt;=COUNTA(半紙!$B$11:$B$310),INDEX(半紙!$K$11:$K$310,219),IF(219&lt;=COUNTA(半紙!$B$11:$B$310)+COUNTA(条幅!$B$11:$B$310),INDEX(条幅!$K$11:$K$310,219-COUNTA(半紙!$B$11:$B$310)),IF(219&lt;=COUNTA(半紙!$B$11:$B$310)+COUNTA(条幅!$B$11:$B$310)+COUNTA(条幅4分の1!$B$11:$B$310),INDEX(条幅4分の1!$K$11:$K$310,219-COUNTA(半紙!$B$11:$B$310)-COUNTA(条幅!$B$11:$B$310)),"")))=0,"",IF(219&lt;=COUNTA(半紙!$B$11:$B$310),INDEX(半紙!$K$11:$K$310,219),IF(219&lt;=COUNTA(半紙!$B$11:$B$310)+COUNTA(条幅!$B$11:$B$310),INDEX(条幅!$K$11:$K$310,219-COUNTA(半紙!$B$11:$B$310)),IF(219&lt;=COUNTA(半紙!$B$11:$B$310)+COUNTA(条幅!$B$11:$B$310)+COUNTA(条幅4分の1!$B$11:$B$310),INDEX(条幅4分の1!$K$11:$K$310,219-COUNTA(半紙!$B$11:$B$310)-COUNTA(条幅!$B$11:$B$310)),""))))</f>
        <v/>
      </c>
      <c r="L224" s="48" t="str">
        <f>IF($B224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219))</f>
        <v/>
      </c>
    </row>
    <row r="225" spans="1:12" ht="15" customHeight="1">
      <c r="A225" s="37" t="str">
        <f>IF(220&lt;=COUNTA(半紙!$B$11:$B$310),"半紙",IF(220&lt;=COUNTA(半紙!$B$11:$B$310)+COUNTA(条幅!$B$11:$B$310),"条幅(半切)",IF(220&lt;=COUNTA(半紙!$B$11:$B$310)+COUNTA(条幅!$B$11:$B$310)+COUNTA(条幅4分の1!$B$11:$B$310),"条幅(1/4)","")))</f>
        <v/>
      </c>
      <c r="B225" s="38" t="str">
        <f>IF(IF(220&lt;=COUNTA(半紙!$B$11:$B$310),INDEX(半紙!$B$11:$B$310,220),IF(220&lt;=COUNTA(半紙!$B$11:$B$310)+COUNTA(条幅!$B$11:$B$310),INDEX(条幅!$B$11:$B$310,220-COUNTA(半紙!$B$11:$B$310)),IF(220&lt;=COUNTA(半紙!$B$11:$B$310)+COUNTA(条幅!$B$11:$B$310)+COUNTA(条幅4分の1!$B$11:$B$310),INDEX(条幅4分の1!$B$11:$B$310,220-COUNTA(半紙!$B$11:$B$310)-COUNTA(条幅!$B$11:$B$310)),"")))=0,"",IF(220&lt;=COUNTA(半紙!$B$11:$B$310),INDEX(半紙!$B$11:$B$310,220),IF(220&lt;=COUNTA(半紙!$B$11:$B$310)+COUNTA(条幅!$B$11:$B$310),INDEX(条幅!$B$11:$B$310,220-COUNTA(半紙!$B$11:$B$310)),IF(220&lt;=COUNTA(半紙!$B$11:$B$310)+COUNTA(条幅!$B$11:$B$310)+COUNTA(条幅4分の1!$B$11:$B$310),INDEX(条幅4分の1!$B$11:$B$310,220-COUNTA(半紙!$B$11:$B$310)-COUNTA(条幅!$B$11:$B$310)),""))))</f>
        <v/>
      </c>
      <c r="C225" s="38" t="str">
        <f>IF(IF(220&lt;=COUNTA(半紙!$B$11:$B$310),INDEX(半紙!$C$11:$C$310,220),IF(220&lt;=COUNTA(半紙!$B$11:$B$310)+COUNTA(条幅!$B$11:$B$310),INDEX(条幅!$C$11:$C$310,220-COUNTA(半紙!$B$11:$B$310)),IF(220&lt;=COUNTA(半紙!$B$11:$B$310)+COUNTA(条幅!$B$11:$B$310)+COUNTA(条幅4分の1!$B$11:$B$310),INDEX(条幅4分の1!$C$11:$C$310,220-COUNTA(半紙!$B$11:$B$310)-COUNTA(条幅!$B$11:$B$310)),"")))=0,"",IF(220&lt;=COUNTA(半紙!$B$11:$B$310),INDEX(半紙!$C$11:$C$310,220),IF(220&lt;=COUNTA(半紙!$B$11:$B$310)+COUNTA(条幅!$B$11:$B$310),INDEX(条幅!$C$11:$C$310,220-COUNTA(半紙!$B$11:$B$310)),IF(220&lt;=COUNTA(半紙!$B$11:$B$310)+COUNTA(条幅!$B$11:$B$310)+COUNTA(条幅4分の1!$B$11:$B$310),INDEX(条幅4分の1!$C$11:$C$310,220-COUNTA(半紙!$B$11:$B$310)-COUNTA(条幅!$B$11:$B$310)),""))))</f>
        <v/>
      </c>
      <c r="D225" s="38" t="str">
        <f>IF(IF(220&lt;=COUNTA(半紙!$B$11:$B$310),INDEX(半紙!$D$11:$D$310,220),IF(220&lt;=COUNTA(半紙!$B$11:$B$310)+COUNTA(条幅!$B$11:$B$310),INDEX(条幅!$D$11:$D$310,220-COUNTA(半紙!$B$11:$B$310)),IF(220&lt;=COUNTA(半紙!$B$11:$B$310)+COUNTA(条幅!$B$11:$B$310)+COUNTA(条幅4分の1!$B$11:$B$310),INDEX(条幅4分の1!$D$11:$D$310,220-COUNTA(半紙!$B$11:$B$310)-COUNTA(条幅!$B$11:$B$310)),"")))=0,"",IF(220&lt;=COUNTA(半紙!$B$11:$B$310),INDEX(半紙!$D$11:$D$310,220),IF(220&lt;=COUNTA(半紙!$B$11:$B$310)+COUNTA(条幅!$B$11:$B$310),INDEX(条幅!$D$11:$D$310,220-COUNTA(半紙!$B$11:$B$310)),IF(220&lt;=COUNTA(半紙!$B$11:$B$310)+COUNTA(条幅!$B$11:$B$310)+COUNTA(条幅4分の1!$B$11:$B$310),INDEX(条幅4分の1!$D$11:$D$310,220-COUNTA(半紙!$B$11:$B$310)-COUNTA(条幅!$B$11:$B$310)),""))))</f>
        <v/>
      </c>
      <c r="E225" s="38" t="str">
        <f>IF(IF(220&lt;=COUNTA(半紙!$B$11:$B$310),INDEX(半紙!$E$11:$E$310,220),IF(220&lt;=COUNTA(半紙!$B$11:$B$310)+COUNTA(条幅!$B$11:$B$310),INDEX(条幅!$E$11:$E$310,220-COUNTA(半紙!$B$11:$B$310)),IF(220&lt;=COUNTA(半紙!$B$11:$B$310)+COUNTA(条幅!$B$11:$B$310)+COUNTA(条幅4分の1!$B$11:$B$310),INDEX(条幅4分の1!$E$11:$E$310,220-COUNTA(半紙!$B$11:$B$310)-COUNTA(条幅!$B$11:$B$310)),"")))=0,"",IF(220&lt;=COUNTA(半紙!$B$11:$B$310),INDEX(半紙!$E$11:$E$310,220),IF(220&lt;=COUNTA(半紙!$B$11:$B$310)+COUNTA(条幅!$B$11:$B$310),INDEX(条幅!$E$11:$E$310,220-COUNTA(半紙!$B$11:$B$310)),IF(220&lt;=COUNTA(半紙!$B$11:$B$310)+COUNTA(条幅!$B$11:$B$310)+COUNTA(条幅4分の1!$B$11:$B$310),INDEX(条幅4分の1!$E$11:$E$310,220-COUNTA(半紙!$B$11:$B$310)-COUNTA(条幅!$B$11:$B$310)),""))))</f>
        <v/>
      </c>
      <c r="F225" s="38" t="str">
        <f>IF(IF(220&lt;=COUNTA(半紙!$B$11:$B$310),INDEX(半紙!$F$11:$F$310,220),IF(220&lt;=COUNTA(半紙!$B$11:$B$310)+COUNTA(条幅!$B$11:$B$310),INDEX(条幅!$F$11:$F$310,220-COUNTA(半紙!$B$11:$B$310)),IF(220&lt;=COUNTA(半紙!$B$11:$B$310)+COUNTA(条幅!$B$11:$B$310)+COUNTA(条幅4分の1!$B$11:$B$310),INDEX(条幅4分の1!$F$11:$F$310,220-COUNTA(半紙!$B$11:$B$310)-COUNTA(条幅!$B$11:$B$310)),"")))=0,"",IF(220&lt;=COUNTA(半紙!$B$11:$B$310),INDEX(半紙!$F$11:$F$310,220),IF(220&lt;=COUNTA(半紙!$B$11:$B$310)+COUNTA(条幅!$B$11:$B$310),INDEX(条幅!$F$11:$F$310,220-COUNTA(半紙!$B$11:$B$310)),IF(220&lt;=COUNTA(半紙!$B$11:$B$310)+COUNTA(条幅!$B$11:$B$310)+COUNTA(条幅4分の1!$B$11:$B$310),INDEX(条幅4分の1!$F$11:$F$310,220-COUNTA(半紙!$B$11:$B$310)-COUNTA(条幅!$B$11:$B$310)),""))))</f>
        <v/>
      </c>
      <c r="G225" s="38" t="str">
        <f>IF(IF(220&lt;=COUNTA(半紙!$B$11:$B$310),INDEX(半紙!$G$11:$G$310,220),IF(220&lt;=COUNTA(半紙!$B$11:$B$310)+COUNTA(条幅!$B$11:$B$310),INDEX(条幅!$G$11:$G$310,220-COUNTA(半紙!$B$11:$B$310)),IF(220&lt;=COUNTA(半紙!$B$11:$B$310)+COUNTA(条幅!$B$11:$B$310)+COUNTA(条幅4分の1!$B$11:$B$310),INDEX(条幅4分の1!$G$11:$G$310,220-COUNTA(半紙!$B$11:$B$310)-COUNTA(条幅!$B$11:$B$310)),"")))=0,"",IF(220&lt;=COUNTA(半紙!$B$11:$B$310),INDEX(半紙!$G$11:$G$310,220),IF(220&lt;=COUNTA(半紙!$B$11:$B$310)+COUNTA(条幅!$B$11:$B$310),INDEX(条幅!$G$11:$G$310,220-COUNTA(半紙!$B$11:$B$310)),IF(220&lt;=COUNTA(半紙!$B$11:$B$310)+COUNTA(条幅!$B$11:$B$310)+COUNTA(条幅4分の1!$B$11:$B$310),INDEX(条幅4分の1!$G$11:$G$310,220-COUNTA(半紙!$B$11:$B$310)-COUNTA(条幅!$B$11:$B$310)),""))))</f>
        <v/>
      </c>
      <c r="H225" s="38" t="str">
        <f>IF(IF(220&lt;=COUNTA(半紙!$B$11:$B$310),INDEX(半紙!$H$11:$H$310,220),IF(220&lt;=COUNTA(半紙!$B$11:$B$310)+COUNTA(条幅!$B$11:$B$310),INDEX(条幅!$H$11:$H$310,220-COUNTA(半紙!$B$11:$B$310)),IF(220&lt;=COUNTA(半紙!$B$11:$B$310)+COUNTA(条幅!$B$11:$B$310)+COUNTA(条幅4分の1!$B$11:$B$310),INDEX(条幅4分の1!$H$11:$H$310,220-COUNTA(半紙!$B$11:$B$310)-COUNTA(条幅!$B$11:$B$310)),"")))=0,"",IF(220&lt;=COUNTA(半紙!$B$11:$B$310),INDEX(半紙!$H$11:$H$310,220),IF(220&lt;=COUNTA(半紙!$B$11:$B$310)+COUNTA(条幅!$B$11:$B$310),INDEX(条幅!$H$11:$H$310,220-COUNTA(半紙!$B$11:$B$310)),IF(220&lt;=COUNTA(半紙!$B$11:$B$310)+COUNTA(条幅!$B$11:$B$310)+COUNTA(条幅4分の1!$B$11:$B$310),INDEX(条幅4分の1!$H$11:$H$310,220-COUNTA(半紙!$B$11:$B$310)-COUNTA(条幅!$B$11:$B$310)),""))))</f>
        <v/>
      </c>
      <c r="I225" s="38" t="str">
        <f>IF(IF(220&lt;=COUNTA(半紙!$B$11:$B$310),INDEX(半紙!$I$11:$I$310,220),IF(220&lt;=COUNTA(半紙!$B$11:$B$310)+COUNTA(条幅!$B$11:$B$310),INDEX(条幅!$I$11:$I$310,220-COUNTA(半紙!$B$11:$B$310)),IF(220&lt;=COUNTA(半紙!$B$11:$B$310)+COUNTA(条幅!$B$11:$B$310)+COUNTA(条幅4分の1!$B$11:$B$310),INDEX(条幅4分の1!$I$11:$I$310,220-COUNTA(半紙!$B$11:$B$310)-COUNTA(条幅!$B$11:$B$310)),"")))=0,"",IF(220&lt;=COUNTA(半紙!$B$11:$B$310),INDEX(半紙!$I$11:$I$310,220),IF(220&lt;=COUNTA(半紙!$B$11:$B$310)+COUNTA(条幅!$B$11:$B$310),INDEX(条幅!$I$11:$I$310,220-COUNTA(半紙!$B$11:$B$310)),IF(220&lt;=COUNTA(半紙!$B$11:$B$310)+COUNTA(条幅!$B$11:$B$310)+COUNTA(条幅4分の1!$B$11:$B$310),INDEX(条幅4分の1!$I$11:$I$310,220-COUNTA(半紙!$B$11:$B$310)-COUNTA(条幅!$B$11:$B$310)),""))))</f>
        <v/>
      </c>
      <c r="J225" s="38" t="str">
        <f>IF(IF(220&lt;=COUNTA(半紙!$B$11:$B$310),INDEX(半紙!$J$11:$J$310,220),IF(220&lt;=COUNTA(半紙!$B$11:$B$310)+COUNTA(条幅!$B$11:$B$310),INDEX(条幅!$J$11:$J$310,220-COUNTA(半紙!$B$11:$B$310)),IF(220&lt;=COUNTA(半紙!$B$11:$B$310)+COUNTA(条幅!$B$11:$B$310)+COUNTA(条幅4分の1!$B$11:$B$310),INDEX(条幅4分の1!$J$11:$J$310,220-COUNTA(半紙!$B$11:$B$310)-COUNTA(条幅!$B$11:$B$310)),"")))=0,"",IF(220&lt;=COUNTA(半紙!$B$11:$B$310),INDEX(半紙!$J$11:$J$310,220),IF(220&lt;=COUNTA(半紙!$B$11:$B$310)+COUNTA(条幅!$B$11:$B$310),INDEX(条幅!$J$11:$J$310,220-COUNTA(半紙!$B$11:$B$310)),IF(220&lt;=COUNTA(半紙!$B$11:$B$310)+COUNTA(条幅!$B$11:$B$310)+COUNTA(条幅4分の1!$B$11:$B$310),INDEX(条幅4分の1!$J$11:$J$310,220-COUNTA(半紙!$B$11:$B$310)-COUNTA(条幅!$B$11:$B$310)),""))))</f>
        <v/>
      </c>
      <c r="K225" s="38" t="str">
        <f>IF(IF(220&lt;=COUNTA(半紙!$B$11:$B$310),INDEX(半紙!$K$11:$K$310,220),IF(220&lt;=COUNTA(半紙!$B$11:$B$310)+COUNTA(条幅!$B$11:$B$310),INDEX(条幅!$K$11:$K$310,220-COUNTA(半紙!$B$11:$B$310)),IF(220&lt;=COUNTA(半紙!$B$11:$B$310)+COUNTA(条幅!$B$11:$B$310)+COUNTA(条幅4分の1!$B$11:$B$310),INDEX(条幅4分の1!$K$11:$K$310,220-COUNTA(半紙!$B$11:$B$310)-COUNTA(条幅!$B$11:$B$310)),"")))=0,"",IF(220&lt;=COUNTA(半紙!$B$11:$B$310),INDEX(半紙!$K$11:$K$310,220),IF(220&lt;=COUNTA(半紙!$B$11:$B$310)+COUNTA(条幅!$B$11:$B$310),INDEX(条幅!$K$11:$K$310,220-COUNTA(半紙!$B$11:$B$310)),IF(220&lt;=COUNTA(半紙!$B$11:$B$310)+COUNTA(条幅!$B$11:$B$310)+COUNTA(条幅4分の1!$B$11:$B$310),INDEX(条幅4分の1!$K$11:$K$310,220-COUNTA(半紙!$B$11:$B$310)-COUNTA(条幅!$B$11:$B$310)),""))))</f>
        <v/>
      </c>
      <c r="L225" s="48" t="str">
        <f>IF($B225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220))</f>
        <v/>
      </c>
    </row>
    <row r="226" spans="1:12" ht="15" customHeight="1">
      <c r="A226" s="37" t="str">
        <f>IF(221&lt;=COUNTA(半紙!$B$11:$B$310),"半紙",IF(221&lt;=COUNTA(半紙!$B$11:$B$310)+COUNTA(条幅!$B$11:$B$310),"条幅(半切)",IF(221&lt;=COUNTA(半紙!$B$11:$B$310)+COUNTA(条幅!$B$11:$B$310)+COUNTA(条幅4分の1!$B$11:$B$310),"条幅(1/4)","")))</f>
        <v/>
      </c>
      <c r="B226" s="38" t="str">
        <f>IF(IF(221&lt;=COUNTA(半紙!$B$11:$B$310),INDEX(半紙!$B$11:$B$310,221),IF(221&lt;=COUNTA(半紙!$B$11:$B$310)+COUNTA(条幅!$B$11:$B$310),INDEX(条幅!$B$11:$B$310,221-COUNTA(半紙!$B$11:$B$310)),IF(221&lt;=COUNTA(半紙!$B$11:$B$310)+COUNTA(条幅!$B$11:$B$310)+COUNTA(条幅4分の1!$B$11:$B$310),INDEX(条幅4分の1!$B$11:$B$310,221-COUNTA(半紙!$B$11:$B$310)-COUNTA(条幅!$B$11:$B$310)),"")))=0,"",IF(221&lt;=COUNTA(半紙!$B$11:$B$310),INDEX(半紙!$B$11:$B$310,221),IF(221&lt;=COUNTA(半紙!$B$11:$B$310)+COUNTA(条幅!$B$11:$B$310),INDEX(条幅!$B$11:$B$310,221-COUNTA(半紙!$B$11:$B$310)),IF(221&lt;=COUNTA(半紙!$B$11:$B$310)+COUNTA(条幅!$B$11:$B$310)+COUNTA(条幅4分の1!$B$11:$B$310),INDEX(条幅4分の1!$B$11:$B$310,221-COUNTA(半紙!$B$11:$B$310)-COUNTA(条幅!$B$11:$B$310)),""))))</f>
        <v/>
      </c>
      <c r="C226" s="38" t="str">
        <f>IF(IF(221&lt;=COUNTA(半紙!$B$11:$B$310),INDEX(半紙!$C$11:$C$310,221),IF(221&lt;=COUNTA(半紙!$B$11:$B$310)+COUNTA(条幅!$B$11:$B$310),INDEX(条幅!$C$11:$C$310,221-COUNTA(半紙!$B$11:$B$310)),IF(221&lt;=COUNTA(半紙!$B$11:$B$310)+COUNTA(条幅!$B$11:$B$310)+COUNTA(条幅4分の1!$B$11:$B$310),INDEX(条幅4分の1!$C$11:$C$310,221-COUNTA(半紙!$B$11:$B$310)-COUNTA(条幅!$B$11:$B$310)),"")))=0,"",IF(221&lt;=COUNTA(半紙!$B$11:$B$310),INDEX(半紙!$C$11:$C$310,221),IF(221&lt;=COUNTA(半紙!$B$11:$B$310)+COUNTA(条幅!$B$11:$B$310),INDEX(条幅!$C$11:$C$310,221-COUNTA(半紙!$B$11:$B$310)),IF(221&lt;=COUNTA(半紙!$B$11:$B$310)+COUNTA(条幅!$B$11:$B$310)+COUNTA(条幅4分の1!$B$11:$B$310),INDEX(条幅4分の1!$C$11:$C$310,221-COUNTA(半紙!$B$11:$B$310)-COUNTA(条幅!$B$11:$B$310)),""))))</f>
        <v/>
      </c>
      <c r="D226" s="38" t="str">
        <f>IF(IF(221&lt;=COUNTA(半紙!$B$11:$B$310),INDEX(半紙!$D$11:$D$310,221),IF(221&lt;=COUNTA(半紙!$B$11:$B$310)+COUNTA(条幅!$B$11:$B$310),INDEX(条幅!$D$11:$D$310,221-COUNTA(半紙!$B$11:$B$310)),IF(221&lt;=COUNTA(半紙!$B$11:$B$310)+COUNTA(条幅!$B$11:$B$310)+COUNTA(条幅4分の1!$B$11:$B$310),INDEX(条幅4分の1!$D$11:$D$310,221-COUNTA(半紙!$B$11:$B$310)-COUNTA(条幅!$B$11:$B$310)),"")))=0,"",IF(221&lt;=COUNTA(半紙!$B$11:$B$310),INDEX(半紙!$D$11:$D$310,221),IF(221&lt;=COUNTA(半紙!$B$11:$B$310)+COUNTA(条幅!$B$11:$B$310),INDEX(条幅!$D$11:$D$310,221-COUNTA(半紙!$B$11:$B$310)),IF(221&lt;=COUNTA(半紙!$B$11:$B$310)+COUNTA(条幅!$B$11:$B$310)+COUNTA(条幅4分の1!$B$11:$B$310),INDEX(条幅4分の1!$D$11:$D$310,221-COUNTA(半紙!$B$11:$B$310)-COUNTA(条幅!$B$11:$B$310)),""))))</f>
        <v/>
      </c>
      <c r="E226" s="38" t="str">
        <f>IF(IF(221&lt;=COUNTA(半紙!$B$11:$B$310),INDEX(半紙!$E$11:$E$310,221),IF(221&lt;=COUNTA(半紙!$B$11:$B$310)+COUNTA(条幅!$B$11:$B$310),INDEX(条幅!$E$11:$E$310,221-COUNTA(半紙!$B$11:$B$310)),IF(221&lt;=COUNTA(半紙!$B$11:$B$310)+COUNTA(条幅!$B$11:$B$310)+COUNTA(条幅4分の1!$B$11:$B$310),INDEX(条幅4分の1!$E$11:$E$310,221-COUNTA(半紙!$B$11:$B$310)-COUNTA(条幅!$B$11:$B$310)),"")))=0,"",IF(221&lt;=COUNTA(半紙!$B$11:$B$310),INDEX(半紙!$E$11:$E$310,221),IF(221&lt;=COUNTA(半紙!$B$11:$B$310)+COUNTA(条幅!$B$11:$B$310),INDEX(条幅!$E$11:$E$310,221-COUNTA(半紙!$B$11:$B$310)),IF(221&lt;=COUNTA(半紙!$B$11:$B$310)+COUNTA(条幅!$B$11:$B$310)+COUNTA(条幅4分の1!$B$11:$B$310),INDEX(条幅4分の1!$E$11:$E$310,221-COUNTA(半紙!$B$11:$B$310)-COUNTA(条幅!$B$11:$B$310)),""))))</f>
        <v/>
      </c>
      <c r="F226" s="38" t="str">
        <f>IF(IF(221&lt;=COUNTA(半紙!$B$11:$B$310),INDEX(半紙!$F$11:$F$310,221),IF(221&lt;=COUNTA(半紙!$B$11:$B$310)+COUNTA(条幅!$B$11:$B$310),INDEX(条幅!$F$11:$F$310,221-COUNTA(半紙!$B$11:$B$310)),IF(221&lt;=COUNTA(半紙!$B$11:$B$310)+COUNTA(条幅!$B$11:$B$310)+COUNTA(条幅4分の1!$B$11:$B$310),INDEX(条幅4分の1!$F$11:$F$310,221-COUNTA(半紙!$B$11:$B$310)-COUNTA(条幅!$B$11:$B$310)),"")))=0,"",IF(221&lt;=COUNTA(半紙!$B$11:$B$310),INDEX(半紙!$F$11:$F$310,221),IF(221&lt;=COUNTA(半紙!$B$11:$B$310)+COUNTA(条幅!$B$11:$B$310),INDEX(条幅!$F$11:$F$310,221-COUNTA(半紙!$B$11:$B$310)),IF(221&lt;=COUNTA(半紙!$B$11:$B$310)+COUNTA(条幅!$B$11:$B$310)+COUNTA(条幅4分の1!$B$11:$B$310),INDEX(条幅4分の1!$F$11:$F$310,221-COUNTA(半紙!$B$11:$B$310)-COUNTA(条幅!$B$11:$B$310)),""))))</f>
        <v/>
      </c>
      <c r="G226" s="38" t="str">
        <f>IF(IF(221&lt;=COUNTA(半紙!$B$11:$B$310),INDEX(半紙!$G$11:$G$310,221),IF(221&lt;=COUNTA(半紙!$B$11:$B$310)+COUNTA(条幅!$B$11:$B$310),INDEX(条幅!$G$11:$G$310,221-COUNTA(半紙!$B$11:$B$310)),IF(221&lt;=COUNTA(半紙!$B$11:$B$310)+COUNTA(条幅!$B$11:$B$310)+COUNTA(条幅4分の1!$B$11:$B$310),INDEX(条幅4分の1!$G$11:$G$310,221-COUNTA(半紙!$B$11:$B$310)-COUNTA(条幅!$B$11:$B$310)),"")))=0,"",IF(221&lt;=COUNTA(半紙!$B$11:$B$310),INDEX(半紙!$G$11:$G$310,221),IF(221&lt;=COUNTA(半紙!$B$11:$B$310)+COUNTA(条幅!$B$11:$B$310),INDEX(条幅!$G$11:$G$310,221-COUNTA(半紙!$B$11:$B$310)),IF(221&lt;=COUNTA(半紙!$B$11:$B$310)+COUNTA(条幅!$B$11:$B$310)+COUNTA(条幅4分の1!$B$11:$B$310),INDEX(条幅4分の1!$G$11:$G$310,221-COUNTA(半紙!$B$11:$B$310)-COUNTA(条幅!$B$11:$B$310)),""))))</f>
        <v/>
      </c>
      <c r="H226" s="38" t="str">
        <f>IF(IF(221&lt;=COUNTA(半紙!$B$11:$B$310),INDEX(半紙!$H$11:$H$310,221),IF(221&lt;=COUNTA(半紙!$B$11:$B$310)+COUNTA(条幅!$B$11:$B$310),INDEX(条幅!$H$11:$H$310,221-COUNTA(半紙!$B$11:$B$310)),IF(221&lt;=COUNTA(半紙!$B$11:$B$310)+COUNTA(条幅!$B$11:$B$310)+COUNTA(条幅4分の1!$B$11:$B$310),INDEX(条幅4分の1!$H$11:$H$310,221-COUNTA(半紙!$B$11:$B$310)-COUNTA(条幅!$B$11:$B$310)),"")))=0,"",IF(221&lt;=COUNTA(半紙!$B$11:$B$310),INDEX(半紙!$H$11:$H$310,221),IF(221&lt;=COUNTA(半紙!$B$11:$B$310)+COUNTA(条幅!$B$11:$B$310),INDEX(条幅!$H$11:$H$310,221-COUNTA(半紙!$B$11:$B$310)),IF(221&lt;=COUNTA(半紙!$B$11:$B$310)+COUNTA(条幅!$B$11:$B$310)+COUNTA(条幅4分の1!$B$11:$B$310),INDEX(条幅4分の1!$H$11:$H$310,221-COUNTA(半紙!$B$11:$B$310)-COUNTA(条幅!$B$11:$B$310)),""))))</f>
        <v/>
      </c>
      <c r="I226" s="38" t="str">
        <f>IF(IF(221&lt;=COUNTA(半紙!$B$11:$B$310),INDEX(半紙!$I$11:$I$310,221),IF(221&lt;=COUNTA(半紙!$B$11:$B$310)+COUNTA(条幅!$B$11:$B$310),INDEX(条幅!$I$11:$I$310,221-COUNTA(半紙!$B$11:$B$310)),IF(221&lt;=COUNTA(半紙!$B$11:$B$310)+COUNTA(条幅!$B$11:$B$310)+COUNTA(条幅4分の1!$B$11:$B$310),INDEX(条幅4分の1!$I$11:$I$310,221-COUNTA(半紙!$B$11:$B$310)-COUNTA(条幅!$B$11:$B$310)),"")))=0,"",IF(221&lt;=COUNTA(半紙!$B$11:$B$310),INDEX(半紙!$I$11:$I$310,221),IF(221&lt;=COUNTA(半紙!$B$11:$B$310)+COUNTA(条幅!$B$11:$B$310),INDEX(条幅!$I$11:$I$310,221-COUNTA(半紙!$B$11:$B$310)),IF(221&lt;=COUNTA(半紙!$B$11:$B$310)+COUNTA(条幅!$B$11:$B$310)+COUNTA(条幅4分の1!$B$11:$B$310),INDEX(条幅4分の1!$I$11:$I$310,221-COUNTA(半紙!$B$11:$B$310)-COUNTA(条幅!$B$11:$B$310)),""))))</f>
        <v/>
      </c>
      <c r="J226" s="38" t="str">
        <f>IF(IF(221&lt;=COUNTA(半紙!$B$11:$B$310),INDEX(半紙!$J$11:$J$310,221),IF(221&lt;=COUNTA(半紙!$B$11:$B$310)+COUNTA(条幅!$B$11:$B$310),INDEX(条幅!$J$11:$J$310,221-COUNTA(半紙!$B$11:$B$310)),IF(221&lt;=COUNTA(半紙!$B$11:$B$310)+COUNTA(条幅!$B$11:$B$310)+COUNTA(条幅4分の1!$B$11:$B$310),INDEX(条幅4分の1!$J$11:$J$310,221-COUNTA(半紙!$B$11:$B$310)-COUNTA(条幅!$B$11:$B$310)),"")))=0,"",IF(221&lt;=COUNTA(半紙!$B$11:$B$310),INDEX(半紙!$J$11:$J$310,221),IF(221&lt;=COUNTA(半紙!$B$11:$B$310)+COUNTA(条幅!$B$11:$B$310),INDEX(条幅!$J$11:$J$310,221-COUNTA(半紙!$B$11:$B$310)),IF(221&lt;=COUNTA(半紙!$B$11:$B$310)+COUNTA(条幅!$B$11:$B$310)+COUNTA(条幅4分の1!$B$11:$B$310),INDEX(条幅4分の1!$J$11:$J$310,221-COUNTA(半紙!$B$11:$B$310)-COUNTA(条幅!$B$11:$B$310)),""))))</f>
        <v/>
      </c>
      <c r="K226" s="38" t="str">
        <f>IF(IF(221&lt;=COUNTA(半紙!$B$11:$B$310),INDEX(半紙!$K$11:$K$310,221),IF(221&lt;=COUNTA(半紙!$B$11:$B$310)+COUNTA(条幅!$B$11:$B$310),INDEX(条幅!$K$11:$K$310,221-COUNTA(半紙!$B$11:$B$310)),IF(221&lt;=COUNTA(半紙!$B$11:$B$310)+COUNTA(条幅!$B$11:$B$310)+COUNTA(条幅4分の1!$B$11:$B$310),INDEX(条幅4分の1!$K$11:$K$310,221-COUNTA(半紙!$B$11:$B$310)-COUNTA(条幅!$B$11:$B$310)),"")))=0,"",IF(221&lt;=COUNTA(半紙!$B$11:$B$310),INDEX(半紙!$K$11:$K$310,221),IF(221&lt;=COUNTA(半紙!$B$11:$B$310)+COUNTA(条幅!$B$11:$B$310),INDEX(条幅!$K$11:$K$310,221-COUNTA(半紙!$B$11:$B$310)),IF(221&lt;=COUNTA(半紙!$B$11:$B$310)+COUNTA(条幅!$B$11:$B$310)+COUNTA(条幅4分の1!$B$11:$B$310),INDEX(条幅4分の1!$K$11:$K$310,221-COUNTA(半紙!$B$11:$B$310)-COUNTA(条幅!$B$11:$B$310)),""))))</f>
        <v/>
      </c>
      <c r="L226" s="48" t="str">
        <f>IF($B226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221))</f>
        <v/>
      </c>
    </row>
    <row r="227" spans="1:12" ht="15" customHeight="1">
      <c r="A227" s="37" t="str">
        <f>IF(222&lt;=COUNTA(半紙!$B$11:$B$310),"半紙",IF(222&lt;=COUNTA(半紙!$B$11:$B$310)+COUNTA(条幅!$B$11:$B$310),"条幅(半切)",IF(222&lt;=COUNTA(半紙!$B$11:$B$310)+COUNTA(条幅!$B$11:$B$310)+COUNTA(条幅4分の1!$B$11:$B$310),"条幅(1/4)","")))</f>
        <v/>
      </c>
      <c r="B227" s="38" t="str">
        <f>IF(IF(222&lt;=COUNTA(半紙!$B$11:$B$310),INDEX(半紙!$B$11:$B$310,222),IF(222&lt;=COUNTA(半紙!$B$11:$B$310)+COUNTA(条幅!$B$11:$B$310),INDEX(条幅!$B$11:$B$310,222-COUNTA(半紙!$B$11:$B$310)),IF(222&lt;=COUNTA(半紙!$B$11:$B$310)+COUNTA(条幅!$B$11:$B$310)+COUNTA(条幅4分の1!$B$11:$B$310),INDEX(条幅4分の1!$B$11:$B$310,222-COUNTA(半紙!$B$11:$B$310)-COUNTA(条幅!$B$11:$B$310)),"")))=0,"",IF(222&lt;=COUNTA(半紙!$B$11:$B$310),INDEX(半紙!$B$11:$B$310,222),IF(222&lt;=COUNTA(半紙!$B$11:$B$310)+COUNTA(条幅!$B$11:$B$310),INDEX(条幅!$B$11:$B$310,222-COUNTA(半紙!$B$11:$B$310)),IF(222&lt;=COUNTA(半紙!$B$11:$B$310)+COUNTA(条幅!$B$11:$B$310)+COUNTA(条幅4分の1!$B$11:$B$310),INDEX(条幅4分の1!$B$11:$B$310,222-COUNTA(半紙!$B$11:$B$310)-COUNTA(条幅!$B$11:$B$310)),""))))</f>
        <v/>
      </c>
      <c r="C227" s="38" t="str">
        <f>IF(IF(222&lt;=COUNTA(半紙!$B$11:$B$310),INDEX(半紙!$C$11:$C$310,222),IF(222&lt;=COUNTA(半紙!$B$11:$B$310)+COUNTA(条幅!$B$11:$B$310),INDEX(条幅!$C$11:$C$310,222-COUNTA(半紙!$B$11:$B$310)),IF(222&lt;=COUNTA(半紙!$B$11:$B$310)+COUNTA(条幅!$B$11:$B$310)+COUNTA(条幅4分の1!$B$11:$B$310),INDEX(条幅4分の1!$C$11:$C$310,222-COUNTA(半紙!$B$11:$B$310)-COUNTA(条幅!$B$11:$B$310)),"")))=0,"",IF(222&lt;=COUNTA(半紙!$B$11:$B$310),INDEX(半紙!$C$11:$C$310,222),IF(222&lt;=COUNTA(半紙!$B$11:$B$310)+COUNTA(条幅!$B$11:$B$310),INDEX(条幅!$C$11:$C$310,222-COUNTA(半紙!$B$11:$B$310)),IF(222&lt;=COUNTA(半紙!$B$11:$B$310)+COUNTA(条幅!$B$11:$B$310)+COUNTA(条幅4分の1!$B$11:$B$310),INDEX(条幅4分の1!$C$11:$C$310,222-COUNTA(半紙!$B$11:$B$310)-COUNTA(条幅!$B$11:$B$310)),""))))</f>
        <v/>
      </c>
      <c r="D227" s="38" t="str">
        <f>IF(IF(222&lt;=COUNTA(半紙!$B$11:$B$310),INDEX(半紙!$D$11:$D$310,222),IF(222&lt;=COUNTA(半紙!$B$11:$B$310)+COUNTA(条幅!$B$11:$B$310),INDEX(条幅!$D$11:$D$310,222-COUNTA(半紙!$B$11:$B$310)),IF(222&lt;=COUNTA(半紙!$B$11:$B$310)+COUNTA(条幅!$B$11:$B$310)+COUNTA(条幅4分の1!$B$11:$B$310),INDEX(条幅4分の1!$D$11:$D$310,222-COUNTA(半紙!$B$11:$B$310)-COUNTA(条幅!$B$11:$B$310)),"")))=0,"",IF(222&lt;=COUNTA(半紙!$B$11:$B$310),INDEX(半紙!$D$11:$D$310,222),IF(222&lt;=COUNTA(半紙!$B$11:$B$310)+COUNTA(条幅!$B$11:$B$310),INDEX(条幅!$D$11:$D$310,222-COUNTA(半紙!$B$11:$B$310)),IF(222&lt;=COUNTA(半紙!$B$11:$B$310)+COUNTA(条幅!$B$11:$B$310)+COUNTA(条幅4分の1!$B$11:$B$310),INDEX(条幅4分の1!$D$11:$D$310,222-COUNTA(半紙!$B$11:$B$310)-COUNTA(条幅!$B$11:$B$310)),""))))</f>
        <v/>
      </c>
      <c r="E227" s="38" t="str">
        <f>IF(IF(222&lt;=COUNTA(半紙!$B$11:$B$310),INDEX(半紙!$E$11:$E$310,222),IF(222&lt;=COUNTA(半紙!$B$11:$B$310)+COUNTA(条幅!$B$11:$B$310),INDEX(条幅!$E$11:$E$310,222-COUNTA(半紙!$B$11:$B$310)),IF(222&lt;=COUNTA(半紙!$B$11:$B$310)+COUNTA(条幅!$B$11:$B$310)+COUNTA(条幅4分の1!$B$11:$B$310),INDEX(条幅4分の1!$E$11:$E$310,222-COUNTA(半紙!$B$11:$B$310)-COUNTA(条幅!$B$11:$B$310)),"")))=0,"",IF(222&lt;=COUNTA(半紙!$B$11:$B$310),INDEX(半紙!$E$11:$E$310,222),IF(222&lt;=COUNTA(半紙!$B$11:$B$310)+COUNTA(条幅!$B$11:$B$310),INDEX(条幅!$E$11:$E$310,222-COUNTA(半紙!$B$11:$B$310)),IF(222&lt;=COUNTA(半紙!$B$11:$B$310)+COUNTA(条幅!$B$11:$B$310)+COUNTA(条幅4分の1!$B$11:$B$310),INDEX(条幅4分の1!$E$11:$E$310,222-COUNTA(半紙!$B$11:$B$310)-COUNTA(条幅!$B$11:$B$310)),""))))</f>
        <v/>
      </c>
      <c r="F227" s="38" t="str">
        <f>IF(IF(222&lt;=COUNTA(半紙!$B$11:$B$310),INDEX(半紙!$F$11:$F$310,222),IF(222&lt;=COUNTA(半紙!$B$11:$B$310)+COUNTA(条幅!$B$11:$B$310),INDEX(条幅!$F$11:$F$310,222-COUNTA(半紙!$B$11:$B$310)),IF(222&lt;=COUNTA(半紙!$B$11:$B$310)+COUNTA(条幅!$B$11:$B$310)+COUNTA(条幅4分の1!$B$11:$B$310),INDEX(条幅4分の1!$F$11:$F$310,222-COUNTA(半紙!$B$11:$B$310)-COUNTA(条幅!$B$11:$B$310)),"")))=0,"",IF(222&lt;=COUNTA(半紙!$B$11:$B$310),INDEX(半紙!$F$11:$F$310,222),IF(222&lt;=COUNTA(半紙!$B$11:$B$310)+COUNTA(条幅!$B$11:$B$310),INDEX(条幅!$F$11:$F$310,222-COUNTA(半紙!$B$11:$B$310)),IF(222&lt;=COUNTA(半紙!$B$11:$B$310)+COUNTA(条幅!$B$11:$B$310)+COUNTA(条幅4分の1!$B$11:$B$310),INDEX(条幅4分の1!$F$11:$F$310,222-COUNTA(半紙!$B$11:$B$310)-COUNTA(条幅!$B$11:$B$310)),""))))</f>
        <v/>
      </c>
      <c r="G227" s="38" t="str">
        <f>IF(IF(222&lt;=COUNTA(半紙!$B$11:$B$310),INDEX(半紙!$G$11:$G$310,222),IF(222&lt;=COUNTA(半紙!$B$11:$B$310)+COUNTA(条幅!$B$11:$B$310),INDEX(条幅!$G$11:$G$310,222-COUNTA(半紙!$B$11:$B$310)),IF(222&lt;=COUNTA(半紙!$B$11:$B$310)+COUNTA(条幅!$B$11:$B$310)+COUNTA(条幅4分の1!$B$11:$B$310),INDEX(条幅4分の1!$G$11:$G$310,222-COUNTA(半紙!$B$11:$B$310)-COUNTA(条幅!$B$11:$B$310)),"")))=0,"",IF(222&lt;=COUNTA(半紙!$B$11:$B$310),INDEX(半紙!$G$11:$G$310,222),IF(222&lt;=COUNTA(半紙!$B$11:$B$310)+COUNTA(条幅!$B$11:$B$310),INDEX(条幅!$G$11:$G$310,222-COUNTA(半紙!$B$11:$B$310)),IF(222&lt;=COUNTA(半紙!$B$11:$B$310)+COUNTA(条幅!$B$11:$B$310)+COUNTA(条幅4分の1!$B$11:$B$310),INDEX(条幅4分の1!$G$11:$G$310,222-COUNTA(半紙!$B$11:$B$310)-COUNTA(条幅!$B$11:$B$310)),""))))</f>
        <v/>
      </c>
      <c r="H227" s="38" t="str">
        <f>IF(IF(222&lt;=COUNTA(半紙!$B$11:$B$310),INDEX(半紙!$H$11:$H$310,222),IF(222&lt;=COUNTA(半紙!$B$11:$B$310)+COUNTA(条幅!$B$11:$B$310),INDEX(条幅!$H$11:$H$310,222-COUNTA(半紙!$B$11:$B$310)),IF(222&lt;=COUNTA(半紙!$B$11:$B$310)+COUNTA(条幅!$B$11:$B$310)+COUNTA(条幅4分の1!$B$11:$B$310),INDEX(条幅4分の1!$H$11:$H$310,222-COUNTA(半紙!$B$11:$B$310)-COUNTA(条幅!$B$11:$B$310)),"")))=0,"",IF(222&lt;=COUNTA(半紙!$B$11:$B$310),INDEX(半紙!$H$11:$H$310,222),IF(222&lt;=COUNTA(半紙!$B$11:$B$310)+COUNTA(条幅!$B$11:$B$310),INDEX(条幅!$H$11:$H$310,222-COUNTA(半紙!$B$11:$B$310)),IF(222&lt;=COUNTA(半紙!$B$11:$B$310)+COUNTA(条幅!$B$11:$B$310)+COUNTA(条幅4分の1!$B$11:$B$310),INDEX(条幅4分の1!$H$11:$H$310,222-COUNTA(半紙!$B$11:$B$310)-COUNTA(条幅!$B$11:$B$310)),""))))</f>
        <v/>
      </c>
      <c r="I227" s="38" t="str">
        <f>IF(IF(222&lt;=COUNTA(半紙!$B$11:$B$310),INDEX(半紙!$I$11:$I$310,222),IF(222&lt;=COUNTA(半紙!$B$11:$B$310)+COUNTA(条幅!$B$11:$B$310),INDEX(条幅!$I$11:$I$310,222-COUNTA(半紙!$B$11:$B$310)),IF(222&lt;=COUNTA(半紙!$B$11:$B$310)+COUNTA(条幅!$B$11:$B$310)+COUNTA(条幅4分の1!$B$11:$B$310),INDEX(条幅4分の1!$I$11:$I$310,222-COUNTA(半紙!$B$11:$B$310)-COUNTA(条幅!$B$11:$B$310)),"")))=0,"",IF(222&lt;=COUNTA(半紙!$B$11:$B$310),INDEX(半紙!$I$11:$I$310,222),IF(222&lt;=COUNTA(半紙!$B$11:$B$310)+COUNTA(条幅!$B$11:$B$310),INDEX(条幅!$I$11:$I$310,222-COUNTA(半紙!$B$11:$B$310)),IF(222&lt;=COUNTA(半紙!$B$11:$B$310)+COUNTA(条幅!$B$11:$B$310)+COUNTA(条幅4分の1!$B$11:$B$310),INDEX(条幅4分の1!$I$11:$I$310,222-COUNTA(半紙!$B$11:$B$310)-COUNTA(条幅!$B$11:$B$310)),""))))</f>
        <v/>
      </c>
      <c r="J227" s="38" t="str">
        <f>IF(IF(222&lt;=COUNTA(半紙!$B$11:$B$310),INDEX(半紙!$J$11:$J$310,222),IF(222&lt;=COUNTA(半紙!$B$11:$B$310)+COUNTA(条幅!$B$11:$B$310),INDEX(条幅!$J$11:$J$310,222-COUNTA(半紙!$B$11:$B$310)),IF(222&lt;=COUNTA(半紙!$B$11:$B$310)+COUNTA(条幅!$B$11:$B$310)+COUNTA(条幅4分の1!$B$11:$B$310),INDEX(条幅4分の1!$J$11:$J$310,222-COUNTA(半紙!$B$11:$B$310)-COUNTA(条幅!$B$11:$B$310)),"")))=0,"",IF(222&lt;=COUNTA(半紙!$B$11:$B$310),INDEX(半紙!$J$11:$J$310,222),IF(222&lt;=COUNTA(半紙!$B$11:$B$310)+COUNTA(条幅!$B$11:$B$310),INDEX(条幅!$J$11:$J$310,222-COUNTA(半紙!$B$11:$B$310)),IF(222&lt;=COUNTA(半紙!$B$11:$B$310)+COUNTA(条幅!$B$11:$B$310)+COUNTA(条幅4分の1!$B$11:$B$310),INDEX(条幅4分の1!$J$11:$J$310,222-COUNTA(半紙!$B$11:$B$310)-COUNTA(条幅!$B$11:$B$310)),""))))</f>
        <v/>
      </c>
      <c r="K227" s="38" t="str">
        <f>IF(IF(222&lt;=COUNTA(半紙!$B$11:$B$310),INDEX(半紙!$K$11:$K$310,222),IF(222&lt;=COUNTA(半紙!$B$11:$B$310)+COUNTA(条幅!$B$11:$B$310),INDEX(条幅!$K$11:$K$310,222-COUNTA(半紙!$B$11:$B$310)),IF(222&lt;=COUNTA(半紙!$B$11:$B$310)+COUNTA(条幅!$B$11:$B$310)+COUNTA(条幅4分の1!$B$11:$B$310),INDEX(条幅4分の1!$K$11:$K$310,222-COUNTA(半紙!$B$11:$B$310)-COUNTA(条幅!$B$11:$B$310)),"")))=0,"",IF(222&lt;=COUNTA(半紙!$B$11:$B$310),INDEX(半紙!$K$11:$K$310,222),IF(222&lt;=COUNTA(半紙!$B$11:$B$310)+COUNTA(条幅!$B$11:$B$310),INDEX(条幅!$K$11:$K$310,222-COUNTA(半紙!$B$11:$B$310)),IF(222&lt;=COUNTA(半紙!$B$11:$B$310)+COUNTA(条幅!$B$11:$B$310)+COUNTA(条幅4分の1!$B$11:$B$310),INDEX(条幅4分の1!$K$11:$K$310,222-COUNTA(半紙!$B$11:$B$310)-COUNTA(条幅!$B$11:$B$310)),""))))</f>
        <v/>
      </c>
      <c r="L227" s="48" t="str">
        <f>IF($B227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222))</f>
        <v/>
      </c>
    </row>
    <row r="228" spans="1:12" ht="15" customHeight="1">
      <c r="A228" s="37" t="str">
        <f>IF(223&lt;=COUNTA(半紙!$B$11:$B$310),"半紙",IF(223&lt;=COUNTA(半紙!$B$11:$B$310)+COUNTA(条幅!$B$11:$B$310),"条幅(半切)",IF(223&lt;=COUNTA(半紙!$B$11:$B$310)+COUNTA(条幅!$B$11:$B$310)+COUNTA(条幅4分の1!$B$11:$B$310),"条幅(1/4)","")))</f>
        <v/>
      </c>
      <c r="B228" s="38" t="str">
        <f>IF(IF(223&lt;=COUNTA(半紙!$B$11:$B$310),INDEX(半紙!$B$11:$B$310,223),IF(223&lt;=COUNTA(半紙!$B$11:$B$310)+COUNTA(条幅!$B$11:$B$310),INDEX(条幅!$B$11:$B$310,223-COUNTA(半紙!$B$11:$B$310)),IF(223&lt;=COUNTA(半紙!$B$11:$B$310)+COUNTA(条幅!$B$11:$B$310)+COUNTA(条幅4分の1!$B$11:$B$310),INDEX(条幅4分の1!$B$11:$B$310,223-COUNTA(半紙!$B$11:$B$310)-COUNTA(条幅!$B$11:$B$310)),"")))=0,"",IF(223&lt;=COUNTA(半紙!$B$11:$B$310),INDEX(半紙!$B$11:$B$310,223),IF(223&lt;=COUNTA(半紙!$B$11:$B$310)+COUNTA(条幅!$B$11:$B$310),INDEX(条幅!$B$11:$B$310,223-COUNTA(半紙!$B$11:$B$310)),IF(223&lt;=COUNTA(半紙!$B$11:$B$310)+COUNTA(条幅!$B$11:$B$310)+COUNTA(条幅4分の1!$B$11:$B$310),INDEX(条幅4分の1!$B$11:$B$310,223-COUNTA(半紙!$B$11:$B$310)-COUNTA(条幅!$B$11:$B$310)),""))))</f>
        <v/>
      </c>
      <c r="C228" s="38" t="str">
        <f>IF(IF(223&lt;=COUNTA(半紙!$B$11:$B$310),INDEX(半紙!$C$11:$C$310,223),IF(223&lt;=COUNTA(半紙!$B$11:$B$310)+COUNTA(条幅!$B$11:$B$310),INDEX(条幅!$C$11:$C$310,223-COUNTA(半紙!$B$11:$B$310)),IF(223&lt;=COUNTA(半紙!$B$11:$B$310)+COUNTA(条幅!$B$11:$B$310)+COUNTA(条幅4分の1!$B$11:$B$310),INDEX(条幅4分の1!$C$11:$C$310,223-COUNTA(半紙!$B$11:$B$310)-COUNTA(条幅!$B$11:$B$310)),"")))=0,"",IF(223&lt;=COUNTA(半紙!$B$11:$B$310),INDEX(半紙!$C$11:$C$310,223),IF(223&lt;=COUNTA(半紙!$B$11:$B$310)+COUNTA(条幅!$B$11:$B$310),INDEX(条幅!$C$11:$C$310,223-COUNTA(半紙!$B$11:$B$310)),IF(223&lt;=COUNTA(半紙!$B$11:$B$310)+COUNTA(条幅!$B$11:$B$310)+COUNTA(条幅4分の1!$B$11:$B$310),INDEX(条幅4分の1!$C$11:$C$310,223-COUNTA(半紙!$B$11:$B$310)-COUNTA(条幅!$B$11:$B$310)),""))))</f>
        <v/>
      </c>
      <c r="D228" s="38" t="str">
        <f>IF(IF(223&lt;=COUNTA(半紙!$B$11:$B$310),INDEX(半紙!$D$11:$D$310,223),IF(223&lt;=COUNTA(半紙!$B$11:$B$310)+COUNTA(条幅!$B$11:$B$310),INDEX(条幅!$D$11:$D$310,223-COUNTA(半紙!$B$11:$B$310)),IF(223&lt;=COUNTA(半紙!$B$11:$B$310)+COUNTA(条幅!$B$11:$B$310)+COUNTA(条幅4分の1!$B$11:$B$310),INDEX(条幅4分の1!$D$11:$D$310,223-COUNTA(半紙!$B$11:$B$310)-COUNTA(条幅!$B$11:$B$310)),"")))=0,"",IF(223&lt;=COUNTA(半紙!$B$11:$B$310),INDEX(半紙!$D$11:$D$310,223),IF(223&lt;=COUNTA(半紙!$B$11:$B$310)+COUNTA(条幅!$B$11:$B$310),INDEX(条幅!$D$11:$D$310,223-COUNTA(半紙!$B$11:$B$310)),IF(223&lt;=COUNTA(半紙!$B$11:$B$310)+COUNTA(条幅!$B$11:$B$310)+COUNTA(条幅4分の1!$B$11:$B$310),INDEX(条幅4分の1!$D$11:$D$310,223-COUNTA(半紙!$B$11:$B$310)-COUNTA(条幅!$B$11:$B$310)),""))))</f>
        <v/>
      </c>
      <c r="E228" s="38" t="str">
        <f>IF(IF(223&lt;=COUNTA(半紙!$B$11:$B$310),INDEX(半紙!$E$11:$E$310,223),IF(223&lt;=COUNTA(半紙!$B$11:$B$310)+COUNTA(条幅!$B$11:$B$310),INDEX(条幅!$E$11:$E$310,223-COUNTA(半紙!$B$11:$B$310)),IF(223&lt;=COUNTA(半紙!$B$11:$B$310)+COUNTA(条幅!$B$11:$B$310)+COUNTA(条幅4分の1!$B$11:$B$310),INDEX(条幅4分の1!$E$11:$E$310,223-COUNTA(半紙!$B$11:$B$310)-COUNTA(条幅!$B$11:$B$310)),"")))=0,"",IF(223&lt;=COUNTA(半紙!$B$11:$B$310),INDEX(半紙!$E$11:$E$310,223),IF(223&lt;=COUNTA(半紙!$B$11:$B$310)+COUNTA(条幅!$B$11:$B$310),INDEX(条幅!$E$11:$E$310,223-COUNTA(半紙!$B$11:$B$310)),IF(223&lt;=COUNTA(半紙!$B$11:$B$310)+COUNTA(条幅!$B$11:$B$310)+COUNTA(条幅4分の1!$B$11:$B$310),INDEX(条幅4分の1!$E$11:$E$310,223-COUNTA(半紙!$B$11:$B$310)-COUNTA(条幅!$B$11:$B$310)),""))))</f>
        <v/>
      </c>
      <c r="F228" s="38" t="str">
        <f>IF(IF(223&lt;=COUNTA(半紙!$B$11:$B$310),INDEX(半紙!$F$11:$F$310,223),IF(223&lt;=COUNTA(半紙!$B$11:$B$310)+COUNTA(条幅!$B$11:$B$310),INDEX(条幅!$F$11:$F$310,223-COUNTA(半紙!$B$11:$B$310)),IF(223&lt;=COUNTA(半紙!$B$11:$B$310)+COUNTA(条幅!$B$11:$B$310)+COUNTA(条幅4分の1!$B$11:$B$310),INDEX(条幅4分の1!$F$11:$F$310,223-COUNTA(半紙!$B$11:$B$310)-COUNTA(条幅!$B$11:$B$310)),"")))=0,"",IF(223&lt;=COUNTA(半紙!$B$11:$B$310),INDEX(半紙!$F$11:$F$310,223),IF(223&lt;=COUNTA(半紙!$B$11:$B$310)+COUNTA(条幅!$B$11:$B$310),INDEX(条幅!$F$11:$F$310,223-COUNTA(半紙!$B$11:$B$310)),IF(223&lt;=COUNTA(半紙!$B$11:$B$310)+COUNTA(条幅!$B$11:$B$310)+COUNTA(条幅4分の1!$B$11:$B$310),INDEX(条幅4分の1!$F$11:$F$310,223-COUNTA(半紙!$B$11:$B$310)-COUNTA(条幅!$B$11:$B$310)),""))))</f>
        <v/>
      </c>
      <c r="G228" s="38" t="str">
        <f>IF(IF(223&lt;=COUNTA(半紙!$B$11:$B$310),INDEX(半紙!$G$11:$G$310,223),IF(223&lt;=COUNTA(半紙!$B$11:$B$310)+COUNTA(条幅!$B$11:$B$310),INDEX(条幅!$G$11:$G$310,223-COUNTA(半紙!$B$11:$B$310)),IF(223&lt;=COUNTA(半紙!$B$11:$B$310)+COUNTA(条幅!$B$11:$B$310)+COUNTA(条幅4分の1!$B$11:$B$310),INDEX(条幅4分の1!$G$11:$G$310,223-COUNTA(半紙!$B$11:$B$310)-COUNTA(条幅!$B$11:$B$310)),"")))=0,"",IF(223&lt;=COUNTA(半紙!$B$11:$B$310),INDEX(半紙!$G$11:$G$310,223),IF(223&lt;=COUNTA(半紙!$B$11:$B$310)+COUNTA(条幅!$B$11:$B$310),INDEX(条幅!$G$11:$G$310,223-COUNTA(半紙!$B$11:$B$310)),IF(223&lt;=COUNTA(半紙!$B$11:$B$310)+COUNTA(条幅!$B$11:$B$310)+COUNTA(条幅4分の1!$B$11:$B$310),INDEX(条幅4分の1!$G$11:$G$310,223-COUNTA(半紙!$B$11:$B$310)-COUNTA(条幅!$B$11:$B$310)),""))))</f>
        <v/>
      </c>
      <c r="H228" s="38" t="str">
        <f>IF(IF(223&lt;=COUNTA(半紙!$B$11:$B$310),INDEX(半紙!$H$11:$H$310,223),IF(223&lt;=COUNTA(半紙!$B$11:$B$310)+COUNTA(条幅!$B$11:$B$310),INDEX(条幅!$H$11:$H$310,223-COUNTA(半紙!$B$11:$B$310)),IF(223&lt;=COUNTA(半紙!$B$11:$B$310)+COUNTA(条幅!$B$11:$B$310)+COUNTA(条幅4分の1!$B$11:$B$310),INDEX(条幅4分の1!$H$11:$H$310,223-COUNTA(半紙!$B$11:$B$310)-COUNTA(条幅!$B$11:$B$310)),"")))=0,"",IF(223&lt;=COUNTA(半紙!$B$11:$B$310),INDEX(半紙!$H$11:$H$310,223),IF(223&lt;=COUNTA(半紙!$B$11:$B$310)+COUNTA(条幅!$B$11:$B$310),INDEX(条幅!$H$11:$H$310,223-COUNTA(半紙!$B$11:$B$310)),IF(223&lt;=COUNTA(半紙!$B$11:$B$310)+COUNTA(条幅!$B$11:$B$310)+COUNTA(条幅4分の1!$B$11:$B$310),INDEX(条幅4分の1!$H$11:$H$310,223-COUNTA(半紙!$B$11:$B$310)-COUNTA(条幅!$B$11:$B$310)),""))))</f>
        <v/>
      </c>
      <c r="I228" s="38" t="str">
        <f>IF(IF(223&lt;=COUNTA(半紙!$B$11:$B$310),INDEX(半紙!$I$11:$I$310,223),IF(223&lt;=COUNTA(半紙!$B$11:$B$310)+COUNTA(条幅!$B$11:$B$310),INDEX(条幅!$I$11:$I$310,223-COUNTA(半紙!$B$11:$B$310)),IF(223&lt;=COUNTA(半紙!$B$11:$B$310)+COUNTA(条幅!$B$11:$B$310)+COUNTA(条幅4分の1!$B$11:$B$310),INDEX(条幅4分の1!$I$11:$I$310,223-COUNTA(半紙!$B$11:$B$310)-COUNTA(条幅!$B$11:$B$310)),"")))=0,"",IF(223&lt;=COUNTA(半紙!$B$11:$B$310),INDEX(半紙!$I$11:$I$310,223),IF(223&lt;=COUNTA(半紙!$B$11:$B$310)+COUNTA(条幅!$B$11:$B$310),INDEX(条幅!$I$11:$I$310,223-COUNTA(半紙!$B$11:$B$310)),IF(223&lt;=COUNTA(半紙!$B$11:$B$310)+COUNTA(条幅!$B$11:$B$310)+COUNTA(条幅4分の1!$B$11:$B$310),INDEX(条幅4分の1!$I$11:$I$310,223-COUNTA(半紙!$B$11:$B$310)-COUNTA(条幅!$B$11:$B$310)),""))))</f>
        <v/>
      </c>
      <c r="J228" s="38" t="str">
        <f>IF(IF(223&lt;=COUNTA(半紙!$B$11:$B$310),INDEX(半紙!$J$11:$J$310,223),IF(223&lt;=COUNTA(半紙!$B$11:$B$310)+COUNTA(条幅!$B$11:$B$310),INDEX(条幅!$J$11:$J$310,223-COUNTA(半紙!$B$11:$B$310)),IF(223&lt;=COUNTA(半紙!$B$11:$B$310)+COUNTA(条幅!$B$11:$B$310)+COUNTA(条幅4分の1!$B$11:$B$310),INDEX(条幅4分の1!$J$11:$J$310,223-COUNTA(半紙!$B$11:$B$310)-COUNTA(条幅!$B$11:$B$310)),"")))=0,"",IF(223&lt;=COUNTA(半紙!$B$11:$B$310),INDEX(半紙!$J$11:$J$310,223),IF(223&lt;=COUNTA(半紙!$B$11:$B$310)+COUNTA(条幅!$B$11:$B$310),INDEX(条幅!$J$11:$J$310,223-COUNTA(半紙!$B$11:$B$310)),IF(223&lt;=COUNTA(半紙!$B$11:$B$310)+COUNTA(条幅!$B$11:$B$310)+COUNTA(条幅4分の1!$B$11:$B$310),INDEX(条幅4分の1!$J$11:$J$310,223-COUNTA(半紙!$B$11:$B$310)-COUNTA(条幅!$B$11:$B$310)),""))))</f>
        <v/>
      </c>
      <c r="K228" s="38" t="str">
        <f>IF(IF(223&lt;=COUNTA(半紙!$B$11:$B$310),INDEX(半紙!$K$11:$K$310,223),IF(223&lt;=COUNTA(半紙!$B$11:$B$310)+COUNTA(条幅!$B$11:$B$310),INDEX(条幅!$K$11:$K$310,223-COUNTA(半紙!$B$11:$B$310)),IF(223&lt;=COUNTA(半紙!$B$11:$B$310)+COUNTA(条幅!$B$11:$B$310)+COUNTA(条幅4分の1!$B$11:$B$310),INDEX(条幅4分の1!$K$11:$K$310,223-COUNTA(半紙!$B$11:$B$310)-COUNTA(条幅!$B$11:$B$310)),"")))=0,"",IF(223&lt;=COUNTA(半紙!$B$11:$B$310),INDEX(半紙!$K$11:$K$310,223),IF(223&lt;=COUNTA(半紙!$B$11:$B$310)+COUNTA(条幅!$B$11:$B$310),INDEX(条幅!$K$11:$K$310,223-COUNTA(半紙!$B$11:$B$310)),IF(223&lt;=COUNTA(半紙!$B$11:$B$310)+COUNTA(条幅!$B$11:$B$310)+COUNTA(条幅4分の1!$B$11:$B$310),INDEX(条幅4分の1!$K$11:$K$310,223-COUNTA(半紙!$B$11:$B$310)-COUNTA(条幅!$B$11:$B$310)),""))))</f>
        <v/>
      </c>
      <c r="L228" s="48" t="str">
        <f>IF($B228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223))</f>
        <v/>
      </c>
    </row>
    <row r="229" spans="1:12" ht="15" customHeight="1">
      <c r="A229" s="37" t="str">
        <f>IF(224&lt;=COUNTA(半紙!$B$11:$B$310),"半紙",IF(224&lt;=COUNTA(半紙!$B$11:$B$310)+COUNTA(条幅!$B$11:$B$310),"条幅(半切)",IF(224&lt;=COUNTA(半紙!$B$11:$B$310)+COUNTA(条幅!$B$11:$B$310)+COUNTA(条幅4分の1!$B$11:$B$310),"条幅(1/4)","")))</f>
        <v/>
      </c>
      <c r="B229" s="38" t="str">
        <f>IF(IF(224&lt;=COUNTA(半紙!$B$11:$B$310),INDEX(半紙!$B$11:$B$310,224),IF(224&lt;=COUNTA(半紙!$B$11:$B$310)+COUNTA(条幅!$B$11:$B$310),INDEX(条幅!$B$11:$B$310,224-COUNTA(半紙!$B$11:$B$310)),IF(224&lt;=COUNTA(半紙!$B$11:$B$310)+COUNTA(条幅!$B$11:$B$310)+COUNTA(条幅4分の1!$B$11:$B$310),INDEX(条幅4分の1!$B$11:$B$310,224-COUNTA(半紙!$B$11:$B$310)-COUNTA(条幅!$B$11:$B$310)),"")))=0,"",IF(224&lt;=COUNTA(半紙!$B$11:$B$310),INDEX(半紙!$B$11:$B$310,224),IF(224&lt;=COUNTA(半紙!$B$11:$B$310)+COUNTA(条幅!$B$11:$B$310),INDEX(条幅!$B$11:$B$310,224-COUNTA(半紙!$B$11:$B$310)),IF(224&lt;=COUNTA(半紙!$B$11:$B$310)+COUNTA(条幅!$B$11:$B$310)+COUNTA(条幅4分の1!$B$11:$B$310),INDEX(条幅4分の1!$B$11:$B$310,224-COUNTA(半紙!$B$11:$B$310)-COUNTA(条幅!$B$11:$B$310)),""))))</f>
        <v/>
      </c>
      <c r="C229" s="38" t="str">
        <f>IF(IF(224&lt;=COUNTA(半紙!$B$11:$B$310),INDEX(半紙!$C$11:$C$310,224),IF(224&lt;=COUNTA(半紙!$B$11:$B$310)+COUNTA(条幅!$B$11:$B$310),INDEX(条幅!$C$11:$C$310,224-COUNTA(半紙!$B$11:$B$310)),IF(224&lt;=COUNTA(半紙!$B$11:$B$310)+COUNTA(条幅!$B$11:$B$310)+COUNTA(条幅4分の1!$B$11:$B$310),INDEX(条幅4分の1!$C$11:$C$310,224-COUNTA(半紙!$B$11:$B$310)-COUNTA(条幅!$B$11:$B$310)),"")))=0,"",IF(224&lt;=COUNTA(半紙!$B$11:$B$310),INDEX(半紙!$C$11:$C$310,224),IF(224&lt;=COUNTA(半紙!$B$11:$B$310)+COUNTA(条幅!$B$11:$B$310),INDEX(条幅!$C$11:$C$310,224-COUNTA(半紙!$B$11:$B$310)),IF(224&lt;=COUNTA(半紙!$B$11:$B$310)+COUNTA(条幅!$B$11:$B$310)+COUNTA(条幅4分の1!$B$11:$B$310),INDEX(条幅4分の1!$C$11:$C$310,224-COUNTA(半紙!$B$11:$B$310)-COUNTA(条幅!$B$11:$B$310)),""))))</f>
        <v/>
      </c>
      <c r="D229" s="38" t="str">
        <f>IF(IF(224&lt;=COUNTA(半紙!$B$11:$B$310),INDEX(半紙!$D$11:$D$310,224),IF(224&lt;=COUNTA(半紙!$B$11:$B$310)+COUNTA(条幅!$B$11:$B$310),INDEX(条幅!$D$11:$D$310,224-COUNTA(半紙!$B$11:$B$310)),IF(224&lt;=COUNTA(半紙!$B$11:$B$310)+COUNTA(条幅!$B$11:$B$310)+COUNTA(条幅4分の1!$B$11:$B$310),INDEX(条幅4分の1!$D$11:$D$310,224-COUNTA(半紙!$B$11:$B$310)-COUNTA(条幅!$B$11:$B$310)),"")))=0,"",IF(224&lt;=COUNTA(半紙!$B$11:$B$310),INDEX(半紙!$D$11:$D$310,224),IF(224&lt;=COUNTA(半紙!$B$11:$B$310)+COUNTA(条幅!$B$11:$B$310),INDEX(条幅!$D$11:$D$310,224-COUNTA(半紙!$B$11:$B$310)),IF(224&lt;=COUNTA(半紙!$B$11:$B$310)+COUNTA(条幅!$B$11:$B$310)+COUNTA(条幅4分の1!$B$11:$B$310),INDEX(条幅4分の1!$D$11:$D$310,224-COUNTA(半紙!$B$11:$B$310)-COUNTA(条幅!$B$11:$B$310)),""))))</f>
        <v/>
      </c>
      <c r="E229" s="38" t="str">
        <f>IF(IF(224&lt;=COUNTA(半紙!$B$11:$B$310),INDEX(半紙!$E$11:$E$310,224),IF(224&lt;=COUNTA(半紙!$B$11:$B$310)+COUNTA(条幅!$B$11:$B$310),INDEX(条幅!$E$11:$E$310,224-COUNTA(半紙!$B$11:$B$310)),IF(224&lt;=COUNTA(半紙!$B$11:$B$310)+COUNTA(条幅!$B$11:$B$310)+COUNTA(条幅4分の1!$B$11:$B$310),INDEX(条幅4分の1!$E$11:$E$310,224-COUNTA(半紙!$B$11:$B$310)-COUNTA(条幅!$B$11:$B$310)),"")))=0,"",IF(224&lt;=COUNTA(半紙!$B$11:$B$310),INDEX(半紙!$E$11:$E$310,224),IF(224&lt;=COUNTA(半紙!$B$11:$B$310)+COUNTA(条幅!$B$11:$B$310),INDEX(条幅!$E$11:$E$310,224-COUNTA(半紙!$B$11:$B$310)),IF(224&lt;=COUNTA(半紙!$B$11:$B$310)+COUNTA(条幅!$B$11:$B$310)+COUNTA(条幅4分の1!$B$11:$B$310),INDEX(条幅4分の1!$E$11:$E$310,224-COUNTA(半紙!$B$11:$B$310)-COUNTA(条幅!$B$11:$B$310)),""))))</f>
        <v/>
      </c>
      <c r="F229" s="38" t="str">
        <f>IF(IF(224&lt;=COUNTA(半紙!$B$11:$B$310),INDEX(半紙!$F$11:$F$310,224),IF(224&lt;=COUNTA(半紙!$B$11:$B$310)+COUNTA(条幅!$B$11:$B$310),INDEX(条幅!$F$11:$F$310,224-COUNTA(半紙!$B$11:$B$310)),IF(224&lt;=COUNTA(半紙!$B$11:$B$310)+COUNTA(条幅!$B$11:$B$310)+COUNTA(条幅4分の1!$B$11:$B$310),INDEX(条幅4分の1!$F$11:$F$310,224-COUNTA(半紙!$B$11:$B$310)-COUNTA(条幅!$B$11:$B$310)),"")))=0,"",IF(224&lt;=COUNTA(半紙!$B$11:$B$310),INDEX(半紙!$F$11:$F$310,224),IF(224&lt;=COUNTA(半紙!$B$11:$B$310)+COUNTA(条幅!$B$11:$B$310),INDEX(条幅!$F$11:$F$310,224-COUNTA(半紙!$B$11:$B$310)),IF(224&lt;=COUNTA(半紙!$B$11:$B$310)+COUNTA(条幅!$B$11:$B$310)+COUNTA(条幅4分の1!$B$11:$B$310),INDEX(条幅4分の1!$F$11:$F$310,224-COUNTA(半紙!$B$11:$B$310)-COUNTA(条幅!$B$11:$B$310)),""))))</f>
        <v/>
      </c>
      <c r="G229" s="38" t="str">
        <f>IF(IF(224&lt;=COUNTA(半紙!$B$11:$B$310),INDEX(半紙!$G$11:$G$310,224),IF(224&lt;=COUNTA(半紙!$B$11:$B$310)+COUNTA(条幅!$B$11:$B$310),INDEX(条幅!$G$11:$G$310,224-COUNTA(半紙!$B$11:$B$310)),IF(224&lt;=COUNTA(半紙!$B$11:$B$310)+COUNTA(条幅!$B$11:$B$310)+COUNTA(条幅4分の1!$B$11:$B$310),INDEX(条幅4分の1!$G$11:$G$310,224-COUNTA(半紙!$B$11:$B$310)-COUNTA(条幅!$B$11:$B$310)),"")))=0,"",IF(224&lt;=COUNTA(半紙!$B$11:$B$310),INDEX(半紙!$G$11:$G$310,224),IF(224&lt;=COUNTA(半紙!$B$11:$B$310)+COUNTA(条幅!$B$11:$B$310),INDEX(条幅!$G$11:$G$310,224-COUNTA(半紙!$B$11:$B$310)),IF(224&lt;=COUNTA(半紙!$B$11:$B$310)+COUNTA(条幅!$B$11:$B$310)+COUNTA(条幅4分の1!$B$11:$B$310),INDEX(条幅4分の1!$G$11:$G$310,224-COUNTA(半紙!$B$11:$B$310)-COUNTA(条幅!$B$11:$B$310)),""))))</f>
        <v/>
      </c>
      <c r="H229" s="38" t="str">
        <f>IF(IF(224&lt;=COUNTA(半紙!$B$11:$B$310),INDEX(半紙!$H$11:$H$310,224),IF(224&lt;=COUNTA(半紙!$B$11:$B$310)+COUNTA(条幅!$B$11:$B$310),INDEX(条幅!$H$11:$H$310,224-COUNTA(半紙!$B$11:$B$310)),IF(224&lt;=COUNTA(半紙!$B$11:$B$310)+COUNTA(条幅!$B$11:$B$310)+COUNTA(条幅4分の1!$B$11:$B$310),INDEX(条幅4分の1!$H$11:$H$310,224-COUNTA(半紙!$B$11:$B$310)-COUNTA(条幅!$B$11:$B$310)),"")))=0,"",IF(224&lt;=COUNTA(半紙!$B$11:$B$310),INDEX(半紙!$H$11:$H$310,224),IF(224&lt;=COUNTA(半紙!$B$11:$B$310)+COUNTA(条幅!$B$11:$B$310),INDEX(条幅!$H$11:$H$310,224-COUNTA(半紙!$B$11:$B$310)),IF(224&lt;=COUNTA(半紙!$B$11:$B$310)+COUNTA(条幅!$B$11:$B$310)+COUNTA(条幅4分の1!$B$11:$B$310),INDEX(条幅4分の1!$H$11:$H$310,224-COUNTA(半紙!$B$11:$B$310)-COUNTA(条幅!$B$11:$B$310)),""))))</f>
        <v/>
      </c>
      <c r="I229" s="38" t="str">
        <f>IF(IF(224&lt;=COUNTA(半紙!$B$11:$B$310),INDEX(半紙!$I$11:$I$310,224),IF(224&lt;=COUNTA(半紙!$B$11:$B$310)+COUNTA(条幅!$B$11:$B$310),INDEX(条幅!$I$11:$I$310,224-COUNTA(半紙!$B$11:$B$310)),IF(224&lt;=COUNTA(半紙!$B$11:$B$310)+COUNTA(条幅!$B$11:$B$310)+COUNTA(条幅4分の1!$B$11:$B$310),INDEX(条幅4分の1!$I$11:$I$310,224-COUNTA(半紙!$B$11:$B$310)-COUNTA(条幅!$B$11:$B$310)),"")))=0,"",IF(224&lt;=COUNTA(半紙!$B$11:$B$310),INDEX(半紙!$I$11:$I$310,224),IF(224&lt;=COUNTA(半紙!$B$11:$B$310)+COUNTA(条幅!$B$11:$B$310),INDEX(条幅!$I$11:$I$310,224-COUNTA(半紙!$B$11:$B$310)),IF(224&lt;=COUNTA(半紙!$B$11:$B$310)+COUNTA(条幅!$B$11:$B$310)+COUNTA(条幅4分の1!$B$11:$B$310),INDEX(条幅4分の1!$I$11:$I$310,224-COUNTA(半紙!$B$11:$B$310)-COUNTA(条幅!$B$11:$B$310)),""))))</f>
        <v/>
      </c>
      <c r="J229" s="38" t="str">
        <f>IF(IF(224&lt;=COUNTA(半紙!$B$11:$B$310),INDEX(半紙!$J$11:$J$310,224),IF(224&lt;=COUNTA(半紙!$B$11:$B$310)+COUNTA(条幅!$B$11:$B$310),INDEX(条幅!$J$11:$J$310,224-COUNTA(半紙!$B$11:$B$310)),IF(224&lt;=COUNTA(半紙!$B$11:$B$310)+COUNTA(条幅!$B$11:$B$310)+COUNTA(条幅4分の1!$B$11:$B$310),INDEX(条幅4分の1!$J$11:$J$310,224-COUNTA(半紙!$B$11:$B$310)-COUNTA(条幅!$B$11:$B$310)),"")))=0,"",IF(224&lt;=COUNTA(半紙!$B$11:$B$310),INDEX(半紙!$J$11:$J$310,224),IF(224&lt;=COUNTA(半紙!$B$11:$B$310)+COUNTA(条幅!$B$11:$B$310),INDEX(条幅!$J$11:$J$310,224-COUNTA(半紙!$B$11:$B$310)),IF(224&lt;=COUNTA(半紙!$B$11:$B$310)+COUNTA(条幅!$B$11:$B$310)+COUNTA(条幅4分の1!$B$11:$B$310),INDEX(条幅4分の1!$J$11:$J$310,224-COUNTA(半紙!$B$11:$B$310)-COUNTA(条幅!$B$11:$B$310)),""))))</f>
        <v/>
      </c>
      <c r="K229" s="38" t="str">
        <f>IF(IF(224&lt;=COUNTA(半紙!$B$11:$B$310),INDEX(半紙!$K$11:$K$310,224),IF(224&lt;=COUNTA(半紙!$B$11:$B$310)+COUNTA(条幅!$B$11:$B$310),INDEX(条幅!$K$11:$K$310,224-COUNTA(半紙!$B$11:$B$310)),IF(224&lt;=COUNTA(半紙!$B$11:$B$310)+COUNTA(条幅!$B$11:$B$310)+COUNTA(条幅4分の1!$B$11:$B$310),INDEX(条幅4分の1!$K$11:$K$310,224-COUNTA(半紙!$B$11:$B$310)-COUNTA(条幅!$B$11:$B$310)),"")))=0,"",IF(224&lt;=COUNTA(半紙!$B$11:$B$310),INDEX(半紙!$K$11:$K$310,224),IF(224&lt;=COUNTA(半紙!$B$11:$B$310)+COUNTA(条幅!$B$11:$B$310),INDEX(条幅!$K$11:$K$310,224-COUNTA(半紙!$B$11:$B$310)),IF(224&lt;=COUNTA(半紙!$B$11:$B$310)+COUNTA(条幅!$B$11:$B$310)+COUNTA(条幅4分の1!$B$11:$B$310),INDEX(条幅4分の1!$K$11:$K$310,224-COUNTA(半紙!$B$11:$B$310)-COUNTA(条幅!$B$11:$B$310)),""))))</f>
        <v/>
      </c>
      <c r="L229" s="48" t="str">
        <f>IF($B229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224))</f>
        <v/>
      </c>
    </row>
    <row r="230" spans="1:12" ht="15" customHeight="1">
      <c r="A230" s="37" t="str">
        <f>IF(225&lt;=COUNTA(半紙!$B$11:$B$310),"半紙",IF(225&lt;=COUNTA(半紙!$B$11:$B$310)+COUNTA(条幅!$B$11:$B$310),"条幅(半切)",IF(225&lt;=COUNTA(半紙!$B$11:$B$310)+COUNTA(条幅!$B$11:$B$310)+COUNTA(条幅4分の1!$B$11:$B$310),"条幅(1/4)","")))</f>
        <v/>
      </c>
      <c r="B230" s="38" t="str">
        <f>IF(IF(225&lt;=COUNTA(半紙!$B$11:$B$310),INDEX(半紙!$B$11:$B$310,225),IF(225&lt;=COUNTA(半紙!$B$11:$B$310)+COUNTA(条幅!$B$11:$B$310),INDEX(条幅!$B$11:$B$310,225-COUNTA(半紙!$B$11:$B$310)),IF(225&lt;=COUNTA(半紙!$B$11:$B$310)+COUNTA(条幅!$B$11:$B$310)+COUNTA(条幅4分の1!$B$11:$B$310),INDEX(条幅4分の1!$B$11:$B$310,225-COUNTA(半紙!$B$11:$B$310)-COUNTA(条幅!$B$11:$B$310)),"")))=0,"",IF(225&lt;=COUNTA(半紙!$B$11:$B$310),INDEX(半紙!$B$11:$B$310,225),IF(225&lt;=COUNTA(半紙!$B$11:$B$310)+COUNTA(条幅!$B$11:$B$310),INDEX(条幅!$B$11:$B$310,225-COUNTA(半紙!$B$11:$B$310)),IF(225&lt;=COUNTA(半紙!$B$11:$B$310)+COUNTA(条幅!$B$11:$B$310)+COUNTA(条幅4分の1!$B$11:$B$310),INDEX(条幅4分の1!$B$11:$B$310,225-COUNTA(半紙!$B$11:$B$310)-COUNTA(条幅!$B$11:$B$310)),""))))</f>
        <v/>
      </c>
      <c r="C230" s="38" t="str">
        <f>IF(IF(225&lt;=COUNTA(半紙!$B$11:$B$310),INDEX(半紙!$C$11:$C$310,225),IF(225&lt;=COUNTA(半紙!$B$11:$B$310)+COUNTA(条幅!$B$11:$B$310),INDEX(条幅!$C$11:$C$310,225-COUNTA(半紙!$B$11:$B$310)),IF(225&lt;=COUNTA(半紙!$B$11:$B$310)+COUNTA(条幅!$B$11:$B$310)+COUNTA(条幅4分の1!$B$11:$B$310),INDEX(条幅4分の1!$C$11:$C$310,225-COUNTA(半紙!$B$11:$B$310)-COUNTA(条幅!$B$11:$B$310)),"")))=0,"",IF(225&lt;=COUNTA(半紙!$B$11:$B$310),INDEX(半紙!$C$11:$C$310,225),IF(225&lt;=COUNTA(半紙!$B$11:$B$310)+COUNTA(条幅!$B$11:$B$310),INDEX(条幅!$C$11:$C$310,225-COUNTA(半紙!$B$11:$B$310)),IF(225&lt;=COUNTA(半紙!$B$11:$B$310)+COUNTA(条幅!$B$11:$B$310)+COUNTA(条幅4分の1!$B$11:$B$310),INDEX(条幅4分の1!$C$11:$C$310,225-COUNTA(半紙!$B$11:$B$310)-COUNTA(条幅!$B$11:$B$310)),""))))</f>
        <v/>
      </c>
      <c r="D230" s="38" t="str">
        <f>IF(IF(225&lt;=COUNTA(半紙!$B$11:$B$310),INDEX(半紙!$D$11:$D$310,225),IF(225&lt;=COUNTA(半紙!$B$11:$B$310)+COUNTA(条幅!$B$11:$B$310),INDEX(条幅!$D$11:$D$310,225-COUNTA(半紙!$B$11:$B$310)),IF(225&lt;=COUNTA(半紙!$B$11:$B$310)+COUNTA(条幅!$B$11:$B$310)+COUNTA(条幅4分の1!$B$11:$B$310),INDEX(条幅4分の1!$D$11:$D$310,225-COUNTA(半紙!$B$11:$B$310)-COUNTA(条幅!$B$11:$B$310)),"")))=0,"",IF(225&lt;=COUNTA(半紙!$B$11:$B$310),INDEX(半紙!$D$11:$D$310,225),IF(225&lt;=COUNTA(半紙!$B$11:$B$310)+COUNTA(条幅!$B$11:$B$310),INDEX(条幅!$D$11:$D$310,225-COUNTA(半紙!$B$11:$B$310)),IF(225&lt;=COUNTA(半紙!$B$11:$B$310)+COUNTA(条幅!$B$11:$B$310)+COUNTA(条幅4分の1!$B$11:$B$310),INDEX(条幅4分の1!$D$11:$D$310,225-COUNTA(半紙!$B$11:$B$310)-COUNTA(条幅!$B$11:$B$310)),""))))</f>
        <v/>
      </c>
      <c r="E230" s="38" t="str">
        <f>IF(IF(225&lt;=COUNTA(半紙!$B$11:$B$310),INDEX(半紙!$E$11:$E$310,225),IF(225&lt;=COUNTA(半紙!$B$11:$B$310)+COUNTA(条幅!$B$11:$B$310),INDEX(条幅!$E$11:$E$310,225-COUNTA(半紙!$B$11:$B$310)),IF(225&lt;=COUNTA(半紙!$B$11:$B$310)+COUNTA(条幅!$B$11:$B$310)+COUNTA(条幅4分の1!$B$11:$B$310),INDEX(条幅4分の1!$E$11:$E$310,225-COUNTA(半紙!$B$11:$B$310)-COUNTA(条幅!$B$11:$B$310)),"")))=0,"",IF(225&lt;=COUNTA(半紙!$B$11:$B$310),INDEX(半紙!$E$11:$E$310,225),IF(225&lt;=COUNTA(半紙!$B$11:$B$310)+COUNTA(条幅!$B$11:$B$310),INDEX(条幅!$E$11:$E$310,225-COUNTA(半紙!$B$11:$B$310)),IF(225&lt;=COUNTA(半紙!$B$11:$B$310)+COUNTA(条幅!$B$11:$B$310)+COUNTA(条幅4分の1!$B$11:$B$310),INDEX(条幅4分の1!$E$11:$E$310,225-COUNTA(半紙!$B$11:$B$310)-COUNTA(条幅!$B$11:$B$310)),""))))</f>
        <v/>
      </c>
      <c r="F230" s="38" t="str">
        <f>IF(IF(225&lt;=COUNTA(半紙!$B$11:$B$310),INDEX(半紙!$F$11:$F$310,225),IF(225&lt;=COUNTA(半紙!$B$11:$B$310)+COUNTA(条幅!$B$11:$B$310),INDEX(条幅!$F$11:$F$310,225-COUNTA(半紙!$B$11:$B$310)),IF(225&lt;=COUNTA(半紙!$B$11:$B$310)+COUNTA(条幅!$B$11:$B$310)+COUNTA(条幅4分の1!$B$11:$B$310),INDEX(条幅4分の1!$F$11:$F$310,225-COUNTA(半紙!$B$11:$B$310)-COUNTA(条幅!$B$11:$B$310)),"")))=0,"",IF(225&lt;=COUNTA(半紙!$B$11:$B$310),INDEX(半紙!$F$11:$F$310,225),IF(225&lt;=COUNTA(半紙!$B$11:$B$310)+COUNTA(条幅!$B$11:$B$310),INDEX(条幅!$F$11:$F$310,225-COUNTA(半紙!$B$11:$B$310)),IF(225&lt;=COUNTA(半紙!$B$11:$B$310)+COUNTA(条幅!$B$11:$B$310)+COUNTA(条幅4分の1!$B$11:$B$310),INDEX(条幅4分の1!$F$11:$F$310,225-COUNTA(半紙!$B$11:$B$310)-COUNTA(条幅!$B$11:$B$310)),""))))</f>
        <v/>
      </c>
      <c r="G230" s="38" t="str">
        <f>IF(IF(225&lt;=COUNTA(半紙!$B$11:$B$310),INDEX(半紙!$G$11:$G$310,225),IF(225&lt;=COUNTA(半紙!$B$11:$B$310)+COUNTA(条幅!$B$11:$B$310),INDEX(条幅!$G$11:$G$310,225-COUNTA(半紙!$B$11:$B$310)),IF(225&lt;=COUNTA(半紙!$B$11:$B$310)+COUNTA(条幅!$B$11:$B$310)+COUNTA(条幅4分の1!$B$11:$B$310),INDEX(条幅4分の1!$G$11:$G$310,225-COUNTA(半紙!$B$11:$B$310)-COUNTA(条幅!$B$11:$B$310)),"")))=0,"",IF(225&lt;=COUNTA(半紙!$B$11:$B$310),INDEX(半紙!$G$11:$G$310,225),IF(225&lt;=COUNTA(半紙!$B$11:$B$310)+COUNTA(条幅!$B$11:$B$310),INDEX(条幅!$G$11:$G$310,225-COUNTA(半紙!$B$11:$B$310)),IF(225&lt;=COUNTA(半紙!$B$11:$B$310)+COUNTA(条幅!$B$11:$B$310)+COUNTA(条幅4分の1!$B$11:$B$310),INDEX(条幅4分の1!$G$11:$G$310,225-COUNTA(半紙!$B$11:$B$310)-COUNTA(条幅!$B$11:$B$310)),""))))</f>
        <v/>
      </c>
      <c r="H230" s="38" t="str">
        <f>IF(IF(225&lt;=COUNTA(半紙!$B$11:$B$310),INDEX(半紙!$H$11:$H$310,225),IF(225&lt;=COUNTA(半紙!$B$11:$B$310)+COUNTA(条幅!$B$11:$B$310),INDEX(条幅!$H$11:$H$310,225-COUNTA(半紙!$B$11:$B$310)),IF(225&lt;=COUNTA(半紙!$B$11:$B$310)+COUNTA(条幅!$B$11:$B$310)+COUNTA(条幅4分の1!$B$11:$B$310),INDEX(条幅4分の1!$H$11:$H$310,225-COUNTA(半紙!$B$11:$B$310)-COUNTA(条幅!$B$11:$B$310)),"")))=0,"",IF(225&lt;=COUNTA(半紙!$B$11:$B$310),INDEX(半紙!$H$11:$H$310,225),IF(225&lt;=COUNTA(半紙!$B$11:$B$310)+COUNTA(条幅!$B$11:$B$310),INDEX(条幅!$H$11:$H$310,225-COUNTA(半紙!$B$11:$B$310)),IF(225&lt;=COUNTA(半紙!$B$11:$B$310)+COUNTA(条幅!$B$11:$B$310)+COUNTA(条幅4分の1!$B$11:$B$310),INDEX(条幅4分の1!$H$11:$H$310,225-COUNTA(半紙!$B$11:$B$310)-COUNTA(条幅!$B$11:$B$310)),""))))</f>
        <v/>
      </c>
      <c r="I230" s="38" t="str">
        <f>IF(IF(225&lt;=COUNTA(半紙!$B$11:$B$310),INDEX(半紙!$I$11:$I$310,225),IF(225&lt;=COUNTA(半紙!$B$11:$B$310)+COUNTA(条幅!$B$11:$B$310),INDEX(条幅!$I$11:$I$310,225-COUNTA(半紙!$B$11:$B$310)),IF(225&lt;=COUNTA(半紙!$B$11:$B$310)+COUNTA(条幅!$B$11:$B$310)+COUNTA(条幅4分の1!$B$11:$B$310),INDEX(条幅4分の1!$I$11:$I$310,225-COUNTA(半紙!$B$11:$B$310)-COUNTA(条幅!$B$11:$B$310)),"")))=0,"",IF(225&lt;=COUNTA(半紙!$B$11:$B$310),INDEX(半紙!$I$11:$I$310,225),IF(225&lt;=COUNTA(半紙!$B$11:$B$310)+COUNTA(条幅!$B$11:$B$310),INDEX(条幅!$I$11:$I$310,225-COUNTA(半紙!$B$11:$B$310)),IF(225&lt;=COUNTA(半紙!$B$11:$B$310)+COUNTA(条幅!$B$11:$B$310)+COUNTA(条幅4分の1!$B$11:$B$310),INDEX(条幅4分の1!$I$11:$I$310,225-COUNTA(半紙!$B$11:$B$310)-COUNTA(条幅!$B$11:$B$310)),""))))</f>
        <v/>
      </c>
      <c r="J230" s="38" t="str">
        <f>IF(IF(225&lt;=COUNTA(半紙!$B$11:$B$310),INDEX(半紙!$J$11:$J$310,225),IF(225&lt;=COUNTA(半紙!$B$11:$B$310)+COUNTA(条幅!$B$11:$B$310),INDEX(条幅!$J$11:$J$310,225-COUNTA(半紙!$B$11:$B$310)),IF(225&lt;=COUNTA(半紙!$B$11:$B$310)+COUNTA(条幅!$B$11:$B$310)+COUNTA(条幅4分の1!$B$11:$B$310),INDEX(条幅4分の1!$J$11:$J$310,225-COUNTA(半紙!$B$11:$B$310)-COUNTA(条幅!$B$11:$B$310)),"")))=0,"",IF(225&lt;=COUNTA(半紙!$B$11:$B$310),INDEX(半紙!$J$11:$J$310,225),IF(225&lt;=COUNTA(半紙!$B$11:$B$310)+COUNTA(条幅!$B$11:$B$310),INDEX(条幅!$J$11:$J$310,225-COUNTA(半紙!$B$11:$B$310)),IF(225&lt;=COUNTA(半紙!$B$11:$B$310)+COUNTA(条幅!$B$11:$B$310)+COUNTA(条幅4分の1!$B$11:$B$310),INDEX(条幅4分の1!$J$11:$J$310,225-COUNTA(半紙!$B$11:$B$310)-COUNTA(条幅!$B$11:$B$310)),""))))</f>
        <v/>
      </c>
      <c r="K230" s="38" t="str">
        <f>IF(IF(225&lt;=COUNTA(半紙!$B$11:$B$310),INDEX(半紙!$K$11:$K$310,225),IF(225&lt;=COUNTA(半紙!$B$11:$B$310)+COUNTA(条幅!$B$11:$B$310),INDEX(条幅!$K$11:$K$310,225-COUNTA(半紙!$B$11:$B$310)),IF(225&lt;=COUNTA(半紙!$B$11:$B$310)+COUNTA(条幅!$B$11:$B$310)+COUNTA(条幅4分の1!$B$11:$B$310),INDEX(条幅4分の1!$K$11:$K$310,225-COUNTA(半紙!$B$11:$B$310)-COUNTA(条幅!$B$11:$B$310)),"")))=0,"",IF(225&lt;=COUNTA(半紙!$B$11:$B$310),INDEX(半紙!$K$11:$K$310,225),IF(225&lt;=COUNTA(半紙!$B$11:$B$310)+COUNTA(条幅!$B$11:$B$310),INDEX(条幅!$K$11:$K$310,225-COUNTA(半紙!$B$11:$B$310)),IF(225&lt;=COUNTA(半紙!$B$11:$B$310)+COUNTA(条幅!$B$11:$B$310)+COUNTA(条幅4分の1!$B$11:$B$310),INDEX(条幅4分の1!$K$11:$K$310,225-COUNTA(半紙!$B$11:$B$310)-COUNTA(条幅!$B$11:$B$310)),""))))</f>
        <v/>
      </c>
      <c r="L230" s="48" t="str">
        <f>IF($B230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225))</f>
        <v/>
      </c>
    </row>
    <row r="231" spans="1:12" ht="15" customHeight="1">
      <c r="A231" s="37" t="str">
        <f>IF(226&lt;=COUNTA(半紙!$B$11:$B$310),"半紙",IF(226&lt;=COUNTA(半紙!$B$11:$B$310)+COUNTA(条幅!$B$11:$B$310),"条幅(半切)",IF(226&lt;=COUNTA(半紙!$B$11:$B$310)+COUNTA(条幅!$B$11:$B$310)+COUNTA(条幅4分の1!$B$11:$B$310),"条幅(1/4)","")))</f>
        <v/>
      </c>
      <c r="B231" s="38" t="str">
        <f>IF(IF(226&lt;=COUNTA(半紙!$B$11:$B$310),INDEX(半紙!$B$11:$B$310,226),IF(226&lt;=COUNTA(半紙!$B$11:$B$310)+COUNTA(条幅!$B$11:$B$310),INDEX(条幅!$B$11:$B$310,226-COUNTA(半紙!$B$11:$B$310)),IF(226&lt;=COUNTA(半紙!$B$11:$B$310)+COUNTA(条幅!$B$11:$B$310)+COUNTA(条幅4分の1!$B$11:$B$310),INDEX(条幅4分の1!$B$11:$B$310,226-COUNTA(半紙!$B$11:$B$310)-COUNTA(条幅!$B$11:$B$310)),"")))=0,"",IF(226&lt;=COUNTA(半紙!$B$11:$B$310),INDEX(半紙!$B$11:$B$310,226),IF(226&lt;=COUNTA(半紙!$B$11:$B$310)+COUNTA(条幅!$B$11:$B$310),INDEX(条幅!$B$11:$B$310,226-COUNTA(半紙!$B$11:$B$310)),IF(226&lt;=COUNTA(半紙!$B$11:$B$310)+COUNTA(条幅!$B$11:$B$310)+COUNTA(条幅4分の1!$B$11:$B$310),INDEX(条幅4分の1!$B$11:$B$310,226-COUNTA(半紙!$B$11:$B$310)-COUNTA(条幅!$B$11:$B$310)),""))))</f>
        <v/>
      </c>
      <c r="C231" s="38" t="str">
        <f>IF(IF(226&lt;=COUNTA(半紙!$B$11:$B$310),INDEX(半紙!$C$11:$C$310,226),IF(226&lt;=COUNTA(半紙!$B$11:$B$310)+COUNTA(条幅!$B$11:$B$310),INDEX(条幅!$C$11:$C$310,226-COUNTA(半紙!$B$11:$B$310)),IF(226&lt;=COUNTA(半紙!$B$11:$B$310)+COUNTA(条幅!$B$11:$B$310)+COUNTA(条幅4分の1!$B$11:$B$310),INDEX(条幅4分の1!$C$11:$C$310,226-COUNTA(半紙!$B$11:$B$310)-COUNTA(条幅!$B$11:$B$310)),"")))=0,"",IF(226&lt;=COUNTA(半紙!$B$11:$B$310),INDEX(半紙!$C$11:$C$310,226),IF(226&lt;=COUNTA(半紙!$B$11:$B$310)+COUNTA(条幅!$B$11:$B$310),INDEX(条幅!$C$11:$C$310,226-COUNTA(半紙!$B$11:$B$310)),IF(226&lt;=COUNTA(半紙!$B$11:$B$310)+COUNTA(条幅!$B$11:$B$310)+COUNTA(条幅4分の1!$B$11:$B$310),INDEX(条幅4分の1!$C$11:$C$310,226-COUNTA(半紙!$B$11:$B$310)-COUNTA(条幅!$B$11:$B$310)),""))))</f>
        <v/>
      </c>
      <c r="D231" s="38" t="str">
        <f>IF(IF(226&lt;=COUNTA(半紙!$B$11:$B$310),INDEX(半紙!$D$11:$D$310,226),IF(226&lt;=COUNTA(半紙!$B$11:$B$310)+COUNTA(条幅!$B$11:$B$310),INDEX(条幅!$D$11:$D$310,226-COUNTA(半紙!$B$11:$B$310)),IF(226&lt;=COUNTA(半紙!$B$11:$B$310)+COUNTA(条幅!$B$11:$B$310)+COUNTA(条幅4分の1!$B$11:$B$310),INDEX(条幅4分の1!$D$11:$D$310,226-COUNTA(半紙!$B$11:$B$310)-COUNTA(条幅!$B$11:$B$310)),"")))=0,"",IF(226&lt;=COUNTA(半紙!$B$11:$B$310),INDEX(半紙!$D$11:$D$310,226),IF(226&lt;=COUNTA(半紙!$B$11:$B$310)+COUNTA(条幅!$B$11:$B$310),INDEX(条幅!$D$11:$D$310,226-COUNTA(半紙!$B$11:$B$310)),IF(226&lt;=COUNTA(半紙!$B$11:$B$310)+COUNTA(条幅!$B$11:$B$310)+COUNTA(条幅4分の1!$B$11:$B$310),INDEX(条幅4分の1!$D$11:$D$310,226-COUNTA(半紙!$B$11:$B$310)-COUNTA(条幅!$B$11:$B$310)),""))))</f>
        <v/>
      </c>
      <c r="E231" s="38" t="str">
        <f>IF(IF(226&lt;=COUNTA(半紙!$B$11:$B$310),INDEX(半紙!$E$11:$E$310,226),IF(226&lt;=COUNTA(半紙!$B$11:$B$310)+COUNTA(条幅!$B$11:$B$310),INDEX(条幅!$E$11:$E$310,226-COUNTA(半紙!$B$11:$B$310)),IF(226&lt;=COUNTA(半紙!$B$11:$B$310)+COUNTA(条幅!$B$11:$B$310)+COUNTA(条幅4分の1!$B$11:$B$310),INDEX(条幅4分の1!$E$11:$E$310,226-COUNTA(半紙!$B$11:$B$310)-COUNTA(条幅!$B$11:$B$310)),"")))=0,"",IF(226&lt;=COUNTA(半紙!$B$11:$B$310),INDEX(半紙!$E$11:$E$310,226),IF(226&lt;=COUNTA(半紙!$B$11:$B$310)+COUNTA(条幅!$B$11:$B$310),INDEX(条幅!$E$11:$E$310,226-COUNTA(半紙!$B$11:$B$310)),IF(226&lt;=COUNTA(半紙!$B$11:$B$310)+COUNTA(条幅!$B$11:$B$310)+COUNTA(条幅4分の1!$B$11:$B$310),INDEX(条幅4分の1!$E$11:$E$310,226-COUNTA(半紙!$B$11:$B$310)-COUNTA(条幅!$B$11:$B$310)),""))))</f>
        <v/>
      </c>
      <c r="F231" s="38" t="str">
        <f>IF(IF(226&lt;=COUNTA(半紙!$B$11:$B$310),INDEX(半紙!$F$11:$F$310,226),IF(226&lt;=COUNTA(半紙!$B$11:$B$310)+COUNTA(条幅!$B$11:$B$310),INDEX(条幅!$F$11:$F$310,226-COUNTA(半紙!$B$11:$B$310)),IF(226&lt;=COUNTA(半紙!$B$11:$B$310)+COUNTA(条幅!$B$11:$B$310)+COUNTA(条幅4分の1!$B$11:$B$310),INDEX(条幅4分の1!$F$11:$F$310,226-COUNTA(半紙!$B$11:$B$310)-COUNTA(条幅!$B$11:$B$310)),"")))=0,"",IF(226&lt;=COUNTA(半紙!$B$11:$B$310),INDEX(半紙!$F$11:$F$310,226),IF(226&lt;=COUNTA(半紙!$B$11:$B$310)+COUNTA(条幅!$B$11:$B$310),INDEX(条幅!$F$11:$F$310,226-COUNTA(半紙!$B$11:$B$310)),IF(226&lt;=COUNTA(半紙!$B$11:$B$310)+COUNTA(条幅!$B$11:$B$310)+COUNTA(条幅4分の1!$B$11:$B$310),INDEX(条幅4分の1!$F$11:$F$310,226-COUNTA(半紙!$B$11:$B$310)-COUNTA(条幅!$B$11:$B$310)),""))))</f>
        <v/>
      </c>
      <c r="G231" s="38" t="str">
        <f>IF(IF(226&lt;=COUNTA(半紙!$B$11:$B$310),INDEX(半紙!$G$11:$G$310,226),IF(226&lt;=COUNTA(半紙!$B$11:$B$310)+COUNTA(条幅!$B$11:$B$310),INDEX(条幅!$G$11:$G$310,226-COUNTA(半紙!$B$11:$B$310)),IF(226&lt;=COUNTA(半紙!$B$11:$B$310)+COUNTA(条幅!$B$11:$B$310)+COUNTA(条幅4分の1!$B$11:$B$310),INDEX(条幅4分の1!$G$11:$G$310,226-COUNTA(半紙!$B$11:$B$310)-COUNTA(条幅!$B$11:$B$310)),"")))=0,"",IF(226&lt;=COUNTA(半紙!$B$11:$B$310),INDEX(半紙!$G$11:$G$310,226),IF(226&lt;=COUNTA(半紙!$B$11:$B$310)+COUNTA(条幅!$B$11:$B$310),INDEX(条幅!$G$11:$G$310,226-COUNTA(半紙!$B$11:$B$310)),IF(226&lt;=COUNTA(半紙!$B$11:$B$310)+COUNTA(条幅!$B$11:$B$310)+COUNTA(条幅4分の1!$B$11:$B$310),INDEX(条幅4分の1!$G$11:$G$310,226-COUNTA(半紙!$B$11:$B$310)-COUNTA(条幅!$B$11:$B$310)),""))))</f>
        <v/>
      </c>
      <c r="H231" s="38" t="str">
        <f>IF(IF(226&lt;=COUNTA(半紙!$B$11:$B$310),INDEX(半紙!$H$11:$H$310,226),IF(226&lt;=COUNTA(半紙!$B$11:$B$310)+COUNTA(条幅!$B$11:$B$310),INDEX(条幅!$H$11:$H$310,226-COUNTA(半紙!$B$11:$B$310)),IF(226&lt;=COUNTA(半紙!$B$11:$B$310)+COUNTA(条幅!$B$11:$B$310)+COUNTA(条幅4分の1!$B$11:$B$310),INDEX(条幅4分の1!$H$11:$H$310,226-COUNTA(半紙!$B$11:$B$310)-COUNTA(条幅!$B$11:$B$310)),"")))=0,"",IF(226&lt;=COUNTA(半紙!$B$11:$B$310),INDEX(半紙!$H$11:$H$310,226),IF(226&lt;=COUNTA(半紙!$B$11:$B$310)+COUNTA(条幅!$B$11:$B$310),INDEX(条幅!$H$11:$H$310,226-COUNTA(半紙!$B$11:$B$310)),IF(226&lt;=COUNTA(半紙!$B$11:$B$310)+COUNTA(条幅!$B$11:$B$310)+COUNTA(条幅4分の1!$B$11:$B$310),INDEX(条幅4分の1!$H$11:$H$310,226-COUNTA(半紙!$B$11:$B$310)-COUNTA(条幅!$B$11:$B$310)),""))))</f>
        <v/>
      </c>
      <c r="I231" s="38" t="str">
        <f>IF(IF(226&lt;=COUNTA(半紙!$B$11:$B$310),INDEX(半紙!$I$11:$I$310,226),IF(226&lt;=COUNTA(半紙!$B$11:$B$310)+COUNTA(条幅!$B$11:$B$310),INDEX(条幅!$I$11:$I$310,226-COUNTA(半紙!$B$11:$B$310)),IF(226&lt;=COUNTA(半紙!$B$11:$B$310)+COUNTA(条幅!$B$11:$B$310)+COUNTA(条幅4分の1!$B$11:$B$310),INDEX(条幅4分の1!$I$11:$I$310,226-COUNTA(半紙!$B$11:$B$310)-COUNTA(条幅!$B$11:$B$310)),"")))=0,"",IF(226&lt;=COUNTA(半紙!$B$11:$B$310),INDEX(半紙!$I$11:$I$310,226),IF(226&lt;=COUNTA(半紙!$B$11:$B$310)+COUNTA(条幅!$B$11:$B$310),INDEX(条幅!$I$11:$I$310,226-COUNTA(半紙!$B$11:$B$310)),IF(226&lt;=COUNTA(半紙!$B$11:$B$310)+COUNTA(条幅!$B$11:$B$310)+COUNTA(条幅4分の1!$B$11:$B$310),INDEX(条幅4分の1!$I$11:$I$310,226-COUNTA(半紙!$B$11:$B$310)-COUNTA(条幅!$B$11:$B$310)),""))))</f>
        <v/>
      </c>
      <c r="J231" s="38" t="str">
        <f>IF(IF(226&lt;=COUNTA(半紙!$B$11:$B$310),INDEX(半紙!$J$11:$J$310,226),IF(226&lt;=COUNTA(半紙!$B$11:$B$310)+COUNTA(条幅!$B$11:$B$310),INDEX(条幅!$J$11:$J$310,226-COUNTA(半紙!$B$11:$B$310)),IF(226&lt;=COUNTA(半紙!$B$11:$B$310)+COUNTA(条幅!$B$11:$B$310)+COUNTA(条幅4分の1!$B$11:$B$310),INDEX(条幅4分の1!$J$11:$J$310,226-COUNTA(半紙!$B$11:$B$310)-COUNTA(条幅!$B$11:$B$310)),"")))=0,"",IF(226&lt;=COUNTA(半紙!$B$11:$B$310),INDEX(半紙!$J$11:$J$310,226),IF(226&lt;=COUNTA(半紙!$B$11:$B$310)+COUNTA(条幅!$B$11:$B$310),INDEX(条幅!$J$11:$J$310,226-COUNTA(半紙!$B$11:$B$310)),IF(226&lt;=COUNTA(半紙!$B$11:$B$310)+COUNTA(条幅!$B$11:$B$310)+COUNTA(条幅4分の1!$B$11:$B$310),INDEX(条幅4分の1!$J$11:$J$310,226-COUNTA(半紙!$B$11:$B$310)-COUNTA(条幅!$B$11:$B$310)),""))))</f>
        <v/>
      </c>
      <c r="K231" s="38" t="str">
        <f>IF(IF(226&lt;=COUNTA(半紙!$B$11:$B$310),INDEX(半紙!$K$11:$K$310,226),IF(226&lt;=COUNTA(半紙!$B$11:$B$310)+COUNTA(条幅!$B$11:$B$310),INDEX(条幅!$K$11:$K$310,226-COUNTA(半紙!$B$11:$B$310)),IF(226&lt;=COUNTA(半紙!$B$11:$B$310)+COUNTA(条幅!$B$11:$B$310)+COUNTA(条幅4分の1!$B$11:$B$310),INDEX(条幅4分の1!$K$11:$K$310,226-COUNTA(半紙!$B$11:$B$310)-COUNTA(条幅!$B$11:$B$310)),"")))=0,"",IF(226&lt;=COUNTA(半紙!$B$11:$B$310),INDEX(半紙!$K$11:$K$310,226),IF(226&lt;=COUNTA(半紙!$B$11:$B$310)+COUNTA(条幅!$B$11:$B$310),INDEX(条幅!$K$11:$K$310,226-COUNTA(半紙!$B$11:$B$310)),IF(226&lt;=COUNTA(半紙!$B$11:$B$310)+COUNTA(条幅!$B$11:$B$310)+COUNTA(条幅4分の1!$B$11:$B$310),INDEX(条幅4分の1!$K$11:$K$310,226-COUNTA(半紙!$B$11:$B$310)-COUNTA(条幅!$B$11:$B$310)),""))))</f>
        <v/>
      </c>
      <c r="L231" s="48" t="str">
        <f>IF($B231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226))</f>
        <v/>
      </c>
    </row>
    <row r="232" spans="1:12" ht="15" customHeight="1">
      <c r="A232" s="37" t="str">
        <f>IF(227&lt;=COUNTA(半紙!$B$11:$B$310),"半紙",IF(227&lt;=COUNTA(半紙!$B$11:$B$310)+COUNTA(条幅!$B$11:$B$310),"条幅(半切)",IF(227&lt;=COUNTA(半紙!$B$11:$B$310)+COUNTA(条幅!$B$11:$B$310)+COUNTA(条幅4分の1!$B$11:$B$310),"条幅(1/4)","")))</f>
        <v/>
      </c>
      <c r="B232" s="38" t="str">
        <f>IF(IF(227&lt;=COUNTA(半紙!$B$11:$B$310),INDEX(半紙!$B$11:$B$310,227),IF(227&lt;=COUNTA(半紙!$B$11:$B$310)+COUNTA(条幅!$B$11:$B$310),INDEX(条幅!$B$11:$B$310,227-COUNTA(半紙!$B$11:$B$310)),IF(227&lt;=COUNTA(半紙!$B$11:$B$310)+COUNTA(条幅!$B$11:$B$310)+COUNTA(条幅4分の1!$B$11:$B$310),INDEX(条幅4分の1!$B$11:$B$310,227-COUNTA(半紙!$B$11:$B$310)-COUNTA(条幅!$B$11:$B$310)),"")))=0,"",IF(227&lt;=COUNTA(半紙!$B$11:$B$310),INDEX(半紙!$B$11:$B$310,227),IF(227&lt;=COUNTA(半紙!$B$11:$B$310)+COUNTA(条幅!$B$11:$B$310),INDEX(条幅!$B$11:$B$310,227-COUNTA(半紙!$B$11:$B$310)),IF(227&lt;=COUNTA(半紙!$B$11:$B$310)+COUNTA(条幅!$B$11:$B$310)+COUNTA(条幅4分の1!$B$11:$B$310),INDEX(条幅4分の1!$B$11:$B$310,227-COUNTA(半紙!$B$11:$B$310)-COUNTA(条幅!$B$11:$B$310)),""))))</f>
        <v/>
      </c>
      <c r="C232" s="38" t="str">
        <f>IF(IF(227&lt;=COUNTA(半紙!$B$11:$B$310),INDEX(半紙!$C$11:$C$310,227),IF(227&lt;=COUNTA(半紙!$B$11:$B$310)+COUNTA(条幅!$B$11:$B$310),INDEX(条幅!$C$11:$C$310,227-COUNTA(半紙!$B$11:$B$310)),IF(227&lt;=COUNTA(半紙!$B$11:$B$310)+COUNTA(条幅!$B$11:$B$310)+COUNTA(条幅4分の1!$B$11:$B$310),INDEX(条幅4分の1!$C$11:$C$310,227-COUNTA(半紙!$B$11:$B$310)-COUNTA(条幅!$B$11:$B$310)),"")))=0,"",IF(227&lt;=COUNTA(半紙!$B$11:$B$310),INDEX(半紙!$C$11:$C$310,227),IF(227&lt;=COUNTA(半紙!$B$11:$B$310)+COUNTA(条幅!$B$11:$B$310),INDEX(条幅!$C$11:$C$310,227-COUNTA(半紙!$B$11:$B$310)),IF(227&lt;=COUNTA(半紙!$B$11:$B$310)+COUNTA(条幅!$B$11:$B$310)+COUNTA(条幅4分の1!$B$11:$B$310),INDEX(条幅4分の1!$C$11:$C$310,227-COUNTA(半紙!$B$11:$B$310)-COUNTA(条幅!$B$11:$B$310)),""))))</f>
        <v/>
      </c>
      <c r="D232" s="38" t="str">
        <f>IF(IF(227&lt;=COUNTA(半紙!$B$11:$B$310),INDEX(半紙!$D$11:$D$310,227),IF(227&lt;=COUNTA(半紙!$B$11:$B$310)+COUNTA(条幅!$B$11:$B$310),INDEX(条幅!$D$11:$D$310,227-COUNTA(半紙!$B$11:$B$310)),IF(227&lt;=COUNTA(半紙!$B$11:$B$310)+COUNTA(条幅!$B$11:$B$310)+COUNTA(条幅4分の1!$B$11:$B$310),INDEX(条幅4分の1!$D$11:$D$310,227-COUNTA(半紙!$B$11:$B$310)-COUNTA(条幅!$B$11:$B$310)),"")))=0,"",IF(227&lt;=COUNTA(半紙!$B$11:$B$310),INDEX(半紙!$D$11:$D$310,227),IF(227&lt;=COUNTA(半紙!$B$11:$B$310)+COUNTA(条幅!$B$11:$B$310),INDEX(条幅!$D$11:$D$310,227-COUNTA(半紙!$B$11:$B$310)),IF(227&lt;=COUNTA(半紙!$B$11:$B$310)+COUNTA(条幅!$B$11:$B$310)+COUNTA(条幅4分の1!$B$11:$B$310),INDEX(条幅4分の1!$D$11:$D$310,227-COUNTA(半紙!$B$11:$B$310)-COUNTA(条幅!$B$11:$B$310)),""))))</f>
        <v/>
      </c>
      <c r="E232" s="38" t="str">
        <f>IF(IF(227&lt;=COUNTA(半紙!$B$11:$B$310),INDEX(半紙!$E$11:$E$310,227),IF(227&lt;=COUNTA(半紙!$B$11:$B$310)+COUNTA(条幅!$B$11:$B$310),INDEX(条幅!$E$11:$E$310,227-COUNTA(半紙!$B$11:$B$310)),IF(227&lt;=COUNTA(半紙!$B$11:$B$310)+COUNTA(条幅!$B$11:$B$310)+COUNTA(条幅4分の1!$B$11:$B$310),INDEX(条幅4分の1!$E$11:$E$310,227-COUNTA(半紙!$B$11:$B$310)-COUNTA(条幅!$B$11:$B$310)),"")))=0,"",IF(227&lt;=COUNTA(半紙!$B$11:$B$310),INDEX(半紙!$E$11:$E$310,227),IF(227&lt;=COUNTA(半紙!$B$11:$B$310)+COUNTA(条幅!$B$11:$B$310),INDEX(条幅!$E$11:$E$310,227-COUNTA(半紙!$B$11:$B$310)),IF(227&lt;=COUNTA(半紙!$B$11:$B$310)+COUNTA(条幅!$B$11:$B$310)+COUNTA(条幅4分の1!$B$11:$B$310),INDEX(条幅4分の1!$E$11:$E$310,227-COUNTA(半紙!$B$11:$B$310)-COUNTA(条幅!$B$11:$B$310)),""))))</f>
        <v/>
      </c>
      <c r="F232" s="38" t="str">
        <f>IF(IF(227&lt;=COUNTA(半紙!$B$11:$B$310),INDEX(半紙!$F$11:$F$310,227),IF(227&lt;=COUNTA(半紙!$B$11:$B$310)+COUNTA(条幅!$B$11:$B$310),INDEX(条幅!$F$11:$F$310,227-COUNTA(半紙!$B$11:$B$310)),IF(227&lt;=COUNTA(半紙!$B$11:$B$310)+COUNTA(条幅!$B$11:$B$310)+COUNTA(条幅4分の1!$B$11:$B$310),INDEX(条幅4分の1!$F$11:$F$310,227-COUNTA(半紙!$B$11:$B$310)-COUNTA(条幅!$B$11:$B$310)),"")))=0,"",IF(227&lt;=COUNTA(半紙!$B$11:$B$310),INDEX(半紙!$F$11:$F$310,227),IF(227&lt;=COUNTA(半紙!$B$11:$B$310)+COUNTA(条幅!$B$11:$B$310),INDEX(条幅!$F$11:$F$310,227-COUNTA(半紙!$B$11:$B$310)),IF(227&lt;=COUNTA(半紙!$B$11:$B$310)+COUNTA(条幅!$B$11:$B$310)+COUNTA(条幅4分の1!$B$11:$B$310),INDEX(条幅4分の1!$F$11:$F$310,227-COUNTA(半紙!$B$11:$B$310)-COUNTA(条幅!$B$11:$B$310)),""))))</f>
        <v/>
      </c>
      <c r="G232" s="38" t="str">
        <f>IF(IF(227&lt;=COUNTA(半紙!$B$11:$B$310),INDEX(半紙!$G$11:$G$310,227),IF(227&lt;=COUNTA(半紙!$B$11:$B$310)+COUNTA(条幅!$B$11:$B$310),INDEX(条幅!$G$11:$G$310,227-COUNTA(半紙!$B$11:$B$310)),IF(227&lt;=COUNTA(半紙!$B$11:$B$310)+COUNTA(条幅!$B$11:$B$310)+COUNTA(条幅4分の1!$B$11:$B$310),INDEX(条幅4分の1!$G$11:$G$310,227-COUNTA(半紙!$B$11:$B$310)-COUNTA(条幅!$B$11:$B$310)),"")))=0,"",IF(227&lt;=COUNTA(半紙!$B$11:$B$310),INDEX(半紙!$G$11:$G$310,227),IF(227&lt;=COUNTA(半紙!$B$11:$B$310)+COUNTA(条幅!$B$11:$B$310),INDEX(条幅!$G$11:$G$310,227-COUNTA(半紙!$B$11:$B$310)),IF(227&lt;=COUNTA(半紙!$B$11:$B$310)+COUNTA(条幅!$B$11:$B$310)+COUNTA(条幅4分の1!$B$11:$B$310),INDEX(条幅4分の1!$G$11:$G$310,227-COUNTA(半紙!$B$11:$B$310)-COUNTA(条幅!$B$11:$B$310)),""))))</f>
        <v/>
      </c>
      <c r="H232" s="38" t="str">
        <f>IF(IF(227&lt;=COUNTA(半紙!$B$11:$B$310),INDEX(半紙!$H$11:$H$310,227),IF(227&lt;=COUNTA(半紙!$B$11:$B$310)+COUNTA(条幅!$B$11:$B$310),INDEX(条幅!$H$11:$H$310,227-COUNTA(半紙!$B$11:$B$310)),IF(227&lt;=COUNTA(半紙!$B$11:$B$310)+COUNTA(条幅!$B$11:$B$310)+COUNTA(条幅4分の1!$B$11:$B$310),INDEX(条幅4分の1!$H$11:$H$310,227-COUNTA(半紙!$B$11:$B$310)-COUNTA(条幅!$B$11:$B$310)),"")))=0,"",IF(227&lt;=COUNTA(半紙!$B$11:$B$310),INDEX(半紙!$H$11:$H$310,227),IF(227&lt;=COUNTA(半紙!$B$11:$B$310)+COUNTA(条幅!$B$11:$B$310),INDEX(条幅!$H$11:$H$310,227-COUNTA(半紙!$B$11:$B$310)),IF(227&lt;=COUNTA(半紙!$B$11:$B$310)+COUNTA(条幅!$B$11:$B$310)+COUNTA(条幅4分の1!$B$11:$B$310),INDEX(条幅4分の1!$H$11:$H$310,227-COUNTA(半紙!$B$11:$B$310)-COUNTA(条幅!$B$11:$B$310)),""))))</f>
        <v/>
      </c>
      <c r="I232" s="38" t="str">
        <f>IF(IF(227&lt;=COUNTA(半紙!$B$11:$B$310),INDEX(半紙!$I$11:$I$310,227),IF(227&lt;=COUNTA(半紙!$B$11:$B$310)+COUNTA(条幅!$B$11:$B$310),INDEX(条幅!$I$11:$I$310,227-COUNTA(半紙!$B$11:$B$310)),IF(227&lt;=COUNTA(半紙!$B$11:$B$310)+COUNTA(条幅!$B$11:$B$310)+COUNTA(条幅4分の1!$B$11:$B$310),INDEX(条幅4分の1!$I$11:$I$310,227-COUNTA(半紙!$B$11:$B$310)-COUNTA(条幅!$B$11:$B$310)),"")))=0,"",IF(227&lt;=COUNTA(半紙!$B$11:$B$310),INDEX(半紙!$I$11:$I$310,227),IF(227&lt;=COUNTA(半紙!$B$11:$B$310)+COUNTA(条幅!$B$11:$B$310),INDEX(条幅!$I$11:$I$310,227-COUNTA(半紙!$B$11:$B$310)),IF(227&lt;=COUNTA(半紙!$B$11:$B$310)+COUNTA(条幅!$B$11:$B$310)+COUNTA(条幅4分の1!$B$11:$B$310),INDEX(条幅4分の1!$I$11:$I$310,227-COUNTA(半紙!$B$11:$B$310)-COUNTA(条幅!$B$11:$B$310)),""))))</f>
        <v/>
      </c>
      <c r="J232" s="38" t="str">
        <f>IF(IF(227&lt;=COUNTA(半紙!$B$11:$B$310),INDEX(半紙!$J$11:$J$310,227),IF(227&lt;=COUNTA(半紙!$B$11:$B$310)+COUNTA(条幅!$B$11:$B$310),INDEX(条幅!$J$11:$J$310,227-COUNTA(半紙!$B$11:$B$310)),IF(227&lt;=COUNTA(半紙!$B$11:$B$310)+COUNTA(条幅!$B$11:$B$310)+COUNTA(条幅4分の1!$B$11:$B$310),INDEX(条幅4分の1!$J$11:$J$310,227-COUNTA(半紙!$B$11:$B$310)-COUNTA(条幅!$B$11:$B$310)),"")))=0,"",IF(227&lt;=COUNTA(半紙!$B$11:$B$310),INDEX(半紙!$J$11:$J$310,227),IF(227&lt;=COUNTA(半紙!$B$11:$B$310)+COUNTA(条幅!$B$11:$B$310),INDEX(条幅!$J$11:$J$310,227-COUNTA(半紙!$B$11:$B$310)),IF(227&lt;=COUNTA(半紙!$B$11:$B$310)+COUNTA(条幅!$B$11:$B$310)+COUNTA(条幅4分の1!$B$11:$B$310),INDEX(条幅4分の1!$J$11:$J$310,227-COUNTA(半紙!$B$11:$B$310)-COUNTA(条幅!$B$11:$B$310)),""))))</f>
        <v/>
      </c>
      <c r="K232" s="38" t="str">
        <f>IF(IF(227&lt;=COUNTA(半紙!$B$11:$B$310),INDEX(半紙!$K$11:$K$310,227),IF(227&lt;=COUNTA(半紙!$B$11:$B$310)+COUNTA(条幅!$B$11:$B$310),INDEX(条幅!$K$11:$K$310,227-COUNTA(半紙!$B$11:$B$310)),IF(227&lt;=COUNTA(半紙!$B$11:$B$310)+COUNTA(条幅!$B$11:$B$310)+COUNTA(条幅4分の1!$B$11:$B$310),INDEX(条幅4分の1!$K$11:$K$310,227-COUNTA(半紙!$B$11:$B$310)-COUNTA(条幅!$B$11:$B$310)),"")))=0,"",IF(227&lt;=COUNTA(半紙!$B$11:$B$310),INDEX(半紙!$K$11:$K$310,227),IF(227&lt;=COUNTA(半紙!$B$11:$B$310)+COUNTA(条幅!$B$11:$B$310),INDEX(条幅!$K$11:$K$310,227-COUNTA(半紙!$B$11:$B$310)),IF(227&lt;=COUNTA(半紙!$B$11:$B$310)+COUNTA(条幅!$B$11:$B$310)+COUNTA(条幅4分の1!$B$11:$B$310),INDEX(条幅4分の1!$K$11:$K$310,227-COUNTA(半紙!$B$11:$B$310)-COUNTA(条幅!$B$11:$B$310)),""))))</f>
        <v/>
      </c>
      <c r="L232" s="48" t="str">
        <f>IF($B232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227))</f>
        <v/>
      </c>
    </row>
    <row r="233" spans="1:12" ht="15" customHeight="1">
      <c r="A233" s="37" t="str">
        <f>IF(228&lt;=COUNTA(半紙!$B$11:$B$310),"半紙",IF(228&lt;=COUNTA(半紙!$B$11:$B$310)+COUNTA(条幅!$B$11:$B$310),"条幅(半切)",IF(228&lt;=COUNTA(半紙!$B$11:$B$310)+COUNTA(条幅!$B$11:$B$310)+COUNTA(条幅4分の1!$B$11:$B$310),"条幅(1/4)","")))</f>
        <v/>
      </c>
      <c r="B233" s="38" t="str">
        <f>IF(IF(228&lt;=COUNTA(半紙!$B$11:$B$310),INDEX(半紙!$B$11:$B$310,228),IF(228&lt;=COUNTA(半紙!$B$11:$B$310)+COUNTA(条幅!$B$11:$B$310),INDEX(条幅!$B$11:$B$310,228-COUNTA(半紙!$B$11:$B$310)),IF(228&lt;=COUNTA(半紙!$B$11:$B$310)+COUNTA(条幅!$B$11:$B$310)+COUNTA(条幅4分の1!$B$11:$B$310),INDEX(条幅4分の1!$B$11:$B$310,228-COUNTA(半紙!$B$11:$B$310)-COUNTA(条幅!$B$11:$B$310)),"")))=0,"",IF(228&lt;=COUNTA(半紙!$B$11:$B$310),INDEX(半紙!$B$11:$B$310,228),IF(228&lt;=COUNTA(半紙!$B$11:$B$310)+COUNTA(条幅!$B$11:$B$310),INDEX(条幅!$B$11:$B$310,228-COUNTA(半紙!$B$11:$B$310)),IF(228&lt;=COUNTA(半紙!$B$11:$B$310)+COUNTA(条幅!$B$11:$B$310)+COUNTA(条幅4分の1!$B$11:$B$310),INDEX(条幅4分の1!$B$11:$B$310,228-COUNTA(半紙!$B$11:$B$310)-COUNTA(条幅!$B$11:$B$310)),""))))</f>
        <v/>
      </c>
      <c r="C233" s="38" t="str">
        <f>IF(IF(228&lt;=COUNTA(半紙!$B$11:$B$310),INDEX(半紙!$C$11:$C$310,228),IF(228&lt;=COUNTA(半紙!$B$11:$B$310)+COUNTA(条幅!$B$11:$B$310),INDEX(条幅!$C$11:$C$310,228-COUNTA(半紙!$B$11:$B$310)),IF(228&lt;=COUNTA(半紙!$B$11:$B$310)+COUNTA(条幅!$B$11:$B$310)+COUNTA(条幅4分の1!$B$11:$B$310),INDEX(条幅4分の1!$C$11:$C$310,228-COUNTA(半紙!$B$11:$B$310)-COUNTA(条幅!$B$11:$B$310)),"")))=0,"",IF(228&lt;=COUNTA(半紙!$B$11:$B$310),INDEX(半紙!$C$11:$C$310,228),IF(228&lt;=COUNTA(半紙!$B$11:$B$310)+COUNTA(条幅!$B$11:$B$310),INDEX(条幅!$C$11:$C$310,228-COUNTA(半紙!$B$11:$B$310)),IF(228&lt;=COUNTA(半紙!$B$11:$B$310)+COUNTA(条幅!$B$11:$B$310)+COUNTA(条幅4分の1!$B$11:$B$310),INDEX(条幅4分の1!$C$11:$C$310,228-COUNTA(半紙!$B$11:$B$310)-COUNTA(条幅!$B$11:$B$310)),""))))</f>
        <v/>
      </c>
      <c r="D233" s="38" t="str">
        <f>IF(IF(228&lt;=COUNTA(半紙!$B$11:$B$310),INDEX(半紙!$D$11:$D$310,228),IF(228&lt;=COUNTA(半紙!$B$11:$B$310)+COUNTA(条幅!$B$11:$B$310),INDEX(条幅!$D$11:$D$310,228-COUNTA(半紙!$B$11:$B$310)),IF(228&lt;=COUNTA(半紙!$B$11:$B$310)+COUNTA(条幅!$B$11:$B$310)+COUNTA(条幅4分の1!$B$11:$B$310),INDEX(条幅4分の1!$D$11:$D$310,228-COUNTA(半紙!$B$11:$B$310)-COUNTA(条幅!$B$11:$B$310)),"")))=0,"",IF(228&lt;=COUNTA(半紙!$B$11:$B$310),INDEX(半紙!$D$11:$D$310,228),IF(228&lt;=COUNTA(半紙!$B$11:$B$310)+COUNTA(条幅!$B$11:$B$310),INDEX(条幅!$D$11:$D$310,228-COUNTA(半紙!$B$11:$B$310)),IF(228&lt;=COUNTA(半紙!$B$11:$B$310)+COUNTA(条幅!$B$11:$B$310)+COUNTA(条幅4分の1!$B$11:$B$310),INDEX(条幅4分の1!$D$11:$D$310,228-COUNTA(半紙!$B$11:$B$310)-COUNTA(条幅!$B$11:$B$310)),""))))</f>
        <v/>
      </c>
      <c r="E233" s="38" t="str">
        <f>IF(IF(228&lt;=COUNTA(半紙!$B$11:$B$310),INDEX(半紙!$E$11:$E$310,228),IF(228&lt;=COUNTA(半紙!$B$11:$B$310)+COUNTA(条幅!$B$11:$B$310),INDEX(条幅!$E$11:$E$310,228-COUNTA(半紙!$B$11:$B$310)),IF(228&lt;=COUNTA(半紙!$B$11:$B$310)+COUNTA(条幅!$B$11:$B$310)+COUNTA(条幅4分の1!$B$11:$B$310),INDEX(条幅4分の1!$E$11:$E$310,228-COUNTA(半紙!$B$11:$B$310)-COUNTA(条幅!$B$11:$B$310)),"")))=0,"",IF(228&lt;=COUNTA(半紙!$B$11:$B$310),INDEX(半紙!$E$11:$E$310,228),IF(228&lt;=COUNTA(半紙!$B$11:$B$310)+COUNTA(条幅!$B$11:$B$310),INDEX(条幅!$E$11:$E$310,228-COUNTA(半紙!$B$11:$B$310)),IF(228&lt;=COUNTA(半紙!$B$11:$B$310)+COUNTA(条幅!$B$11:$B$310)+COUNTA(条幅4分の1!$B$11:$B$310),INDEX(条幅4分の1!$E$11:$E$310,228-COUNTA(半紙!$B$11:$B$310)-COUNTA(条幅!$B$11:$B$310)),""))))</f>
        <v/>
      </c>
      <c r="F233" s="38" t="str">
        <f>IF(IF(228&lt;=COUNTA(半紙!$B$11:$B$310),INDEX(半紙!$F$11:$F$310,228),IF(228&lt;=COUNTA(半紙!$B$11:$B$310)+COUNTA(条幅!$B$11:$B$310),INDEX(条幅!$F$11:$F$310,228-COUNTA(半紙!$B$11:$B$310)),IF(228&lt;=COUNTA(半紙!$B$11:$B$310)+COUNTA(条幅!$B$11:$B$310)+COUNTA(条幅4分の1!$B$11:$B$310),INDEX(条幅4分の1!$F$11:$F$310,228-COUNTA(半紙!$B$11:$B$310)-COUNTA(条幅!$B$11:$B$310)),"")))=0,"",IF(228&lt;=COUNTA(半紙!$B$11:$B$310),INDEX(半紙!$F$11:$F$310,228),IF(228&lt;=COUNTA(半紙!$B$11:$B$310)+COUNTA(条幅!$B$11:$B$310),INDEX(条幅!$F$11:$F$310,228-COUNTA(半紙!$B$11:$B$310)),IF(228&lt;=COUNTA(半紙!$B$11:$B$310)+COUNTA(条幅!$B$11:$B$310)+COUNTA(条幅4分の1!$B$11:$B$310),INDEX(条幅4分の1!$F$11:$F$310,228-COUNTA(半紙!$B$11:$B$310)-COUNTA(条幅!$B$11:$B$310)),""))))</f>
        <v/>
      </c>
      <c r="G233" s="38" t="str">
        <f>IF(IF(228&lt;=COUNTA(半紙!$B$11:$B$310),INDEX(半紙!$G$11:$G$310,228),IF(228&lt;=COUNTA(半紙!$B$11:$B$310)+COUNTA(条幅!$B$11:$B$310),INDEX(条幅!$G$11:$G$310,228-COUNTA(半紙!$B$11:$B$310)),IF(228&lt;=COUNTA(半紙!$B$11:$B$310)+COUNTA(条幅!$B$11:$B$310)+COUNTA(条幅4分の1!$B$11:$B$310),INDEX(条幅4分の1!$G$11:$G$310,228-COUNTA(半紙!$B$11:$B$310)-COUNTA(条幅!$B$11:$B$310)),"")))=0,"",IF(228&lt;=COUNTA(半紙!$B$11:$B$310),INDEX(半紙!$G$11:$G$310,228),IF(228&lt;=COUNTA(半紙!$B$11:$B$310)+COUNTA(条幅!$B$11:$B$310),INDEX(条幅!$G$11:$G$310,228-COUNTA(半紙!$B$11:$B$310)),IF(228&lt;=COUNTA(半紙!$B$11:$B$310)+COUNTA(条幅!$B$11:$B$310)+COUNTA(条幅4分の1!$B$11:$B$310),INDEX(条幅4分の1!$G$11:$G$310,228-COUNTA(半紙!$B$11:$B$310)-COUNTA(条幅!$B$11:$B$310)),""))))</f>
        <v/>
      </c>
      <c r="H233" s="38" t="str">
        <f>IF(IF(228&lt;=COUNTA(半紙!$B$11:$B$310),INDEX(半紙!$H$11:$H$310,228),IF(228&lt;=COUNTA(半紙!$B$11:$B$310)+COUNTA(条幅!$B$11:$B$310),INDEX(条幅!$H$11:$H$310,228-COUNTA(半紙!$B$11:$B$310)),IF(228&lt;=COUNTA(半紙!$B$11:$B$310)+COUNTA(条幅!$B$11:$B$310)+COUNTA(条幅4分の1!$B$11:$B$310),INDEX(条幅4分の1!$H$11:$H$310,228-COUNTA(半紙!$B$11:$B$310)-COUNTA(条幅!$B$11:$B$310)),"")))=0,"",IF(228&lt;=COUNTA(半紙!$B$11:$B$310),INDEX(半紙!$H$11:$H$310,228),IF(228&lt;=COUNTA(半紙!$B$11:$B$310)+COUNTA(条幅!$B$11:$B$310),INDEX(条幅!$H$11:$H$310,228-COUNTA(半紙!$B$11:$B$310)),IF(228&lt;=COUNTA(半紙!$B$11:$B$310)+COUNTA(条幅!$B$11:$B$310)+COUNTA(条幅4分の1!$B$11:$B$310),INDEX(条幅4分の1!$H$11:$H$310,228-COUNTA(半紙!$B$11:$B$310)-COUNTA(条幅!$B$11:$B$310)),""))))</f>
        <v/>
      </c>
      <c r="I233" s="38" t="str">
        <f>IF(IF(228&lt;=COUNTA(半紙!$B$11:$B$310),INDEX(半紙!$I$11:$I$310,228),IF(228&lt;=COUNTA(半紙!$B$11:$B$310)+COUNTA(条幅!$B$11:$B$310),INDEX(条幅!$I$11:$I$310,228-COUNTA(半紙!$B$11:$B$310)),IF(228&lt;=COUNTA(半紙!$B$11:$B$310)+COUNTA(条幅!$B$11:$B$310)+COUNTA(条幅4分の1!$B$11:$B$310),INDEX(条幅4分の1!$I$11:$I$310,228-COUNTA(半紙!$B$11:$B$310)-COUNTA(条幅!$B$11:$B$310)),"")))=0,"",IF(228&lt;=COUNTA(半紙!$B$11:$B$310),INDEX(半紙!$I$11:$I$310,228),IF(228&lt;=COUNTA(半紙!$B$11:$B$310)+COUNTA(条幅!$B$11:$B$310),INDEX(条幅!$I$11:$I$310,228-COUNTA(半紙!$B$11:$B$310)),IF(228&lt;=COUNTA(半紙!$B$11:$B$310)+COUNTA(条幅!$B$11:$B$310)+COUNTA(条幅4分の1!$B$11:$B$310),INDEX(条幅4分の1!$I$11:$I$310,228-COUNTA(半紙!$B$11:$B$310)-COUNTA(条幅!$B$11:$B$310)),""))))</f>
        <v/>
      </c>
      <c r="J233" s="38" t="str">
        <f>IF(IF(228&lt;=COUNTA(半紙!$B$11:$B$310),INDEX(半紙!$J$11:$J$310,228),IF(228&lt;=COUNTA(半紙!$B$11:$B$310)+COUNTA(条幅!$B$11:$B$310),INDEX(条幅!$J$11:$J$310,228-COUNTA(半紙!$B$11:$B$310)),IF(228&lt;=COUNTA(半紙!$B$11:$B$310)+COUNTA(条幅!$B$11:$B$310)+COUNTA(条幅4分の1!$B$11:$B$310),INDEX(条幅4分の1!$J$11:$J$310,228-COUNTA(半紙!$B$11:$B$310)-COUNTA(条幅!$B$11:$B$310)),"")))=0,"",IF(228&lt;=COUNTA(半紙!$B$11:$B$310),INDEX(半紙!$J$11:$J$310,228),IF(228&lt;=COUNTA(半紙!$B$11:$B$310)+COUNTA(条幅!$B$11:$B$310),INDEX(条幅!$J$11:$J$310,228-COUNTA(半紙!$B$11:$B$310)),IF(228&lt;=COUNTA(半紙!$B$11:$B$310)+COUNTA(条幅!$B$11:$B$310)+COUNTA(条幅4分の1!$B$11:$B$310),INDEX(条幅4分の1!$J$11:$J$310,228-COUNTA(半紙!$B$11:$B$310)-COUNTA(条幅!$B$11:$B$310)),""))))</f>
        <v/>
      </c>
      <c r="K233" s="38" t="str">
        <f>IF(IF(228&lt;=COUNTA(半紙!$B$11:$B$310),INDEX(半紙!$K$11:$K$310,228),IF(228&lt;=COUNTA(半紙!$B$11:$B$310)+COUNTA(条幅!$B$11:$B$310),INDEX(条幅!$K$11:$K$310,228-COUNTA(半紙!$B$11:$B$310)),IF(228&lt;=COUNTA(半紙!$B$11:$B$310)+COUNTA(条幅!$B$11:$B$310)+COUNTA(条幅4分の1!$B$11:$B$310),INDEX(条幅4分の1!$K$11:$K$310,228-COUNTA(半紙!$B$11:$B$310)-COUNTA(条幅!$B$11:$B$310)),"")))=0,"",IF(228&lt;=COUNTA(半紙!$B$11:$B$310),INDEX(半紙!$K$11:$K$310,228),IF(228&lt;=COUNTA(半紙!$B$11:$B$310)+COUNTA(条幅!$B$11:$B$310),INDEX(条幅!$K$11:$K$310,228-COUNTA(半紙!$B$11:$B$310)),IF(228&lt;=COUNTA(半紙!$B$11:$B$310)+COUNTA(条幅!$B$11:$B$310)+COUNTA(条幅4分の1!$B$11:$B$310),INDEX(条幅4分の1!$K$11:$K$310,228-COUNTA(半紙!$B$11:$B$310)-COUNTA(条幅!$B$11:$B$310)),""))))</f>
        <v/>
      </c>
      <c r="L233" s="48" t="str">
        <f>IF($B233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228))</f>
        <v/>
      </c>
    </row>
    <row r="234" spans="1:12" ht="15" customHeight="1">
      <c r="A234" s="37" t="str">
        <f>IF(229&lt;=COUNTA(半紙!$B$11:$B$310),"半紙",IF(229&lt;=COUNTA(半紙!$B$11:$B$310)+COUNTA(条幅!$B$11:$B$310),"条幅(半切)",IF(229&lt;=COUNTA(半紙!$B$11:$B$310)+COUNTA(条幅!$B$11:$B$310)+COUNTA(条幅4分の1!$B$11:$B$310),"条幅(1/4)","")))</f>
        <v/>
      </c>
      <c r="B234" s="38" t="str">
        <f>IF(IF(229&lt;=COUNTA(半紙!$B$11:$B$310),INDEX(半紙!$B$11:$B$310,229),IF(229&lt;=COUNTA(半紙!$B$11:$B$310)+COUNTA(条幅!$B$11:$B$310),INDEX(条幅!$B$11:$B$310,229-COUNTA(半紙!$B$11:$B$310)),IF(229&lt;=COUNTA(半紙!$B$11:$B$310)+COUNTA(条幅!$B$11:$B$310)+COUNTA(条幅4分の1!$B$11:$B$310),INDEX(条幅4分の1!$B$11:$B$310,229-COUNTA(半紙!$B$11:$B$310)-COUNTA(条幅!$B$11:$B$310)),"")))=0,"",IF(229&lt;=COUNTA(半紙!$B$11:$B$310),INDEX(半紙!$B$11:$B$310,229),IF(229&lt;=COUNTA(半紙!$B$11:$B$310)+COUNTA(条幅!$B$11:$B$310),INDEX(条幅!$B$11:$B$310,229-COUNTA(半紙!$B$11:$B$310)),IF(229&lt;=COUNTA(半紙!$B$11:$B$310)+COUNTA(条幅!$B$11:$B$310)+COUNTA(条幅4分の1!$B$11:$B$310),INDEX(条幅4分の1!$B$11:$B$310,229-COUNTA(半紙!$B$11:$B$310)-COUNTA(条幅!$B$11:$B$310)),""))))</f>
        <v/>
      </c>
      <c r="C234" s="38" t="str">
        <f>IF(IF(229&lt;=COUNTA(半紙!$B$11:$B$310),INDEX(半紙!$C$11:$C$310,229),IF(229&lt;=COUNTA(半紙!$B$11:$B$310)+COUNTA(条幅!$B$11:$B$310),INDEX(条幅!$C$11:$C$310,229-COUNTA(半紙!$B$11:$B$310)),IF(229&lt;=COUNTA(半紙!$B$11:$B$310)+COUNTA(条幅!$B$11:$B$310)+COUNTA(条幅4分の1!$B$11:$B$310),INDEX(条幅4分の1!$C$11:$C$310,229-COUNTA(半紙!$B$11:$B$310)-COUNTA(条幅!$B$11:$B$310)),"")))=0,"",IF(229&lt;=COUNTA(半紙!$B$11:$B$310),INDEX(半紙!$C$11:$C$310,229),IF(229&lt;=COUNTA(半紙!$B$11:$B$310)+COUNTA(条幅!$B$11:$B$310),INDEX(条幅!$C$11:$C$310,229-COUNTA(半紙!$B$11:$B$310)),IF(229&lt;=COUNTA(半紙!$B$11:$B$310)+COUNTA(条幅!$B$11:$B$310)+COUNTA(条幅4分の1!$B$11:$B$310),INDEX(条幅4分の1!$C$11:$C$310,229-COUNTA(半紙!$B$11:$B$310)-COUNTA(条幅!$B$11:$B$310)),""))))</f>
        <v/>
      </c>
      <c r="D234" s="38" t="str">
        <f>IF(IF(229&lt;=COUNTA(半紙!$B$11:$B$310),INDEX(半紙!$D$11:$D$310,229),IF(229&lt;=COUNTA(半紙!$B$11:$B$310)+COUNTA(条幅!$B$11:$B$310),INDEX(条幅!$D$11:$D$310,229-COUNTA(半紙!$B$11:$B$310)),IF(229&lt;=COUNTA(半紙!$B$11:$B$310)+COUNTA(条幅!$B$11:$B$310)+COUNTA(条幅4分の1!$B$11:$B$310),INDEX(条幅4分の1!$D$11:$D$310,229-COUNTA(半紙!$B$11:$B$310)-COUNTA(条幅!$B$11:$B$310)),"")))=0,"",IF(229&lt;=COUNTA(半紙!$B$11:$B$310),INDEX(半紙!$D$11:$D$310,229),IF(229&lt;=COUNTA(半紙!$B$11:$B$310)+COUNTA(条幅!$B$11:$B$310),INDEX(条幅!$D$11:$D$310,229-COUNTA(半紙!$B$11:$B$310)),IF(229&lt;=COUNTA(半紙!$B$11:$B$310)+COUNTA(条幅!$B$11:$B$310)+COUNTA(条幅4分の1!$B$11:$B$310),INDEX(条幅4分の1!$D$11:$D$310,229-COUNTA(半紙!$B$11:$B$310)-COUNTA(条幅!$B$11:$B$310)),""))))</f>
        <v/>
      </c>
      <c r="E234" s="38" t="str">
        <f>IF(IF(229&lt;=COUNTA(半紙!$B$11:$B$310),INDEX(半紙!$E$11:$E$310,229),IF(229&lt;=COUNTA(半紙!$B$11:$B$310)+COUNTA(条幅!$B$11:$B$310),INDEX(条幅!$E$11:$E$310,229-COUNTA(半紙!$B$11:$B$310)),IF(229&lt;=COUNTA(半紙!$B$11:$B$310)+COUNTA(条幅!$B$11:$B$310)+COUNTA(条幅4分の1!$B$11:$B$310),INDEX(条幅4分の1!$E$11:$E$310,229-COUNTA(半紙!$B$11:$B$310)-COUNTA(条幅!$B$11:$B$310)),"")))=0,"",IF(229&lt;=COUNTA(半紙!$B$11:$B$310),INDEX(半紙!$E$11:$E$310,229),IF(229&lt;=COUNTA(半紙!$B$11:$B$310)+COUNTA(条幅!$B$11:$B$310),INDEX(条幅!$E$11:$E$310,229-COUNTA(半紙!$B$11:$B$310)),IF(229&lt;=COUNTA(半紙!$B$11:$B$310)+COUNTA(条幅!$B$11:$B$310)+COUNTA(条幅4分の1!$B$11:$B$310),INDEX(条幅4分の1!$E$11:$E$310,229-COUNTA(半紙!$B$11:$B$310)-COUNTA(条幅!$B$11:$B$310)),""))))</f>
        <v/>
      </c>
      <c r="F234" s="38" t="str">
        <f>IF(IF(229&lt;=COUNTA(半紙!$B$11:$B$310),INDEX(半紙!$F$11:$F$310,229),IF(229&lt;=COUNTA(半紙!$B$11:$B$310)+COUNTA(条幅!$B$11:$B$310),INDEX(条幅!$F$11:$F$310,229-COUNTA(半紙!$B$11:$B$310)),IF(229&lt;=COUNTA(半紙!$B$11:$B$310)+COUNTA(条幅!$B$11:$B$310)+COUNTA(条幅4分の1!$B$11:$B$310),INDEX(条幅4分の1!$F$11:$F$310,229-COUNTA(半紙!$B$11:$B$310)-COUNTA(条幅!$B$11:$B$310)),"")))=0,"",IF(229&lt;=COUNTA(半紙!$B$11:$B$310),INDEX(半紙!$F$11:$F$310,229),IF(229&lt;=COUNTA(半紙!$B$11:$B$310)+COUNTA(条幅!$B$11:$B$310),INDEX(条幅!$F$11:$F$310,229-COUNTA(半紙!$B$11:$B$310)),IF(229&lt;=COUNTA(半紙!$B$11:$B$310)+COUNTA(条幅!$B$11:$B$310)+COUNTA(条幅4分の1!$B$11:$B$310),INDEX(条幅4分の1!$F$11:$F$310,229-COUNTA(半紙!$B$11:$B$310)-COUNTA(条幅!$B$11:$B$310)),""))))</f>
        <v/>
      </c>
      <c r="G234" s="38" t="str">
        <f>IF(IF(229&lt;=COUNTA(半紙!$B$11:$B$310),INDEX(半紙!$G$11:$G$310,229),IF(229&lt;=COUNTA(半紙!$B$11:$B$310)+COUNTA(条幅!$B$11:$B$310),INDEX(条幅!$G$11:$G$310,229-COUNTA(半紙!$B$11:$B$310)),IF(229&lt;=COUNTA(半紙!$B$11:$B$310)+COUNTA(条幅!$B$11:$B$310)+COUNTA(条幅4分の1!$B$11:$B$310),INDEX(条幅4分の1!$G$11:$G$310,229-COUNTA(半紙!$B$11:$B$310)-COUNTA(条幅!$B$11:$B$310)),"")))=0,"",IF(229&lt;=COUNTA(半紙!$B$11:$B$310),INDEX(半紙!$G$11:$G$310,229),IF(229&lt;=COUNTA(半紙!$B$11:$B$310)+COUNTA(条幅!$B$11:$B$310),INDEX(条幅!$G$11:$G$310,229-COUNTA(半紙!$B$11:$B$310)),IF(229&lt;=COUNTA(半紙!$B$11:$B$310)+COUNTA(条幅!$B$11:$B$310)+COUNTA(条幅4分の1!$B$11:$B$310),INDEX(条幅4分の1!$G$11:$G$310,229-COUNTA(半紙!$B$11:$B$310)-COUNTA(条幅!$B$11:$B$310)),""))))</f>
        <v/>
      </c>
      <c r="H234" s="38" t="str">
        <f>IF(IF(229&lt;=COUNTA(半紙!$B$11:$B$310),INDEX(半紙!$H$11:$H$310,229),IF(229&lt;=COUNTA(半紙!$B$11:$B$310)+COUNTA(条幅!$B$11:$B$310),INDEX(条幅!$H$11:$H$310,229-COUNTA(半紙!$B$11:$B$310)),IF(229&lt;=COUNTA(半紙!$B$11:$B$310)+COUNTA(条幅!$B$11:$B$310)+COUNTA(条幅4分の1!$B$11:$B$310),INDEX(条幅4分の1!$H$11:$H$310,229-COUNTA(半紙!$B$11:$B$310)-COUNTA(条幅!$B$11:$B$310)),"")))=0,"",IF(229&lt;=COUNTA(半紙!$B$11:$B$310),INDEX(半紙!$H$11:$H$310,229),IF(229&lt;=COUNTA(半紙!$B$11:$B$310)+COUNTA(条幅!$B$11:$B$310),INDEX(条幅!$H$11:$H$310,229-COUNTA(半紙!$B$11:$B$310)),IF(229&lt;=COUNTA(半紙!$B$11:$B$310)+COUNTA(条幅!$B$11:$B$310)+COUNTA(条幅4分の1!$B$11:$B$310),INDEX(条幅4分の1!$H$11:$H$310,229-COUNTA(半紙!$B$11:$B$310)-COUNTA(条幅!$B$11:$B$310)),""))))</f>
        <v/>
      </c>
      <c r="I234" s="38" t="str">
        <f>IF(IF(229&lt;=COUNTA(半紙!$B$11:$B$310),INDEX(半紙!$I$11:$I$310,229),IF(229&lt;=COUNTA(半紙!$B$11:$B$310)+COUNTA(条幅!$B$11:$B$310),INDEX(条幅!$I$11:$I$310,229-COUNTA(半紙!$B$11:$B$310)),IF(229&lt;=COUNTA(半紙!$B$11:$B$310)+COUNTA(条幅!$B$11:$B$310)+COUNTA(条幅4分の1!$B$11:$B$310),INDEX(条幅4分の1!$I$11:$I$310,229-COUNTA(半紙!$B$11:$B$310)-COUNTA(条幅!$B$11:$B$310)),"")))=0,"",IF(229&lt;=COUNTA(半紙!$B$11:$B$310),INDEX(半紙!$I$11:$I$310,229),IF(229&lt;=COUNTA(半紙!$B$11:$B$310)+COUNTA(条幅!$B$11:$B$310),INDEX(条幅!$I$11:$I$310,229-COUNTA(半紙!$B$11:$B$310)),IF(229&lt;=COUNTA(半紙!$B$11:$B$310)+COUNTA(条幅!$B$11:$B$310)+COUNTA(条幅4分の1!$B$11:$B$310),INDEX(条幅4分の1!$I$11:$I$310,229-COUNTA(半紙!$B$11:$B$310)-COUNTA(条幅!$B$11:$B$310)),""))))</f>
        <v/>
      </c>
      <c r="J234" s="38" t="str">
        <f>IF(IF(229&lt;=COUNTA(半紙!$B$11:$B$310),INDEX(半紙!$J$11:$J$310,229),IF(229&lt;=COUNTA(半紙!$B$11:$B$310)+COUNTA(条幅!$B$11:$B$310),INDEX(条幅!$J$11:$J$310,229-COUNTA(半紙!$B$11:$B$310)),IF(229&lt;=COUNTA(半紙!$B$11:$B$310)+COUNTA(条幅!$B$11:$B$310)+COUNTA(条幅4分の1!$B$11:$B$310),INDEX(条幅4分の1!$J$11:$J$310,229-COUNTA(半紙!$B$11:$B$310)-COUNTA(条幅!$B$11:$B$310)),"")))=0,"",IF(229&lt;=COUNTA(半紙!$B$11:$B$310),INDEX(半紙!$J$11:$J$310,229),IF(229&lt;=COUNTA(半紙!$B$11:$B$310)+COUNTA(条幅!$B$11:$B$310),INDEX(条幅!$J$11:$J$310,229-COUNTA(半紙!$B$11:$B$310)),IF(229&lt;=COUNTA(半紙!$B$11:$B$310)+COUNTA(条幅!$B$11:$B$310)+COUNTA(条幅4分の1!$B$11:$B$310),INDEX(条幅4分の1!$J$11:$J$310,229-COUNTA(半紙!$B$11:$B$310)-COUNTA(条幅!$B$11:$B$310)),""))))</f>
        <v/>
      </c>
      <c r="K234" s="38" t="str">
        <f>IF(IF(229&lt;=COUNTA(半紙!$B$11:$B$310),INDEX(半紙!$K$11:$K$310,229),IF(229&lt;=COUNTA(半紙!$B$11:$B$310)+COUNTA(条幅!$B$11:$B$310),INDEX(条幅!$K$11:$K$310,229-COUNTA(半紙!$B$11:$B$310)),IF(229&lt;=COUNTA(半紙!$B$11:$B$310)+COUNTA(条幅!$B$11:$B$310)+COUNTA(条幅4分の1!$B$11:$B$310),INDEX(条幅4分の1!$K$11:$K$310,229-COUNTA(半紙!$B$11:$B$310)-COUNTA(条幅!$B$11:$B$310)),"")))=0,"",IF(229&lt;=COUNTA(半紙!$B$11:$B$310),INDEX(半紙!$K$11:$K$310,229),IF(229&lt;=COUNTA(半紙!$B$11:$B$310)+COUNTA(条幅!$B$11:$B$310),INDEX(条幅!$K$11:$K$310,229-COUNTA(半紙!$B$11:$B$310)),IF(229&lt;=COUNTA(半紙!$B$11:$B$310)+COUNTA(条幅!$B$11:$B$310)+COUNTA(条幅4分の1!$B$11:$B$310),INDEX(条幅4分の1!$K$11:$K$310,229-COUNTA(半紙!$B$11:$B$310)-COUNTA(条幅!$B$11:$B$310)),""))))</f>
        <v/>
      </c>
      <c r="L234" s="48" t="str">
        <f>IF($B234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229))</f>
        <v/>
      </c>
    </row>
    <row r="235" spans="1:12" ht="15" customHeight="1">
      <c r="A235" s="37" t="str">
        <f>IF(230&lt;=COUNTA(半紙!$B$11:$B$310),"半紙",IF(230&lt;=COUNTA(半紙!$B$11:$B$310)+COUNTA(条幅!$B$11:$B$310),"条幅(半切)",IF(230&lt;=COUNTA(半紙!$B$11:$B$310)+COUNTA(条幅!$B$11:$B$310)+COUNTA(条幅4分の1!$B$11:$B$310),"条幅(1/4)","")))</f>
        <v/>
      </c>
      <c r="B235" s="38" t="str">
        <f>IF(IF(230&lt;=COUNTA(半紙!$B$11:$B$310),INDEX(半紙!$B$11:$B$310,230),IF(230&lt;=COUNTA(半紙!$B$11:$B$310)+COUNTA(条幅!$B$11:$B$310),INDEX(条幅!$B$11:$B$310,230-COUNTA(半紙!$B$11:$B$310)),IF(230&lt;=COUNTA(半紙!$B$11:$B$310)+COUNTA(条幅!$B$11:$B$310)+COUNTA(条幅4分の1!$B$11:$B$310),INDEX(条幅4分の1!$B$11:$B$310,230-COUNTA(半紙!$B$11:$B$310)-COUNTA(条幅!$B$11:$B$310)),"")))=0,"",IF(230&lt;=COUNTA(半紙!$B$11:$B$310),INDEX(半紙!$B$11:$B$310,230),IF(230&lt;=COUNTA(半紙!$B$11:$B$310)+COUNTA(条幅!$B$11:$B$310),INDEX(条幅!$B$11:$B$310,230-COUNTA(半紙!$B$11:$B$310)),IF(230&lt;=COUNTA(半紙!$B$11:$B$310)+COUNTA(条幅!$B$11:$B$310)+COUNTA(条幅4分の1!$B$11:$B$310),INDEX(条幅4分の1!$B$11:$B$310,230-COUNTA(半紙!$B$11:$B$310)-COUNTA(条幅!$B$11:$B$310)),""))))</f>
        <v/>
      </c>
      <c r="C235" s="38" t="str">
        <f>IF(IF(230&lt;=COUNTA(半紙!$B$11:$B$310),INDEX(半紙!$C$11:$C$310,230),IF(230&lt;=COUNTA(半紙!$B$11:$B$310)+COUNTA(条幅!$B$11:$B$310),INDEX(条幅!$C$11:$C$310,230-COUNTA(半紙!$B$11:$B$310)),IF(230&lt;=COUNTA(半紙!$B$11:$B$310)+COUNTA(条幅!$B$11:$B$310)+COUNTA(条幅4分の1!$B$11:$B$310),INDEX(条幅4分の1!$C$11:$C$310,230-COUNTA(半紙!$B$11:$B$310)-COUNTA(条幅!$B$11:$B$310)),"")))=0,"",IF(230&lt;=COUNTA(半紙!$B$11:$B$310),INDEX(半紙!$C$11:$C$310,230),IF(230&lt;=COUNTA(半紙!$B$11:$B$310)+COUNTA(条幅!$B$11:$B$310),INDEX(条幅!$C$11:$C$310,230-COUNTA(半紙!$B$11:$B$310)),IF(230&lt;=COUNTA(半紙!$B$11:$B$310)+COUNTA(条幅!$B$11:$B$310)+COUNTA(条幅4分の1!$B$11:$B$310),INDEX(条幅4分の1!$C$11:$C$310,230-COUNTA(半紙!$B$11:$B$310)-COUNTA(条幅!$B$11:$B$310)),""))))</f>
        <v/>
      </c>
      <c r="D235" s="38" t="str">
        <f>IF(IF(230&lt;=COUNTA(半紙!$B$11:$B$310),INDEX(半紙!$D$11:$D$310,230),IF(230&lt;=COUNTA(半紙!$B$11:$B$310)+COUNTA(条幅!$B$11:$B$310),INDEX(条幅!$D$11:$D$310,230-COUNTA(半紙!$B$11:$B$310)),IF(230&lt;=COUNTA(半紙!$B$11:$B$310)+COUNTA(条幅!$B$11:$B$310)+COUNTA(条幅4分の1!$B$11:$B$310),INDEX(条幅4分の1!$D$11:$D$310,230-COUNTA(半紙!$B$11:$B$310)-COUNTA(条幅!$B$11:$B$310)),"")))=0,"",IF(230&lt;=COUNTA(半紙!$B$11:$B$310),INDEX(半紙!$D$11:$D$310,230),IF(230&lt;=COUNTA(半紙!$B$11:$B$310)+COUNTA(条幅!$B$11:$B$310),INDEX(条幅!$D$11:$D$310,230-COUNTA(半紙!$B$11:$B$310)),IF(230&lt;=COUNTA(半紙!$B$11:$B$310)+COUNTA(条幅!$B$11:$B$310)+COUNTA(条幅4分の1!$B$11:$B$310),INDEX(条幅4分の1!$D$11:$D$310,230-COUNTA(半紙!$B$11:$B$310)-COUNTA(条幅!$B$11:$B$310)),""))))</f>
        <v/>
      </c>
      <c r="E235" s="38" t="str">
        <f>IF(IF(230&lt;=COUNTA(半紙!$B$11:$B$310),INDEX(半紙!$E$11:$E$310,230),IF(230&lt;=COUNTA(半紙!$B$11:$B$310)+COUNTA(条幅!$B$11:$B$310),INDEX(条幅!$E$11:$E$310,230-COUNTA(半紙!$B$11:$B$310)),IF(230&lt;=COUNTA(半紙!$B$11:$B$310)+COUNTA(条幅!$B$11:$B$310)+COUNTA(条幅4分の1!$B$11:$B$310),INDEX(条幅4分の1!$E$11:$E$310,230-COUNTA(半紙!$B$11:$B$310)-COUNTA(条幅!$B$11:$B$310)),"")))=0,"",IF(230&lt;=COUNTA(半紙!$B$11:$B$310),INDEX(半紙!$E$11:$E$310,230),IF(230&lt;=COUNTA(半紙!$B$11:$B$310)+COUNTA(条幅!$B$11:$B$310),INDEX(条幅!$E$11:$E$310,230-COUNTA(半紙!$B$11:$B$310)),IF(230&lt;=COUNTA(半紙!$B$11:$B$310)+COUNTA(条幅!$B$11:$B$310)+COUNTA(条幅4分の1!$B$11:$B$310),INDEX(条幅4分の1!$E$11:$E$310,230-COUNTA(半紙!$B$11:$B$310)-COUNTA(条幅!$B$11:$B$310)),""))))</f>
        <v/>
      </c>
      <c r="F235" s="38" t="str">
        <f>IF(IF(230&lt;=COUNTA(半紙!$B$11:$B$310),INDEX(半紙!$F$11:$F$310,230),IF(230&lt;=COUNTA(半紙!$B$11:$B$310)+COUNTA(条幅!$B$11:$B$310),INDEX(条幅!$F$11:$F$310,230-COUNTA(半紙!$B$11:$B$310)),IF(230&lt;=COUNTA(半紙!$B$11:$B$310)+COUNTA(条幅!$B$11:$B$310)+COUNTA(条幅4分の1!$B$11:$B$310),INDEX(条幅4分の1!$F$11:$F$310,230-COUNTA(半紙!$B$11:$B$310)-COUNTA(条幅!$B$11:$B$310)),"")))=0,"",IF(230&lt;=COUNTA(半紙!$B$11:$B$310),INDEX(半紙!$F$11:$F$310,230),IF(230&lt;=COUNTA(半紙!$B$11:$B$310)+COUNTA(条幅!$B$11:$B$310),INDEX(条幅!$F$11:$F$310,230-COUNTA(半紙!$B$11:$B$310)),IF(230&lt;=COUNTA(半紙!$B$11:$B$310)+COUNTA(条幅!$B$11:$B$310)+COUNTA(条幅4分の1!$B$11:$B$310),INDEX(条幅4分の1!$F$11:$F$310,230-COUNTA(半紙!$B$11:$B$310)-COUNTA(条幅!$B$11:$B$310)),""))))</f>
        <v/>
      </c>
      <c r="G235" s="38" t="str">
        <f>IF(IF(230&lt;=COUNTA(半紙!$B$11:$B$310),INDEX(半紙!$G$11:$G$310,230),IF(230&lt;=COUNTA(半紙!$B$11:$B$310)+COUNTA(条幅!$B$11:$B$310),INDEX(条幅!$G$11:$G$310,230-COUNTA(半紙!$B$11:$B$310)),IF(230&lt;=COUNTA(半紙!$B$11:$B$310)+COUNTA(条幅!$B$11:$B$310)+COUNTA(条幅4分の1!$B$11:$B$310),INDEX(条幅4分の1!$G$11:$G$310,230-COUNTA(半紙!$B$11:$B$310)-COUNTA(条幅!$B$11:$B$310)),"")))=0,"",IF(230&lt;=COUNTA(半紙!$B$11:$B$310),INDEX(半紙!$G$11:$G$310,230),IF(230&lt;=COUNTA(半紙!$B$11:$B$310)+COUNTA(条幅!$B$11:$B$310),INDEX(条幅!$G$11:$G$310,230-COUNTA(半紙!$B$11:$B$310)),IF(230&lt;=COUNTA(半紙!$B$11:$B$310)+COUNTA(条幅!$B$11:$B$310)+COUNTA(条幅4分の1!$B$11:$B$310),INDEX(条幅4分の1!$G$11:$G$310,230-COUNTA(半紙!$B$11:$B$310)-COUNTA(条幅!$B$11:$B$310)),""))))</f>
        <v/>
      </c>
      <c r="H235" s="38" t="str">
        <f>IF(IF(230&lt;=COUNTA(半紙!$B$11:$B$310),INDEX(半紙!$H$11:$H$310,230),IF(230&lt;=COUNTA(半紙!$B$11:$B$310)+COUNTA(条幅!$B$11:$B$310),INDEX(条幅!$H$11:$H$310,230-COUNTA(半紙!$B$11:$B$310)),IF(230&lt;=COUNTA(半紙!$B$11:$B$310)+COUNTA(条幅!$B$11:$B$310)+COUNTA(条幅4分の1!$B$11:$B$310),INDEX(条幅4分の1!$H$11:$H$310,230-COUNTA(半紙!$B$11:$B$310)-COUNTA(条幅!$B$11:$B$310)),"")))=0,"",IF(230&lt;=COUNTA(半紙!$B$11:$B$310),INDEX(半紙!$H$11:$H$310,230),IF(230&lt;=COUNTA(半紙!$B$11:$B$310)+COUNTA(条幅!$B$11:$B$310),INDEX(条幅!$H$11:$H$310,230-COUNTA(半紙!$B$11:$B$310)),IF(230&lt;=COUNTA(半紙!$B$11:$B$310)+COUNTA(条幅!$B$11:$B$310)+COUNTA(条幅4分の1!$B$11:$B$310),INDEX(条幅4分の1!$H$11:$H$310,230-COUNTA(半紙!$B$11:$B$310)-COUNTA(条幅!$B$11:$B$310)),""))))</f>
        <v/>
      </c>
      <c r="I235" s="38" t="str">
        <f>IF(IF(230&lt;=COUNTA(半紙!$B$11:$B$310),INDEX(半紙!$I$11:$I$310,230),IF(230&lt;=COUNTA(半紙!$B$11:$B$310)+COUNTA(条幅!$B$11:$B$310),INDEX(条幅!$I$11:$I$310,230-COUNTA(半紙!$B$11:$B$310)),IF(230&lt;=COUNTA(半紙!$B$11:$B$310)+COUNTA(条幅!$B$11:$B$310)+COUNTA(条幅4分の1!$B$11:$B$310),INDEX(条幅4分の1!$I$11:$I$310,230-COUNTA(半紙!$B$11:$B$310)-COUNTA(条幅!$B$11:$B$310)),"")))=0,"",IF(230&lt;=COUNTA(半紙!$B$11:$B$310),INDEX(半紙!$I$11:$I$310,230),IF(230&lt;=COUNTA(半紙!$B$11:$B$310)+COUNTA(条幅!$B$11:$B$310),INDEX(条幅!$I$11:$I$310,230-COUNTA(半紙!$B$11:$B$310)),IF(230&lt;=COUNTA(半紙!$B$11:$B$310)+COUNTA(条幅!$B$11:$B$310)+COUNTA(条幅4分の1!$B$11:$B$310),INDEX(条幅4分の1!$I$11:$I$310,230-COUNTA(半紙!$B$11:$B$310)-COUNTA(条幅!$B$11:$B$310)),""))))</f>
        <v/>
      </c>
      <c r="J235" s="38" t="str">
        <f>IF(IF(230&lt;=COUNTA(半紙!$B$11:$B$310),INDEX(半紙!$J$11:$J$310,230),IF(230&lt;=COUNTA(半紙!$B$11:$B$310)+COUNTA(条幅!$B$11:$B$310),INDEX(条幅!$J$11:$J$310,230-COUNTA(半紙!$B$11:$B$310)),IF(230&lt;=COUNTA(半紙!$B$11:$B$310)+COUNTA(条幅!$B$11:$B$310)+COUNTA(条幅4分の1!$B$11:$B$310),INDEX(条幅4分の1!$J$11:$J$310,230-COUNTA(半紙!$B$11:$B$310)-COUNTA(条幅!$B$11:$B$310)),"")))=0,"",IF(230&lt;=COUNTA(半紙!$B$11:$B$310),INDEX(半紙!$J$11:$J$310,230),IF(230&lt;=COUNTA(半紙!$B$11:$B$310)+COUNTA(条幅!$B$11:$B$310),INDEX(条幅!$J$11:$J$310,230-COUNTA(半紙!$B$11:$B$310)),IF(230&lt;=COUNTA(半紙!$B$11:$B$310)+COUNTA(条幅!$B$11:$B$310)+COUNTA(条幅4分の1!$B$11:$B$310),INDEX(条幅4分の1!$J$11:$J$310,230-COUNTA(半紙!$B$11:$B$310)-COUNTA(条幅!$B$11:$B$310)),""))))</f>
        <v/>
      </c>
      <c r="K235" s="38" t="str">
        <f>IF(IF(230&lt;=COUNTA(半紙!$B$11:$B$310),INDEX(半紙!$K$11:$K$310,230),IF(230&lt;=COUNTA(半紙!$B$11:$B$310)+COUNTA(条幅!$B$11:$B$310),INDEX(条幅!$K$11:$K$310,230-COUNTA(半紙!$B$11:$B$310)),IF(230&lt;=COUNTA(半紙!$B$11:$B$310)+COUNTA(条幅!$B$11:$B$310)+COUNTA(条幅4分の1!$B$11:$B$310),INDEX(条幅4分の1!$K$11:$K$310,230-COUNTA(半紙!$B$11:$B$310)-COUNTA(条幅!$B$11:$B$310)),"")))=0,"",IF(230&lt;=COUNTA(半紙!$B$11:$B$310),INDEX(半紙!$K$11:$K$310,230),IF(230&lt;=COUNTA(半紙!$B$11:$B$310)+COUNTA(条幅!$B$11:$B$310),INDEX(条幅!$K$11:$K$310,230-COUNTA(半紙!$B$11:$B$310)),IF(230&lt;=COUNTA(半紙!$B$11:$B$310)+COUNTA(条幅!$B$11:$B$310)+COUNTA(条幅4分の1!$B$11:$B$310),INDEX(条幅4分の1!$K$11:$K$310,230-COUNTA(半紙!$B$11:$B$310)-COUNTA(条幅!$B$11:$B$310)),""))))</f>
        <v/>
      </c>
      <c r="L235" s="48" t="str">
        <f>IF($B235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230))</f>
        <v/>
      </c>
    </row>
    <row r="236" spans="1:12" ht="15" customHeight="1">
      <c r="A236" s="37" t="str">
        <f>IF(231&lt;=COUNTA(半紙!$B$11:$B$310),"半紙",IF(231&lt;=COUNTA(半紙!$B$11:$B$310)+COUNTA(条幅!$B$11:$B$310),"条幅(半切)",IF(231&lt;=COUNTA(半紙!$B$11:$B$310)+COUNTA(条幅!$B$11:$B$310)+COUNTA(条幅4分の1!$B$11:$B$310),"条幅(1/4)","")))</f>
        <v/>
      </c>
      <c r="B236" s="38" t="str">
        <f>IF(IF(231&lt;=COUNTA(半紙!$B$11:$B$310),INDEX(半紙!$B$11:$B$310,231),IF(231&lt;=COUNTA(半紙!$B$11:$B$310)+COUNTA(条幅!$B$11:$B$310),INDEX(条幅!$B$11:$B$310,231-COUNTA(半紙!$B$11:$B$310)),IF(231&lt;=COUNTA(半紙!$B$11:$B$310)+COUNTA(条幅!$B$11:$B$310)+COUNTA(条幅4分の1!$B$11:$B$310),INDEX(条幅4分の1!$B$11:$B$310,231-COUNTA(半紙!$B$11:$B$310)-COUNTA(条幅!$B$11:$B$310)),"")))=0,"",IF(231&lt;=COUNTA(半紙!$B$11:$B$310),INDEX(半紙!$B$11:$B$310,231),IF(231&lt;=COUNTA(半紙!$B$11:$B$310)+COUNTA(条幅!$B$11:$B$310),INDEX(条幅!$B$11:$B$310,231-COUNTA(半紙!$B$11:$B$310)),IF(231&lt;=COUNTA(半紙!$B$11:$B$310)+COUNTA(条幅!$B$11:$B$310)+COUNTA(条幅4分の1!$B$11:$B$310),INDEX(条幅4分の1!$B$11:$B$310,231-COUNTA(半紙!$B$11:$B$310)-COUNTA(条幅!$B$11:$B$310)),""))))</f>
        <v/>
      </c>
      <c r="C236" s="38" t="str">
        <f>IF(IF(231&lt;=COUNTA(半紙!$B$11:$B$310),INDEX(半紙!$C$11:$C$310,231),IF(231&lt;=COUNTA(半紙!$B$11:$B$310)+COUNTA(条幅!$B$11:$B$310),INDEX(条幅!$C$11:$C$310,231-COUNTA(半紙!$B$11:$B$310)),IF(231&lt;=COUNTA(半紙!$B$11:$B$310)+COUNTA(条幅!$B$11:$B$310)+COUNTA(条幅4分の1!$B$11:$B$310),INDEX(条幅4分の1!$C$11:$C$310,231-COUNTA(半紙!$B$11:$B$310)-COUNTA(条幅!$B$11:$B$310)),"")))=0,"",IF(231&lt;=COUNTA(半紙!$B$11:$B$310),INDEX(半紙!$C$11:$C$310,231),IF(231&lt;=COUNTA(半紙!$B$11:$B$310)+COUNTA(条幅!$B$11:$B$310),INDEX(条幅!$C$11:$C$310,231-COUNTA(半紙!$B$11:$B$310)),IF(231&lt;=COUNTA(半紙!$B$11:$B$310)+COUNTA(条幅!$B$11:$B$310)+COUNTA(条幅4分の1!$B$11:$B$310),INDEX(条幅4分の1!$C$11:$C$310,231-COUNTA(半紙!$B$11:$B$310)-COUNTA(条幅!$B$11:$B$310)),""))))</f>
        <v/>
      </c>
      <c r="D236" s="38" t="str">
        <f>IF(IF(231&lt;=COUNTA(半紙!$B$11:$B$310),INDEX(半紙!$D$11:$D$310,231),IF(231&lt;=COUNTA(半紙!$B$11:$B$310)+COUNTA(条幅!$B$11:$B$310),INDEX(条幅!$D$11:$D$310,231-COUNTA(半紙!$B$11:$B$310)),IF(231&lt;=COUNTA(半紙!$B$11:$B$310)+COUNTA(条幅!$B$11:$B$310)+COUNTA(条幅4分の1!$B$11:$B$310),INDEX(条幅4分の1!$D$11:$D$310,231-COUNTA(半紙!$B$11:$B$310)-COUNTA(条幅!$B$11:$B$310)),"")))=0,"",IF(231&lt;=COUNTA(半紙!$B$11:$B$310),INDEX(半紙!$D$11:$D$310,231),IF(231&lt;=COUNTA(半紙!$B$11:$B$310)+COUNTA(条幅!$B$11:$B$310),INDEX(条幅!$D$11:$D$310,231-COUNTA(半紙!$B$11:$B$310)),IF(231&lt;=COUNTA(半紙!$B$11:$B$310)+COUNTA(条幅!$B$11:$B$310)+COUNTA(条幅4分の1!$B$11:$B$310),INDEX(条幅4分の1!$D$11:$D$310,231-COUNTA(半紙!$B$11:$B$310)-COUNTA(条幅!$B$11:$B$310)),""))))</f>
        <v/>
      </c>
      <c r="E236" s="38" t="str">
        <f>IF(IF(231&lt;=COUNTA(半紙!$B$11:$B$310),INDEX(半紙!$E$11:$E$310,231),IF(231&lt;=COUNTA(半紙!$B$11:$B$310)+COUNTA(条幅!$B$11:$B$310),INDEX(条幅!$E$11:$E$310,231-COUNTA(半紙!$B$11:$B$310)),IF(231&lt;=COUNTA(半紙!$B$11:$B$310)+COUNTA(条幅!$B$11:$B$310)+COUNTA(条幅4分の1!$B$11:$B$310),INDEX(条幅4分の1!$E$11:$E$310,231-COUNTA(半紙!$B$11:$B$310)-COUNTA(条幅!$B$11:$B$310)),"")))=0,"",IF(231&lt;=COUNTA(半紙!$B$11:$B$310),INDEX(半紙!$E$11:$E$310,231),IF(231&lt;=COUNTA(半紙!$B$11:$B$310)+COUNTA(条幅!$B$11:$B$310),INDEX(条幅!$E$11:$E$310,231-COUNTA(半紙!$B$11:$B$310)),IF(231&lt;=COUNTA(半紙!$B$11:$B$310)+COUNTA(条幅!$B$11:$B$310)+COUNTA(条幅4分の1!$B$11:$B$310),INDEX(条幅4分の1!$E$11:$E$310,231-COUNTA(半紙!$B$11:$B$310)-COUNTA(条幅!$B$11:$B$310)),""))))</f>
        <v/>
      </c>
      <c r="F236" s="38" t="str">
        <f>IF(IF(231&lt;=COUNTA(半紙!$B$11:$B$310),INDEX(半紙!$F$11:$F$310,231),IF(231&lt;=COUNTA(半紙!$B$11:$B$310)+COUNTA(条幅!$B$11:$B$310),INDEX(条幅!$F$11:$F$310,231-COUNTA(半紙!$B$11:$B$310)),IF(231&lt;=COUNTA(半紙!$B$11:$B$310)+COUNTA(条幅!$B$11:$B$310)+COUNTA(条幅4分の1!$B$11:$B$310),INDEX(条幅4分の1!$F$11:$F$310,231-COUNTA(半紙!$B$11:$B$310)-COUNTA(条幅!$B$11:$B$310)),"")))=0,"",IF(231&lt;=COUNTA(半紙!$B$11:$B$310),INDEX(半紙!$F$11:$F$310,231),IF(231&lt;=COUNTA(半紙!$B$11:$B$310)+COUNTA(条幅!$B$11:$B$310),INDEX(条幅!$F$11:$F$310,231-COUNTA(半紙!$B$11:$B$310)),IF(231&lt;=COUNTA(半紙!$B$11:$B$310)+COUNTA(条幅!$B$11:$B$310)+COUNTA(条幅4分の1!$B$11:$B$310),INDEX(条幅4分の1!$F$11:$F$310,231-COUNTA(半紙!$B$11:$B$310)-COUNTA(条幅!$B$11:$B$310)),""))))</f>
        <v/>
      </c>
      <c r="G236" s="38" t="str">
        <f>IF(IF(231&lt;=COUNTA(半紙!$B$11:$B$310),INDEX(半紙!$G$11:$G$310,231),IF(231&lt;=COUNTA(半紙!$B$11:$B$310)+COUNTA(条幅!$B$11:$B$310),INDEX(条幅!$G$11:$G$310,231-COUNTA(半紙!$B$11:$B$310)),IF(231&lt;=COUNTA(半紙!$B$11:$B$310)+COUNTA(条幅!$B$11:$B$310)+COUNTA(条幅4分の1!$B$11:$B$310),INDEX(条幅4分の1!$G$11:$G$310,231-COUNTA(半紙!$B$11:$B$310)-COUNTA(条幅!$B$11:$B$310)),"")))=0,"",IF(231&lt;=COUNTA(半紙!$B$11:$B$310),INDEX(半紙!$G$11:$G$310,231),IF(231&lt;=COUNTA(半紙!$B$11:$B$310)+COUNTA(条幅!$B$11:$B$310),INDEX(条幅!$G$11:$G$310,231-COUNTA(半紙!$B$11:$B$310)),IF(231&lt;=COUNTA(半紙!$B$11:$B$310)+COUNTA(条幅!$B$11:$B$310)+COUNTA(条幅4分の1!$B$11:$B$310),INDEX(条幅4分の1!$G$11:$G$310,231-COUNTA(半紙!$B$11:$B$310)-COUNTA(条幅!$B$11:$B$310)),""))))</f>
        <v/>
      </c>
      <c r="H236" s="38" t="str">
        <f>IF(IF(231&lt;=COUNTA(半紙!$B$11:$B$310),INDEX(半紙!$H$11:$H$310,231),IF(231&lt;=COUNTA(半紙!$B$11:$B$310)+COUNTA(条幅!$B$11:$B$310),INDEX(条幅!$H$11:$H$310,231-COUNTA(半紙!$B$11:$B$310)),IF(231&lt;=COUNTA(半紙!$B$11:$B$310)+COUNTA(条幅!$B$11:$B$310)+COUNTA(条幅4分の1!$B$11:$B$310),INDEX(条幅4分の1!$H$11:$H$310,231-COUNTA(半紙!$B$11:$B$310)-COUNTA(条幅!$B$11:$B$310)),"")))=0,"",IF(231&lt;=COUNTA(半紙!$B$11:$B$310),INDEX(半紙!$H$11:$H$310,231),IF(231&lt;=COUNTA(半紙!$B$11:$B$310)+COUNTA(条幅!$B$11:$B$310),INDEX(条幅!$H$11:$H$310,231-COUNTA(半紙!$B$11:$B$310)),IF(231&lt;=COUNTA(半紙!$B$11:$B$310)+COUNTA(条幅!$B$11:$B$310)+COUNTA(条幅4分の1!$B$11:$B$310),INDEX(条幅4分の1!$H$11:$H$310,231-COUNTA(半紙!$B$11:$B$310)-COUNTA(条幅!$B$11:$B$310)),""))))</f>
        <v/>
      </c>
      <c r="I236" s="38" t="str">
        <f>IF(IF(231&lt;=COUNTA(半紙!$B$11:$B$310),INDEX(半紙!$I$11:$I$310,231),IF(231&lt;=COUNTA(半紙!$B$11:$B$310)+COUNTA(条幅!$B$11:$B$310),INDEX(条幅!$I$11:$I$310,231-COUNTA(半紙!$B$11:$B$310)),IF(231&lt;=COUNTA(半紙!$B$11:$B$310)+COUNTA(条幅!$B$11:$B$310)+COUNTA(条幅4分の1!$B$11:$B$310),INDEX(条幅4分の1!$I$11:$I$310,231-COUNTA(半紙!$B$11:$B$310)-COUNTA(条幅!$B$11:$B$310)),"")))=0,"",IF(231&lt;=COUNTA(半紙!$B$11:$B$310),INDEX(半紙!$I$11:$I$310,231),IF(231&lt;=COUNTA(半紙!$B$11:$B$310)+COUNTA(条幅!$B$11:$B$310),INDEX(条幅!$I$11:$I$310,231-COUNTA(半紙!$B$11:$B$310)),IF(231&lt;=COUNTA(半紙!$B$11:$B$310)+COUNTA(条幅!$B$11:$B$310)+COUNTA(条幅4分の1!$B$11:$B$310),INDEX(条幅4分の1!$I$11:$I$310,231-COUNTA(半紙!$B$11:$B$310)-COUNTA(条幅!$B$11:$B$310)),""))))</f>
        <v/>
      </c>
      <c r="J236" s="38" t="str">
        <f>IF(IF(231&lt;=COUNTA(半紙!$B$11:$B$310),INDEX(半紙!$J$11:$J$310,231),IF(231&lt;=COUNTA(半紙!$B$11:$B$310)+COUNTA(条幅!$B$11:$B$310),INDEX(条幅!$J$11:$J$310,231-COUNTA(半紙!$B$11:$B$310)),IF(231&lt;=COUNTA(半紙!$B$11:$B$310)+COUNTA(条幅!$B$11:$B$310)+COUNTA(条幅4分の1!$B$11:$B$310),INDEX(条幅4分の1!$J$11:$J$310,231-COUNTA(半紙!$B$11:$B$310)-COUNTA(条幅!$B$11:$B$310)),"")))=0,"",IF(231&lt;=COUNTA(半紙!$B$11:$B$310),INDEX(半紙!$J$11:$J$310,231),IF(231&lt;=COUNTA(半紙!$B$11:$B$310)+COUNTA(条幅!$B$11:$B$310),INDEX(条幅!$J$11:$J$310,231-COUNTA(半紙!$B$11:$B$310)),IF(231&lt;=COUNTA(半紙!$B$11:$B$310)+COUNTA(条幅!$B$11:$B$310)+COUNTA(条幅4分の1!$B$11:$B$310),INDEX(条幅4分の1!$J$11:$J$310,231-COUNTA(半紙!$B$11:$B$310)-COUNTA(条幅!$B$11:$B$310)),""))))</f>
        <v/>
      </c>
      <c r="K236" s="38" t="str">
        <f>IF(IF(231&lt;=COUNTA(半紙!$B$11:$B$310),INDEX(半紙!$K$11:$K$310,231),IF(231&lt;=COUNTA(半紙!$B$11:$B$310)+COUNTA(条幅!$B$11:$B$310),INDEX(条幅!$K$11:$K$310,231-COUNTA(半紙!$B$11:$B$310)),IF(231&lt;=COUNTA(半紙!$B$11:$B$310)+COUNTA(条幅!$B$11:$B$310)+COUNTA(条幅4分の1!$B$11:$B$310),INDEX(条幅4分の1!$K$11:$K$310,231-COUNTA(半紙!$B$11:$B$310)-COUNTA(条幅!$B$11:$B$310)),"")))=0,"",IF(231&lt;=COUNTA(半紙!$B$11:$B$310),INDEX(半紙!$K$11:$K$310,231),IF(231&lt;=COUNTA(半紙!$B$11:$B$310)+COUNTA(条幅!$B$11:$B$310),INDEX(条幅!$K$11:$K$310,231-COUNTA(半紙!$B$11:$B$310)),IF(231&lt;=COUNTA(半紙!$B$11:$B$310)+COUNTA(条幅!$B$11:$B$310)+COUNTA(条幅4分の1!$B$11:$B$310),INDEX(条幅4分の1!$K$11:$K$310,231-COUNTA(半紙!$B$11:$B$310)-COUNTA(条幅!$B$11:$B$310)),""))))</f>
        <v/>
      </c>
      <c r="L236" s="48" t="str">
        <f>IF($B236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231))</f>
        <v/>
      </c>
    </row>
    <row r="237" spans="1:12" ht="15" customHeight="1">
      <c r="A237" s="37" t="str">
        <f>IF(232&lt;=COUNTA(半紙!$B$11:$B$310),"半紙",IF(232&lt;=COUNTA(半紙!$B$11:$B$310)+COUNTA(条幅!$B$11:$B$310),"条幅(半切)",IF(232&lt;=COUNTA(半紙!$B$11:$B$310)+COUNTA(条幅!$B$11:$B$310)+COUNTA(条幅4分の1!$B$11:$B$310),"条幅(1/4)","")))</f>
        <v/>
      </c>
      <c r="B237" s="38" t="str">
        <f>IF(IF(232&lt;=COUNTA(半紙!$B$11:$B$310),INDEX(半紙!$B$11:$B$310,232),IF(232&lt;=COUNTA(半紙!$B$11:$B$310)+COUNTA(条幅!$B$11:$B$310),INDEX(条幅!$B$11:$B$310,232-COUNTA(半紙!$B$11:$B$310)),IF(232&lt;=COUNTA(半紙!$B$11:$B$310)+COUNTA(条幅!$B$11:$B$310)+COUNTA(条幅4分の1!$B$11:$B$310),INDEX(条幅4分の1!$B$11:$B$310,232-COUNTA(半紙!$B$11:$B$310)-COUNTA(条幅!$B$11:$B$310)),"")))=0,"",IF(232&lt;=COUNTA(半紙!$B$11:$B$310),INDEX(半紙!$B$11:$B$310,232),IF(232&lt;=COUNTA(半紙!$B$11:$B$310)+COUNTA(条幅!$B$11:$B$310),INDEX(条幅!$B$11:$B$310,232-COUNTA(半紙!$B$11:$B$310)),IF(232&lt;=COUNTA(半紙!$B$11:$B$310)+COUNTA(条幅!$B$11:$B$310)+COUNTA(条幅4分の1!$B$11:$B$310),INDEX(条幅4分の1!$B$11:$B$310,232-COUNTA(半紙!$B$11:$B$310)-COUNTA(条幅!$B$11:$B$310)),""))))</f>
        <v/>
      </c>
      <c r="C237" s="38" t="str">
        <f>IF(IF(232&lt;=COUNTA(半紙!$B$11:$B$310),INDEX(半紙!$C$11:$C$310,232),IF(232&lt;=COUNTA(半紙!$B$11:$B$310)+COUNTA(条幅!$B$11:$B$310),INDEX(条幅!$C$11:$C$310,232-COUNTA(半紙!$B$11:$B$310)),IF(232&lt;=COUNTA(半紙!$B$11:$B$310)+COUNTA(条幅!$B$11:$B$310)+COUNTA(条幅4分の1!$B$11:$B$310),INDEX(条幅4分の1!$C$11:$C$310,232-COUNTA(半紙!$B$11:$B$310)-COUNTA(条幅!$B$11:$B$310)),"")))=0,"",IF(232&lt;=COUNTA(半紙!$B$11:$B$310),INDEX(半紙!$C$11:$C$310,232),IF(232&lt;=COUNTA(半紙!$B$11:$B$310)+COUNTA(条幅!$B$11:$B$310),INDEX(条幅!$C$11:$C$310,232-COUNTA(半紙!$B$11:$B$310)),IF(232&lt;=COUNTA(半紙!$B$11:$B$310)+COUNTA(条幅!$B$11:$B$310)+COUNTA(条幅4分の1!$B$11:$B$310),INDEX(条幅4分の1!$C$11:$C$310,232-COUNTA(半紙!$B$11:$B$310)-COUNTA(条幅!$B$11:$B$310)),""))))</f>
        <v/>
      </c>
      <c r="D237" s="38" t="str">
        <f>IF(IF(232&lt;=COUNTA(半紙!$B$11:$B$310),INDEX(半紙!$D$11:$D$310,232),IF(232&lt;=COUNTA(半紙!$B$11:$B$310)+COUNTA(条幅!$B$11:$B$310),INDEX(条幅!$D$11:$D$310,232-COUNTA(半紙!$B$11:$B$310)),IF(232&lt;=COUNTA(半紙!$B$11:$B$310)+COUNTA(条幅!$B$11:$B$310)+COUNTA(条幅4分の1!$B$11:$B$310),INDEX(条幅4分の1!$D$11:$D$310,232-COUNTA(半紙!$B$11:$B$310)-COUNTA(条幅!$B$11:$B$310)),"")))=0,"",IF(232&lt;=COUNTA(半紙!$B$11:$B$310),INDEX(半紙!$D$11:$D$310,232),IF(232&lt;=COUNTA(半紙!$B$11:$B$310)+COUNTA(条幅!$B$11:$B$310),INDEX(条幅!$D$11:$D$310,232-COUNTA(半紙!$B$11:$B$310)),IF(232&lt;=COUNTA(半紙!$B$11:$B$310)+COUNTA(条幅!$B$11:$B$310)+COUNTA(条幅4分の1!$B$11:$B$310),INDEX(条幅4分の1!$D$11:$D$310,232-COUNTA(半紙!$B$11:$B$310)-COUNTA(条幅!$B$11:$B$310)),""))))</f>
        <v/>
      </c>
      <c r="E237" s="38" t="str">
        <f>IF(IF(232&lt;=COUNTA(半紙!$B$11:$B$310),INDEX(半紙!$E$11:$E$310,232),IF(232&lt;=COUNTA(半紙!$B$11:$B$310)+COUNTA(条幅!$B$11:$B$310),INDEX(条幅!$E$11:$E$310,232-COUNTA(半紙!$B$11:$B$310)),IF(232&lt;=COUNTA(半紙!$B$11:$B$310)+COUNTA(条幅!$B$11:$B$310)+COUNTA(条幅4分の1!$B$11:$B$310),INDEX(条幅4分の1!$E$11:$E$310,232-COUNTA(半紙!$B$11:$B$310)-COUNTA(条幅!$B$11:$B$310)),"")))=0,"",IF(232&lt;=COUNTA(半紙!$B$11:$B$310),INDEX(半紙!$E$11:$E$310,232),IF(232&lt;=COUNTA(半紙!$B$11:$B$310)+COUNTA(条幅!$B$11:$B$310),INDEX(条幅!$E$11:$E$310,232-COUNTA(半紙!$B$11:$B$310)),IF(232&lt;=COUNTA(半紙!$B$11:$B$310)+COUNTA(条幅!$B$11:$B$310)+COUNTA(条幅4分の1!$B$11:$B$310),INDEX(条幅4分の1!$E$11:$E$310,232-COUNTA(半紙!$B$11:$B$310)-COUNTA(条幅!$B$11:$B$310)),""))))</f>
        <v/>
      </c>
      <c r="F237" s="38" t="str">
        <f>IF(IF(232&lt;=COUNTA(半紙!$B$11:$B$310),INDEX(半紙!$F$11:$F$310,232),IF(232&lt;=COUNTA(半紙!$B$11:$B$310)+COUNTA(条幅!$B$11:$B$310),INDEX(条幅!$F$11:$F$310,232-COUNTA(半紙!$B$11:$B$310)),IF(232&lt;=COUNTA(半紙!$B$11:$B$310)+COUNTA(条幅!$B$11:$B$310)+COUNTA(条幅4分の1!$B$11:$B$310),INDEX(条幅4分の1!$F$11:$F$310,232-COUNTA(半紙!$B$11:$B$310)-COUNTA(条幅!$B$11:$B$310)),"")))=0,"",IF(232&lt;=COUNTA(半紙!$B$11:$B$310),INDEX(半紙!$F$11:$F$310,232),IF(232&lt;=COUNTA(半紙!$B$11:$B$310)+COUNTA(条幅!$B$11:$B$310),INDEX(条幅!$F$11:$F$310,232-COUNTA(半紙!$B$11:$B$310)),IF(232&lt;=COUNTA(半紙!$B$11:$B$310)+COUNTA(条幅!$B$11:$B$310)+COUNTA(条幅4分の1!$B$11:$B$310),INDEX(条幅4分の1!$F$11:$F$310,232-COUNTA(半紙!$B$11:$B$310)-COUNTA(条幅!$B$11:$B$310)),""))))</f>
        <v/>
      </c>
      <c r="G237" s="38" t="str">
        <f>IF(IF(232&lt;=COUNTA(半紙!$B$11:$B$310),INDEX(半紙!$G$11:$G$310,232),IF(232&lt;=COUNTA(半紙!$B$11:$B$310)+COUNTA(条幅!$B$11:$B$310),INDEX(条幅!$G$11:$G$310,232-COUNTA(半紙!$B$11:$B$310)),IF(232&lt;=COUNTA(半紙!$B$11:$B$310)+COUNTA(条幅!$B$11:$B$310)+COUNTA(条幅4分の1!$B$11:$B$310),INDEX(条幅4分の1!$G$11:$G$310,232-COUNTA(半紙!$B$11:$B$310)-COUNTA(条幅!$B$11:$B$310)),"")))=0,"",IF(232&lt;=COUNTA(半紙!$B$11:$B$310),INDEX(半紙!$G$11:$G$310,232),IF(232&lt;=COUNTA(半紙!$B$11:$B$310)+COUNTA(条幅!$B$11:$B$310),INDEX(条幅!$G$11:$G$310,232-COUNTA(半紙!$B$11:$B$310)),IF(232&lt;=COUNTA(半紙!$B$11:$B$310)+COUNTA(条幅!$B$11:$B$310)+COUNTA(条幅4分の1!$B$11:$B$310),INDEX(条幅4分の1!$G$11:$G$310,232-COUNTA(半紙!$B$11:$B$310)-COUNTA(条幅!$B$11:$B$310)),""))))</f>
        <v/>
      </c>
      <c r="H237" s="38" t="str">
        <f>IF(IF(232&lt;=COUNTA(半紙!$B$11:$B$310),INDEX(半紙!$H$11:$H$310,232),IF(232&lt;=COUNTA(半紙!$B$11:$B$310)+COUNTA(条幅!$B$11:$B$310),INDEX(条幅!$H$11:$H$310,232-COUNTA(半紙!$B$11:$B$310)),IF(232&lt;=COUNTA(半紙!$B$11:$B$310)+COUNTA(条幅!$B$11:$B$310)+COUNTA(条幅4分の1!$B$11:$B$310),INDEX(条幅4分の1!$H$11:$H$310,232-COUNTA(半紙!$B$11:$B$310)-COUNTA(条幅!$B$11:$B$310)),"")))=0,"",IF(232&lt;=COUNTA(半紙!$B$11:$B$310),INDEX(半紙!$H$11:$H$310,232),IF(232&lt;=COUNTA(半紙!$B$11:$B$310)+COUNTA(条幅!$B$11:$B$310),INDEX(条幅!$H$11:$H$310,232-COUNTA(半紙!$B$11:$B$310)),IF(232&lt;=COUNTA(半紙!$B$11:$B$310)+COUNTA(条幅!$B$11:$B$310)+COUNTA(条幅4分の1!$B$11:$B$310),INDEX(条幅4分の1!$H$11:$H$310,232-COUNTA(半紙!$B$11:$B$310)-COUNTA(条幅!$B$11:$B$310)),""))))</f>
        <v/>
      </c>
      <c r="I237" s="38" t="str">
        <f>IF(IF(232&lt;=COUNTA(半紙!$B$11:$B$310),INDEX(半紙!$I$11:$I$310,232),IF(232&lt;=COUNTA(半紙!$B$11:$B$310)+COUNTA(条幅!$B$11:$B$310),INDEX(条幅!$I$11:$I$310,232-COUNTA(半紙!$B$11:$B$310)),IF(232&lt;=COUNTA(半紙!$B$11:$B$310)+COUNTA(条幅!$B$11:$B$310)+COUNTA(条幅4分の1!$B$11:$B$310),INDEX(条幅4分の1!$I$11:$I$310,232-COUNTA(半紙!$B$11:$B$310)-COUNTA(条幅!$B$11:$B$310)),"")))=0,"",IF(232&lt;=COUNTA(半紙!$B$11:$B$310),INDEX(半紙!$I$11:$I$310,232),IF(232&lt;=COUNTA(半紙!$B$11:$B$310)+COUNTA(条幅!$B$11:$B$310),INDEX(条幅!$I$11:$I$310,232-COUNTA(半紙!$B$11:$B$310)),IF(232&lt;=COUNTA(半紙!$B$11:$B$310)+COUNTA(条幅!$B$11:$B$310)+COUNTA(条幅4分の1!$B$11:$B$310),INDEX(条幅4分の1!$I$11:$I$310,232-COUNTA(半紙!$B$11:$B$310)-COUNTA(条幅!$B$11:$B$310)),""))))</f>
        <v/>
      </c>
      <c r="J237" s="38" t="str">
        <f>IF(IF(232&lt;=COUNTA(半紙!$B$11:$B$310),INDEX(半紙!$J$11:$J$310,232),IF(232&lt;=COUNTA(半紙!$B$11:$B$310)+COUNTA(条幅!$B$11:$B$310),INDEX(条幅!$J$11:$J$310,232-COUNTA(半紙!$B$11:$B$310)),IF(232&lt;=COUNTA(半紙!$B$11:$B$310)+COUNTA(条幅!$B$11:$B$310)+COUNTA(条幅4分の1!$B$11:$B$310),INDEX(条幅4分の1!$J$11:$J$310,232-COUNTA(半紙!$B$11:$B$310)-COUNTA(条幅!$B$11:$B$310)),"")))=0,"",IF(232&lt;=COUNTA(半紙!$B$11:$B$310),INDEX(半紙!$J$11:$J$310,232),IF(232&lt;=COUNTA(半紙!$B$11:$B$310)+COUNTA(条幅!$B$11:$B$310),INDEX(条幅!$J$11:$J$310,232-COUNTA(半紙!$B$11:$B$310)),IF(232&lt;=COUNTA(半紙!$B$11:$B$310)+COUNTA(条幅!$B$11:$B$310)+COUNTA(条幅4分の1!$B$11:$B$310),INDEX(条幅4分の1!$J$11:$J$310,232-COUNTA(半紙!$B$11:$B$310)-COUNTA(条幅!$B$11:$B$310)),""))))</f>
        <v/>
      </c>
      <c r="K237" s="38" t="str">
        <f>IF(IF(232&lt;=COUNTA(半紙!$B$11:$B$310),INDEX(半紙!$K$11:$K$310,232),IF(232&lt;=COUNTA(半紙!$B$11:$B$310)+COUNTA(条幅!$B$11:$B$310),INDEX(条幅!$K$11:$K$310,232-COUNTA(半紙!$B$11:$B$310)),IF(232&lt;=COUNTA(半紙!$B$11:$B$310)+COUNTA(条幅!$B$11:$B$310)+COUNTA(条幅4分の1!$B$11:$B$310),INDEX(条幅4分の1!$K$11:$K$310,232-COUNTA(半紙!$B$11:$B$310)-COUNTA(条幅!$B$11:$B$310)),"")))=0,"",IF(232&lt;=COUNTA(半紙!$B$11:$B$310),INDEX(半紙!$K$11:$K$310,232),IF(232&lt;=COUNTA(半紙!$B$11:$B$310)+COUNTA(条幅!$B$11:$B$310),INDEX(条幅!$K$11:$K$310,232-COUNTA(半紙!$B$11:$B$310)),IF(232&lt;=COUNTA(半紙!$B$11:$B$310)+COUNTA(条幅!$B$11:$B$310)+COUNTA(条幅4分の1!$B$11:$B$310),INDEX(条幅4分の1!$K$11:$K$310,232-COUNTA(半紙!$B$11:$B$310)-COUNTA(条幅!$B$11:$B$310)),""))))</f>
        <v/>
      </c>
      <c r="L237" s="48" t="str">
        <f>IF($B237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232))</f>
        <v/>
      </c>
    </row>
    <row r="238" spans="1:12" ht="15" customHeight="1">
      <c r="A238" s="37" t="str">
        <f>IF(233&lt;=COUNTA(半紙!$B$11:$B$310),"半紙",IF(233&lt;=COUNTA(半紙!$B$11:$B$310)+COUNTA(条幅!$B$11:$B$310),"条幅(半切)",IF(233&lt;=COUNTA(半紙!$B$11:$B$310)+COUNTA(条幅!$B$11:$B$310)+COUNTA(条幅4分の1!$B$11:$B$310),"条幅(1/4)","")))</f>
        <v/>
      </c>
      <c r="B238" s="38" t="str">
        <f>IF(IF(233&lt;=COUNTA(半紙!$B$11:$B$310),INDEX(半紙!$B$11:$B$310,233),IF(233&lt;=COUNTA(半紙!$B$11:$B$310)+COUNTA(条幅!$B$11:$B$310),INDEX(条幅!$B$11:$B$310,233-COUNTA(半紙!$B$11:$B$310)),IF(233&lt;=COUNTA(半紙!$B$11:$B$310)+COUNTA(条幅!$B$11:$B$310)+COUNTA(条幅4分の1!$B$11:$B$310),INDEX(条幅4分の1!$B$11:$B$310,233-COUNTA(半紙!$B$11:$B$310)-COUNTA(条幅!$B$11:$B$310)),"")))=0,"",IF(233&lt;=COUNTA(半紙!$B$11:$B$310),INDEX(半紙!$B$11:$B$310,233),IF(233&lt;=COUNTA(半紙!$B$11:$B$310)+COUNTA(条幅!$B$11:$B$310),INDEX(条幅!$B$11:$B$310,233-COUNTA(半紙!$B$11:$B$310)),IF(233&lt;=COUNTA(半紙!$B$11:$B$310)+COUNTA(条幅!$B$11:$B$310)+COUNTA(条幅4分の1!$B$11:$B$310),INDEX(条幅4分の1!$B$11:$B$310,233-COUNTA(半紙!$B$11:$B$310)-COUNTA(条幅!$B$11:$B$310)),""))))</f>
        <v/>
      </c>
      <c r="C238" s="38" t="str">
        <f>IF(IF(233&lt;=COUNTA(半紙!$B$11:$B$310),INDEX(半紙!$C$11:$C$310,233),IF(233&lt;=COUNTA(半紙!$B$11:$B$310)+COUNTA(条幅!$B$11:$B$310),INDEX(条幅!$C$11:$C$310,233-COUNTA(半紙!$B$11:$B$310)),IF(233&lt;=COUNTA(半紙!$B$11:$B$310)+COUNTA(条幅!$B$11:$B$310)+COUNTA(条幅4分の1!$B$11:$B$310),INDEX(条幅4分の1!$C$11:$C$310,233-COUNTA(半紙!$B$11:$B$310)-COUNTA(条幅!$B$11:$B$310)),"")))=0,"",IF(233&lt;=COUNTA(半紙!$B$11:$B$310),INDEX(半紙!$C$11:$C$310,233),IF(233&lt;=COUNTA(半紙!$B$11:$B$310)+COUNTA(条幅!$B$11:$B$310),INDEX(条幅!$C$11:$C$310,233-COUNTA(半紙!$B$11:$B$310)),IF(233&lt;=COUNTA(半紙!$B$11:$B$310)+COUNTA(条幅!$B$11:$B$310)+COUNTA(条幅4分の1!$B$11:$B$310),INDEX(条幅4分の1!$C$11:$C$310,233-COUNTA(半紙!$B$11:$B$310)-COUNTA(条幅!$B$11:$B$310)),""))))</f>
        <v/>
      </c>
      <c r="D238" s="38" t="str">
        <f>IF(IF(233&lt;=COUNTA(半紙!$B$11:$B$310),INDEX(半紙!$D$11:$D$310,233),IF(233&lt;=COUNTA(半紙!$B$11:$B$310)+COUNTA(条幅!$B$11:$B$310),INDEX(条幅!$D$11:$D$310,233-COUNTA(半紙!$B$11:$B$310)),IF(233&lt;=COUNTA(半紙!$B$11:$B$310)+COUNTA(条幅!$B$11:$B$310)+COUNTA(条幅4分の1!$B$11:$B$310),INDEX(条幅4分の1!$D$11:$D$310,233-COUNTA(半紙!$B$11:$B$310)-COUNTA(条幅!$B$11:$B$310)),"")))=0,"",IF(233&lt;=COUNTA(半紙!$B$11:$B$310),INDEX(半紙!$D$11:$D$310,233),IF(233&lt;=COUNTA(半紙!$B$11:$B$310)+COUNTA(条幅!$B$11:$B$310),INDEX(条幅!$D$11:$D$310,233-COUNTA(半紙!$B$11:$B$310)),IF(233&lt;=COUNTA(半紙!$B$11:$B$310)+COUNTA(条幅!$B$11:$B$310)+COUNTA(条幅4分の1!$B$11:$B$310),INDEX(条幅4分の1!$D$11:$D$310,233-COUNTA(半紙!$B$11:$B$310)-COUNTA(条幅!$B$11:$B$310)),""))))</f>
        <v/>
      </c>
      <c r="E238" s="38" t="str">
        <f>IF(IF(233&lt;=COUNTA(半紙!$B$11:$B$310),INDEX(半紙!$E$11:$E$310,233),IF(233&lt;=COUNTA(半紙!$B$11:$B$310)+COUNTA(条幅!$B$11:$B$310),INDEX(条幅!$E$11:$E$310,233-COUNTA(半紙!$B$11:$B$310)),IF(233&lt;=COUNTA(半紙!$B$11:$B$310)+COUNTA(条幅!$B$11:$B$310)+COUNTA(条幅4分の1!$B$11:$B$310),INDEX(条幅4分の1!$E$11:$E$310,233-COUNTA(半紙!$B$11:$B$310)-COUNTA(条幅!$B$11:$B$310)),"")))=0,"",IF(233&lt;=COUNTA(半紙!$B$11:$B$310),INDEX(半紙!$E$11:$E$310,233),IF(233&lt;=COUNTA(半紙!$B$11:$B$310)+COUNTA(条幅!$B$11:$B$310),INDEX(条幅!$E$11:$E$310,233-COUNTA(半紙!$B$11:$B$310)),IF(233&lt;=COUNTA(半紙!$B$11:$B$310)+COUNTA(条幅!$B$11:$B$310)+COUNTA(条幅4分の1!$B$11:$B$310),INDEX(条幅4分の1!$E$11:$E$310,233-COUNTA(半紙!$B$11:$B$310)-COUNTA(条幅!$B$11:$B$310)),""))))</f>
        <v/>
      </c>
      <c r="F238" s="38" t="str">
        <f>IF(IF(233&lt;=COUNTA(半紙!$B$11:$B$310),INDEX(半紙!$F$11:$F$310,233),IF(233&lt;=COUNTA(半紙!$B$11:$B$310)+COUNTA(条幅!$B$11:$B$310),INDEX(条幅!$F$11:$F$310,233-COUNTA(半紙!$B$11:$B$310)),IF(233&lt;=COUNTA(半紙!$B$11:$B$310)+COUNTA(条幅!$B$11:$B$310)+COUNTA(条幅4分の1!$B$11:$B$310),INDEX(条幅4分の1!$F$11:$F$310,233-COUNTA(半紙!$B$11:$B$310)-COUNTA(条幅!$B$11:$B$310)),"")))=0,"",IF(233&lt;=COUNTA(半紙!$B$11:$B$310),INDEX(半紙!$F$11:$F$310,233),IF(233&lt;=COUNTA(半紙!$B$11:$B$310)+COUNTA(条幅!$B$11:$B$310),INDEX(条幅!$F$11:$F$310,233-COUNTA(半紙!$B$11:$B$310)),IF(233&lt;=COUNTA(半紙!$B$11:$B$310)+COUNTA(条幅!$B$11:$B$310)+COUNTA(条幅4分の1!$B$11:$B$310),INDEX(条幅4分の1!$F$11:$F$310,233-COUNTA(半紙!$B$11:$B$310)-COUNTA(条幅!$B$11:$B$310)),""))))</f>
        <v/>
      </c>
      <c r="G238" s="38" t="str">
        <f>IF(IF(233&lt;=COUNTA(半紙!$B$11:$B$310),INDEX(半紙!$G$11:$G$310,233),IF(233&lt;=COUNTA(半紙!$B$11:$B$310)+COUNTA(条幅!$B$11:$B$310),INDEX(条幅!$G$11:$G$310,233-COUNTA(半紙!$B$11:$B$310)),IF(233&lt;=COUNTA(半紙!$B$11:$B$310)+COUNTA(条幅!$B$11:$B$310)+COUNTA(条幅4分の1!$B$11:$B$310),INDEX(条幅4分の1!$G$11:$G$310,233-COUNTA(半紙!$B$11:$B$310)-COUNTA(条幅!$B$11:$B$310)),"")))=0,"",IF(233&lt;=COUNTA(半紙!$B$11:$B$310),INDEX(半紙!$G$11:$G$310,233),IF(233&lt;=COUNTA(半紙!$B$11:$B$310)+COUNTA(条幅!$B$11:$B$310),INDEX(条幅!$G$11:$G$310,233-COUNTA(半紙!$B$11:$B$310)),IF(233&lt;=COUNTA(半紙!$B$11:$B$310)+COUNTA(条幅!$B$11:$B$310)+COUNTA(条幅4分の1!$B$11:$B$310),INDEX(条幅4分の1!$G$11:$G$310,233-COUNTA(半紙!$B$11:$B$310)-COUNTA(条幅!$B$11:$B$310)),""))))</f>
        <v/>
      </c>
      <c r="H238" s="38" t="str">
        <f>IF(IF(233&lt;=COUNTA(半紙!$B$11:$B$310),INDEX(半紙!$H$11:$H$310,233),IF(233&lt;=COUNTA(半紙!$B$11:$B$310)+COUNTA(条幅!$B$11:$B$310),INDEX(条幅!$H$11:$H$310,233-COUNTA(半紙!$B$11:$B$310)),IF(233&lt;=COUNTA(半紙!$B$11:$B$310)+COUNTA(条幅!$B$11:$B$310)+COUNTA(条幅4分の1!$B$11:$B$310),INDEX(条幅4分の1!$H$11:$H$310,233-COUNTA(半紙!$B$11:$B$310)-COUNTA(条幅!$B$11:$B$310)),"")))=0,"",IF(233&lt;=COUNTA(半紙!$B$11:$B$310),INDEX(半紙!$H$11:$H$310,233),IF(233&lt;=COUNTA(半紙!$B$11:$B$310)+COUNTA(条幅!$B$11:$B$310),INDEX(条幅!$H$11:$H$310,233-COUNTA(半紙!$B$11:$B$310)),IF(233&lt;=COUNTA(半紙!$B$11:$B$310)+COUNTA(条幅!$B$11:$B$310)+COUNTA(条幅4分の1!$B$11:$B$310),INDEX(条幅4分の1!$H$11:$H$310,233-COUNTA(半紙!$B$11:$B$310)-COUNTA(条幅!$B$11:$B$310)),""))))</f>
        <v/>
      </c>
      <c r="I238" s="38" t="str">
        <f>IF(IF(233&lt;=COUNTA(半紙!$B$11:$B$310),INDEX(半紙!$I$11:$I$310,233),IF(233&lt;=COUNTA(半紙!$B$11:$B$310)+COUNTA(条幅!$B$11:$B$310),INDEX(条幅!$I$11:$I$310,233-COUNTA(半紙!$B$11:$B$310)),IF(233&lt;=COUNTA(半紙!$B$11:$B$310)+COUNTA(条幅!$B$11:$B$310)+COUNTA(条幅4分の1!$B$11:$B$310),INDEX(条幅4分の1!$I$11:$I$310,233-COUNTA(半紙!$B$11:$B$310)-COUNTA(条幅!$B$11:$B$310)),"")))=0,"",IF(233&lt;=COUNTA(半紙!$B$11:$B$310),INDEX(半紙!$I$11:$I$310,233),IF(233&lt;=COUNTA(半紙!$B$11:$B$310)+COUNTA(条幅!$B$11:$B$310),INDEX(条幅!$I$11:$I$310,233-COUNTA(半紙!$B$11:$B$310)),IF(233&lt;=COUNTA(半紙!$B$11:$B$310)+COUNTA(条幅!$B$11:$B$310)+COUNTA(条幅4分の1!$B$11:$B$310),INDEX(条幅4分の1!$I$11:$I$310,233-COUNTA(半紙!$B$11:$B$310)-COUNTA(条幅!$B$11:$B$310)),""))))</f>
        <v/>
      </c>
      <c r="J238" s="38" t="str">
        <f>IF(IF(233&lt;=COUNTA(半紙!$B$11:$B$310),INDEX(半紙!$J$11:$J$310,233),IF(233&lt;=COUNTA(半紙!$B$11:$B$310)+COUNTA(条幅!$B$11:$B$310),INDEX(条幅!$J$11:$J$310,233-COUNTA(半紙!$B$11:$B$310)),IF(233&lt;=COUNTA(半紙!$B$11:$B$310)+COUNTA(条幅!$B$11:$B$310)+COUNTA(条幅4分の1!$B$11:$B$310),INDEX(条幅4分の1!$J$11:$J$310,233-COUNTA(半紙!$B$11:$B$310)-COUNTA(条幅!$B$11:$B$310)),"")))=0,"",IF(233&lt;=COUNTA(半紙!$B$11:$B$310),INDEX(半紙!$J$11:$J$310,233),IF(233&lt;=COUNTA(半紙!$B$11:$B$310)+COUNTA(条幅!$B$11:$B$310),INDEX(条幅!$J$11:$J$310,233-COUNTA(半紙!$B$11:$B$310)),IF(233&lt;=COUNTA(半紙!$B$11:$B$310)+COUNTA(条幅!$B$11:$B$310)+COUNTA(条幅4分の1!$B$11:$B$310),INDEX(条幅4分の1!$J$11:$J$310,233-COUNTA(半紙!$B$11:$B$310)-COUNTA(条幅!$B$11:$B$310)),""))))</f>
        <v/>
      </c>
      <c r="K238" s="38" t="str">
        <f>IF(IF(233&lt;=COUNTA(半紙!$B$11:$B$310),INDEX(半紙!$K$11:$K$310,233),IF(233&lt;=COUNTA(半紙!$B$11:$B$310)+COUNTA(条幅!$B$11:$B$310),INDEX(条幅!$K$11:$K$310,233-COUNTA(半紙!$B$11:$B$310)),IF(233&lt;=COUNTA(半紙!$B$11:$B$310)+COUNTA(条幅!$B$11:$B$310)+COUNTA(条幅4分の1!$B$11:$B$310),INDEX(条幅4分の1!$K$11:$K$310,233-COUNTA(半紙!$B$11:$B$310)-COUNTA(条幅!$B$11:$B$310)),"")))=0,"",IF(233&lt;=COUNTA(半紙!$B$11:$B$310),INDEX(半紙!$K$11:$K$310,233),IF(233&lt;=COUNTA(半紙!$B$11:$B$310)+COUNTA(条幅!$B$11:$B$310),INDEX(条幅!$K$11:$K$310,233-COUNTA(半紙!$B$11:$B$310)),IF(233&lt;=COUNTA(半紙!$B$11:$B$310)+COUNTA(条幅!$B$11:$B$310)+COUNTA(条幅4分の1!$B$11:$B$310),INDEX(条幅4分の1!$K$11:$K$310,233-COUNTA(半紙!$B$11:$B$310)-COUNTA(条幅!$B$11:$B$310)),""))))</f>
        <v/>
      </c>
      <c r="L238" s="48" t="str">
        <f>IF($B238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233))</f>
        <v/>
      </c>
    </row>
    <row r="239" spans="1:12" ht="15" customHeight="1">
      <c r="A239" s="37" t="str">
        <f>IF(234&lt;=COUNTA(半紙!$B$11:$B$310),"半紙",IF(234&lt;=COUNTA(半紙!$B$11:$B$310)+COUNTA(条幅!$B$11:$B$310),"条幅(半切)",IF(234&lt;=COUNTA(半紙!$B$11:$B$310)+COUNTA(条幅!$B$11:$B$310)+COUNTA(条幅4分の1!$B$11:$B$310),"条幅(1/4)","")))</f>
        <v/>
      </c>
      <c r="B239" s="38" t="str">
        <f>IF(IF(234&lt;=COUNTA(半紙!$B$11:$B$310),INDEX(半紙!$B$11:$B$310,234),IF(234&lt;=COUNTA(半紙!$B$11:$B$310)+COUNTA(条幅!$B$11:$B$310),INDEX(条幅!$B$11:$B$310,234-COUNTA(半紙!$B$11:$B$310)),IF(234&lt;=COUNTA(半紙!$B$11:$B$310)+COUNTA(条幅!$B$11:$B$310)+COUNTA(条幅4分の1!$B$11:$B$310),INDEX(条幅4分の1!$B$11:$B$310,234-COUNTA(半紙!$B$11:$B$310)-COUNTA(条幅!$B$11:$B$310)),"")))=0,"",IF(234&lt;=COUNTA(半紙!$B$11:$B$310),INDEX(半紙!$B$11:$B$310,234),IF(234&lt;=COUNTA(半紙!$B$11:$B$310)+COUNTA(条幅!$B$11:$B$310),INDEX(条幅!$B$11:$B$310,234-COUNTA(半紙!$B$11:$B$310)),IF(234&lt;=COUNTA(半紙!$B$11:$B$310)+COUNTA(条幅!$B$11:$B$310)+COUNTA(条幅4分の1!$B$11:$B$310),INDEX(条幅4分の1!$B$11:$B$310,234-COUNTA(半紙!$B$11:$B$310)-COUNTA(条幅!$B$11:$B$310)),""))))</f>
        <v/>
      </c>
      <c r="C239" s="38" t="str">
        <f>IF(IF(234&lt;=COUNTA(半紙!$B$11:$B$310),INDEX(半紙!$C$11:$C$310,234),IF(234&lt;=COUNTA(半紙!$B$11:$B$310)+COUNTA(条幅!$B$11:$B$310),INDEX(条幅!$C$11:$C$310,234-COUNTA(半紙!$B$11:$B$310)),IF(234&lt;=COUNTA(半紙!$B$11:$B$310)+COUNTA(条幅!$B$11:$B$310)+COUNTA(条幅4分の1!$B$11:$B$310),INDEX(条幅4分の1!$C$11:$C$310,234-COUNTA(半紙!$B$11:$B$310)-COUNTA(条幅!$B$11:$B$310)),"")))=0,"",IF(234&lt;=COUNTA(半紙!$B$11:$B$310),INDEX(半紙!$C$11:$C$310,234),IF(234&lt;=COUNTA(半紙!$B$11:$B$310)+COUNTA(条幅!$B$11:$B$310),INDEX(条幅!$C$11:$C$310,234-COUNTA(半紙!$B$11:$B$310)),IF(234&lt;=COUNTA(半紙!$B$11:$B$310)+COUNTA(条幅!$B$11:$B$310)+COUNTA(条幅4分の1!$B$11:$B$310),INDEX(条幅4分の1!$C$11:$C$310,234-COUNTA(半紙!$B$11:$B$310)-COUNTA(条幅!$B$11:$B$310)),""))))</f>
        <v/>
      </c>
      <c r="D239" s="38" t="str">
        <f>IF(IF(234&lt;=COUNTA(半紙!$B$11:$B$310),INDEX(半紙!$D$11:$D$310,234),IF(234&lt;=COUNTA(半紙!$B$11:$B$310)+COUNTA(条幅!$B$11:$B$310),INDEX(条幅!$D$11:$D$310,234-COUNTA(半紙!$B$11:$B$310)),IF(234&lt;=COUNTA(半紙!$B$11:$B$310)+COUNTA(条幅!$B$11:$B$310)+COUNTA(条幅4分の1!$B$11:$B$310),INDEX(条幅4分の1!$D$11:$D$310,234-COUNTA(半紙!$B$11:$B$310)-COUNTA(条幅!$B$11:$B$310)),"")))=0,"",IF(234&lt;=COUNTA(半紙!$B$11:$B$310),INDEX(半紙!$D$11:$D$310,234),IF(234&lt;=COUNTA(半紙!$B$11:$B$310)+COUNTA(条幅!$B$11:$B$310),INDEX(条幅!$D$11:$D$310,234-COUNTA(半紙!$B$11:$B$310)),IF(234&lt;=COUNTA(半紙!$B$11:$B$310)+COUNTA(条幅!$B$11:$B$310)+COUNTA(条幅4分の1!$B$11:$B$310),INDEX(条幅4分の1!$D$11:$D$310,234-COUNTA(半紙!$B$11:$B$310)-COUNTA(条幅!$B$11:$B$310)),""))))</f>
        <v/>
      </c>
      <c r="E239" s="38" t="str">
        <f>IF(IF(234&lt;=COUNTA(半紙!$B$11:$B$310),INDEX(半紙!$E$11:$E$310,234),IF(234&lt;=COUNTA(半紙!$B$11:$B$310)+COUNTA(条幅!$B$11:$B$310),INDEX(条幅!$E$11:$E$310,234-COUNTA(半紙!$B$11:$B$310)),IF(234&lt;=COUNTA(半紙!$B$11:$B$310)+COUNTA(条幅!$B$11:$B$310)+COUNTA(条幅4分の1!$B$11:$B$310),INDEX(条幅4分の1!$E$11:$E$310,234-COUNTA(半紙!$B$11:$B$310)-COUNTA(条幅!$B$11:$B$310)),"")))=0,"",IF(234&lt;=COUNTA(半紙!$B$11:$B$310),INDEX(半紙!$E$11:$E$310,234),IF(234&lt;=COUNTA(半紙!$B$11:$B$310)+COUNTA(条幅!$B$11:$B$310),INDEX(条幅!$E$11:$E$310,234-COUNTA(半紙!$B$11:$B$310)),IF(234&lt;=COUNTA(半紙!$B$11:$B$310)+COUNTA(条幅!$B$11:$B$310)+COUNTA(条幅4分の1!$B$11:$B$310),INDEX(条幅4分の1!$E$11:$E$310,234-COUNTA(半紙!$B$11:$B$310)-COUNTA(条幅!$B$11:$B$310)),""))))</f>
        <v/>
      </c>
      <c r="F239" s="38" t="str">
        <f>IF(IF(234&lt;=COUNTA(半紙!$B$11:$B$310),INDEX(半紙!$F$11:$F$310,234),IF(234&lt;=COUNTA(半紙!$B$11:$B$310)+COUNTA(条幅!$B$11:$B$310),INDEX(条幅!$F$11:$F$310,234-COUNTA(半紙!$B$11:$B$310)),IF(234&lt;=COUNTA(半紙!$B$11:$B$310)+COUNTA(条幅!$B$11:$B$310)+COUNTA(条幅4分の1!$B$11:$B$310),INDEX(条幅4分の1!$F$11:$F$310,234-COUNTA(半紙!$B$11:$B$310)-COUNTA(条幅!$B$11:$B$310)),"")))=0,"",IF(234&lt;=COUNTA(半紙!$B$11:$B$310),INDEX(半紙!$F$11:$F$310,234),IF(234&lt;=COUNTA(半紙!$B$11:$B$310)+COUNTA(条幅!$B$11:$B$310),INDEX(条幅!$F$11:$F$310,234-COUNTA(半紙!$B$11:$B$310)),IF(234&lt;=COUNTA(半紙!$B$11:$B$310)+COUNTA(条幅!$B$11:$B$310)+COUNTA(条幅4分の1!$B$11:$B$310),INDEX(条幅4分の1!$F$11:$F$310,234-COUNTA(半紙!$B$11:$B$310)-COUNTA(条幅!$B$11:$B$310)),""))))</f>
        <v/>
      </c>
      <c r="G239" s="38" t="str">
        <f>IF(IF(234&lt;=COUNTA(半紙!$B$11:$B$310),INDEX(半紙!$G$11:$G$310,234),IF(234&lt;=COUNTA(半紙!$B$11:$B$310)+COUNTA(条幅!$B$11:$B$310),INDEX(条幅!$G$11:$G$310,234-COUNTA(半紙!$B$11:$B$310)),IF(234&lt;=COUNTA(半紙!$B$11:$B$310)+COUNTA(条幅!$B$11:$B$310)+COUNTA(条幅4分の1!$B$11:$B$310),INDEX(条幅4分の1!$G$11:$G$310,234-COUNTA(半紙!$B$11:$B$310)-COUNTA(条幅!$B$11:$B$310)),"")))=0,"",IF(234&lt;=COUNTA(半紙!$B$11:$B$310),INDEX(半紙!$G$11:$G$310,234),IF(234&lt;=COUNTA(半紙!$B$11:$B$310)+COUNTA(条幅!$B$11:$B$310),INDEX(条幅!$G$11:$G$310,234-COUNTA(半紙!$B$11:$B$310)),IF(234&lt;=COUNTA(半紙!$B$11:$B$310)+COUNTA(条幅!$B$11:$B$310)+COUNTA(条幅4分の1!$B$11:$B$310),INDEX(条幅4分の1!$G$11:$G$310,234-COUNTA(半紙!$B$11:$B$310)-COUNTA(条幅!$B$11:$B$310)),""))))</f>
        <v/>
      </c>
      <c r="H239" s="38" t="str">
        <f>IF(IF(234&lt;=COUNTA(半紙!$B$11:$B$310),INDEX(半紙!$H$11:$H$310,234),IF(234&lt;=COUNTA(半紙!$B$11:$B$310)+COUNTA(条幅!$B$11:$B$310),INDEX(条幅!$H$11:$H$310,234-COUNTA(半紙!$B$11:$B$310)),IF(234&lt;=COUNTA(半紙!$B$11:$B$310)+COUNTA(条幅!$B$11:$B$310)+COUNTA(条幅4分の1!$B$11:$B$310),INDEX(条幅4分の1!$H$11:$H$310,234-COUNTA(半紙!$B$11:$B$310)-COUNTA(条幅!$B$11:$B$310)),"")))=0,"",IF(234&lt;=COUNTA(半紙!$B$11:$B$310),INDEX(半紙!$H$11:$H$310,234),IF(234&lt;=COUNTA(半紙!$B$11:$B$310)+COUNTA(条幅!$B$11:$B$310),INDEX(条幅!$H$11:$H$310,234-COUNTA(半紙!$B$11:$B$310)),IF(234&lt;=COUNTA(半紙!$B$11:$B$310)+COUNTA(条幅!$B$11:$B$310)+COUNTA(条幅4分の1!$B$11:$B$310),INDEX(条幅4分の1!$H$11:$H$310,234-COUNTA(半紙!$B$11:$B$310)-COUNTA(条幅!$B$11:$B$310)),""))))</f>
        <v/>
      </c>
      <c r="I239" s="38" t="str">
        <f>IF(IF(234&lt;=COUNTA(半紙!$B$11:$B$310),INDEX(半紙!$I$11:$I$310,234),IF(234&lt;=COUNTA(半紙!$B$11:$B$310)+COUNTA(条幅!$B$11:$B$310),INDEX(条幅!$I$11:$I$310,234-COUNTA(半紙!$B$11:$B$310)),IF(234&lt;=COUNTA(半紙!$B$11:$B$310)+COUNTA(条幅!$B$11:$B$310)+COUNTA(条幅4分の1!$B$11:$B$310),INDEX(条幅4分の1!$I$11:$I$310,234-COUNTA(半紙!$B$11:$B$310)-COUNTA(条幅!$B$11:$B$310)),"")))=0,"",IF(234&lt;=COUNTA(半紙!$B$11:$B$310),INDEX(半紙!$I$11:$I$310,234),IF(234&lt;=COUNTA(半紙!$B$11:$B$310)+COUNTA(条幅!$B$11:$B$310),INDEX(条幅!$I$11:$I$310,234-COUNTA(半紙!$B$11:$B$310)),IF(234&lt;=COUNTA(半紙!$B$11:$B$310)+COUNTA(条幅!$B$11:$B$310)+COUNTA(条幅4分の1!$B$11:$B$310),INDEX(条幅4分の1!$I$11:$I$310,234-COUNTA(半紙!$B$11:$B$310)-COUNTA(条幅!$B$11:$B$310)),""))))</f>
        <v/>
      </c>
      <c r="J239" s="38" t="str">
        <f>IF(IF(234&lt;=COUNTA(半紙!$B$11:$B$310),INDEX(半紙!$J$11:$J$310,234),IF(234&lt;=COUNTA(半紙!$B$11:$B$310)+COUNTA(条幅!$B$11:$B$310),INDEX(条幅!$J$11:$J$310,234-COUNTA(半紙!$B$11:$B$310)),IF(234&lt;=COUNTA(半紙!$B$11:$B$310)+COUNTA(条幅!$B$11:$B$310)+COUNTA(条幅4分の1!$B$11:$B$310),INDEX(条幅4分の1!$J$11:$J$310,234-COUNTA(半紙!$B$11:$B$310)-COUNTA(条幅!$B$11:$B$310)),"")))=0,"",IF(234&lt;=COUNTA(半紙!$B$11:$B$310),INDEX(半紙!$J$11:$J$310,234),IF(234&lt;=COUNTA(半紙!$B$11:$B$310)+COUNTA(条幅!$B$11:$B$310),INDEX(条幅!$J$11:$J$310,234-COUNTA(半紙!$B$11:$B$310)),IF(234&lt;=COUNTA(半紙!$B$11:$B$310)+COUNTA(条幅!$B$11:$B$310)+COUNTA(条幅4分の1!$B$11:$B$310),INDEX(条幅4分の1!$J$11:$J$310,234-COUNTA(半紙!$B$11:$B$310)-COUNTA(条幅!$B$11:$B$310)),""))))</f>
        <v/>
      </c>
      <c r="K239" s="38" t="str">
        <f>IF(IF(234&lt;=COUNTA(半紙!$B$11:$B$310),INDEX(半紙!$K$11:$K$310,234),IF(234&lt;=COUNTA(半紙!$B$11:$B$310)+COUNTA(条幅!$B$11:$B$310),INDEX(条幅!$K$11:$K$310,234-COUNTA(半紙!$B$11:$B$310)),IF(234&lt;=COUNTA(半紙!$B$11:$B$310)+COUNTA(条幅!$B$11:$B$310)+COUNTA(条幅4分の1!$B$11:$B$310),INDEX(条幅4分の1!$K$11:$K$310,234-COUNTA(半紙!$B$11:$B$310)-COUNTA(条幅!$B$11:$B$310)),"")))=0,"",IF(234&lt;=COUNTA(半紙!$B$11:$B$310),INDEX(半紙!$K$11:$K$310,234),IF(234&lt;=COUNTA(半紙!$B$11:$B$310)+COUNTA(条幅!$B$11:$B$310),INDEX(条幅!$K$11:$K$310,234-COUNTA(半紙!$B$11:$B$310)),IF(234&lt;=COUNTA(半紙!$B$11:$B$310)+COUNTA(条幅!$B$11:$B$310)+COUNTA(条幅4分の1!$B$11:$B$310),INDEX(条幅4分の1!$K$11:$K$310,234-COUNTA(半紙!$B$11:$B$310)-COUNTA(条幅!$B$11:$B$310)),""))))</f>
        <v/>
      </c>
      <c r="L239" s="48" t="str">
        <f>IF($B239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234))</f>
        <v/>
      </c>
    </row>
    <row r="240" spans="1:12" ht="15" customHeight="1">
      <c r="A240" s="37" t="str">
        <f>IF(235&lt;=COUNTA(半紙!$B$11:$B$310),"半紙",IF(235&lt;=COUNTA(半紙!$B$11:$B$310)+COUNTA(条幅!$B$11:$B$310),"条幅(半切)",IF(235&lt;=COUNTA(半紙!$B$11:$B$310)+COUNTA(条幅!$B$11:$B$310)+COUNTA(条幅4分の1!$B$11:$B$310),"条幅(1/4)","")))</f>
        <v/>
      </c>
      <c r="B240" s="38" t="str">
        <f>IF(IF(235&lt;=COUNTA(半紙!$B$11:$B$310),INDEX(半紙!$B$11:$B$310,235),IF(235&lt;=COUNTA(半紙!$B$11:$B$310)+COUNTA(条幅!$B$11:$B$310),INDEX(条幅!$B$11:$B$310,235-COUNTA(半紙!$B$11:$B$310)),IF(235&lt;=COUNTA(半紙!$B$11:$B$310)+COUNTA(条幅!$B$11:$B$310)+COUNTA(条幅4分の1!$B$11:$B$310),INDEX(条幅4分の1!$B$11:$B$310,235-COUNTA(半紙!$B$11:$B$310)-COUNTA(条幅!$B$11:$B$310)),"")))=0,"",IF(235&lt;=COUNTA(半紙!$B$11:$B$310),INDEX(半紙!$B$11:$B$310,235),IF(235&lt;=COUNTA(半紙!$B$11:$B$310)+COUNTA(条幅!$B$11:$B$310),INDEX(条幅!$B$11:$B$310,235-COUNTA(半紙!$B$11:$B$310)),IF(235&lt;=COUNTA(半紙!$B$11:$B$310)+COUNTA(条幅!$B$11:$B$310)+COUNTA(条幅4分の1!$B$11:$B$310),INDEX(条幅4分の1!$B$11:$B$310,235-COUNTA(半紙!$B$11:$B$310)-COUNTA(条幅!$B$11:$B$310)),""))))</f>
        <v/>
      </c>
      <c r="C240" s="38" t="str">
        <f>IF(IF(235&lt;=COUNTA(半紙!$B$11:$B$310),INDEX(半紙!$C$11:$C$310,235),IF(235&lt;=COUNTA(半紙!$B$11:$B$310)+COUNTA(条幅!$B$11:$B$310),INDEX(条幅!$C$11:$C$310,235-COUNTA(半紙!$B$11:$B$310)),IF(235&lt;=COUNTA(半紙!$B$11:$B$310)+COUNTA(条幅!$B$11:$B$310)+COUNTA(条幅4分の1!$B$11:$B$310),INDEX(条幅4分の1!$C$11:$C$310,235-COUNTA(半紙!$B$11:$B$310)-COUNTA(条幅!$B$11:$B$310)),"")))=0,"",IF(235&lt;=COUNTA(半紙!$B$11:$B$310),INDEX(半紙!$C$11:$C$310,235),IF(235&lt;=COUNTA(半紙!$B$11:$B$310)+COUNTA(条幅!$B$11:$B$310),INDEX(条幅!$C$11:$C$310,235-COUNTA(半紙!$B$11:$B$310)),IF(235&lt;=COUNTA(半紙!$B$11:$B$310)+COUNTA(条幅!$B$11:$B$310)+COUNTA(条幅4分の1!$B$11:$B$310),INDEX(条幅4分の1!$C$11:$C$310,235-COUNTA(半紙!$B$11:$B$310)-COUNTA(条幅!$B$11:$B$310)),""))))</f>
        <v/>
      </c>
      <c r="D240" s="38" t="str">
        <f>IF(IF(235&lt;=COUNTA(半紙!$B$11:$B$310),INDEX(半紙!$D$11:$D$310,235),IF(235&lt;=COUNTA(半紙!$B$11:$B$310)+COUNTA(条幅!$B$11:$B$310),INDEX(条幅!$D$11:$D$310,235-COUNTA(半紙!$B$11:$B$310)),IF(235&lt;=COUNTA(半紙!$B$11:$B$310)+COUNTA(条幅!$B$11:$B$310)+COUNTA(条幅4分の1!$B$11:$B$310),INDEX(条幅4分の1!$D$11:$D$310,235-COUNTA(半紙!$B$11:$B$310)-COUNTA(条幅!$B$11:$B$310)),"")))=0,"",IF(235&lt;=COUNTA(半紙!$B$11:$B$310),INDEX(半紙!$D$11:$D$310,235),IF(235&lt;=COUNTA(半紙!$B$11:$B$310)+COUNTA(条幅!$B$11:$B$310),INDEX(条幅!$D$11:$D$310,235-COUNTA(半紙!$B$11:$B$310)),IF(235&lt;=COUNTA(半紙!$B$11:$B$310)+COUNTA(条幅!$B$11:$B$310)+COUNTA(条幅4分の1!$B$11:$B$310),INDEX(条幅4分の1!$D$11:$D$310,235-COUNTA(半紙!$B$11:$B$310)-COUNTA(条幅!$B$11:$B$310)),""))))</f>
        <v/>
      </c>
      <c r="E240" s="38" t="str">
        <f>IF(IF(235&lt;=COUNTA(半紙!$B$11:$B$310),INDEX(半紙!$E$11:$E$310,235),IF(235&lt;=COUNTA(半紙!$B$11:$B$310)+COUNTA(条幅!$B$11:$B$310),INDEX(条幅!$E$11:$E$310,235-COUNTA(半紙!$B$11:$B$310)),IF(235&lt;=COUNTA(半紙!$B$11:$B$310)+COUNTA(条幅!$B$11:$B$310)+COUNTA(条幅4分の1!$B$11:$B$310),INDEX(条幅4分の1!$E$11:$E$310,235-COUNTA(半紙!$B$11:$B$310)-COUNTA(条幅!$B$11:$B$310)),"")))=0,"",IF(235&lt;=COUNTA(半紙!$B$11:$B$310),INDEX(半紙!$E$11:$E$310,235),IF(235&lt;=COUNTA(半紙!$B$11:$B$310)+COUNTA(条幅!$B$11:$B$310),INDEX(条幅!$E$11:$E$310,235-COUNTA(半紙!$B$11:$B$310)),IF(235&lt;=COUNTA(半紙!$B$11:$B$310)+COUNTA(条幅!$B$11:$B$310)+COUNTA(条幅4分の1!$B$11:$B$310),INDEX(条幅4分の1!$E$11:$E$310,235-COUNTA(半紙!$B$11:$B$310)-COUNTA(条幅!$B$11:$B$310)),""))))</f>
        <v/>
      </c>
      <c r="F240" s="38" t="str">
        <f>IF(IF(235&lt;=COUNTA(半紙!$B$11:$B$310),INDEX(半紙!$F$11:$F$310,235),IF(235&lt;=COUNTA(半紙!$B$11:$B$310)+COUNTA(条幅!$B$11:$B$310),INDEX(条幅!$F$11:$F$310,235-COUNTA(半紙!$B$11:$B$310)),IF(235&lt;=COUNTA(半紙!$B$11:$B$310)+COUNTA(条幅!$B$11:$B$310)+COUNTA(条幅4分の1!$B$11:$B$310),INDEX(条幅4分の1!$F$11:$F$310,235-COUNTA(半紙!$B$11:$B$310)-COUNTA(条幅!$B$11:$B$310)),"")))=0,"",IF(235&lt;=COUNTA(半紙!$B$11:$B$310),INDEX(半紙!$F$11:$F$310,235),IF(235&lt;=COUNTA(半紙!$B$11:$B$310)+COUNTA(条幅!$B$11:$B$310),INDEX(条幅!$F$11:$F$310,235-COUNTA(半紙!$B$11:$B$310)),IF(235&lt;=COUNTA(半紙!$B$11:$B$310)+COUNTA(条幅!$B$11:$B$310)+COUNTA(条幅4分の1!$B$11:$B$310),INDEX(条幅4分の1!$F$11:$F$310,235-COUNTA(半紙!$B$11:$B$310)-COUNTA(条幅!$B$11:$B$310)),""))))</f>
        <v/>
      </c>
      <c r="G240" s="38" t="str">
        <f>IF(IF(235&lt;=COUNTA(半紙!$B$11:$B$310),INDEX(半紙!$G$11:$G$310,235),IF(235&lt;=COUNTA(半紙!$B$11:$B$310)+COUNTA(条幅!$B$11:$B$310),INDEX(条幅!$G$11:$G$310,235-COUNTA(半紙!$B$11:$B$310)),IF(235&lt;=COUNTA(半紙!$B$11:$B$310)+COUNTA(条幅!$B$11:$B$310)+COUNTA(条幅4分の1!$B$11:$B$310),INDEX(条幅4分の1!$G$11:$G$310,235-COUNTA(半紙!$B$11:$B$310)-COUNTA(条幅!$B$11:$B$310)),"")))=0,"",IF(235&lt;=COUNTA(半紙!$B$11:$B$310),INDEX(半紙!$G$11:$G$310,235),IF(235&lt;=COUNTA(半紙!$B$11:$B$310)+COUNTA(条幅!$B$11:$B$310),INDEX(条幅!$G$11:$G$310,235-COUNTA(半紙!$B$11:$B$310)),IF(235&lt;=COUNTA(半紙!$B$11:$B$310)+COUNTA(条幅!$B$11:$B$310)+COUNTA(条幅4分の1!$B$11:$B$310),INDEX(条幅4分の1!$G$11:$G$310,235-COUNTA(半紙!$B$11:$B$310)-COUNTA(条幅!$B$11:$B$310)),""))))</f>
        <v/>
      </c>
      <c r="H240" s="38" t="str">
        <f>IF(IF(235&lt;=COUNTA(半紙!$B$11:$B$310),INDEX(半紙!$H$11:$H$310,235),IF(235&lt;=COUNTA(半紙!$B$11:$B$310)+COUNTA(条幅!$B$11:$B$310),INDEX(条幅!$H$11:$H$310,235-COUNTA(半紙!$B$11:$B$310)),IF(235&lt;=COUNTA(半紙!$B$11:$B$310)+COUNTA(条幅!$B$11:$B$310)+COUNTA(条幅4分の1!$B$11:$B$310),INDEX(条幅4分の1!$H$11:$H$310,235-COUNTA(半紙!$B$11:$B$310)-COUNTA(条幅!$B$11:$B$310)),"")))=0,"",IF(235&lt;=COUNTA(半紙!$B$11:$B$310),INDEX(半紙!$H$11:$H$310,235),IF(235&lt;=COUNTA(半紙!$B$11:$B$310)+COUNTA(条幅!$B$11:$B$310),INDEX(条幅!$H$11:$H$310,235-COUNTA(半紙!$B$11:$B$310)),IF(235&lt;=COUNTA(半紙!$B$11:$B$310)+COUNTA(条幅!$B$11:$B$310)+COUNTA(条幅4分の1!$B$11:$B$310),INDEX(条幅4分の1!$H$11:$H$310,235-COUNTA(半紙!$B$11:$B$310)-COUNTA(条幅!$B$11:$B$310)),""))))</f>
        <v/>
      </c>
      <c r="I240" s="38" t="str">
        <f>IF(IF(235&lt;=COUNTA(半紙!$B$11:$B$310),INDEX(半紙!$I$11:$I$310,235),IF(235&lt;=COUNTA(半紙!$B$11:$B$310)+COUNTA(条幅!$B$11:$B$310),INDEX(条幅!$I$11:$I$310,235-COUNTA(半紙!$B$11:$B$310)),IF(235&lt;=COUNTA(半紙!$B$11:$B$310)+COUNTA(条幅!$B$11:$B$310)+COUNTA(条幅4分の1!$B$11:$B$310),INDEX(条幅4分の1!$I$11:$I$310,235-COUNTA(半紙!$B$11:$B$310)-COUNTA(条幅!$B$11:$B$310)),"")))=0,"",IF(235&lt;=COUNTA(半紙!$B$11:$B$310),INDEX(半紙!$I$11:$I$310,235),IF(235&lt;=COUNTA(半紙!$B$11:$B$310)+COUNTA(条幅!$B$11:$B$310),INDEX(条幅!$I$11:$I$310,235-COUNTA(半紙!$B$11:$B$310)),IF(235&lt;=COUNTA(半紙!$B$11:$B$310)+COUNTA(条幅!$B$11:$B$310)+COUNTA(条幅4分の1!$B$11:$B$310),INDEX(条幅4分の1!$I$11:$I$310,235-COUNTA(半紙!$B$11:$B$310)-COUNTA(条幅!$B$11:$B$310)),""))))</f>
        <v/>
      </c>
      <c r="J240" s="38" t="str">
        <f>IF(IF(235&lt;=COUNTA(半紙!$B$11:$B$310),INDEX(半紙!$J$11:$J$310,235),IF(235&lt;=COUNTA(半紙!$B$11:$B$310)+COUNTA(条幅!$B$11:$B$310),INDEX(条幅!$J$11:$J$310,235-COUNTA(半紙!$B$11:$B$310)),IF(235&lt;=COUNTA(半紙!$B$11:$B$310)+COUNTA(条幅!$B$11:$B$310)+COUNTA(条幅4分の1!$B$11:$B$310),INDEX(条幅4分の1!$J$11:$J$310,235-COUNTA(半紙!$B$11:$B$310)-COUNTA(条幅!$B$11:$B$310)),"")))=0,"",IF(235&lt;=COUNTA(半紙!$B$11:$B$310),INDEX(半紙!$J$11:$J$310,235),IF(235&lt;=COUNTA(半紙!$B$11:$B$310)+COUNTA(条幅!$B$11:$B$310),INDEX(条幅!$J$11:$J$310,235-COUNTA(半紙!$B$11:$B$310)),IF(235&lt;=COUNTA(半紙!$B$11:$B$310)+COUNTA(条幅!$B$11:$B$310)+COUNTA(条幅4分の1!$B$11:$B$310),INDEX(条幅4分の1!$J$11:$J$310,235-COUNTA(半紙!$B$11:$B$310)-COUNTA(条幅!$B$11:$B$310)),""))))</f>
        <v/>
      </c>
      <c r="K240" s="38" t="str">
        <f>IF(IF(235&lt;=COUNTA(半紙!$B$11:$B$310),INDEX(半紙!$K$11:$K$310,235),IF(235&lt;=COUNTA(半紙!$B$11:$B$310)+COUNTA(条幅!$B$11:$B$310),INDEX(条幅!$K$11:$K$310,235-COUNTA(半紙!$B$11:$B$310)),IF(235&lt;=COUNTA(半紙!$B$11:$B$310)+COUNTA(条幅!$B$11:$B$310)+COUNTA(条幅4分の1!$B$11:$B$310),INDEX(条幅4分の1!$K$11:$K$310,235-COUNTA(半紙!$B$11:$B$310)-COUNTA(条幅!$B$11:$B$310)),"")))=0,"",IF(235&lt;=COUNTA(半紙!$B$11:$B$310),INDEX(半紙!$K$11:$K$310,235),IF(235&lt;=COUNTA(半紙!$B$11:$B$310)+COUNTA(条幅!$B$11:$B$310),INDEX(条幅!$K$11:$K$310,235-COUNTA(半紙!$B$11:$B$310)),IF(235&lt;=COUNTA(半紙!$B$11:$B$310)+COUNTA(条幅!$B$11:$B$310)+COUNTA(条幅4分の1!$B$11:$B$310),INDEX(条幅4分の1!$K$11:$K$310,235-COUNTA(半紙!$B$11:$B$310)-COUNTA(条幅!$B$11:$B$310)),""))))</f>
        <v/>
      </c>
      <c r="L240" s="48" t="str">
        <f>IF($B240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235))</f>
        <v/>
      </c>
    </row>
    <row r="241" spans="1:12" ht="15" customHeight="1">
      <c r="A241" s="37" t="str">
        <f>IF(236&lt;=COUNTA(半紙!$B$11:$B$310),"半紙",IF(236&lt;=COUNTA(半紙!$B$11:$B$310)+COUNTA(条幅!$B$11:$B$310),"条幅(半切)",IF(236&lt;=COUNTA(半紙!$B$11:$B$310)+COUNTA(条幅!$B$11:$B$310)+COUNTA(条幅4分の1!$B$11:$B$310),"条幅(1/4)","")))</f>
        <v/>
      </c>
      <c r="B241" s="38" t="str">
        <f>IF(IF(236&lt;=COUNTA(半紙!$B$11:$B$310),INDEX(半紙!$B$11:$B$310,236),IF(236&lt;=COUNTA(半紙!$B$11:$B$310)+COUNTA(条幅!$B$11:$B$310),INDEX(条幅!$B$11:$B$310,236-COUNTA(半紙!$B$11:$B$310)),IF(236&lt;=COUNTA(半紙!$B$11:$B$310)+COUNTA(条幅!$B$11:$B$310)+COUNTA(条幅4分の1!$B$11:$B$310),INDEX(条幅4分の1!$B$11:$B$310,236-COUNTA(半紙!$B$11:$B$310)-COUNTA(条幅!$B$11:$B$310)),"")))=0,"",IF(236&lt;=COUNTA(半紙!$B$11:$B$310),INDEX(半紙!$B$11:$B$310,236),IF(236&lt;=COUNTA(半紙!$B$11:$B$310)+COUNTA(条幅!$B$11:$B$310),INDEX(条幅!$B$11:$B$310,236-COUNTA(半紙!$B$11:$B$310)),IF(236&lt;=COUNTA(半紙!$B$11:$B$310)+COUNTA(条幅!$B$11:$B$310)+COUNTA(条幅4分の1!$B$11:$B$310),INDEX(条幅4分の1!$B$11:$B$310,236-COUNTA(半紙!$B$11:$B$310)-COUNTA(条幅!$B$11:$B$310)),""))))</f>
        <v/>
      </c>
      <c r="C241" s="38" t="str">
        <f>IF(IF(236&lt;=COUNTA(半紙!$B$11:$B$310),INDEX(半紙!$C$11:$C$310,236),IF(236&lt;=COUNTA(半紙!$B$11:$B$310)+COUNTA(条幅!$B$11:$B$310),INDEX(条幅!$C$11:$C$310,236-COUNTA(半紙!$B$11:$B$310)),IF(236&lt;=COUNTA(半紙!$B$11:$B$310)+COUNTA(条幅!$B$11:$B$310)+COUNTA(条幅4分の1!$B$11:$B$310),INDEX(条幅4分の1!$C$11:$C$310,236-COUNTA(半紙!$B$11:$B$310)-COUNTA(条幅!$B$11:$B$310)),"")))=0,"",IF(236&lt;=COUNTA(半紙!$B$11:$B$310),INDEX(半紙!$C$11:$C$310,236),IF(236&lt;=COUNTA(半紙!$B$11:$B$310)+COUNTA(条幅!$B$11:$B$310),INDEX(条幅!$C$11:$C$310,236-COUNTA(半紙!$B$11:$B$310)),IF(236&lt;=COUNTA(半紙!$B$11:$B$310)+COUNTA(条幅!$B$11:$B$310)+COUNTA(条幅4分の1!$B$11:$B$310),INDEX(条幅4分の1!$C$11:$C$310,236-COUNTA(半紙!$B$11:$B$310)-COUNTA(条幅!$B$11:$B$310)),""))))</f>
        <v/>
      </c>
      <c r="D241" s="38" t="str">
        <f>IF(IF(236&lt;=COUNTA(半紙!$B$11:$B$310),INDEX(半紙!$D$11:$D$310,236),IF(236&lt;=COUNTA(半紙!$B$11:$B$310)+COUNTA(条幅!$B$11:$B$310),INDEX(条幅!$D$11:$D$310,236-COUNTA(半紙!$B$11:$B$310)),IF(236&lt;=COUNTA(半紙!$B$11:$B$310)+COUNTA(条幅!$B$11:$B$310)+COUNTA(条幅4分の1!$B$11:$B$310),INDEX(条幅4分の1!$D$11:$D$310,236-COUNTA(半紙!$B$11:$B$310)-COUNTA(条幅!$B$11:$B$310)),"")))=0,"",IF(236&lt;=COUNTA(半紙!$B$11:$B$310),INDEX(半紙!$D$11:$D$310,236),IF(236&lt;=COUNTA(半紙!$B$11:$B$310)+COUNTA(条幅!$B$11:$B$310),INDEX(条幅!$D$11:$D$310,236-COUNTA(半紙!$B$11:$B$310)),IF(236&lt;=COUNTA(半紙!$B$11:$B$310)+COUNTA(条幅!$B$11:$B$310)+COUNTA(条幅4分の1!$B$11:$B$310),INDEX(条幅4分の1!$D$11:$D$310,236-COUNTA(半紙!$B$11:$B$310)-COUNTA(条幅!$B$11:$B$310)),""))))</f>
        <v/>
      </c>
      <c r="E241" s="38" t="str">
        <f>IF(IF(236&lt;=COUNTA(半紙!$B$11:$B$310),INDEX(半紙!$E$11:$E$310,236),IF(236&lt;=COUNTA(半紙!$B$11:$B$310)+COUNTA(条幅!$B$11:$B$310),INDEX(条幅!$E$11:$E$310,236-COUNTA(半紙!$B$11:$B$310)),IF(236&lt;=COUNTA(半紙!$B$11:$B$310)+COUNTA(条幅!$B$11:$B$310)+COUNTA(条幅4分の1!$B$11:$B$310),INDEX(条幅4分の1!$E$11:$E$310,236-COUNTA(半紙!$B$11:$B$310)-COUNTA(条幅!$B$11:$B$310)),"")))=0,"",IF(236&lt;=COUNTA(半紙!$B$11:$B$310),INDEX(半紙!$E$11:$E$310,236),IF(236&lt;=COUNTA(半紙!$B$11:$B$310)+COUNTA(条幅!$B$11:$B$310),INDEX(条幅!$E$11:$E$310,236-COUNTA(半紙!$B$11:$B$310)),IF(236&lt;=COUNTA(半紙!$B$11:$B$310)+COUNTA(条幅!$B$11:$B$310)+COUNTA(条幅4分の1!$B$11:$B$310),INDEX(条幅4分の1!$E$11:$E$310,236-COUNTA(半紙!$B$11:$B$310)-COUNTA(条幅!$B$11:$B$310)),""))))</f>
        <v/>
      </c>
      <c r="F241" s="38" t="str">
        <f>IF(IF(236&lt;=COUNTA(半紙!$B$11:$B$310),INDEX(半紙!$F$11:$F$310,236),IF(236&lt;=COUNTA(半紙!$B$11:$B$310)+COUNTA(条幅!$B$11:$B$310),INDEX(条幅!$F$11:$F$310,236-COUNTA(半紙!$B$11:$B$310)),IF(236&lt;=COUNTA(半紙!$B$11:$B$310)+COUNTA(条幅!$B$11:$B$310)+COUNTA(条幅4分の1!$B$11:$B$310),INDEX(条幅4分の1!$F$11:$F$310,236-COUNTA(半紙!$B$11:$B$310)-COUNTA(条幅!$B$11:$B$310)),"")))=0,"",IF(236&lt;=COUNTA(半紙!$B$11:$B$310),INDEX(半紙!$F$11:$F$310,236),IF(236&lt;=COUNTA(半紙!$B$11:$B$310)+COUNTA(条幅!$B$11:$B$310),INDEX(条幅!$F$11:$F$310,236-COUNTA(半紙!$B$11:$B$310)),IF(236&lt;=COUNTA(半紙!$B$11:$B$310)+COUNTA(条幅!$B$11:$B$310)+COUNTA(条幅4分の1!$B$11:$B$310),INDEX(条幅4分の1!$F$11:$F$310,236-COUNTA(半紙!$B$11:$B$310)-COUNTA(条幅!$B$11:$B$310)),""))))</f>
        <v/>
      </c>
      <c r="G241" s="38" t="str">
        <f>IF(IF(236&lt;=COUNTA(半紙!$B$11:$B$310),INDEX(半紙!$G$11:$G$310,236),IF(236&lt;=COUNTA(半紙!$B$11:$B$310)+COUNTA(条幅!$B$11:$B$310),INDEX(条幅!$G$11:$G$310,236-COUNTA(半紙!$B$11:$B$310)),IF(236&lt;=COUNTA(半紙!$B$11:$B$310)+COUNTA(条幅!$B$11:$B$310)+COUNTA(条幅4分の1!$B$11:$B$310),INDEX(条幅4分の1!$G$11:$G$310,236-COUNTA(半紙!$B$11:$B$310)-COUNTA(条幅!$B$11:$B$310)),"")))=0,"",IF(236&lt;=COUNTA(半紙!$B$11:$B$310),INDEX(半紙!$G$11:$G$310,236),IF(236&lt;=COUNTA(半紙!$B$11:$B$310)+COUNTA(条幅!$B$11:$B$310),INDEX(条幅!$G$11:$G$310,236-COUNTA(半紙!$B$11:$B$310)),IF(236&lt;=COUNTA(半紙!$B$11:$B$310)+COUNTA(条幅!$B$11:$B$310)+COUNTA(条幅4分の1!$B$11:$B$310),INDEX(条幅4分の1!$G$11:$G$310,236-COUNTA(半紙!$B$11:$B$310)-COUNTA(条幅!$B$11:$B$310)),""))))</f>
        <v/>
      </c>
      <c r="H241" s="38" t="str">
        <f>IF(IF(236&lt;=COUNTA(半紙!$B$11:$B$310),INDEX(半紙!$H$11:$H$310,236),IF(236&lt;=COUNTA(半紙!$B$11:$B$310)+COUNTA(条幅!$B$11:$B$310),INDEX(条幅!$H$11:$H$310,236-COUNTA(半紙!$B$11:$B$310)),IF(236&lt;=COUNTA(半紙!$B$11:$B$310)+COUNTA(条幅!$B$11:$B$310)+COUNTA(条幅4分の1!$B$11:$B$310),INDEX(条幅4分の1!$H$11:$H$310,236-COUNTA(半紙!$B$11:$B$310)-COUNTA(条幅!$B$11:$B$310)),"")))=0,"",IF(236&lt;=COUNTA(半紙!$B$11:$B$310),INDEX(半紙!$H$11:$H$310,236),IF(236&lt;=COUNTA(半紙!$B$11:$B$310)+COUNTA(条幅!$B$11:$B$310),INDEX(条幅!$H$11:$H$310,236-COUNTA(半紙!$B$11:$B$310)),IF(236&lt;=COUNTA(半紙!$B$11:$B$310)+COUNTA(条幅!$B$11:$B$310)+COUNTA(条幅4分の1!$B$11:$B$310),INDEX(条幅4分の1!$H$11:$H$310,236-COUNTA(半紙!$B$11:$B$310)-COUNTA(条幅!$B$11:$B$310)),""))))</f>
        <v/>
      </c>
      <c r="I241" s="38" t="str">
        <f>IF(IF(236&lt;=COUNTA(半紙!$B$11:$B$310),INDEX(半紙!$I$11:$I$310,236),IF(236&lt;=COUNTA(半紙!$B$11:$B$310)+COUNTA(条幅!$B$11:$B$310),INDEX(条幅!$I$11:$I$310,236-COUNTA(半紙!$B$11:$B$310)),IF(236&lt;=COUNTA(半紙!$B$11:$B$310)+COUNTA(条幅!$B$11:$B$310)+COUNTA(条幅4分の1!$B$11:$B$310),INDEX(条幅4分の1!$I$11:$I$310,236-COUNTA(半紙!$B$11:$B$310)-COUNTA(条幅!$B$11:$B$310)),"")))=0,"",IF(236&lt;=COUNTA(半紙!$B$11:$B$310),INDEX(半紙!$I$11:$I$310,236),IF(236&lt;=COUNTA(半紙!$B$11:$B$310)+COUNTA(条幅!$B$11:$B$310),INDEX(条幅!$I$11:$I$310,236-COUNTA(半紙!$B$11:$B$310)),IF(236&lt;=COUNTA(半紙!$B$11:$B$310)+COUNTA(条幅!$B$11:$B$310)+COUNTA(条幅4分の1!$B$11:$B$310),INDEX(条幅4分の1!$I$11:$I$310,236-COUNTA(半紙!$B$11:$B$310)-COUNTA(条幅!$B$11:$B$310)),""))))</f>
        <v/>
      </c>
      <c r="J241" s="38" t="str">
        <f>IF(IF(236&lt;=COUNTA(半紙!$B$11:$B$310),INDEX(半紙!$J$11:$J$310,236),IF(236&lt;=COUNTA(半紙!$B$11:$B$310)+COUNTA(条幅!$B$11:$B$310),INDEX(条幅!$J$11:$J$310,236-COUNTA(半紙!$B$11:$B$310)),IF(236&lt;=COUNTA(半紙!$B$11:$B$310)+COUNTA(条幅!$B$11:$B$310)+COUNTA(条幅4分の1!$B$11:$B$310),INDEX(条幅4分の1!$J$11:$J$310,236-COUNTA(半紙!$B$11:$B$310)-COUNTA(条幅!$B$11:$B$310)),"")))=0,"",IF(236&lt;=COUNTA(半紙!$B$11:$B$310),INDEX(半紙!$J$11:$J$310,236),IF(236&lt;=COUNTA(半紙!$B$11:$B$310)+COUNTA(条幅!$B$11:$B$310),INDEX(条幅!$J$11:$J$310,236-COUNTA(半紙!$B$11:$B$310)),IF(236&lt;=COUNTA(半紙!$B$11:$B$310)+COUNTA(条幅!$B$11:$B$310)+COUNTA(条幅4分の1!$B$11:$B$310),INDEX(条幅4分の1!$J$11:$J$310,236-COUNTA(半紙!$B$11:$B$310)-COUNTA(条幅!$B$11:$B$310)),""))))</f>
        <v/>
      </c>
      <c r="K241" s="38" t="str">
        <f>IF(IF(236&lt;=COUNTA(半紙!$B$11:$B$310),INDEX(半紙!$K$11:$K$310,236),IF(236&lt;=COUNTA(半紙!$B$11:$B$310)+COUNTA(条幅!$B$11:$B$310),INDEX(条幅!$K$11:$K$310,236-COUNTA(半紙!$B$11:$B$310)),IF(236&lt;=COUNTA(半紙!$B$11:$B$310)+COUNTA(条幅!$B$11:$B$310)+COUNTA(条幅4分の1!$B$11:$B$310),INDEX(条幅4分の1!$K$11:$K$310,236-COUNTA(半紙!$B$11:$B$310)-COUNTA(条幅!$B$11:$B$310)),"")))=0,"",IF(236&lt;=COUNTA(半紙!$B$11:$B$310),INDEX(半紙!$K$11:$K$310,236),IF(236&lt;=COUNTA(半紙!$B$11:$B$310)+COUNTA(条幅!$B$11:$B$310),INDEX(条幅!$K$11:$K$310,236-COUNTA(半紙!$B$11:$B$310)),IF(236&lt;=COUNTA(半紙!$B$11:$B$310)+COUNTA(条幅!$B$11:$B$310)+COUNTA(条幅4分の1!$B$11:$B$310),INDEX(条幅4分の1!$K$11:$K$310,236-COUNTA(半紙!$B$11:$B$310)-COUNTA(条幅!$B$11:$B$310)),""))))</f>
        <v/>
      </c>
      <c r="L241" s="48" t="str">
        <f>IF($B241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236))</f>
        <v/>
      </c>
    </row>
    <row r="242" spans="1:12" ht="15" customHeight="1">
      <c r="A242" s="37" t="str">
        <f>IF(237&lt;=COUNTA(半紙!$B$11:$B$310),"半紙",IF(237&lt;=COUNTA(半紙!$B$11:$B$310)+COUNTA(条幅!$B$11:$B$310),"条幅(半切)",IF(237&lt;=COUNTA(半紙!$B$11:$B$310)+COUNTA(条幅!$B$11:$B$310)+COUNTA(条幅4分の1!$B$11:$B$310),"条幅(1/4)","")))</f>
        <v/>
      </c>
      <c r="B242" s="38" t="str">
        <f>IF(IF(237&lt;=COUNTA(半紙!$B$11:$B$310),INDEX(半紙!$B$11:$B$310,237),IF(237&lt;=COUNTA(半紙!$B$11:$B$310)+COUNTA(条幅!$B$11:$B$310),INDEX(条幅!$B$11:$B$310,237-COUNTA(半紙!$B$11:$B$310)),IF(237&lt;=COUNTA(半紙!$B$11:$B$310)+COUNTA(条幅!$B$11:$B$310)+COUNTA(条幅4分の1!$B$11:$B$310),INDEX(条幅4分の1!$B$11:$B$310,237-COUNTA(半紙!$B$11:$B$310)-COUNTA(条幅!$B$11:$B$310)),"")))=0,"",IF(237&lt;=COUNTA(半紙!$B$11:$B$310),INDEX(半紙!$B$11:$B$310,237),IF(237&lt;=COUNTA(半紙!$B$11:$B$310)+COUNTA(条幅!$B$11:$B$310),INDEX(条幅!$B$11:$B$310,237-COUNTA(半紙!$B$11:$B$310)),IF(237&lt;=COUNTA(半紙!$B$11:$B$310)+COUNTA(条幅!$B$11:$B$310)+COUNTA(条幅4分の1!$B$11:$B$310),INDEX(条幅4分の1!$B$11:$B$310,237-COUNTA(半紙!$B$11:$B$310)-COUNTA(条幅!$B$11:$B$310)),""))))</f>
        <v/>
      </c>
      <c r="C242" s="38" t="str">
        <f>IF(IF(237&lt;=COUNTA(半紙!$B$11:$B$310),INDEX(半紙!$C$11:$C$310,237),IF(237&lt;=COUNTA(半紙!$B$11:$B$310)+COUNTA(条幅!$B$11:$B$310),INDEX(条幅!$C$11:$C$310,237-COUNTA(半紙!$B$11:$B$310)),IF(237&lt;=COUNTA(半紙!$B$11:$B$310)+COUNTA(条幅!$B$11:$B$310)+COUNTA(条幅4分の1!$B$11:$B$310),INDEX(条幅4分の1!$C$11:$C$310,237-COUNTA(半紙!$B$11:$B$310)-COUNTA(条幅!$B$11:$B$310)),"")))=0,"",IF(237&lt;=COUNTA(半紙!$B$11:$B$310),INDEX(半紙!$C$11:$C$310,237),IF(237&lt;=COUNTA(半紙!$B$11:$B$310)+COUNTA(条幅!$B$11:$B$310),INDEX(条幅!$C$11:$C$310,237-COUNTA(半紙!$B$11:$B$310)),IF(237&lt;=COUNTA(半紙!$B$11:$B$310)+COUNTA(条幅!$B$11:$B$310)+COUNTA(条幅4分の1!$B$11:$B$310),INDEX(条幅4分の1!$C$11:$C$310,237-COUNTA(半紙!$B$11:$B$310)-COUNTA(条幅!$B$11:$B$310)),""))))</f>
        <v/>
      </c>
      <c r="D242" s="38" t="str">
        <f>IF(IF(237&lt;=COUNTA(半紙!$B$11:$B$310),INDEX(半紙!$D$11:$D$310,237),IF(237&lt;=COUNTA(半紙!$B$11:$B$310)+COUNTA(条幅!$B$11:$B$310),INDEX(条幅!$D$11:$D$310,237-COUNTA(半紙!$B$11:$B$310)),IF(237&lt;=COUNTA(半紙!$B$11:$B$310)+COUNTA(条幅!$B$11:$B$310)+COUNTA(条幅4分の1!$B$11:$B$310),INDEX(条幅4分の1!$D$11:$D$310,237-COUNTA(半紙!$B$11:$B$310)-COUNTA(条幅!$B$11:$B$310)),"")))=0,"",IF(237&lt;=COUNTA(半紙!$B$11:$B$310),INDEX(半紙!$D$11:$D$310,237),IF(237&lt;=COUNTA(半紙!$B$11:$B$310)+COUNTA(条幅!$B$11:$B$310),INDEX(条幅!$D$11:$D$310,237-COUNTA(半紙!$B$11:$B$310)),IF(237&lt;=COUNTA(半紙!$B$11:$B$310)+COUNTA(条幅!$B$11:$B$310)+COUNTA(条幅4分の1!$B$11:$B$310),INDEX(条幅4分の1!$D$11:$D$310,237-COUNTA(半紙!$B$11:$B$310)-COUNTA(条幅!$B$11:$B$310)),""))))</f>
        <v/>
      </c>
      <c r="E242" s="38" t="str">
        <f>IF(IF(237&lt;=COUNTA(半紙!$B$11:$B$310),INDEX(半紙!$E$11:$E$310,237),IF(237&lt;=COUNTA(半紙!$B$11:$B$310)+COUNTA(条幅!$B$11:$B$310),INDEX(条幅!$E$11:$E$310,237-COUNTA(半紙!$B$11:$B$310)),IF(237&lt;=COUNTA(半紙!$B$11:$B$310)+COUNTA(条幅!$B$11:$B$310)+COUNTA(条幅4分の1!$B$11:$B$310),INDEX(条幅4分の1!$E$11:$E$310,237-COUNTA(半紙!$B$11:$B$310)-COUNTA(条幅!$B$11:$B$310)),"")))=0,"",IF(237&lt;=COUNTA(半紙!$B$11:$B$310),INDEX(半紙!$E$11:$E$310,237),IF(237&lt;=COUNTA(半紙!$B$11:$B$310)+COUNTA(条幅!$B$11:$B$310),INDEX(条幅!$E$11:$E$310,237-COUNTA(半紙!$B$11:$B$310)),IF(237&lt;=COUNTA(半紙!$B$11:$B$310)+COUNTA(条幅!$B$11:$B$310)+COUNTA(条幅4分の1!$B$11:$B$310),INDEX(条幅4分の1!$E$11:$E$310,237-COUNTA(半紙!$B$11:$B$310)-COUNTA(条幅!$B$11:$B$310)),""))))</f>
        <v/>
      </c>
      <c r="F242" s="38" t="str">
        <f>IF(IF(237&lt;=COUNTA(半紙!$B$11:$B$310),INDEX(半紙!$F$11:$F$310,237),IF(237&lt;=COUNTA(半紙!$B$11:$B$310)+COUNTA(条幅!$B$11:$B$310),INDEX(条幅!$F$11:$F$310,237-COUNTA(半紙!$B$11:$B$310)),IF(237&lt;=COUNTA(半紙!$B$11:$B$310)+COUNTA(条幅!$B$11:$B$310)+COUNTA(条幅4分の1!$B$11:$B$310),INDEX(条幅4分の1!$F$11:$F$310,237-COUNTA(半紙!$B$11:$B$310)-COUNTA(条幅!$B$11:$B$310)),"")))=0,"",IF(237&lt;=COUNTA(半紙!$B$11:$B$310),INDEX(半紙!$F$11:$F$310,237),IF(237&lt;=COUNTA(半紙!$B$11:$B$310)+COUNTA(条幅!$B$11:$B$310),INDEX(条幅!$F$11:$F$310,237-COUNTA(半紙!$B$11:$B$310)),IF(237&lt;=COUNTA(半紙!$B$11:$B$310)+COUNTA(条幅!$B$11:$B$310)+COUNTA(条幅4分の1!$B$11:$B$310),INDEX(条幅4分の1!$F$11:$F$310,237-COUNTA(半紙!$B$11:$B$310)-COUNTA(条幅!$B$11:$B$310)),""))))</f>
        <v/>
      </c>
      <c r="G242" s="38" t="str">
        <f>IF(IF(237&lt;=COUNTA(半紙!$B$11:$B$310),INDEX(半紙!$G$11:$G$310,237),IF(237&lt;=COUNTA(半紙!$B$11:$B$310)+COUNTA(条幅!$B$11:$B$310),INDEX(条幅!$G$11:$G$310,237-COUNTA(半紙!$B$11:$B$310)),IF(237&lt;=COUNTA(半紙!$B$11:$B$310)+COUNTA(条幅!$B$11:$B$310)+COUNTA(条幅4分の1!$B$11:$B$310),INDEX(条幅4分の1!$G$11:$G$310,237-COUNTA(半紙!$B$11:$B$310)-COUNTA(条幅!$B$11:$B$310)),"")))=0,"",IF(237&lt;=COUNTA(半紙!$B$11:$B$310),INDEX(半紙!$G$11:$G$310,237),IF(237&lt;=COUNTA(半紙!$B$11:$B$310)+COUNTA(条幅!$B$11:$B$310),INDEX(条幅!$G$11:$G$310,237-COUNTA(半紙!$B$11:$B$310)),IF(237&lt;=COUNTA(半紙!$B$11:$B$310)+COUNTA(条幅!$B$11:$B$310)+COUNTA(条幅4分の1!$B$11:$B$310),INDEX(条幅4分の1!$G$11:$G$310,237-COUNTA(半紙!$B$11:$B$310)-COUNTA(条幅!$B$11:$B$310)),""))))</f>
        <v/>
      </c>
      <c r="H242" s="38" t="str">
        <f>IF(IF(237&lt;=COUNTA(半紙!$B$11:$B$310),INDEX(半紙!$H$11:$H$310,237),IF(237&lt;=COUNTA(半紙!$B$11:$B$310)+COUNTA(条幅!$B$11:$B$310),INDEX(条幅!$H$11:$H$310,237-COUNTA(半紙!$B$11:$B$310)),IF(237&lt;=COUNTA(半紙!$B$11:$B$310)+COUNTA(条幅!$B$11:$B$310)+COUNTA(条幅4分の1!$B$11:$B$310),INDEX(条幅4分の1!$H$11:$H$310,237-COUNTA(半紙!$B$11:$B$310)-COUNTA(条幅!$B$11:$B$310)),"")))=0,"",IF(237&lt;=COUNTA(半紙!$B$11:$B$310),INDEX(半紙!$H$11:$H$310,237),IF(237&lt;=COUNTA(半紙!$B$11:$B$310)+COUNTA(条幅!$B$11:$B$310),INDEX(条幅!$H$11:$H$310,237-COUNTA(半紙!$B$11:$B$310)),IF(237&lt;=COUNTA(半紙!$B$11:$B$310)+COUNTA(条幅!$B$11:$B$310)+COUNTA(条幅4分の1!$B$11:$B$310),INDEX(条幅4分の1!$H$11:$H$310,237-COUNTA(半紙!$B$11:$B$310)-COUNTA(条幅!$B$11:$B$310)),""))))</f>
        <v/>
      </c>
      <c r="I242" s="38" t="str">
        <f>IF(IF(237&lt;=COUNTA(半紙!$B$11:$B$310),INDEX(半紙!$I$11:$I$310,237),IF(237&lt;=COUNTA(半紙!$B$11:$B$310)+COUNTA(条幅!$B$11:$B$310),INDEX(条幅!$I$11:$I$310,237-COUNTA(半紙!$B$11:$B$310)),IF(237&lt;=COUNTA(半紙!$B$11:$B$310)+COUNTA(条幅!$B$11:$B$310)+COUNTA(条幅4分の1!$B$11:$B$310),INDEX(条幅4分の1!$I$11:$I$310,237-COUNTA(半紙!$B$11:$B$310)-COUNTA(条幅!$B$11:$B$310)),"")))=0,"",IF(237&lt;=COUNTA(半紙!$B$11:$B$310),INDEX(半紙!$I$11:$I$310,237),IF(237&lt;=COUNTA(半紙!$B$11:$B$310)+COUNTA(条幅!$B$11:$B$310),INDEX(条幅!$I$11:$I$310,237-COUNTA(半紙!$B$11:$B$310)),IF(237&lt;=COUNTA(半紙!$B$11:$B$310)+COUNTA(条幅!$B$11:$B$310)+COUNTA(条幅4分の1!$B$11:$B$310),INDEX(条幅4分の1!$I$11:$I$310,237-COUNTA(半紙!$B$11:$B$310)-COUNTA(条幅!$B$11:$B$310)),""))))</f>
        <v/>
      </c>
      <c r="J242" s="38" t="str">
        <f>IF(IF(237&lt;=COUNTA(半紙!$B$11:$B$310),INDEX(半紙!$J$11:$J$310,237),IF(237&lt;=COUNTA(半紙!$B$11:$B$310)+COUNTA(条幅!$B$11:$B$310),INDEX(条幅!$J$11:$J$310,237-COUNTA(半紙!$B$11:$B$310)),IF(237&lt;=COUNTA(半紙!$B$11:$B$310)+COUNTA(条幅!$B$11:$B$310)+COUNTA(条幅4分の1!$B$11:$B$310),INDEX(条幅4分の1!$J$11:$J$310,237-COUNTA(半紙!$B$11:$B$310)-COUNTA(条幅!$B$11:$B$310)),"")))=0,"",IF(237&lt;=COUNTA(半紙!$B$11:$B$310),INDEX(半紙!$J$11:$J$310,237),IF(237&lt;=COUNTA(半紙!$B$11:$B$310)+COUNTA(条幅!$B$11:$B$310),INDEX(条幅!$J$11:$J$310,237-COUNTA(半紙!$B$11:$B$310)),IF(237&lt;=COUNTA(半紙!$B$11:$B$310)+COUNTA(条幅!$B$11:$B$310)+COUNTA(条幅4分の1!$B$11:$B$310),INDEX(条幅4分の1!$J$11:$J$310,237-COUNTA(半紙!$B$11:$B$310)-COUNTA(条幅!$B$11:$B$310)),""))))</f>
        <v/>
      </c>
      <c r="K242" s="38" t="str">
        <f>IF(IF(237&lt;=COUNTA(半紙!$B$11:$B$310),INDEX(半紙!$K$11:$K$310,237),IF(237&lt;=COUNTA(半紙!$B$11:$B$310)+COUNTA(条幅!$B$11:$B$310),INDEX(条幅!$K$11:$K$310,237-COUNTA(半紙!$B$11:$B$310)),IF(237&lt;=COUNTA(半紙!$B$11:$B$310)+COUNTA(条幅!$B$11:$B$310)+COUNTA(条幅4分の1!$B$11:$B$310),INDEX(条幅4分の1!$K$11:$K$310,237-COUNTA(半紙!$B$11:$B$310)-COUNTA(条幅!$B$11:$B$310)),"")))=0,"",IF(237&lt;=COUNTA(半紙!$B$11:$B$310),INDEX(半紙!$K$11:$K$310,237),IF(237&lt;=COUNTA(半紙!$B$11:$B$310)+COUNTA(条幅!$B$11:$B$310),INDEX(条幅!$K$11:$K$310,237-COUNTA(半紙!$B$11:$B$310)),IF(237&lt;=COUNTA(半紙!$B$11:$B$310)+COUNTA(条幅!$B$11:$B$310)+COUNTA(条幅4分の1!$B$11:$B$310),INDEX(条幅4分の1!$K$11:$K$310,237-COUNTA(半紙!$B$11:$B$310)-COUNTA(条幅!$B$11:$B$310)),""))))</f>
        <v/>
      </c>
      <c r="L242" s="48" t="str">
        <f>IF($B242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237))</f>
        <v/>
      </c>
    </row>
    <row r="243" spans="1:12" ht="15" customHeight="1">
      <c r="A243" s="37" t="str">
        <f>IF(238&lt;=COUNTA(半紙!$B$11:$B$310),"半紙",IF(238&lt;=COUNTA(半紙!$B$11:$B$310)+COUNTA(条幅!$B$11:$B$310),"条幅(半切)",IF(238&lt;=COUNTA(半紙!$B$11:$B$310)+COUNTA(条幅!$B$11:$B$310)+COUNTA(条幅4分の1!$B$11:$B$310),"条幅(1/4)","")))</f>
        <v/>
      </c>
      <c r="B243" s="38" t="str">
        <f>IF(IF(238&lt;=COUNTA(半紙!$B$11:$B$310),INDEX(半紙!$B$11:$B$310,238),IF(238&lt;=COUNTA(半紙!$B$11:$B$310)+COUNTA(条幅!$B$11:$B$310),INDEX(条幅!$B$11:$B$310,238-COUNTA(半紙!$B$11:$B$310)),IF(238&lt;=COUNTA(半紙!$B$11:$B$310)+COUNTA(条幅!$B$11:$B$310)+COUNTA(条幅4分の1!$B$11:$B$310),INDEX(条幅4分の1!$B$11:$B$310,238-COUNTA(半紙!$B$11:$B$310)-COUNTA(条幅!$B$11:$B$310)),"")))=0,"",IF(238&lt;=COUNTA(半紙!$B$11:$B$310),INDEX(半紙!$B$11:$B$310,238),IF(238&lt;=COUNTA(半紙!$B$11:$B$310)+COUNTA(条幅!$B$11:$B$310),INDEX(条幅!$B$11:$B$310,238-COUNTA(半紙!$B$11:$B$310)),IF(238&lt;=COUNTA(半紙!$B$11:$B$310)+COUNTA(条幅!$B$11:$B$310)+COUNTA(条幅4分の1!$B$11:$B$310),INDEX(条幅4分の1!$B$11:$B$310,238-COUNTA(半紙!$B$11:$B$310)-COUNTA(条幅!$B$11:$B$310)),""))))</f>
        <v/>
      </c>
      <c r="C243" s="38" t="str">
        <f>IF(IF(238&lt;=COUNTA(半紙!$B$11:$B$310),INDEX(半紙!$C$11:$C$310,238),IF(238&lt;=COUNTA(半紙!$B$11:$B$310)+COUNTA(条幅!$B$11:$B$310),INDEX(条幅!$C$11:$C$310,238-COUNTA(半紙!$B$11:$B$310)),IF(238&lt;=COUNTA(半紙!$B$11:$B$310)+COUNTA(条幅!$B$11:$B$310)+COUNTA(条幅4分の1!$B$11:$B$310),INDEX(条幅4分の1!$C$11:$C$310,238-COUNTA(半紙!$B$11:$B$310)-COUNTA(条幅!$B$11:$B$310)),"")))=0,"",IF(238&lt;=COUNTA(半紙!$B$11:$B$310),INDEX(半紙!$C$11:$C$310,238),IF(238&lt;=COUNTA(半紙!$B$11:$B$310)+COUNTA(条幅!$B$11:$B$310),INDEX(条幅!$C$11:$C$310,238-COUNTA(半紙!$B$11:$B$310)),IF(238&lt;=COUNTA(半紙!$B$11:$B$310)+COUNTA(条幅!$B$11:$B$310)+COUNTA(条幅4分の1!$B$11:$B$310),INDEX(条幅4分の1!$C$11:$C$310,238-COUNTA(半紙!$B$11:$B$310)-COUNTA(条幅!$B$11:$B$310)),""))))</f>
        <v/>
      </c>
      <c r="D243" s="38" t="str">
        <f>IF(IF(238&lt;=COUNTA(半紙!$B$11:$B$310),INDEX(半紙!$D$11:$D$310,238),IF(238&lt;=COUNTA(半紙!$B$11:$B$310)+COUNTA(条幅!$B$11:$B$310),INDEX(条幅!$D$11:$D$310,238-COUNTA(半紙!$B$11:$B$310)),IF(238&lt;=COUNTA(半紙!$B$11:$B$310)+COUNTA(条幅!$B$11:$B$310)+COUNTA(条幅4分の1!$B$11:$B$310),INDEX(条幅4分の1!$D$11:$D$310,238-COUNTA(半紙!$B$11:$B$310)-COUNTA(条幅!$B$11:$B$310)),"")))=0,"",IF(238&lt;=COUNTA(半紙!$B$11:$B$310),INDEX(半紙!$D$11:$D$310,238),IF(238&lt;=COUNTA(半紙!$B$11:$B$310)+COUNTA(条幅!$B$11:$B$310),INDEX(条幅!$D$11:$D$310,238-COUNTA(半紙!$B$11:$B$310)),IF(238&lt;=COUNTA(半紙!$B$11:$B$310)+COUNTA(条幅!$B$11:$B$310)+COUNTA(条幅4分の1!$B$11:$B$310),INDEX(条幅4分の1!$D$11:$D$310,238-COUNTA(半紙!$B$11:$B$310)-COUNTA(条幅!$B$11:$B$310)),""))))</f>
        <v/>
      </c>
      <c r="E243" s="38" t="str">
        <f>IF(IF(238&lt;=COUNTA(半紙!$B$11:$B$310),INDEX(半紙!$E$11:$E$310,238),IF(238&lt;=COUNTA(半紙!$B$11:$B$310)+COUNTA(条幅!$B$11:$B$310),INDEX(条幅!$E$11:$E$310,238-COUNTA(半紙!$B$11:$B$310)),IF(238&lt;=COUNTA(半紙!$B$11:$B$310)+COUNTA(条幅!$B$11:$B$310)+COUNTA(条幅4分の1!$B$11:$B$310),INDEX(条幅4分の1!$E$11:$E$310,238-COUNTA(半紙!$B$11:$B$310)-COUNTA(条幅!$B$11:$B$310)),"")))=0,"",IF(238&lt;=COUNTA(半紙!$B$11:$B$310),INDEX(半紙!$E$11:$E$310,238),IF(238&lt;=COUNTA(半紙!$B$11:$B$310)+COUNTA(条幅!$B$11:$B$310),INDEX(条幅!$E$11:$E$310,238-COUNTA(半紙!$B$11:$B$310)),IF(238&lt;=COUNTA(半紙!$B$11:$B$310)+COUNTA(条幅!$B$11:$B$310)+COUNTA(条幅4分の1!$B$11:$B$310),INDEX(条幅4分の1!$E$11:$E$310,238-COUNTA(半紙!$B$11:$B$310)-COUNTA(条幅!$B$11:$B$310)),""))))</f>
        <v/>
      </c>
      <c r="F243" s="38" t="str">
        <f>IF(IF(238&lt;=COUNTA(半紙!$B$11:$B$310),INDEX(半紙!$F$11:$F$310,238),IF(238&lt;=COUNTA(半紙!$B$11:$B$310)+COUNTA(条幅!$B$11:$B$310),INDEX(条幅!$F$11:$F$310,238-COUNTA(半紙!$B$11:$B$310)),IF(238&lt;=COUNTA(半紙!$B$11:$B$310)+COUNTA(条幅!$B$11:$B$310)+COUNTA(条幅4分の1!$B$11:$B$310),INDEX(条幅4分の1!$F$11:$F$310,238-COUNTA(半紙!$B$11:$B$310)-COUNTA(条幅!$B$11:$B$310)),"")))=0,"",IF(238&lt;=COUNTA(半紙!$B$11:$B$310),INDEX(半紙!$F$11:$F$310,238),IF(238&lt;=COUNTA(半紙!$B$11:$B$310)+COUNTA(条幅!$B$11:$B$310),INDEX(条幅!$F$11:$F$310,238-COUNTA(半紙!$B$11:$B$310)),IF(238&lt;=COUNTA(半紙!$B$11:$B$310)+COUNTA(条幅!$B$11:$B$310)+COUNTA(条幅4分の1!$B$11:$B$310),INDEX(条幅4分の1!$F$11:$F$310,238-COUNTA(半紙!$B$11:$B$310)-COUNTA(条幅!$B$11:$B$310)),""))))</f>
        <v/>
      </c>
      <c r="G243" s="38" t="str">
        <f>IF(IF(238&lt;=COUNTA(半紙!$B$11:$B$310),INDEX(半紙!$G$11:$G$310,238),IF(238&lt;=COUNTA(半紙!$B$11:$B$310)+COUNTA(条幅!$B$11:$B$310),INDEX(条幅!$G$11:$G$310,238-COUNTA(半紙!$B$11:$B$310)),IF(238&lt;=COUNTA(半紙!$B$11:$B$310)+COUNTA(条幅!$B$11:$B$310)+COUNTA(条幅4分の1!$B$11:$B$310),INDEX(条幅4分の1!$G$11:$G$310,238-COUNTA(半紙!$B$11:$B$310)-COUNTA(条幅!$B$11:$B$310)),"")))=0,"",IF(238&lt;=COUNTA(半紙!$B$11:$B$310),INDEX(半紙!$G$11:$G$310,238),IF(238&lt;=COUNTA(半紙!$B$11:$B$310)+COUNTA(条幅!$B$11:$B$310),INDEX(条幅!$G$11:$G$310,238-COUNTA(半紙!$B$11:$B$310)),IF(238&lt;=COUNTA(半紙!$B$11:$B$310)+COUNTA(条幅!$B$11:$B$310)+COUNTA(条幅4分の1!$B$11:$B$310),INDEX(条幅4分の1!$G$11:$G$310,238-COUNTA(半紙!$B$11:$B$310)-COUNTA(条幅!$B$11:$B$310)),""))))</f>
        <v/>
      </c>
      <c r="H243" s="38" t="str">
        <f>IF(IF(238&lt;=COUNTA(半紙!$B$11:$B$310),INDEX(半紙!$H$11:$H$310,238),IF(238&lt;=COUNTA(半紙!$B$11:$B$310)+COUNTA(条幅!$B$11:$B$310),INDEX(条幅!$H$11:$H$310,238-COUNTA(半紙!$B$11:$B$310)),IF(238&lt;=COUNTA(半紙!$B$11:$B$310)+COUNTA(条幅!$B$11:$B$310)+COUNTA(条幅4分の1!$B$11:$B$310),INDEX(条幅4分の1!$H$11:$H$310,238-COUNTA(半紙!$B$11:$B$310)-COUNTA(条幅!$B$11:$B$310)),"")))=0,"",IF(238&lt;=COUNTA(半紙!$B$11:$B$310),INDEX(半紙!$H$11:$H$310,238),IF(238&lt;=COUNTA(半紙!$B$11:$B$310)+COUNTA(条幅!$B$11:$B$310),INDEX(条幅!$H$11:$H$310,238-COUNTA(半紙!$B$11:$B$310)),IF(238&lt;=COUNTA(半紙!$B$11:$B$310)+COUNTA(条幅!$B$11:$B$310)+COUNTA(条幅4分の1!$B$11:$B$310),INDEX(条幅4分の1!$H$11:$H$310,238-COUNTA(半紙!$B$11:$B$310)-COUNTA(条幅!$B$11:$B$310)),""))))</f>
        <v/>
      </c>
      <c r="I243" s="38" t="str">
        <f>IF(IF(238&lt;=COUNTA(半紙!$B$11:$B$310),INDEX(半紙!$I$11:$I$310,238),IF(238&lt;=COUNTA(半紙!$B$11:$B$310)+COUNTA(条幅!$B$11:$B$310),INDEX(条幅!$I$11:$I$310,238-COUNTA(半紙!$B$11:$B$310)),IF(238&lt;=COUNTA(半紙!$B$11:$B$310)+COUNTA(条幅!$B$11:$B$310)+COUNTA(条幅4分の1!$B$11:$B$310),INDEX(条幅4分の1!$I$11:$I$310,238-COUNTA(半紙!$B$11:$B$310)-COUNTA(条幅!$B$11:$B$310)),"")))=0,"",IF(238&lt;=COUNTA(半紙!$B$11:$B$310),INDEX(半紙!$I$11:$I$310,238),IF(238&lt;=COUNTA(半紙!$B$11:$B$310)+COUNTA(条幅!$B$11:$B$310),INDEX(条幅!$I$11:$I$310,238-COUNTA(半紙!$B$11:$B$310)),IF(238&lt;=COUNTA(半紙!$B$11:$B$310)+COUNTA(条幅!$B$11:$B$310)+COUNTA(条幅4分の1!$B$11:$B$310),INDEX(条幅4分の1!$I$11:$I$310,238-COUNTA(半紙!$B$11:$B$310)-COUNTA(条幅!$B$11:$B$310)),""))))</f>
        <v/>
      </c>
      <c r="J243" s="38" t="str">
        <f>IF(IF(238&lt;=COUNTA(半紙!$B$11:$B$310),INDEX(半紙!$J$11:$J$310,238),IF(238&lt;=COUNTA(半紙!$B$11:$B$310)+COUNTA(条幅!$B$11:$B$310),INDEX(条幅!$J$11:$J$310,238-COUNTA(半紙!$B$11:$B$310)),IF(238&lt;=COUNTA(半紙!$B$11:$B$310)+COUNTA(条幅!$B$11:$B$310)+COUNTA(条幅4分の1!$B$11:$B$310),INDEX(条幅4分の1!$J$11:$J$310,238-COUNTA(半紙!$B$11:$B$310)-COUNTA(条幅!$B$11:$B$310)),"")))=0,"",IF(238&lt;=COUNTA(半紙!$B$11:$B$310),INDEX(半紙!$J$11:$J$310,238),IF(238&lt;=COUNTA(半紙!$B$11:$B$310)+COUNTA(条幅!$B$11:$B$310),INDEX(条幅!$J$11:$J$310,238-COUNTA(半紙!$B$11:$B$310)),IF(238&lt;=COUNTA(半紙!$B$11:$B$310)+COUNTA(条幅!$B$11:$B$310)+COUNTA(条幅4分の1!$B$11:$B$310),INDEX(条幅4分の1!$J$11:$J$310,238-COUNTA(半紙!$B$11:$B$310)-COUNTA(条幅!$B$11:$B$310)),""))))</f>
        <v/>
      </c>
      <c r="K243" s="38" t="str">
        <f>IF(IF(238&lt;=COUNTA(半紙!$B$11:$B$310),INDEX(半紙!$K$11:$K$310,238),IF(238&lt;=COUNTA(半紙!$B$11:$B$310)+COUNTA(条幅!$B$11:$B$310),INDEX(条幅!$K$11:$K$310,238-COUNTA(半紙!$B$11:$B$310)),IF(238&lt;=COUNTA(半紙!$B$11:$B$310)+COUNTA(条幅!$B$11:$B$310)+COUNTA(条幅4分の1!$B$11:$B$310),INDEX(条幅4分の1!$K$11:$K$310,238-COUNTA(半紙!$B$11:$B$310)-COUNTA(条幅!$B$11:$B$310)),"")))=0,"",IF(238&lt;=COUNTA(半紙!$B$11:$B$310),INDEX(半紙!$K$11:$K$310,238),IF(238&lt;=COUNTA(半紙!$B$11:$B$310)+COUNTA(条幅!$B$11:$B$310),INDEX(条幅!$K$11:$K$310,238-COUNTA(半紙!$B$11:$B$310)),IF(238&lt;=COUNTA(半紙!$B$11:$B$310)+COUNTA(条幅!$B$11:$B$310)+COUNTA(条幅4分の1!$B$11:$B$310),INDEX(条幅4分の1!$K$11:$K$310,238-COUNTA(半紙!$B$11:$B$310)-COUNTA(条幅!$B$11:$B$310)),""))))</f>
        <v/>
      </c>
      <c r="L243" s="48" t="str">
        <f>IF($B243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238))</f>
        <v/>
      </c>
    </row>
    <row r="244" spans="1:12" ht="15" customHeight="1">
      <c r="A244" s="37" t="str">
        <f>IF(239&lt;=COUNTA(半紙!$B$11:$B$310),"半紙",IF(239&lt;=COUNTA(半紙!$B$11:$B$310)+COUNTA(条幅!$B$11:$B$310),"条幅(半切)",IF(239&lt;=COUNTA(半紙!$B$11:$B$310)+COUNTA(条幅!$B$11:$B$310)+COUNTA(条幅4分の1!$B$11:$B$310),"条幅(1/4)","")))</f>
        <v/>
      </c>
      <c r="B244" s="38" t="str">
        <f>IF(IF(239&lt;=COUNTA(半紙!$B$11:$B$310),INDEX(半紙!$B$11:$B$310,239),IF(239&lt;=COUNTA(半紙!$B$11:$B$310)+COUNTA(条幅!$B$11:$B$310),INDEX(条幅!$B$11:$B$310,239-COUNTA(半紙!$B$11:$B$310)),IF(239&lt;=COUNTA(半紙!$B$11:$B$310)+COUNTA(条幅!$B$11:$B$310)+COUNTA(条幅4分の1!$B$11:$B$310),INDEX(条幅4分の1!$B$11:$B$310,239-COUNTA(半紙!$B$11:$B$310)-COUNTA(条幅!$B$11:$B$310)),"")))=0,"",IF(239&lt;=COUNTA(半紙!$B$11:$B$310),INDEX(半紙!$B$11:$B$310,239),IF(239&lt;=COUNTA(半紙!$B$11:$B$310)+COUNTA(条幅!$B$11:$B$310),INDEX(条幅!$B$11:$B$310,239-COUNTA(半紙!$B$11:$B$310)),IF(239&lt;=COUNTA(半紙!$B$11:$B$310)+COUNTA(条幅!$B$11:$B$310)+COUNTA(条幅4分の1!$B$11:$B$310),INDEX(条幅4分の1!$B$11:$B$310,239-COUNTA(半紙!$B$11:$B$310)-COUNTA(条幅!$B$11:$B$310)),""))))</f>
        <v/>
      </c>
      <c r="C244" s="38" t="str">
        <f>IF(IF(239&lt;=COUNTA(半紙!$B$11:$B$310),INDEX(半紙!$C$11:$C$310,239),IF(239&lt;=COUNTA(半紙!$B$11:$B$310)+COUNTA(条幅!$B$11:$B$310),INDEX(条幅!$C$11:$C$310,239-COUNTA(半紙!$B$11:$B$310)),IF(239&lt;=COUNTA(半紙!$B$11:$B$310)+COUNTA(条幅!$B$11:$B$310)+COUNTA(条幅4分の1!$B$11:$B$310),INDEX(条幅4分の1!$C$11:$C$310,239-COUNTA(半紙!$B$11:$B$310)-COUNTA(条幅!$B$11:$B$310)),"")))=0,"",IF(239&lt;=COUNTA(半紙!$B$11:$B$310),INDEX(半紙!$C$11:$C$310,239),IF(239&lt;=COUNTA(半紙!$B$11:$B$310)+COUNTA(条幅!$B$11:$B$310),INDEX(条幅!$C$11:$C$310,239-COUNTA(半紙!$B$11:$B$310)),IF(239&lt;=COUNTA(半紙!$B$11:$B$310)+COUNTA(条幅!$B$11:$B$310)+COUNTA(条幅4分の1!$B$11:$B$310),INDEX(条幅4分の1!$C$11:$C$310,239-COUNTA(半紙!$B$11:$B$310)-COUNTA(条幅!$B$11:$B$310)),""))))</f>
        <v/>
      </c>
      <c r="D244" s="38" t="str">
        <f>IF(IF(239&lt;=COUNTA(半紙!$B$11:$B$310),INDEX(半紙!$D$11:$D$310,239),IF(239&lt;=COUNTA(半紙!$B$11:$B$310)+COUNTA(条幅!$B$11:$B$310),INDEX(条幅!$D$11:$D$310,239-COUNTA(半紙!$B$11:$B$310)),IF(239&lt;=COUNTA(半紙!$B$11:$B$310)+COUNTA(条幅!$B$11:$B$310)+COUNTA(条幅4分の1!$B$11:$B$310),INDEX(条幅4分の1!$D$11:$D$310,239-COUNTA(半紙!$B$11:$B$310)-COUNTA(条幅!$B$11:$B$310)),"")))=0,"",IF(239&lt;=COUNTA(半紙!$B$11:$B$310),INDEX(半紙!$D$11:$D$310,239),IF(239&lt;=COUNTA(半紙!$B$11:$B$310)+COUNTA(条幅!$B$11:$B$310),INDEX(条幅!$D$11:$D$310,239-COUNTA(半紙!$B$11:$B$310)),IF(239&lt;=COUNTA(半紙!$B$11:$B$310)+COUNTA(条幅!$B$11:$B$310)+COUNTA(条幅4分の1!$B$11:$B$310),INDEX(条幅4分の1!$D$11:$D$310,239-COUNTA(半紙!$B$11:$B$310)-COUNTA(条幅!$B$11:$B$310)),""))))</f>
        <v/>
      </c>
      <c r="E244" s="38" t="str">
        <f>IF(IF(239&lt;=COUNTA(半紙!$B$11:$B$310),INDEX(半紙!$E$11:$E$310,239),IF(239&lt;=COUNTA(半紙!$B$11:$B$310)+COUNTA(条幅!$B$11:$B$310),INDEX(条幅!$E$11:$E$310,239-COUNTA(半紙!$B$11:$B$310)),IF(239&lt;=COUNTA(半紙!$B$11:$B$310)+COUNTA(条幅!$B$11:$B$310)+COUNTA(条幅4分の1!$B$11:$B$310),INDEX(条幅4分の1!$E$11:$E$310,239-COUNTA(半紙!$B$11:$B$310)-COUNTA(条幅!$B$11:$B$310)),"")))=0,"",IF(239&lt;=COUNTA(半紙!$B$11:$B$310),INDEX(半紙!$E$11:$E$310,239),IF(239&lt;=COUNTA(半紙!$B$11:$B$310)+COUNTA(条幅!$B$11:$B$310),INDEX(条幅!$E$11:$E$310,239-COUNTA(半紙!$B$11:$B$310)),IF(239&lt;=COUNTA(半紙!$B$11:$B$310)+COUNTA(条幅!$B$11:$B$310)+COUNTA(条幅4分の1!$B$11:$B$310),INDEX(条幅4分の1!$E$11:$E$310,239-COUNTA(半紙!$B$11:$B$310)-COUNTA(条幅!$B$11:$B$310)),""))))</f>
        <v/>
      </c>
      <c r="F244" s="38" t="str">
        <f>IF(IF(239&lt;=COUNTA(半紙!$B$11:$B$310),INDEX(半紙!$F$11:$F$310,239),IF(239&lt;=COUNTA(半紙!$B$11:$B$310)+COUNTA(条幅!$B$11:$B$310),INDEX(条幅!$F$11:$F$310,239-COUNTA(半紙!$B$11:$B$310)),IF(239&lt;=COUNTA(半紙!$B$11:$B$310)+COUNTA(条幅!$B$11:$B$310)+COUNTA(条幅4分の1!$B$11:$B$310),INDEX(条幅4分の1!$F$11:$F$310,239-COUNTA(半紙!$B$11:$B$310)-COUNTA(条幅!$B$11:$B$310)),"")))=0,"",IF(239&lt;=COUNTA(半紙!$B$11:$B$310),INDEX(半紙!$F$11:$F$310,239),IF(239&lt;=COUNTA(半紙!$B$11:$B$310)+COUNTA(条幅!$B$11:$B$310),INDEX(条幅!$F$11:$F$310,239-COUNTA(半紙!$B$11:$B$310)),IF(239&lt;=COUNTA(半紙!$B$11:$B$310)+COUNTA(条幅!$B$11:$B$310)+COUNTA(条幅4分の1!$B$11:$B$310),INDEX(条幅4分の1!$F$11:$F$310,239-COUNTA(半紙!$B$11:$B$310)-COUNTA(条幅!$B$11:$B$310)),""))))</f>
        <v/>
      </c>
      <c r="G244" s="38" t="str">
        <f>IF(IF(239&lt;=COUNTA(半紙!$B$11:$B$310),INDEX(半紙!$G$11:$G$310,239),IF(239&lt;=COUNTA(半紙!$B$11:$B$310)+COUNTA(条幅!$B$11:$B$310),INDEX(条幅!$G$11:$G$310,239-COUNTA(半紙!$B$11:$B$310)),IF(239&lt;=COUNTA(半紙!$B$11:$B$310)+COUNTA(条幅!$B$11:$B$310)+COUNTA(条幅4分の1!$B$11:$B$310),INDEX(条幅4分の1!$G$11:$G$310,239-COUNTA(半紙!$B$11:$B$310)-COUNTA(条幅!$B$11:$B$310)),"")))=0,"",IF(239&lt;=COUNTA(半紙!$B$11:$B$310),INDEX(半紙!$G$11:$G$310,239),IF(239&lt;=COUNTA(半紙!$B$11:$B$310)+COUNTA(条幅!$B$11:$B$310),INDEX(条幅!$G$11:$G$310,239-COUNTA(半紙!$B$11:$B$310)),IF(239&lt;=COUNTA(半紙!$B$11:$B$310)+COUNTA(条幅!$B$11:$B$310)+COUNTA(条幅4分の1!$B$11:$B$310),INDEX(条幅4分の1!$G$11:$G$310,239-COUNTA(半紙!$B$11:$B$310)-COUNTA(条幅!$B$11:$B$310)),""))))</f>
        <v/>
      </c>
      <c r="H244" s="38" t="str">
        <f>IF(IF(239&lt;=COUNTA(半紙!$B$11:$B$310),INDEX(半紙!$H$11:$H$310,239),IF(239&lt;=COUNTA(半紙!$B$11:$B$310)+COUNTA(条幅!$B$11:$B$310),INDEX(条幅!$H$11:$H$310,239-COUNTA(半紙!$B$11:$B$310)),IF(239&lt;=COUNTA(半紙!$B$11:$B$310)+COUNTA(条幅!$B$11:$B$310)+COUNTA(条幅4分の1!$B$11:$B$310),INDEX(条幅4分の1!$H$11:$H$310,239-COUNTA(半紙!$B$11:$B$310)-COUNTA(条幅!$B$11:$B$310)),"")))=0,"",IF(239&lt;=COUNTA(半紙!$B$11:$B$310),INDEX(半紙!$H$11:$H$310,239),IF(239&lt;=COUNTA(半紙!$B$11:$B$310)+COUNTA(条幅!$B$11:$B$310),INDEX(条幅!$H$11:$H$310,239-COUNTA(半紙!$B$11:$B$310)),IF(239&lt;=COUNTA(半紙!$B$11:$B$310)+COUNTA(条幅!$B$11:$B$310)+COUNTA(条幅4分の1!$B$11:$B$310),INDEX(条幅4分の1!$H$11:$H$310,239-COUNTA(半紙!$B$11:$B$310)-COUNTA(条幅!$B$11:$B$310)),""))))</f>
        <v/>
      </c>
      <c r="I244" s="38" t="str">
        <f>IF(IF(239&lt;=COUNTA(半紙!$B$11:$B$310),INDEX(半紙!$I$11:$I$310,239),IF(239&lt;=COUNTA(半紙!$B$11:$B$310)+COUNTA(条幅!$B$11:$B$310),INDEX(条幅!$I$11:$I$310,239-COUNTA(半紙!$B$11:$B$310)),IF(239&lt;=COUNTA(半紙!$B$11:$B$310)+COUNTA(条幅!$B$11:$B$310)+COUNTA(条幅4分の1!$B$11:$B$310),INDEX(条幅4分の1!$I$11:$I$310,239-COUNTA(半紙!$B$11:$B$310)-COUNTA(条幅!$B$11:$B$310)),"")))=0,"",IF(239&lt;=COUNTA(半紙!$B$11:$B$310),INDEX(半紙!$I$11:$I$310,239),IF(239&lt;=COUNTA(半紙!$B$11:$B$310)+COUNTA(条幅!$B$11:$B$310),INDEX(条幅!$I$11:$I$310,239-COUNTA(半紙!$B$11:$B$310)),IF(239&lt;=COUNTA(半紙!$B$11:$B$310)+COUNTA(条幅!$B$11:$B$310)+COUNTA(条幅4分の1!$B$11:$B$310),INDEX(条幅4分の1!$I$11:$I$310,239-COUNTA(半紙!$B$11:$B$310)-COUNTA(条幅!$B$11:$B$310)),""))))</f>
        <v/>
      </c>
      <c r="J244" s="38" t="str">
        <f>IF(IF(239&lt;=COUNTA(半紙!$B$11:$B$310),INDEX(半紙!$J$11:$J$310,239),IF(239&lt;=COUNTA(半紙!$B$11:$B$310)+COUNTA(条幅!$B$11:$B$310),INDEX(条幅!$J$11:$J$310,239-COUNTA(半紙!$B$11:$B$310)),IF(239&lt;=COUNTA(半紙!$B$11:$B$310)+COUNTA(条幅!$B$11:$B$310)+COUNTA(条幅4分の1!$B$11:$B$310),INDEX(条幅4分の1!$J$11:$J$310,239-COUNTA(半紙!$B$11:$B$310)-COUNTA(条幅!$B$11:$B$310)),"")))=0,"",IF(239&lt;=COUNTA(半紙!$B$11:$B$310),INDEX(半紙!$J$11:$J$310,239),IF(239&lt;=COUNTA(半紙!$B$11:$B$310)+COUNTA(条幅!$B$11:$B$310),INDEX(条幅!$J$11:$J$310,239-COUNTA(半紙!$B$11:$B$310)),IF(239&lt;=COUNTA(半紙!$B$11:$B$310)+COUNTA(条幅!$B$11:$B$310)+COUNTA(条幅4分の1!$B$11:$B$310),INDEX(条幅4分の1!$J$11:$J$310,239-COUNTA(半紙!$B$11:$B$310)-COUNTA(条幅!$B$11:$B$310)),""))))</f>
        <v/>
      </c>
      <c r="K244" s="38" t="str">
        <f>IF(IF(239&lt;=COUNTA(半紙!$B$11:$B$310),INDEX(半紙!$K$11:$K$310,239),IF(239&lt;=COUNTA(半紙!$B$11:$B$310)+COUNTA(条幅!$B$11:$B$310),INDEX(条幅!$K$11:$K$310,239-COUNTA(半紙!$B$11:$B$310)),IF(239&lt;=COUNTA(半紙!$B$11:$B$310)+COUNTA(条幅!$B$11:$B$310)+COUNTA(条幅4分の1!$B$11:$B$310),INDEX(条幅4分の1!$K$11:$K$310,239-COUNTA(半紙!$B$11:$B$310)-COUNTA(条幅!$B$11:$B$310)),"")))=0,"",IF(239&lt;=COUNTA(半紙!$B$11:$B$310),INDEX(半紙!$K$11:$K$310,239),IF(239&lt;=COUNTA(半紙!$B$11:$B$310)+COUNTA(条幅!$B$11:$B$310),INDEX(条幅!$K$11:$K$310,239-COUNTA(半紙!$B$11:$B$310)),IF(239&lt;=COUNTA(半紙!$B$11:$B$310)+COUNTA(条幅!$B$11:$B$310)+COUNTA(条幅4分の1!$B$11:$B$310),INDEX(条幅4分の1!$K$11:$K$310,239-COUNTA(半紙!$B$11:$B$310)-COUNTA(条幅!$B$11:$B$310)),""))))</f>
        <v/>
      </c>
      <c r="L244" s="48" t="str">
        <f>IF($B244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239))</f>
        <v/>
      </c>
    </row>
    <row r="245" spans="1:12" ht="15" customHeight="1">
      <c r="A245" s="37" t="str">
        <f>IF(240&lt;=COUNTA(半紙!$B$11:$B$310),"半紙",IF(240&lt;=COUNTA(半紙!$B$11:$B$310)+COUNTA(条幅!$B$11:$B$310),"条幅(半切)",IF(240&lt;=COUNTA(半紙!$B$11:$B$310)+COUNTA(条幅!$B$11:$B$310)+COUNTA(条幅4分の1!$B$11:$B$310),"条幅(1/4)","")))</f>
        <v/>
      </c>
      <c r="B245" s="38" t="str">
        <f>IF(IF(240&lt;=COUNTA(半紙!$B$11:$B$310),INDEX(半紙!$B$11:$B$310,240),IF(240&lt;=COUNTA(半紙!$B$11:$B$310)+COUNTA(条幅!$B$11:$B$310),INDEX(条幅!$B$11:$B$310,240-COUNTA(半紙!$B$11:$B$310)),IF(240&lt;=COUNTA(半紙!$B$11:$B$310)+COUNTA(条幅!$B$11:$B$310)+COUNTA(条幅4分の1!$B$11:$B$310),INDEX(条幅4分の1!$B$11:$B$310,240-COUNTA(半紙!$B$11:$B$310)-COUNTA(条幅!$B$11:$B$310)),"")))=0,"",IF(240&lt;=COUNTA(半紙!$B$11:$B$310),INDEX(半紙!$B$11:$B$310,240),IF(240&lt;=COUNTA(半紙!$B$11:$B$310)+COUNTA(条幅!$B$11:$B$310),INDEX(条幅!$B$11:$B$310,240-COUNTA(半紙!$B$11:$B$310)),IF(240&lt;=COUNTA(半紙!$B$11:$B$310)+COUNTA(条幅!$B$11:$B$310)+COUNTA(条幅4分の1!$B$11:$B$310),INDEX(条幅4分の1!$B$11:$B$310,240-COUNTA(半紙!$B$11:$B$310)-COUNTA(条幅!$B$11:$B$310)),""))))</f>
        <v/>
      </c>
      <c r="C245" s="38" t="str">
        <f>IF(IF(240&lt;=COUNTA(半紙!$B$11:$B$310),INDEX(半紙!$C$11:$C$310,240),IF(240&lt;=COUNTA(半紙!$B$11:$B$310)+COUNTA(条幅!$B$11:$B$310),INDEX(条幅!$C$11:$C$310,240-COUNTA(半紙!$B$11:$B$310)),IF(240&lt;=COUNTA(半紙!$B$11:$B$310)+COUNTA(条幅!$B$11:$B$310)+COUNTA(条幅4分の1!$B$11:$B$310),INDEX(条幅4分の1!$C$11:$C$310,240-COUNTA(半紙!$B$11:$B$310)-COUNTA(条幅!$B$11:$B$310)),"")))=0,"",IF(240&lt;=COUNTA(半紙!$B$11:$B$310),INDEX(半紙!$C$11:$C$310,240),IF(240&lt;=COUNTA(半紙!$B$11:$B$310)+COUNTA(条幅!$B$11:$B$310),INDEX(条幅!$C$11:$C$310,240-COUNTA(半紙!$B$11:$B$310)),IF(240&lt;=COUNTA(半紙!$B$11:$B$310)+COUNTA(条幅!$B$11:$B$310)+COUNTA(条幅4分の1!$B$11:$B$310),INDEX(条幅4分の1!$C$11:$C$310,240-COUNTA(半紙!$B$11:$B$310)-COUNTA(条幅!$B$11:$B$310)),""))))</f>
        <v/>
      </c>
      <c r="D245" s="38" t="str">
        <f>IF(IF(240&lt;=COUNTA(半紙!$B$11:$B$310),INDEX(半紙!$D$11:$D$310,240),IF(240&lt;=COUNTA(半紙!$B$11:$B$310)+COUNTA(条幅!$B$11:$B$310),INDEX(条幅!$D$11:$D$310,240-COUNTA(半紙!$B$11:$B$310)),IF(240&lt;=COUNTA(半紙!$B$11:$B$310)+COUNTA(条幅!$B$11:$B$310)+COUNTA(条幅4分の1!$B$11:$B$310),INDEX(条幅4分の1!$D$11:$D$310,240-COUNTA(半紙!$B$11:$B$310)-COUNTA(条幅!$B$11:$B$310)),"")))=0,"",IF(240&lt;=COUNTA(半紙!$B$11:$B$310),INDEX(半紙!$D$11:$D$310,240),IF(240&lt;=COUNTA(半紙!$B$11:$B$310)+COUNTA(条幅!$B$11:$B$310),INDEX(条幅!$D$11:$D$310,240-COUNTA(半紙!$B$11:$B$310)),IF(240&lt;=COUNTA(半紙!$B$11:$B$310)+COUNTA(条幅!$B$11:$B$310)+COUNTA(条幅4分の1!$B$11:$B$310),INDEX(条幅4分の1!$D$11:$D$310,240-COUNTA(半紙!$B$11:$B$310)-COUNTA(条幅!$B$11:$B$310)),""))))</f>
        <v/>
      </c>
      <c r="E245" s="38" t="str">
        <f>IF(IF(240&lt;=COUNTA(半紙!$B$11:$B$310),INDEX(半紙!$E$11:$E$310,240),IF(240&lt;=COUNTA(半紙!$B$11:$B$310)+COUNTA(条幅!$B$11:$B$310),INDEX(条幅!$E$11:$E$310,240-COUNTA(半紙!$B$11:$B$310)),IF(240&lt;=COUNTA(半紙!$B$11:$B$310)+COUNTA(条幅!$B$11:$B$310)+COUNTA(条幅4分の1!$B$11:$B$310),INDEX(条幅4分の1!$E$11:$E$310,240-COUNTA(半紙!$B$11:$B$310)-COUNTA(条幅!$B$11:$B$310)),"")))=0,"",IF(240&lt;=COUNTA(半紙!$B$11:$B$310),INDEX(半紙!$E$11:$E$310,240),IF(240&lt;=COUNTA(半紙!$B$11:$B$310)+COUNTA(条幅!$B$11:$B$310),INDEX(条幅!$E$11:$E$310,240-COUNTA(半紙!$B$11:$B$310)),IF(240&lt;=COUNTA(半紙!$B$11:$B$310)+COUNTA(条幅!$B$11:$B$310)+COUNTA(条幅4分の1!$B$11:$B$310),INDEX(条幅4分の1!$E$11:$E$310,240-COUNTA(半紙!$B$11:$B$310)-COUNTA(条幅!$B$11:$B$310)),""))))</f>
        <v/>
      </c>
      <c r="F245" s="38" t="str">
        <f>IF(IF(240&lt;=COUNTA(半紙!$B$11:$B$310),INDEX(半紙!$F$11:$F$310,240),IF(240&lt;=COUNTA(半紙!$B$11:$B$310)+COUNTA(条幅!$B$11:$B$310),INDEX(条幅!$F$11:$F$310,240-COUNTA(半紙!$B$11:$B$310)),IF(240&lt;=COUNTA(半紙!$B$11:$B$310)+COUNTA(条幅!$B$11:$B$310)+COUNTA(条幅4分の1!$B$11:$B$310),INDEX(条幅4分の1!$F$11:$F$310,240-COUNTA(半紙!$B$11:$B$310)-COUNTA(条幅!$B$11:$B$310)),"")))=0,"",IF(240&lt;=COUNTA(半紙!$B$11:$B$310),INDEX(半紙!$F$11:$F$310,240),IF(240&lt;=COUNTA(半紙!$B$11:$B$310)+COUNTA(条幅!$B$11:$B$310),INDEX(条幅!$F$11:$F$310,240-COUNTA(半紙!$B$11:$B$310)),IF(240&lt;=COUNTA(半紙!$B$11:$B$310)+COUNTA(条幅!$B$11:$B$310)+COUNTA(条幅4分の1!$B$11:$B$310),INDEX(条幅4分の1!$F$11:$F$310,240-COUNTA(半紙!$B$11:$B$310)-COUNTA(条幅!$B$11:$B$310)),""))))</f>
        <v/>
      </c>
      <c r="G245" s="38" t="str">
        <f>IF(IF(240&lt;=COUNTA(半紙!$B$11:$B$310),INDEX(半紙!$G$11:$G$310,240),IF(240&lt;=COUNTA(半紙!$B$11:$B$310)+COUNTA(条幅!$B$11:$B$310),INDEX(条幅!$G$11:$G$310,240-COUNTA(半紙!$B$11:$B$310)),IF(240&lt;=COUNTA(半紙!$B$11:$B$310)+COUNTA(条幅!$B$11:$B$310)+COUNTA(条幅4分の1!$B$11:$B$310),INDEX(条幅4分の1!$G$11:$G$310,240-COUNTA(半紙!$B$11:$B$310)-COUNTA(条幅!$B$11:$B$310)),"")))=0,"",IF(240&lt;=COUNTA(半紙!$B$11:$B$310),INDEX(半紙!$G$11:$G$310,240),IF(240&lt;=COUNTA(半紙!$B$11:$B$310)+COUNTA(条幅!$B$11:$B$310),INDEX(条幅!$G$11:$G$310,240-COUNTA(半紙!$B$11:$B$310)),IF(240&lt;=COUNTA(半紙!$B$11:$B$310)+COUNTA(条幅!$B$11:$B$310)+COUNTA(条幅4分の1!$B$11:$B$310),INDEX(条幅4分の1!$G$11:$G$310,240-COUNTA(半紙!$B$11:$B$310)-COUNTA(条幅!$B$11:$B$310)),""))))</f>
        <v/>
      </c>
      <c r="H245" s="38" t="str">
        <f>IF(IF(240&lt;=COUNTA(半紙!$B$11:$B$310),INDEX(半紙!$H$11:$H$310,240),IF(240&lt;=COUNTA(半紙!$B$11:$B$310)+COUNTA(条幅!$B$11:$B$310),INDEX(条幅!$H$11:$H$310,240-COUNTA(半紙!$B$11:$B$310)),IF(240&lt;=COUNTA(半紙!$B$11:$B$310)+COUNTA(条幅!$B$11:$B$310)+COUNTA(条幅4分の1!$B$11:$B$310),INDEX(条幅4分の1!$H$11:$H$310,240-COUNTA(半紙!$B$11:$B$310)-COUNTA(条幅!$B$11:$B$310)),"")))=0,"",IF(240&lt;=COUNTA(半紙!$B$11:$B$310),INDEX(半紙!$H$11:$H$310,240),IF(240&lt;=COUNTA(半紙!$B$11:$B$310)+COUNTA(条幅!$B$11:$B$310),INDEX(条幅!$H$11:$H$310,240-COUNTA(半紙!$B$11:$B$310)),IF(240&lt;=COUNTA(半紙!$B$11:$B$310)+COUNTA(条幅!$B$11:$B$310)+COUNTA(条幅4分の1!$B$11:$B$310),INDEX(条幅4分の1!$H$11:$H$310,240-COUNTA(半紙!$B$11:$B$310)-COUNTA(条幅!$B$11:$B$310)),""))))</f>
        <v/>
      </c>
      <c r="I245" s="38" t="str">
        <f>IF(IF(240&lt;=COUNTA(半紙!$B$11:$B$310),INDEX(半紙!$I$11:$I$310,240),IF(240&lt;=COUNTA(半紙!$B$11:$B$310)+COUNTA(条幅!$B$11:$B$310),INDEX(条幅!$I$11:$I$310,240-COUNTA(半紙!$B$11:$B$310)),IF(240&lt;=COUNTA(半紙!$B$11:$B$310)+COUNTA(条幅!$B$11:$B$310)+COUNTA(条幅4分の1!$B$11:$B$310),INDEX(条幅4分の1!$I$11:$I$310,240-COUNTA(半紙!$B$11:$B$310)-COUNTA(条幅!$B$11:$B$310)),"")))=0,"",IF(240&lt;=COUNTA(半紙!$B$11:$B$310),INDEX(半紙!$I$11:$I$310,240),IF(240&lt;=COUNTA(半紙!$B$11:$B$310)+COUNTA(条幅!$B$11:$B$310),INDEX(条幅!$I$11:$I$310,240-COUNTA(半紙!$B$11:$B$310)),IF(240&lt;=COUNTA(半紙!$B$11:$B$310)+COUNTA(条幅!$B$11:$B$310)+COUNTA(条幅4分の1!$B$11:$B$310),INDEX(条幅4分の1!$I$11:$I$310,240-COUNTA(半紙!$B$11:$B$310)-COUNTA(条幅!$B$11:$B$310)),""))))</f>
        <v/>
      </c>
      <c r="J245" s="38" t="str">
        <f>IF(IF(240&lt;=COUNTA(半紙!$B$11:$B$310),INDEX(半紙!$J$11:$J$310,240),IF(240&lt;=COUNTA(半紙!$B$11:$B$310)+COUNTA(条幅!$B$11:$B$310),INDEX(条幅!$J$11:$J$310,240-COUNTA(半紙!$B$11:$B$310)),IF(240&lt;=COUNTA(半紙!$B$11:$B$310)+COUNTA(条幅!$B$11:$B$310)+COUNTA(条幅4分の1!$B$11:$B$310),INDEX(条幅4分の1!$J$11:$J$310,240-COUNTA(半紙!$B$11:$B$310)-COUNTA(条幅!$B$11:$B$310)),"")))=0,"",IF(240&lt;=COUNTA(半紙!$B$11:$B$310),INDEX(半紙!$J$11:$J$310,240),IF(240&lt;=COUNTA(半紙!$B$11:$B$310)+COUNTA(条幅!$B$11:$B$310),INDEX(条幅!$J$11:$J$310,240-COUNTA(半紙!$B$11:$B$310)),IF(240&lt;=COUNTA(半紙!$B$11:$B$310)+COUNTA(条幅!$B$11:$B$310)+COUNTA(条幅4分の1!$B$11:$B$310),INDEX(条幅4分の1!$J$11:$J$310,240-COUNTA(半紙!$B$11:$B$310)-COUNTA(条幅!$B$11:$B$310)),""))))</f>
        <v/>
      </c>
      <c r="K245" s="38" t="str">
        <f>IF(IF(240&lt;=COUNTA(半紙!$B$11:$B$310),INDEX(半紙!$K$11:$K$310,240),IF(240&lt;=COUNTA(半紙!$B$11:$B$310)+COUNTA(条幅!$B$11:$B$310),INDEX(条幅!$K$11:$K$310,240-COUNTA(半紙!$B$11:$B$310)),IF(240&lt;=COUNTA(半紙!$B$11:$B$310)+COUNTA(条幅!$B$11:$B$310)+COUNTA(条幅4分の1!$B$11:$B$310),INDEX(条幅4分の1!$K$11:$K$310,240-COUNTA(半紙!$B$11:$B$310)-COUNTA(条幅!$B$11:$B$310)),"")))=0,"",IF(240&lt;=COUNTA(半紙!$B$11:$B$310),INDEX(半紙!$K$11:$K$310,240),IF(240&lt;=COUNTA(半紙!$B$11:$B$310)+COUNTA(条幅!$B$11:$B$310),INDEX(条幅!$K$11:$K$310,240-COUNTA(半紙!$B$11:$B$310)),IF(240&lt;=COUNTA(半紙!$B$11:$B$310)+COUNTA(条幅!$B$11:$B$310)+COUNTA(条幅4分の1!$B$11:$B$310),INDEX(条幅4分の1!$K$11:$K$310,240-COUNTA(半紙!$B$11:$B$310)-COUNTA(条幅!$B$11:$B$310)),""))))</f>
        <v/>
      </c>
      <c r="L245" s="48" t="str">
        <f>IF($B245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240))</f>
        <v/>
      </c>
    </row>
    <row r="246" spans="1:12" ht="15" customHeight="1">
      <c r="A246" s="37" t="str">
        <f>IF(241&lt;=COUNTA(半紙!$B$11:$B$310),"半紙",IF(241&lt;=COUNTA(半紙!$B$11:$B$310)+COUNTA(条幅!$B$11:$B$310),"条幅(半切)",IF(241&lt;=COUNTA(半紙!$B$11:$B$310)+COUNTA(条幅!$B$11:$B$310)+COUNTA(条幅4分の1!$B$11:$B$310),"条幅(1/4)","")))</f>
        <v/>
      </c>
      <c r="B246" s="38" t="str">
        <f>IF(IF(241&lt;=COUNTA(半紙!$B$11:$B$310),INDEX(半紙!$B$11:$B$310,241),IF(241&lt;=COUNTA(半紙!$B$11:$B$310)+COUNTA(条幅!$B$11:$B$310),INDEX(条幅!$B$11:$B$310,241-COUNTA(半紙!$B$11:$B$310)),IF(241&lt;=COUNTA(半紙!$B$11:$B$310)+COUNTA(条幅!$B$11:$B$310)+COUNTA(条幅4分の1!$B$11:$B$310),INDEX(条幅4分の1!$B$11:$B$310,241-COUNTA(半紙!$B$11:$B$310)-COUNTA(条幅!$B$11:$B$310)),"")))=0,"",IF(241&lt;=COUNTA(半紙!$B$11:$B$310),INDEX(半紙!$B$11:$B$310,241),IF(241&lt;=COUNTA(半紙!$B$11:$B$310)+COUNTA(条幅!$B$11:$B$310),INDEX(条幅!$B$11:$B$310,241-COUNTA(半紙!$B$11:$B$310)),IF(241&lt;=COUNTA(半紙!$B$11:$B$310)+COUNTA(条幅!$B$11:$B$310)+COUNTA(条幅4分の1!$B$11:$B$310),INDEX(条幅4分の1!$B$11:$B$310,241-COUNTA(半紙!$B$11:$B$310)-COUNTA(条幅!$B$11:$B$310)),""))))</f>
        <v/>
      </c>
      <c r="C246" s="38" t="str">
        <f>IF(IF(241&lt;=COUNTA(半紙!$B$11:$B$310),INDEX(半紙!$C$11:$C$310,241),IF(241&lt;=COUNTA(半紙!$B$11:$B$310)+COUNTA(条幅!$B$11:$B$310),INDEX(条幅!$C$11:$C$310,241-COUNTA(半紙!$B$11:$B$310)),IF(241&lt;=COUNTA(半紙!$B$11:$B$310)+COUNTA(条幅!$B$11:$B$310)+COUNTA(条幅4分の1!$B$11:$B$310),INDEX(条幅4分の1!$C$11:$C$310,241-COUNTA(半紙!$B$11:$B$310)-COUNTA(条幅!$B$11:$B$310)),"")))=0,"",IF(241&lt;=COUNTA(半紙!$B$11:$B$310),INDEX(半紙!$C$11:$C$310,241),IF(241&lt;=COUNTA(半紙!$B$11:$B$310)+COUNTA(条幅!$B$11:$B$310),INDEX(条幅!$C$11:$C$310,241-COUNTA(半紙!$B$11:$B$310)),IF(241&lt;=COUNTA(半紙!$B$11:$B$310)+COUNTA(条幅!$B$11:$B$310)+COUNTA(条幅4分の1!$B$11:$B$310),INDEX(条幅4分の1!$C$11:$C$310,241-COUNTA(半紙!$B$11:$B$310)-COUNTA(条幅!$B$11:$B$310)),""))))</f>
        <v/>
      </c>
      <c r="D246" s="38" t="str">
        <f>IF(IF(241&lt;=COUNTA(半紙!$B$11:$B$310),INDEX(半紙!$D$11:$D$310,241),IF(241&lt;=COUNTA(半紙!$B$11:$B$310)+COUNTA(条幅!$B$11:$B$310),INDEX(条幅!$D$11:$D$310,241-COUNTA(半紙!$B$11:$B$310)),IF(241&lt;=COUNTA(半紙!$B$11:$B$310)+COUNTA(条幅!$B$11:$B$310)+COUNTA(条幅4分の1!$B$11:$B$310),INDEX(条幅4分の1!$D$11:$D$310,241-COUNTA(半紙!$B$11:$B$310)-COUNTA(条幅!$B$11:$B$310)),"")))=0,"",IF(241&lt;=COUNTA(半紙!$B$11:$B$310),INDEX(半紙!$D$11:$D$310,241),IF(241&lt;=COUNTA(半紙!$B$11:$B$310)+COUNTA(条幅!$B$11:$B$310),INDEX(条幅!$D$11:$D$310,241-COUNTA(半紙!$B$11:$B$310)),IF(241&lt;=COUNTA(半紙!$B$11:$B$310)+COUNTA(条幅!$B$11:$B$310)+COUNTA(条幅4分の1!$B$11:$B$310),INDEX(条幅4分の1!$D$11:$D$310,241-COUNTA(半紙!$B$11:$B$310)-COUNTA(条幅!$B$11:$B$310)),""))))</f>
        <v/>
      </c>
      <c r="E246" s="38" t="str">
        <f>IF(IF(241&lt;=COUNTA(半紙!$B$11:$B$310),INDEX(半紙!$E$11:$E$310,241),IF(241&lt;=COUNTA(半紙!$B$11:$B$310)+COUNTA(条幅!$B$11:$B$310),INDEX(条幅!$E$11:$E$310,241-COUNTA(半紙!$B$11:$B$310)),IF(241&lt;=COUNTA(半紙!$B$11:$B$310)+COUNTA(条幅!$B$11:$B$310)+COUNTA(条幅4分の1!$B$11:$B$310),INDEX(条幅4分の1!$E$11:$E$310,241-COUNTA(半紙!$B$11:$B$310)-COUNTA(条幅!$B$11:$B$310)),"")))=0,"",IF(241&lt;=COUNTA(半紙!$B$11:$B$310),INDEX(半紙!$E$11:$E$310,241),IF(241&lt;=COUNTA(半紙!$B$11:$B$310)+COUNTA(条幅!$B$11:$B$310),INDEX(条幅!$E$11:$E$310,241-COUNTA(半紙!$B$11:$B$310)),IF(241&lt;=COUNTA(半紙!$B$11:$B$310)+COUNTA(条幅!$B$11:$B$310)+COUNTA(条幅4分の1!$B$11:$B$310),INDEX(条幅4分の1!$E$11:$E$310,241-COUNTA(半紙!$B$11:$B$310)-COUNTA(条幅!$B$11:$B$310)),""))))</f>
        <v/>
      </c>
      <c r="F246" s="38" t="str">
        <f>IF(IF(241&lt;=COUNTA(半紙!$B$11:$B$310),INDEX(半紙!$F$11:$F$310,241),IF(241&lt;=COUNTA(半紙!$B$11:$B$310)+COUNTA(条幅!$B$11:$B$310),INDEX(条幅!$F$11:$F$310,241-COUNTA(半紙!$B$11:$B$310)),IF(241&lt;=COUNTA(半紙!$B$11:$B$310)+COUNTA(条幅!$B$11:$B$310)+COUNTA(条幅4分の1!$B$11:$B$310),INDEX(条幅4分の1!$F$11:$F$310,241-COUNTA(半紙!$B$11:$B$310)-COUNTA(条幅!$B$11:$B$310)),"")))=0,"",IF(241&lt;=COUNTA(半紙!$B$11:$B$310),INDEX(半紙!$F$11:$F$310,241),IF(241&lt;=COUNTA(半紙!$B$11:$B$310)+COUNTA(条幅!$B$11:$B$310),INDEX(条幅!$F$11:$F$310,241-COUNTA(半紙!$B$11:$B$310)),IF(241&lt;=COUNTA(半紙!$B$11:$B$310)+COUNTA(条幅!$B$11:$B$310)+COUNTA(条幅4分の1!$B$11:$B$310),INDEX(条幅4分の1!$F$11:$F$310,241-COUNTA(半紙!$B$11:$B$310)-COUNTA(条幅!$B$11:$B$310)),""))))</f>
        <v/>
      </c>
      <c r="G246" s="38" t="str">
        <f>IF(IF(241&lt;=COUNTA(半紙!$B$11:$B$310),INDEX(半紙!$G$11:$G$310,241),IF(241&lt;=COUNTA(半紙!$B$11:$B$310)+COUNTA(条幅!$B$11:$B$310),INDEX(条幅!$G$11:$G$310,241-COUNTA(半紙!$B$11:$B$310)),IF(241&lt;=COUNTA(半紙!$B$11:$B$310)+COUNTA(条幅!$B$11:$B$310)+COUNTA(条幅4分の1!$B$11:$B$310),INDEX(条幅4分の1!$G$11:$G$310,241-COUNTA(半紙!$B$11:$B$310)-COUNTA(条幅!$B$11:$B$310)),"")))=0,"",IF(241&lt;=COUNTA(半紙!$B$11:$B$310),INDEX(半紙!$G$11:$G$310,241),IF(241&lt;=COUNTA(半紙!$B$11:$B$310)+COUNTA(条幅!$B$11:$B$310),INDEX(条幅!$G$11:$G$310,241-COUNTA(半紙!$B$11:$B$310)),IF(241&lt;=COUNTA(半紙!$B$11:$B$310)+COUNTA(条幅!$B$11:$B$310)+COUNTA(条幅4分の1!$B$11:$B$310),INDEX(条幅4分の1!$G$11:$G$310,241-COUNTA(半紙!$B$11:$B$310)-COUNTA(条幅!$B$11:$B$310)),""))))</f>
        <v/>
      </c>
      <c r="H246" s="38" t="str">
        <f>IF(IF(241&lt;=COUNTA(半紙!$B$11:$B$310),INDEX(半紙!$H$11:$H$310,241),IF(241&lt;=COUNTA(半紙!$B$11:$B$310)+COUNTA(条幅!$B$11:$B$310),INDEX(条幅!$H$11:$H$310,241-COUNTA(半紙!$B$11:$B$310)),IF(241&lt;=COUNTA(半紙!$B$11:$B$310)+COUNTA(条幅!$B$11:$B$310)+COUNTA(条幅4分の1!$B$11:$B$310),INDEX(条幅4分の1!$H$11:$H$310,241-COUNTA(半紙!$B$11:$B$310)-COUNTA(条幅!$B$11:$B$310)),"")))=0,"",IF(241&lt;=COUNTA(半紙!$B$11:$B$310),INDEX(半紙!$H$11:$H$310,241),IF(241&lt;=COUNTA(半紙!$B$11:$B$310)+COUNTA(条幅!$B$11:$B$310),INDEX(条幅!$H$11:$H$310,241-COUNTA(半紙!$B$11:$B$310)),IF(241&lt;=COUNTA(半紙!$B$11:$B$310)+COUNTA(条幅!$B$11:$B$310)+COUNTA(条幅4分の1!$B$11:$B$310),INDEX(条幅4分の1!$H$11:$H$310,241-COUNTA(半紙!$B$11:$B$310)-COUNTA(条幅!$B$11:$B$310)),""))))</f>
        <v/>
      </c>
      <c r="I246" s="38" t="str">
        <f>IF(IF(241&lt;=COUNTA(半紙!$B$11:$B$310),INDEX(半紙!$I$11:$I$310,241),IF(241&lt;=COUNTA(半紙!$B$11:$B$310)+COUNTA(条幅!$B$11:$B$310),INDEX(条幅!$I$11:$I$310,241-COUNTA(半紙!$B$11:$B$310)),IF(241&lt;=COUNTA(半紙!$B$11:$B$310)+COUNTA(条幅!$B$11:$B$310)+COUNTA(条幅4分の1!$B$11:$B$310),INDEX(条幅4分の1!$I$11:$I$310,241-COUNTA(半紙!$B$11:$B$310)-COUNTA(条幅!$B$11:$B$310)),"")))=0,"",IF(241&lt;=COUNTA(半紙!$B$11:$B$310),INDEX(半紙!$I$11:$I$310,241),IF(241&lt;=COUNTA(半紙!$B$11:$B$310)+COUNTA(条幅!$B$11:$B$310),INDEX(条幅!$I$11:$I$310,241-COUNTA(半紙!$B$11:$B$310)),IF(241&lt;=COUNTA(半紙!$B$11:$B$310)+COUNTA(条幅!$B$11:$B$310)+COUNTA(条幅4分の1!$B$11:$B$310),INDEX(条幅4分の1!$I$11:$I$310,241-COUNTA(半紙!$B$11:$B$310)-COUNTA(条幅!$B$11:$B$310)),""))))</f>
        <v/>
      </c>
      <c r="J246" s="38" t="str">
        <f>IF(IF(241&lt;=COUNTA(半紙!$B$11:$B$310),INDEX(半紙!$J$11:$J$310,241),IF(241&lt;=COUNTA(半紙!$B$11:$B$310)+COUNTA(条幅!$B$11:$B$310),INDEX(条幅!$J$11:$J$310,241-COUNTA(半紙!$B$11:$B$310)),IF(241&lt;=COUNTA(半紙!$B$11:$B$310)+COUNTA(条幅!$B$11:$B$310)+COUNTA(条幅4分の1!$B$11:$B$310),INDEX(条幅4分の1!$J$11:$J$310,241-COUNTA(半紙!$B$11:$B$310)-COUNTA(条幅!$B$11:$B$310)),"")))=0,"",IF(241&lt;=COUNTA(半紙!$B$11:$B$310),INDEX(半紙!$J$11:$J$310,241),IF(241&lt;=COUNTA(半紙!$B$11:$B$310)+COUNTA(条幅!$B$11:$B$310),INDEX(条幅!$J$11:$J$310,241-COUNTA(半紙!$B$11:$B$310)),IF(241&lt;=COUNTA(半紙!$B$11:$B$310)+COUNTA(条幅!$B$11:$B$310)+COUNTA(条幅4分の1!$B$11:$B$310),INDEX(条幅4分の1!$J$11:$J$310,241-COUNTA(半紙!$B$11:$B$310)-COUNTA(条幅!$B$11:$B$310)),""))))</f>
        <v/>
      </c>
      <c r="K246" s="38" t="str">
        <f>IF(IF(241&lt;=COUNTA(半紙!$B$11:$B$310),INDEX(半紙!$K$11:$K$310,241),IF(241&lt;=COUNTA(半紙!$B$11:$B$310)+COUNTA(条幅!$B$11:$B$310),INDEX(条幅!$K$11:$K$310,241-COUNTA(半紙!$B$11:$B$310)),IF(241&lt;=COUNTA(半紙!$B$11:$B$310)+COUNTA(条幅!$B$11:$B$310)+COUNTA(条幅4分の1!$B$11:$B$310),INDEX(条幅4分の1!$K$11:$K$310,241-COUNTA(半紙!$B$11:$B$310)-COUNTA(条幅!$B$11:$B$310)),"")))=0,"",IF(241&lt;=COUNTA(半紙!$B$11:$B$310),INDEX(半紙!$K$11:$K$310,241),IF(241&lt;=COUNTA(半紙!$B$11:$B$310)+COUNTA(条幅!$B$11:$B$310),INDEX(条幅!$K$11:$K$310,241-COUNTA(半紙!$B$11:$B$310)),IF(241&lt;=COUNTA(半紙!$B$11:$B$310)+COUNTA(条幅!$B$11:$B$310)+COUNTA(条幅4分の1!$B$11:$B$310),INDEX(条幅4分の1!$K$11:$K$310,241-COUNTA(半紙!$B$11:$B$310)-COUNTA(条幅!$B$11:$B$310)),""))))</f>
        <v/>
      </c>
      <c r="L246" s="48" t="str">
        <f>IF($B246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241))</f>
        <v/>
      </c>
    </row>
    <row r="247" spans="1:12" ht="15" customHeight="1">
      <c r="A247" s="37" t="str">
        <f>IF(242&lt;=COUNTA(半紙!$B$11:$B$310),"半紙",IF(242&lt;=COUNTA(半紙!$B$11:$B$310)+COUNTA(条幅!$B$11:$B$310),"条幅(半切)",IF(242&lt;=COUNTA(半紙!$B$11:$B$310)+COUNTA(条幅!$B$11:$B$310)+COUNTA(条幅4分の1!$B$11:$B$310),"条幅(1/4)","")))</f>
        <v/>
      </c>
      <c r="B247" s="38" t="str">
        <f>IF(IF(242&lt;=COUNTA(半紙!$B$11:$B$310),INDEX(半紙!$B$11:$B$310,242),IF(242&lt;=COUNTA(半紙!$B$11:$B$310)+COUNTA(条幅!$B$11:$B$310),INDEX(条幅!$B$11:$B$310,242-COUNTA(半紙!$B$11:$B$310)),IF(242&lt;=COUNTA(半紙!$B$11:$B$310)+COUNTA(条幅!$B$11:$B$310)+COUNTA(条幅4分の1!$B$11:$B$310),INDEX(条幅4分の1!$B$11:$B$310,242-COUNTA(半紙!$B$11:$B$310)-COUNTA(条幅!$B$11:$B$310)),"")))=0,"",IF(242&lt;=COUNTA(半紙!$B$11:$B$310),INDEX(半紙!$B$11:$B$310,242),IF(242&lt;=COUNTA(半紙!$B$11:$B$310)+COUNTA(条幅!$B$11:$B$310),INDEX(条幅!$B$11:$B$310,242-COUNTA(半紙!$B$11:$B$310)),IF(242&lt;=COUNTA(半紙!$B$11:$B$310)+COUNTA(条幅!$B$11:$B$310)+COUNTA(条幅4分の1!$B$11:$B$310),INDEX(条幅4分の1!$B$11:$B$310,242-COUNTA(半紙!$B$11:$B$310)-COUNTA(条幅!$B$11:$B$310)),""))))</f>
        <v/>
      </c>
      <c r="C247" s="38" t="str">
        <f>IF(IF(242&lt;=COUNTA(半紙!$B$11:$B$310),INDEX(半紙!$C$11:$C$310,242),IF(242&lt;=COUNTA(半紙!$B$11:$B$310)+COUNTA(条幅!$B$11:$B$310),INDEX(条幅!$C$11:$C$310,242-COUNTA(半紙!$B$11:$B$310)),IF(242&lt;=COUNTA(半紙!$B$11:$B$310)+COUNTA(条幅!$B$11:$B$310)+COUNTA(条幅4分の1!$B$11:$B$310),INDEX(条幅4分の1!$C$11:$C$310,242-COUNTA(半紙!$B$11:$B$310)-COUNTA(条幅!$B$11:$B$310)),"")))=0,"",IF(242&lt;=COUNTA(半紙!$B$11:$B$310),INDEX(半紙!$C$11:$C$310,242),IF(242&lt;=COUNTA(半紙!$B$11:$B$310)+COUNTA(条幅!$B$11:$B$310),INDEX(条幅!$C$11:$C$310,242-COUNTA(半紙!$B$11:$B$310)),IF(242&lt;=COUNTA(半紙!$B$11:$B$310)+COUNTA(条幅!$B$11:$B$310)+COUNTA(条幅4分の1!$B$11:$B$310),INDEX(条幅4分の1!$C$11:$C$310,242-COUNTA(半紙!$B$11:$B$310)-COUNTA(条幅!$B$11:$B$310)),""))))</f>
        <v/>
      </c>
      <c r="D247" s="38" t="str">
        <f>IF(IF(242&lt;=COUNTA(半紙!$B$11:$B$310),INDEX(半紙!$D$11:$D$310,242),IF(242&lt;=COUNTA(半紙!$B$11:$B$310)+COUNTA(条幅!$B$11:$B$310),INDEX(条幅!$D$11:$D$310,242-COUNTA(半紙!$B$11:$B$310)),IF(242&lt;=COUNTA(半紙!$B$11:$B$310)+COUNTA(条幅!$B$11:$B$310)+COUNTA(条幅4分の1!$B$11:$B$310),INDEX(条幅4分の1!$D$11:$D$310,242-COUNTA(半紙!$B$11:$B$310)-COUNTA(条幅!$B$11:$B$310)),"")))=0,"",IF(242&lt;=COUNTA(半紙!$B$11:$B$310),INDEX(半紙!$D$11:$D$310,242),IF(242&lt;=COUNTA(半紙!$B$11:$B$310)+COUNTA(条幅!$B$11:$B$310),INDEX(条幅!$D$11:$D$310,242-COUNTA(半紙!$B$11:$B$310)),IF(242&lt;=COUNTA(半紙!$B$11:$B$310)+COUNTA(条幅!$B$11:$B$310)+COUNTA(条幅4分の1!$B$11:$B$310),INDEX(条幅4分の1!$D$11:$D$310,242-COUNTA(半紙!$B$11:$B$310)-COUNTA(条幅!$B$11:$B$310)),""))))</f>
        <v/>
      </c>
      <c r="E247" s="38" t="str">
        <f>IF(IF(242&lt;=COUNTA(半紙!$B$11:$B$310),INDEX(半紙!$E$11:$E$310,242),IF(242&lt;=COUNTA(半紙!$B$11:$B$310)+COUNTA(条幅!$B$11:$B$310),INDEX(条幅!$E$11:$E$310,242-COUNTA(半紙!$B$11:$B$310)),IF(242&lt;=COUNTA(半紙!$B$11:$B$310)+COUNTA(条幅!$B$11:$B$310)+COUNTA(条幅4分の1!$B$11:$B$310),INDEX(条幅4分の1!$E$11:$E$310,242-COUNTA(半紙!$B$11:$B$310)-COUNTA(条幅!$B$11:$B$310)),"")))=0,"",IF(242&lt;=COUNTA(半紙!$B$11:$B$310),INDEX(半紙!$E$11:$E$310,242),IF(242&lt;=COUNTA(半紙!$B$11:$B$310)+COUNTA(条幅!$B$11:$B$310),INDEX(条幅!$E$11:$E$310,242-COUNTA(半紙!$B$11:$B$310)),IF(242&lt;=COUNTA(半紙!$B$11:$B$310)+COUNTA(条幅!$B$11:$B$310)+COUNTA(条幅4分の1!$B$11:$B$310),INDEX(条幅4分の1!$E$11:$E$310,242-COUNTA(半紙!$B$11:$B$310)-COUNTA(条幅!$B$11:$B$310)),""))))</f>
        <v/>
      </c>
      <c r="F247" s="38" t="str">
        <f>IF(IF(242&lt;=COUNTA(半紙!$B$11:$B$310),INDEX(半紙!$F$11:$F$310,242),IF(242&lt;=COUNTA(半紙!$B$11:$B$310)+COUNTA(条幅!$B$11:$B$310),INDEX(条幅!$F$11:$F$310,242-COUNTA(半紙!$B$11:$B$310)),IF(242&lt;=COUNTA(半紙!$B$11:$B$310)+COUNTA(条幅!$B$11:$B$310)+COUNTA(条幅4分の1!$B$11:$B$310),INDEX(条幅4分の1!$F$11:$F$310,242-COUNTA(半紙!$B$11:$B$310)-COUNTA(条幅!$B$11:$B$310)),"")))=0,"",IF(242&lt;=COUNTA(半紙!$B$11:$B$310),INDEX(半紙!$F$11:$F$310,242),IF(242&lt;=COUNTA(半紙!$B$11:$B$310)+COUNTA(条幅!$B$11:$B$310),INDEX(条幅!$F$11:$F$310,242-COUNTA(半紙!$B$11:$B$310)),IF(242&lt;=COUNTA(半紙!$B$11:$B$310)+COUNTA(条幅!$B$11:$B$310)+COUNTA(条幅4分の1!$B$11:$B$310),INDEX(条幅4分の1!$F$11:$F$310,242-COUNTA(半紙!$B$11:$B$310)-COUNTA(条幅!$B$11:$B$310)),""))))</f>
        <v/>
      </c>
      <c r="G247" s="38" t="str">
        <f>IF(IF(242&lt;=COUNTA(半紙!$B$11:$B$310),INDEX(半紙!$G$11:$G$310,242),IF(242&lt;=COUNTA(半紙!$B$11:$B$310)+COUNTA(条幅!$B$11:$B$310),INDEX(条幅!$G$11:$G$310,242-COUNTA(半紙!$B$11:$B$310)),IF(242&lt;=COUNTA(半紙!$B$11:$B$310)+COUNTA(条幅!$B$11:$B$310)+COUNTA(条幅4分の1!$B$11:$B$310),INDEX(条幅4分の1!$G$11:$G$310,242-COUNTA(半紙!$B$11:$B$310)-COUNTA(条幅!$B$11:$B$310)),"")))=0,"",IF(242&lt;=COUNTA(半紙!$B$11:$B$310),INDEX(半紙!$G$11:$G$310,242),IF(242&lt;=COUNTA(半紙!$B$11:$B$310)+COUNTA(条幅!$B$11:$B$310),INDEX(条幅!$G$11:$G$310,242-COUNTA(半紙!$B$11:$B$310)),IF(242&lt;=COUNTA(半紙!$B$11:$B$310)+COUNTA(条幅!$B$11:$B$310)+COUNTA(条幅4分の1!$B$11:$B$310),INDEX(条幅4分の1!$G$11:$G$310,242-COUNTA(半紙!$B$11:$B$310)-COUNTA(条幅!$B$11:$B$310)),""))))</f>
        <v/>
      </c>
      <c r="H247" s="38" t="str">
        <f>IF(IF(242&lt;=COUNTA(半紙!$B$11:$B$310),INDEX(半紙!$H$11:$H$310,242),IF(242&lt;=COUNTA(半紙!$B$11:$B$310)+COUNTA(条幅!$B$11:$B$310),INDEX(条幅!$H$11:$H$310,242-COUNTA(半紙!$B$11:$B$310)),IF(242&lt;=COUNTA(半紙!$B$11:$B$310)+COUNTA(条幅!$B$11:$B$310)+COUNTA(条幅4分の1!$B$11:$B$310),INDEX(条幅4分の1!$H$11:$H$310,242-COUNTA(半紙!$B$11:$B$310)-COUNTA(条幅!$B$11:$B$310)),"")))=0,"",IF(242&lt;=COUNTA(半紙!$B$11:$B$310),INDEX(半紙!$H$11:$H$310,242),IF(242&lt;=COUNTA(半紙!$B$11:$B$310)+COUNTA(条幅!$B$11:$B$310),INDEX(条幅!$H$11:$H$310,242-COUNTA(半紙!$B$11:$B$310)),IF(242&lt;=COUNTA(半紙!$B$11:$B$310)+COUNTA(条幅!$B$11:$B$310)+COUNTA(条幅4分の1!$B$11:$B$310),INDEX(条幅4分の1!$H$11:$H$310,242-COUNTA(半紙!$B$11:$B$310)-COUNTA(条幅!$B$11:$B$310)),""))))</f>
        <v/>
      </c>
      <c r="I247" s="38" t="str">
        <f>IF(IF(242&lt;=COUNTA(半紙!$B$11:$B$310),INDEX(半紙!$I$11:$I$310,242),IF(242&lt;=COUNTA(半紙!$B$11:$B$310)+COUNTA(条幅!$B$11:$B$310),INDEX(条幅!$I$11:$I$310,242-COUNTA(半紙!$B$11:$B$310)),IF(242&lt;=COUNTA(半紙!$B$11:$B$310)+COUNTA(条幅!$B$11:$B$310)+COUNTA(条幅4分の1!$B$11:$B$310),INDEX(条幅4分の1!$I$11:$I$310,242-COUNTA(半紙!$B$11:$B$310)-COUNTA(条幅!$B$11:$B$310)),"")))=0,"",IF(242&lt;=COUNTA(半紙!$B$11:$B$310),INDEX(半紙!$I$11:$I$310,242),IF(242&lt;=COUNTA(半紙!$B$11:$B$310)+COUNTA(条幅!$B$11:$B$310),INDEX(条幅!$I$11:$I$310,242-COUNTA(半紙!$B$11:$B$310)),IF(242&lt;=COUNTA(半紙!$B$11:$B$310)+COUNTA(条幅!$B$11:$B$310)+COUNTA(条幅4分の1!$B$11:$B$310),INDEX(条幅4分の1!$I$11:$I$310,242-COUNTA(半紙!$B$11:$B$310)-COUNTA(条幅!$B$11:$B$310)),""))))</f>
        <v/>
      </c>
      <c r="J247" s="38" t="str">
        <f>IF(IF(242&lt;=COUNTA(半紙!$B$11:$B$310),INDEX(半紙!$J$11:$J$310,242),IF(242&lt;=COUNTA(半紙!$B$11:$B$310)+COUNTA(条幅!$B$11:$B$310),INDEX(条幅!$J$11:$J$310,242-COUNTA(半紙!$B$11:$B$310)),IF(242&lt;=COUNTA(半紙!$B$11:$B$310)+COUNTA(条幅!$B$11:$B$310)+COUNTA(条幅4分の1!$B$11:$B$310),INDEX(条幅4分の1!$J$11:$J$310,242-COUNTA(半紙!$B$11:$B$310)-COUNTA(条幅!$B$11:$B$310)),"")))=0,"",IF(242&lt;=COUNTA(半紙!$B$11:$B$310),INDEX(半紙!$J$11:$J$310,242),IF(242&lt;=COUNTA(半紙!$B$11:$B$310)+COUNTA(条幅!$B$11:$B$310),INDEX(条幅!$J$11:$J$310,242-COUNTA(半紙!$B$11:$B$310)),IF(242&lt;=COUNTA(半紙!$B$11:$B$310)+COUNTA(条幅!$B$11:$B$310)+COUNTA(条幅4分の1!$B$11:$B$310),INDEX(条幅4分の1!$J$11:$J$310,242-COUNTA(半紙!$B$11:$B$310)-COUNTA(条幅!$B$11:$B$310)),""))))</f>
        <v/>
      </c>
      <c r="K247" s="38" t="str">
        <f>IF(IF(242&lt;=COUNTA(半紙!$B$11:$B$310),INDEX(半紙!$K$11:$K$310,242),IF(242&lt;=COUNTA(半紙!$B$11:$B$310)+COUNTA(条幅!$B$11:$B$310),INDEX(条幅!$K$11:$K$310,242-COUNTA(半紙!$B$11:$B$310)),IF(242&lt;=COUNTA(半紙!$B$11:$B$310)+COUNTA(条幅!$B$11:$B$310)+COUNTA(条幅4分の1!$B$11:$B$310),INDEX(条幅4分の1!$K$11:$K$310,242-COUNTA(半紙!$B$11:$B$310)-COUNTA(条幅!$B$11:$B$310)),"")))=0,"",IF(242&lt;=COUNTA(半紙!$B$11:$B$310),INDEX(半紙!$K$11:$K$310,242),IF(242&lt;=COUNTA(半紙!$B$11:$B$310)+COUNTA(条幅!$B$11:$B$310),INDEX(条幅!$K$11:$K$310,242-COUNTA(半紙!$B$11:$B$310)),IF(242&lt;=COUNTA(半紙!$B$11:$B$310)+COUNTA(条幅!$B$11:$B$310)+COUNTA(条幅4分の1!$B$11:$B$310),INDEX(条幅4分の1!$K$11:$K$310,242-COUNTA(半紙!$B$11:$B$310)-COUNTA(条幅!$B$11:$B$310)),""))))</f>
        <v/>
      </c>
      <c r="L247" s="48" t="str">
        <f>IF($B247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242))</f>
        <v/>
      </c>
    </row>
    <row r="248" spans="1:12" ht="15" customHeight="1">
      <c r="A248" s="37" t="str">
        <f>IF(243&lt;=COUNTA(半紙!$B$11:$B$310),"半紙",IF(243&lt;=COUNTA(半紙!$B$11:$B$310)+COUNTA(条幅!$B$11:$B$310),"条幅(半切)",IF(243&lt;=COUNTA(半紙!$B$11:$B$310)+COUNTA(条幅!$B$11:$B$310)+COUNTA(条幅4分の1!$B$11:$B$310),"条幅(1/4)","")))</f>
        <v/>
      </c>
      <c r="B248" s="38" t="str">
        <f>IF(IF(243&lt;=COUNTA(半紙!$B$11:$B$310),INDEX(半紙!$B$11:$B$310,243),IF(243&lt;=COUNTA(半紙!$B$11:$B$310)+COUNTA(条幅!$B$11:$B$310),INDEX(条幅!$B$11:$B$310,243-COUNTA(半紙!$B$11:$B$310)),IF(243&lt;=COUNTA(半紙!$B$11:$B$310)+COUNTA(条幅!$B$11:$B$310)+COUNTA(条幅4分の1!$B$11:$B$310),INDEX(条幅4分の1!$B$11:$B$310,243-COUNTA(半紙!$B$11:$B$310)-COUNTA(条幅!$B$11:$B$310)),"")))=0,"",IF(243&lt;=COUNTA(半紙!$B$11:$B$310),INDEX(半紙!$B$11:$B$310,243),IF(243&lt;=COUNTA(半紙!$B$11:$B$310)+COUNTA(条幅!$B$11:$B$310),INDEX(条幅!$B$11:$B$310,243-COUNTA(半紙!$B$11:$B$310)),IF(243&lt;=COUNTA(半紙!$B$11:$B$310)+COUNTA(条幅!$B$11:$B$310)+COUNTA(条幅4分の1!$B$11:$B$310),INDEX(条幅4分の1!$B$11:$B$310,243-COUNTA(半紙!$B$11:$B$310)-COUNTA(条幅!$B$11:$B$310)),""))))</f>
        <v/>
      </c>
      <c r="C248" s="38" t="str">
        <f>IF(IF(243&lt;=COUNTA(半紙!$B$11:$B$310),INDEX(半紙!$C$11:$C$310,243),IF(243&lt;=COUNTA(半紙!$B$11:$B$310)+COUNTA(条幅!$B$11:$B$310),INDEX(条幅!$C$11:$C$310,243-COUNTA(半紙!$B$11:$B$310)),IF(243&lt;=COUNTA(半紙!$B$11:$B$310)+COUNTA(条幅!$B$11:$B$310)+COUNTA(条幅4分の1!$B$11:$B$310),INDEX(条幅4分の1!$C$11:$C$310,243-COUNTA(半紙!$B$11:$B$310)-COUNTA(条幅!$B$11:$B$310)),"")))=0,"",IF(243&lt;=COUNTA(半紙!$B$11:$B$310),INDEX(半紙!$C$11:$C$310,243),IF(243&lt;=COUNTA(半紙!$B$11:$B$310)+COUNTA(条幅!$B$11:$B$310),INDEX(条幅!$C$11:$C$310,243-COUNTA(半紙!$B$11:$B$310)),IF(243&lt;=COUNTA(半紙!$B$11:$B$310)+COUNTA(条幅!$B$11:$B$310)+COUNTA(条幅4分の1!$B$11:$B$310),INDEX(条幅4分の1!$C$11:$C$310,243-COUNTA(半紙!$B$11:$B$310)-COUNTA(条幅!$B$11:$B$310)),""))))</f>
        <v/>
      </c>
      <c r="D248" s="38" t="str">
        <f>IF(IF(243&lt;=COUNTA(半紙!$B$11:$B$310),INDEX(半紙!$D$11:$D$310,243),IF(243&lt;=COUNTA(半紙!$B$11:$B$310)+COUNTA(条幅!$B$11:$B$310),INDEX(条幅!$D$11:$D$310,243-COUNTA(半紙!$B$11:$B$310)),IF(243&lt;=COUNTA(半紙!$B$11:$B$310)+COUNTA(条幅!$B$11:$B$310)+COUNTA(条幅4分の1!$B$11:$B$310),INDEX(条幅4分の1!$D$11:$D$310,243-COUNTA(半紙!$B$11:$B$310)-COUNTA(条幅!$B$11:$B$310)),"")))=0,"",IF(243&lt;=COUNTA(半紙!$B$11:$B$310),INDEX(半紙!$D$11:$D$310,243),IF(243&lt;=COUNTA(半紙!$B$11:$B$310)+COUNTA(条幅!$B$11:$B$310),INDEX(条幅!$D$11:$D$310,243-COUNTA(半紙!$B$11:$B$310)),IF(243&lt;=COUNTA(半紙!$B$11:$B$310)+COUNTA(条幅!$B$11:$B$310)+COUNTA(条幅4分の1!$B$11:$B$310),INDEX(条幅4分の1!$D$11:$D$310,243-COUNTA(半紙!$B$11:$B$310)-COUNTA(条幅!$B$11:$B$310)),""))))</f>
        <v/>
      </c>
      <c r="E248" s="38" t="str">
        <f>IF(IF(243&lt;=COUNTA(半紙!$B$11:$B$310),INDEX(半紙!$E$11:$E$310,243),IF(243&lt;=COUNTA(半紙!$B$11:$B$310)+COUNTA(条幅!$B$11:$B$310),INDEX(条幅!$E$11:$E$310,243-COUNTA(半紙!$B$11:$B$310)),IF(243&lt;=COUNTA(半紙!$B$11:$B$310)+COUNTA(条幅!$B$11:$B$310)+COUNTA(条幅4分の1!$B$11:$B$310),INDEX(条幅4分の1!$E$11:$E$310,243-COUNTA(半紙!$B$11:$B$310)-COUNTA(条幅!$B$11:$B$310)),"")))=0,"",IF(243&lt;=COUNTA(半紙!$B$11:$B$310),INDEX(半紙!$E$11:$E$310,243),IF(243&lt;=COUNTA(半紙!$B$11:$B$310)+COUNTA(条幅!$B$11:$B$310),INDEX(条幅!$E$11:$E$310,243-COUNTA(半紙!$B$11:$B$310)),IF(243&lt;=COUNTA(半紙!$B$11:$B$310)+COUNTA(条幅!$B$11:$B$310)+COUNTA(条幅4分の1!$B$11:$B$310),INDEX(条幅4分の1!$E$11:$E$310,243-COUNTA(半紙!$B$11:$B$310)-COUNTA(条幅!$B$11:$B$310)),""))))</f>
        <v/>
      </c>
      <c r="F248" s="38" t="str">
        <f>IF(IF(243&lt;=COUNTA(半紙!$B$11:$B$310),INDEX(半紙!$F$11:$F$310,243),IF(243&lt;=COUNTA(半紙!$B$11:$B$310)+COUNTA(条幅!$B$11:$B$310),INDEX(条幅!$F$11:$F$310,243-COUNTA(半紙!$B$11:$B$310)),IF(243&lt;=COUNTA(半紙!$B$11:$B$310)+COUNTA(条幅!$B$11:$B$310)+COUNTA(条幅4分の1!$B$11:$B$310),INDEX(条幅4分の1!$F$11:$F$310,243-COUNTA(半紙!$B$11:$B$310)-COUNTA(条幅!$B$11:$B$310)),"")))=0,"",IF(243&lt;=COUNTA(半紙!$B$11:$B$310),INDEX(半紙!$F$11:$F$310,243),IF(243&lt;=COUNTA(半紙!$B$11:$B$310)+COUNTA(条幅!$B$11:$B$310),INDEX(条幅!$F$11:$F$310,243-COUNTA(半紙!$B$11:$B$310)),IF(243&lt;=COUNTA(半紙!$B$11:$B$310)+COUNTA(条幅!$B$11:$B$310)+COUNTA(条幅4分の1!$B$11:$B$310),INDEX(条幅4分の1!$F$11:$F$310,243-COUNTA(半紙!$B$11:$B$310)-COUNTA(条幅!$B$11:$B$310)),""))))</f>
        <v/>
      </c>
      <c r="G248" s="38" t="str">
        <f>IF(IF(243&lt;=COUNTA(半紙!$B$11:$B$310),INDEX(半紙!$G$11:$G$310,243),IF(243&lt;=COUNTA(半紙!$B$11:$B$310)+COUNTA(条幅!$B$11:$B$310),INDEX(条幅!$G$11:$G$310,243-COUNTA(半紙!$B$11:$B$310)),IF(243&lt;=COUNTA(半紙!$B$11:$B$310)+COUNTA(条幅!$B$11:$B$310)+COUNTA(条幅4分の1!$B$11:$B$310),INDEX(条幅4分の1!$G$11:$G$310,243-COUNTA(半紙!$B$11:$B$310)-COUNTA(条幅!$B$11:$B$310)),"")))=0,"",IF(243&lt;=COUNTA(半紙!$B$11:$B$310),INDEX(半紙!$G$11:$G$310,243),IF(243&lt;=COUNTA(半紙!$B$11:$B$310)+COUNTA(条幅!$B$11:$B$310),INDEX(条幅!$G$11:$G$310,243-COUNTA(半紙!$B$11:$B$310)),IF(243&lt;=COUNTA(半紙!$B$11:$B$310)+COUNTA(条幅!$B$11:$B$310)+COUNTA(条幅4分の1!$B$11:$B$310),INDEX(条幅4分の1!$G$11:$G$310,243-COUNTA(半紙!$B$11:$B$310)-COUNTA(条幅!$B$11:$B$310)),""))))</f>
        <v/>
      </c>
      <c r="H248" s="38" t="str">
        <f>IF(IF(243&lt;=COUNTA(半紙!$B$11:$B$310),INDEX(半紙!$H$11:$H$310,243),IF(243&lt;=COUNTA(半紙!$B$11:$B$310)+COUNTA(条幅!$B$11:$B$310),INDEX(条幅!$H$11:$H$310,243-COUNTA(半紙!$B$11:$B$310)),IF(243&lt;=COUNTA(半紙!$B$11:$B$310)+COUNTA(条幅!$B$11:$B$310)+COUNTA(条幅4分の1!$B$11:$B$310),INDEX(条幅4分の1!$H$11:$H$310,243-COUNTA(半紙!$B$11:$B$310)-COUNTA(条幅!$B$11:$B$310)),"")))=0,"",IF(243&lt;=COUNTA(半紙!$B$11:$B$310),INDEX(半紙!$H$11:$H$310,243),IF(243&lt;=COUNTA(半紙!$B$11:$B$310)+COUNTA(条幅!$B$11:$B$310),INDEX(条幅!$H$11:$H$310,243-COUNTA(半紙!$B$11:$B$310)),IF(243&lt;=COUNTA(半紙!$B$11:$B$310)+COUNTA(条幅!$B$11:$B$310)+COUNTA(条幅4分の1!$B$11:$B$310),INDEX(条幅4分の1!$H$11:$H$310,243-COUNTA(半紙!$B$11:$B$310)-COUNTA(条幅!$B$11:$B$310)),""))))</f>
        <v/>
      </c>
      <c r="I248" s="38" t="str">
        <f>IF(IF(243&lt;=COUNTA(半紙!$B$11:$B$310),INDEX(半紙!$I$11:$I$310,243),IF(243&lt;=COUNTA(半紙!$B$11:$B$310)+COUNTA(条幅!$B$11:$B$310),INDEX(条幅!$I$11:$I$310,243-COUNTA(半紙!$B$11:$B$310)),IF(243&lt;=COUNTA(半紙!$B$11:$B$310)+COUNTA(条幅!$B$11:$B$310)+COUNTA(条幅4分の1!$B$11:$B$310),INDEX(条幅4分の1!$I$11:$I$310,243-COUNTA(半紙!$B$11:$B$310)-COUNTA(条幅!$B$11:$B$310)),"")))=0,"",IF(243&lt;=COUNTA(半紙!$B$11:$B$310),INDEX(半紙!$I$11:$I$310,243),IF(243&lt;=COUNTA(半紙!$B$11:$B$310)+COUNTA(条幅!$B$11:$B$310),INDEX(条幅!$I$11:$I$310,243-COUNTA(半紙!$B$11:$B$310)),IF(243&lt;=COUNTA(半紙!$B$11:$B$310)+COUNTA(条幅!$B$11:$B$310)+COUNTA(条幅4分の1!$B$11:$B$310),INDEX(条幅4分の1!$I$11:$I$310,243-COUNTA(半紙!$B$11:$B$310)-COUNTA(条幅!$B$11:$B$310)),""))))</f>
        <v/>
      </c>
      <c r="J248" s="38" t="str">
        <f>IF(IF(243&lt;=COUNTA(半紙!$B$11:$B$310),INDEX(半紙!$J$11:$J$310,243),IF(243&lt;=COUNTA(半紙!$B$11:$B$310)+COUNTA(条幅!$B$11:$B$310),INDEX(条幅!$J$11:$J$310,243-COUNTA(半紙!$B$11:$B$310)),IF(243&lt;=COUNTA(半紙!$B$11:$B$310)+COUNTA(条幅!$B$11:$B$310)+COUNTA(条幅4分の1!$B$11:$B$310),INDEX(条幅4分の1!$J$11:$J$310,243-COUNTA(半紙!$B$11:$B$310)-COUNTA(条幅!$B$11:$B$310)),"")))=0,"",IF(243&lt;=COUNTA(半紙!$B$11:$B$310),INDEX(半紙!$J$11:$J$310,243),IF(243&lt;=COUNTA(半紙!$B$11:$B$310)+COUNTA(条幅!$B$11:$B$310),INDEX(条幅!$J$11:$J$310,243-COUNTA(半紙!$B$11:$B$310)),IF(243&lt;=COUNTA(半紙!$B$11:$B$310)+COUNTA(条幅!$B$11:$B$310)+COUNTA(条幅4分の1!$B$11:$B$310),INDEX(条幅4分の1!$J$11:$J$310,243-COUNTA(半紙!$B$11:$B$310)-COUNTA(条幅!$B$11:$B$310)),""))))</f>
        <v/>
      </c>
      <c r="K248" s="38" t="str">
        <f>IF(IF(243&lt;=COUNTA(半紙!$B$11:$B$310),INDEX(半紙!$K$11:$K$310,243),IF(243&lt;=COUNTA(半紙!$B$11:$B$310)+COUNTA(条幅!$B$11:$B$310),INDEX(条幅!$K$11:$K$310,243-COUNTA(半紙!$B$11:$B$310)),IF(243&lt;=COUNTA(半紙!$B$11:$B$310)+COUNTA(条幅!$B$11:$B$310)+COUNTA(条幅4分の1!$B$11:$B$310),INDEX(条幅4分の1!$K$11:$K$310,243-COUNTA(半紙!$B$11:$B$310)-COUNTA(条幅!$B$11:$B$310)),"")))=0,"",IF(243&lt;=COUNTA(半紙!$B$11:$B$310),INDEX(半紙!$K$11:$K$310,243),IF(243&lt;=COUNTA(半紙!$B$11:$B$310)+COUNTA(条幅!$B$11:$B$310),INDEX(条幅!$K$11:$K$310,243-COUNTA(半紙!$B$11:$B$310)),IF(243&lt;=COUNTA(半紙!$B$11:$B$310)+COUNTA(条幅!$B$11:$B$310)+COUNTA(条幅4分の1!$B$11:$B$310),INDEX(条幅4分の1!$K$11:$K$310,243-COUNTA(半紙!$B$11:$B$310)-COUNTA(条幅!$B$11:$B$310)),""))))</f>
        <v/>
      </c>
      <c r="L248" s="48" t="str">
        <f>IF($B248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243))</f>
        <v/>
      </c>
    </row>
    <row r="249" spans="1:12" ht="15" customHeight="1">
      <c r="A249" s="37" t="str">
        <f>IF(244&lt;=COUNTA(半紙!$B$11:$B$310),"半紙",IF(244&lt;=COUNTA(半紙!$B$11:$B$310)+COUNTA(条幅!$B$11:$B$310),"条幅(半切)",IF(244&lt;=COUNTA(半紙!$B$11:$B$310)+COUNTA(条幅!$B$11:$B$310)+COUNTA(条幅4分の1!$B$11:$B$310),"条幅(1/4)","")))</f>
        <v/>
      </c>
      <c r="B249" s="38" t="str">
        <f>IF(IF(244&lt;=COUNTA(半紙!$B$11:$B$310),INDEX(半紙!$B$11:$B$310,244),IF(244&lt;=COUNTA(半紙!$B$11:$B$310)+COUNTA(条幅!$B$11:$B$310),INDEX(条幅!$B$11:$B$310,244-COUNTA(半紙!$B$11:$B$310)),IF(244&lt;=COUNTA(半紙!$B$11:$B$310)+COUNTA(条幅!$B$11:$B$310)+COUNTA(条幅4分の1!$B$11:$B$310),INDEX(条幅4分の1!$B$11:$B$310,244-COUNTA(半紙!$B$11:$B$310)-COUNTA(条幅!$B$11:$B$310)),"")))=0,"",IF(244&lt;=COUNTA(半紙!$B$11:$B$310),INDEX(半紙!$B$11:$B$310,244),IF(244&lt;=COUNTA(半紙!$B$11:$B$310)+COUNTA(条幅!$B$11:$B$310),INDEX(条幅!$B$11:$B$310,244-COUNTA(半紙!$B$11:$B$310)),IF(244&lt;=COUNTA(半紙!$B$11:$B$310)+COUNTA(条幅!$B$11:$B$310)+COUNTA(条幅4分の1!$B$11:$B$310),INDEX(条幅4分の1!$B$11:$B$310,244-COUNTA(半紙!$B$11:$B$310)-COUNTA(条幅!$B$11:$B$310)),""))))</f>
        <v/>
      </c>
      <c r="C249" s="38" t="str">
        <f>IF(IF(244&lt;=COUNTA(半紙!$B$11:$B$310),INDEX(半紙!$C$11:$C$310,244),IF(244&lt;=COUNTA(半紙!$B$11:$B$310)+COUNTA(条幅!$B$11:$B$310),INDEX(条幅!$C$11:$C$310,244-COUNTA(半紙!$B$11:$B$310)),IF(244&lt;=COUNTA(半紙!$B$11:$B$310)+COUNTA(条幅!$B$11:$B$310)+COUNTA(条幅4分の1!$B$11:$B$310),INDEX(条幅4分の1!$C$11:$C$310,244-COUNTA(半紙!$B$11:$B$310)-COUNTA(条幅!$B$11:$B$310)),"")))=0,"",IF(244&lt;=COUNTA(半紙!$B$11:$B$310),INDEX(半紙!$C$11:$C$310,244),IF(244&lt;=COUNTA(半紙!$B$11:$B$310)+COUNTA(条幅!$B$11:$B$310),INDEX(条幅!$C$11:$C$310,244-COUNTA(半紙!$B$11:$B$310)),IF(244&lt;=COUNTA(半紙!$B$11:$B$310)+COUNTA(条幅!$B$11:$B$310)+COUNTA(条幅4分の1!$B$11:$B$310),INDEX(条幅4分の1!$C$11:$C$310,244-COUNTA(半紙!$B$11:$B$310)-COUNTA(条幅!$B$11:$B$310)),""))))</f>
        <v/>
      </c>
      <c r="D249" s="38" t="str">
        <f>IF(IF(244&lt;=COUNTA(半紙!$B$11:$B$310),INDEX(半紙!$D$11:$D$310,244),IF(244&lt;=COUNTA(半紙!$B$11:$B$310)+COUNTA(条幅!$B$11:$B$310),INDEX(条幅!$D$11:$D$310,244-COUNTA(半紙!$B$11:$B$310)),IF(244&lt;=COUNTA(半紙!$B$11:$B$310)+COUNTA(条幅!$B$11:$B$310)+COUNTA(条幅4分の1!$B$11:$B$310),INDEX(条幅4分の1!$D$11:$D$310,244-COUNTA(半紙!$B$11:$B$310)-COUNTA(条幅!$B$11:$B$310)),"")))=0,"",IF(244&lt;=COUNTA(半紙!$B$11:$B$310),INDEX(半紙!$D$11:$D$310,244),IF(244&lt;=COUNTA(半紙!$B$11:$B$310)+COUNTA(条幅!$B$11:$B$310),INDEX(条幅!$D$11:$D$310,244-COUNTA(半紙!$B$11:$B$310)),IF(244&lt;=COUNTA(半紙!$B$11:$B$310)+COUNTA(条幅!$B$11:$B$310)+COUNTA(条幅4分の1!$B$11:$B$310),INDEX(条幅4分の1!$D$11:$D$310,244-COUNTA(半紙!$B$11:$B$310)-COUNTA(条幅!$B$11:$B$310)),""))))</f>
        <v/>
      </c>
      <c r="E249" s="38" t="str">
        <f>IF(IF(244&lt;=COUNTA(半紙!$B$11:$B$310),INDEX(半紙!$E$11:$E$310,244),IF(244&lt;=COUNTA(半紙!$B$11:$B$310)+COUNTA(条幅!$B$11:$B$310),INDEX(条幅!$E$11:$E$310,244-COUNTA(半紙!$B$11:$B$310)),IF(244&lt;=COUNTA(半紙!$B$11:$B$310)+COUNTA(条幅!$B$11:$B$310)+COUNTA(条幅4分の1!$B$11:$B$310),INDEX(条幅4分の1!$E$11:$E$310,244-COUNTA(半紙!$B$11:$B$310)-COUNTA(条幅!$B$11:$B$310)),"")))=0,"",IF(244&lt;=COUNTA(半紙!$B$11:$B$310),INDEX(半紙!$E$11:$E$310,244),IF(244&lt;=COUNTA(半紙!$B$11:$B$310)+COUNTA(条幅!$B$11:$B$310),INDEX(条幅!$E$11:$E$310,244-COUNTA(半紙!$B$11:$B$310)),IF(244&lt;=COUNTA(半紙!$B$11:$B$310)+COUNTA(条幅!$B$11:$B$310)+COUNTA(条幅4分の1!$B$11:$B$310),INDEX(条幅4分の1!$E$11:$E$310,244-COUNTA(半紙!$B$11:$B$310)-COUNTA(条幅!$B$11:$B$310)),""))))</f>
        <v/>
      </c>
      <c r="F249" s="38" t="str">
        <f>IF(IF(244&lt;=COUNTA(半紙!$B$11:$B$310),INDEX(半紙!$F$11:$F$310,244),IF(244&lt;=COUNTA(半紙!$B$11:$B$310)+COUNTA(条幅!$B$11:$B$310),INDEX(条幅!$F$11:$F$310,244-COUNTA(半紙!$B$11:$B$310)),IF(244&lt;=COUNTA(半紙!$B$11:$B$310)+COUNTA(条幅!$B$11:$B$310)+COUNTA(条幅4分の1!$B$11:$B$310),INDEX(条幅4分の1!$F$11:$F$310,244-COUNTA(半紙!$B$11:$B$310)-COUNTA(条幅!$B$11:$B$310)),"")))=0,"",IF(244&lt;=COUNTA(半紙!$B$11:$B$310),INDEX(半紙!$F$11:$F$310,244),IF(244&lt;=COUNTA(半紙!$B$11:$B$310)+COUNTA(条幅!$B$11:$B$310),INDEX(条幅!$F$11:$F$310,244-COUNTA(半紙!$B$11:$B$310)),IF(244&lt;=COUNTA(半紙!$B$11:$B$310)+COUNTA(条幅!$B$11:$B$310)+COUNTA(条幅4分の1!$B$11:$B$310),INDEX(条幅4分の1!$F$11:$F$310,244-COUNTA(半紙!$B$11:$B$310)-COUNTA(条幅!$B$11:$B$310)),""))))</f>
        <v/>
      </c>
      <c r="G249" s="38" t="str">
        <f>IF(IF(244&lt;=COUNTA(半紙!$B$11:$B$310),INDEX(半紙!$G$11:$G$310,244),IF(244&lt;=COUNTA(半紙!$B$11:$B$310)+COUNTA(条幅!$B$11:$B$310),INDEX(条幅!$G$11:$G$310,244-COUNTA(半紙!$B$11:$B$310)),IF(244&lt;=COUNTA(半紙!$B$11:$B$310)+COUNTA(条幅!$B$11:$B$310)+COUNTA(条幅4分の1!$B$11:$B$310),INDEX(条幅4分の1!$G$11:$G$310,244-COUNTA(半紙!$B$11:$B$310)-COUNTA(条幅!$B$11:$B$310)),"")))=0,"",IF(244&lt;=COUNTA(半紙!$B$11:$B$310),INDEX(半紙!$G$11:$G$310,244),IF(244&lt;=COUNTA(半紙!$B$11:$B$310)+COUNTA(条幅!$B$11:$B$310),INDEX(条幅!$G$11:$G$310,244-COUNTA(半紙!$B$11:$B$310)),IF(244&lt;=COUNTA(半紙!$B$11:$B$310)+COUNTA(条幅!$B$11:$B$310)+COUNTA(条幅4分の1!$B$11:$B$310),INDEX(条幅4分の1!$G$11:$G$310,244-COUNTA(半紙!$B$11:$B$310)-COUNTA(条幅!$B$11:$B$310)),""))))</f>
        <v/>
      </c>
      <c r="H249" s="38" t="str">
        <f>IF(IF(244&lt;=COUNTA(半紙!$B$11:$B$310),INDEX(半紙!$H$11:$H$310,244),IF(244&lt;=COUNTA(半紙!$B$11:$B$310)+COUNTA(条幅!$B$11:$B$310),INDEX(条幅!$H$11:$H$310,244-COUNTA(半紙!$B$11:$B$310)),IF(244&lt;=COUNTA(半紙!$B$11:$B$310)+COUNTA(条幅!$B$11:$B$310)+COUNTA(条幅4分の1!$B$11:$B$310),INDEX(条幅4分の1!$H$11:$H$310,244-COUNTA(半紙!$B$11:$B$310)-COUNTA(条幅!$B$11:$B$310)),"")))=0,"",IF(244&lt;=COUNTA(半紙!$B$11:$B$310),INDEX(半紙!$H$11:$H$310,244),IF(244&lt;=COUNTA(半紙!$B$11:$B$310)+COUNTA(条幅!$B$11:$B$310),INDEX(条幅!$H$11:$H$310,244-COUNTA(半紙!$B$11:$B$310)),IF(244&lt;=COUNTA(半紙!$B$11:$B$310)+COUNTA(条幅!$B$11:$B$310)+COUNTA(条幅4分の1!$B$11:$B$310),INDEX(条幅4分の1!$H$11:$H$310,244-COUNTA(半紙!$B$11:$B$310)-COUNTA(条幅!$B$11:$B$310)),""))))</f>
        <v/>
      </c>
      <c r="I249" s="38" t="str">
        <f>IF(IF(244&lt;=COUNTA(半紙!$B$11:$B$310),INDEX(半紙!$I$11:$I$310,244),IF(244&lt;=COUNTA(半紙!$B$11:$B$310)+COUNTA(条幅!$B$11:$B$310),INDEX(条幅!$I$11:$I$310,244-COUNTA(半紙!$B$11:$B$310)),IF(244&lt;=COUNTA(半紙!$B$11:$B$310)+COUNTA(条幅!$B$11:$B$310)+COUNTA(条幅4分の1!$B$11:$B$310),INDEX(条幅4分の1!$I$11:$I$310,244-COUNTA(半紙!$B$11:$B$310)-COUNTA(条幅!$B$11:$B$310)),"")))=0,"",IF(244&lt;=COUNTA(半紙!$B$11:$B$310),INDEX(半紙!$I$11:$I$310,244),IF(244&lt;=COUNTA(半紙!$B$11:$B$310)+COUNTA(条幅!$B$11:$B$310),INDEX(条幅!$I$11:$I$310,244-COUNTA(半紙!$B$11:$B$310)),IF(244&lt;=COUNTA(半紙!$B$11:$B$310)+COUNTA(条幅!$B$11:$B$310)+COUNTA(条幅4分の1!$B$11:$B$310),INDEX(条幅4分の1!$I$11:$I$310,244-COUNTA(半紙!$B$11:$B$310)-COUNTA(条幅!$B$11:$B$310)),""))))</f>
        <v/>
      </c>
      <c r="J249" s="38" t="str">
        <f>IF(IF(244&lt;=COUNTA(半紙!$B$11:$B$310),INDEX(半紙!$J$11:$J$310,244),IF(244&lt;=COUNTA(半紙!$B$11:$B$310)+COUNTA(条幅!$B$11:$B$310),INDEX(条幅!$J$11:$J$310,244-COUNTA(半紙!$B$11:$B$310)),IF(244&lt;=COUNTA(半紙!$B$11:$B$310)+COUNTA(条幅!$B$11:$B$310)+COUNTA(条幅4分の1!$B$11:$B$310),INDEX(条幅4分の1!$J$11:$J$310,244-COUNTA(半紙!$B$11:$B$310)-COUNTA(条幅!$B$11:$B$310)),"")))=0,"",IF(244&lt;=COUNTA(半紙!$B$11:$B$310),INDEX(半紙!$J$11:$J$310,244),IF(244&lt;=COUNTA(半紙!$B$11:$B$310)+COUNTA(条幅!$B$11:$B$310),INDEX(条幅!$J$11:$J$310,244-COUNTA(半紙!$B$11:$B$310)),IF(244&lt;=COUNTA(半紙!$B$11:$B$310)+COUNTA(条幅!$B$11:$B$310)+COUNTA(条幅4分の1!$B$11:$B$310),INDEX(条幅4分の1!$J$11:$J$310,244-COUNTA(半紙!$B$11:$B$310)-COUNTA(条幅!$B$11:$B$310)),""))))</f>
        <v/>
      </c>
      <c r="K249" s="38" t="str">
        <f>IF(IF(244&lt;=COUNTA(半紙!$B$11:$B$310),INDEX(半紙!$K$11:$K$310,244),IF(244&lt;=COUNTA(半紙!$B$11:$B$310)+COUNTA(条幅!$B$11:$B$310),INDEX(条幅!$K$11:$K$310,244-COUNTA(半紙!$B$11:$B$310)),IF(244&lt;=COUNTA(半紙!$B$11:$B$310)+COUNTA(条幅!$B$11:$B$310)+COUNTA(条幅4分の1!$B$11:$B$310),INDEX(条幅4分の1!$K$11:$K$310,244-COUNTA(半紙!$B$11:$B$310)-COUNTA(条幅!$B$11:$B$310)),"")))=0,"",IF(244&lt;=COUNTA(半紙!$B$11:$B$310),INDEX(半紙!$K$11:$K$310,244),IF(244&lt;=COUNTA(半紙!$B$11:$B$310)+COUNTA(条幅!$B$11:$B$310),INDEX(条幅!$K$11:$K$310,244-COUNTA(半紙!$B$11:$B$310)),IF(244&lt;=COUNTA(半紙!$B$11:$B$310)+COUNTA(条幅!$B$11:$B$310)+COUNTA(条幅4分の1!$B$11:$B$310),INDEX(条幅4分の1!$K$11:$K$310,244-COUNTA(半紙!$B$11:$B$310)-COUNTA(条幅!$B$11:$B$310)),""))))</f>
        <v/>
      </c>
      <c r="L249" s="48" t="str">
        <f>IF($B249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244))</f>
        <v/>
      </c>
    </row>
    <row r="250" spans="1:12" ht="15" customHeight="1">
      <c r="A250" s="37" t="str">
        <f>IF(245&lt;=COUNTA(半紙!$B$11:$B$310),"半紙",IF(245&lt;=COUNTA(半紙!$B$11:$B$310)+COUNTA(条幅!$B$11:$B$310),"条幅(半切)",IF(245&lt;=COUNTA(半紙!$B$11:$B$310)+COUNTA(条幅!$B$11:$B$310)+COUNTA(条幅4分の1!$B$11:$B$310),"条幅(1/4)","")))</f>
        <v/>
      </c>
      <c r="B250" s="38" t="str">
        <f>IF(IF(245&lt;=COUNTA(半紙!$B$11:$B$310),INDEX(半紙!$B$11:$B$310,245),IF(245&lt;=COUNTA(半紙!$B$11:$B$310)+COUNTA(条幅!$B$11:$B$310),INDEX(条幅!$B$11:$B$310,245-COUNTA(半紙!$B$11:$B$310)),IF(245&lt;=COUNTA(半紙!$B$11:$B$310)+COUNTA(条幅!$B$11:$B$310)+COUNTA(条幅4分の1!$B$11:$B$310),INDEX(条幅4分の1!$B$11:$B$310,245-COUNTA(半紙!$B$11:$B$310)-COUNTA(条幅!$B$11:$B$310)),"")))=0,"",IF(245&lt;=COUNTA(半紙!$B$11:$B$310),INDEX(半紙!$B$11:$B$310,245),IF(245&lt;=COUNTA(半紙!$B$11:$B$310)+COUNTA(条幅!$B$11:$B$310),INDEX(条幅!$B$11:$B$310,245-COUNTA(半紙!$B$11:$B$310)),IF(245&lt;=COUNTA(半紙!$B$11:$B$310)+COUNTA(条幅!$B$11:$B$310)+COUNTA(条幅4分の1!$B$11:$B$310),INDEX(条幅4分の1!$B$11:$B$310,245-COUNTA(半紙!$B$11:$B$310)-COUNTA(条幅!$B$11:$B$310)),""))))</f>
        <v/>
      </c>
      <c r="C250" s="38" t="str">
        <f>IF(IF(245&lt;=COUNTA(半紙!$B$11:$B$310),INDEX(半紙!$C$11:$C$310,245),IF(245&lt;=COUNTA(半紙!$B$11:$B$310)+COUNTA(条幅!$B$11:$B$310),INDEX(条幅!$C$11:$C$310,245-COUNTA(半紙!$B$11:$B$310)),IF(245&lt;=COUNTA(半紙!$B$11:$B$310)+COUNTA(条幅!$B$11:$B$310)+COUNTA(条幅4分の1!$B$11:$B$310),INDEX(条幅4分の1!$C$11:$C$310,245-COUNTA(半紙!$B$11:$B$310)-COUNTA(条幅!$B$11:$B$310)),"")))=0,"",IF(245&lt;=COUNTA(半紙!$B$11:$B$310),INDEX(半紙!$C$11:$C$310,245),IF(245&lt;=COUNTA(半紙!$B$11:$B$310)+COUNTA(条幅!$B$11:$B$310),INDEX(条幅!$C$11:$C$310,245-COUNTA(半紙!$B$11:$B$310)),IF(245&lt;=COUNTA(半紙!$B$11:$B$310)+COUNTA(条幅!$B$11:$B$310)+COUNTA(条幅4分の1!$B$11:$B$310),INDEX(条幅4分の1!$C$11:$C$310,245-COUNTA(半紙!$B$11:$B$310)-COUNTA(条幅!$B$11:$B$310)),""))))</f>
        <v/>
      </c>
      <c r="D250" s="38" t="str">
        <f>IF(IF(245&lt;=COUNTA(半紙!$B$11:$B$310),INDEX(半紙!$D$11:$D$310,245),IF(245&lt;=COUNTA(半紙!$B$11:$B$310)+COUNTA(条幅!$B$11:$B$310),INDEX(条幅!$D$11:$D$310,245-COUNTA(半紙!$B$11:$B$310)),IF(245&lt;=COUNTA(半紙!$B$11:$B$310)+COUNTA(条幅!$B$11:$B$310)+COUNTA(条幅4分の1!$B$11:$B$310),INDEX(条幅4分の1!$D$11:$D$310,245-COUNTA(半紙!$B$11:$B$310)-COUNTA(条幅!$B$11:$B$310)),"")))=0,"",IF(245&lt;=COUNTA(半紙!$B$11:$B$310),INDEX(半紙!$D$11:$D$310,245),IF(245&lt;=COUNTA(半紙!$B$11:$B$310)+COUNTA(条幅!$B$11:$B$310),INDEX(条幅!$D$11:$D$310,245-COUNTA(半紙!$B$11:$B$310)),IF(245&lt;=COUNTA(半紙!$B$11:$B$310)+COUNTA(条幅!$B$11:$B$310)+COUNTA(条幅4分の1!$B$11:$B$310),INDEX(条幅4分の1!$D$11:$D$310,245-COUNTA(半紙!$B$11:$B$310)-COUNTA(条幅!$B$11:$B$310)),""))))</f>
        <v/>
      </c>
      <c r="E250" s="38" t="str">
        <f>IF(IF(245&lt;=COUNTA(半紙!$B$11:$B$310),INDEX(半紙!$E$11:$E$310,245),IF(245&lt;=COUNTA(半紙!$B$11:$B$310)+COUNTA(条幅!$B$11:$B$310),INDEX(条幅!$E$11:$E$310,245-COUNTA(半紙!$B$11:$B$310)),IF(245&lt;=COUNTA(半紙!$B$11:$B$310)+COUNTA(条幅!$B$11:$B$310)+COUNTA(条幅4分の1!$B$11:$B$310),INDEX(条幅4分の1!$E$11:$E$310,245-COUNTA(半紙!$B$11:$B$310)-COUNTA(条幅!$B$11:$B$310)),"")))=0,"",IF(245&lt;=COUNTA(半紙!$B$11:$B$310),INDEX(半紙!$E$11:$E$310,245),IF(245&lt;=COUNTA(半紙!$B$11:$B$310)+COUNTA(条幅!$B$11:$B$310),INDEX(条幅!$E$11:$E$310,245-COUNTA(半紙!$B$11:$B$310)),IF(245&lt;=COUNTA(半紙!$B$11:$B$310)+COUNTA(条幅!$B$11:$B$310)+COUNTA(条幅4分の1!$B$11:$B$310),INDEX(条幅4分の1!$E$11:$E$310,245-COUNTA(半紙!$B$11:$B$310)-COUNTA(条幅!$B$11:$B$310)),""))))</f>
        <v/>
      </c>
      <c r="F250" s="38" t="str">
        <f>IF(IF(245&lt;=COUNTA(半紙!$B$11:$B$310),INDEX(半紙!$F$11:$F$310,245),IF(245&lt;=COUNTA(半紙!$B$11:$B$310)+COUNTA(条幅!$B$11:$B$310),INDEX(条幅!$F$11:$F$310,245-COUNTA(半紙!$B$11:$B$310)),IF(245&lt;=COUNTA(半紙!$B$11:$B$310)+COUNTA(条幅!$B$11:$B$310)+COUNTA(条幅4分の1!$B$11:$B$310),INDEX(条幅4分の1!$F$11:$F$310,245-COUNTA(半紙!$B$11:$B$310)-COUNTA(条幅!$B$11:$B$310)),"")))=0,"",IF(245&lt;=COUNTA(半紙!$B$11:$B$310),INDEX(半紙!$F$11:$F$310,245),IF(245&lt;=COUNTA(半紙!$B$11:$B$310)+COUNTA(条幅!$B$11:$B$310),INDEX(条幅!$F$11:$F$310,245-COUNTA(半紙!$B$11:$B$310)),IF(245&lt;=COUNTA(半紙!$B$11:$B$310)+COUNTA(条幅!$B$11:$B$310)+COUNTA(条幅4分の1!$B$11:$B$310),INDEX(条幅4分の1!$F$11:$F$310,245-COUNTA(半紙!$B$11:$B$310)-COUNTA(条幅!$B$11:$B$310)),""))))</f>
        <v/>
      </c>
      <c r="G250" s="38" t="str">
        <f>IF(IF(245&lt;=COUNTA(半紙!$B$11:$B$310),INDEX(半紙!$G$11:$G$310,245),IF(245&lt;=COUNTA(半紙!$B$11:$B$310)+COUNTA(条幅!$B$11:$B$310),INDEX(条幅!$G$11:$G$310,245-COUNTA(半紙!$B$11:$B$310)),IF(245&lt;=COUNTA(半紙!$B$11:$B$310)+COUNTA(条幅!$B$11:$B$310)+COUNTA(条幅4分の1!$B$11:$B$310),INDEX(条幅4分の1!$G$11:$G$310,245-COUNTA(半紙!$B$11:$B$310)-COUNTA(条幅!$B$11:$B$310)),"")))=0,"",IF(245&lt;=COUNTA(半紙!$B$11:$B$310),INDEX(半紙!$G$11:$G$310,245),IF(245&lt;=COUNTA(半紙!$B$11:$B$310)+COUNTA(条幅!$B$11:$B$310),INDEX(条幅!$G$11:$G$310,245-COUNTA(半紙!$B$11:$B$310)),IF(245&lt;=COUNTA(半紙!$B$11:$B$310)+COUNTA(条幅!$B$11:$B$310)+COUNTA(条幅4分の1!$B$11:$B$310),INDEX(条幅4分の1!$G$11:$G$310,245-COUNTA(半紙!$B$11:$B$310)-COUNTA(条幅!$B$11:$B$310)),""))))</f>
        <v/>
      </c>
      <c r="H250" s="38" t="str">
        <f>IF(IF(245&lt;=COUNTA(半紙!$B$11:$B$310),INDEX(半紙!$H$11:$H$310,245),IF(245&lt;=COUNTA(半紙!$B$11:$B$310)+COUNTA(条幅!$B$11:$B$310),INDEX(条幅!$H$11:$H$310,245-COUNTA(半紙!$B$11:$B$310)),IF(245&lt;=COUNTA(半紙!$B$11:$B$310)+COUNTA(条幅!$B$11:$B$310)+COUNTA(条幅4分の1!$B$11:$B$310),INDEX(条幅4分の1!$H$11:$H$310,245-COUNTA(半紙!$B$11:$B$310)-COUNTA(条幅!$B$11:$B$310)),"")))=0,"",IF(245&lt;=COUNTA(半紙!$B$11:$B$310),INDEX(半紙!$H$11:$H$310,245),IF(245&lt;=COUNTA(半紙!$B$11:$B$310)+COUNTA(条幅!$B$11:$B$310),INDEX(条幅!$H$11:$H$310,245-COUNTA(半紙!$B$11:$B$310)),IF(245&lt;=COUNTA(半紙!$B$11:$B$310)+COUNTA(条幅!$B$11:$B$310)+COUNTA(条幅4分の1!$B$11:$B$310),INDEX(条幅4分の1!$H$11:$H$310,245-COUNTA(半紙!$B$11:$B$310)-COUNTA(条幅!$B$11:$B$310)),""))))</f>
        <v/>
      </c>
      <c r="I250" s="38" t="str">
        <f>IF(IF(245&lt;=COUNTA(半紙!$B$11:$B$310),INDEX(半紙!$I$11:$I$310,245),IF(245&lt;=COUNTA(半紙!$B$11:$B$310)+COUNTA(条幅!$B$11:$B$310),INDEX(条幅!$I$11:$I$310,245-COUNTA(半紙!$B$11:$B$310)),IF(245&lt;=COUNTA(半紙!$B$11:$B$310)+COUNTA(条幅!$B$11:$B$310)+COUNTA(条幅4分の1!$B$11:$B$310),INDEX(条幅4分の1!$I$11:$I$310,245-COUNTA(半紙!$B$11:$B$310)-COUNTA(条幅!$B$11:$B$310)),"")))=0,"",IF(245&lt;=COUNTA(半紙!$B$11:$B$310),INDEX(半紙!$I$11:$I$310,245),IF(245&lt;=COUNTA(半紙!$B$11:$B$310)+COUNTA(条幅!$B$11:$B$310),INDEX(条幅!$I$11:$I$310,245-COUNTA(半紙!$B$11:$B$310)),IF(245&lt;=COUNTA(半紙!$B$11:$B$310)+COUNTA(条幅!$B$11:$B$310)+COUNTA(条幅4分の1!$B$11:$B$310),INDEX(条幅4分の1!$I$11:$I$310,245-COUNTA(半紙!$B$11:$B$310)-COUNTA(条幅!$B$11:$B$310)),""))))</f>
        <v/>
      </c>
      <c r="J250" s="38" t="str">
        <f>IF(IF(245&lt;=COUNTA(半紙!$B$11:$B$310),INDEX(半紙!$J$11:$J$310,245),IF(245&lt;=COUNTA(半紙!$B$11:$B$310)+COUNTA(条幅!$B$11:$B$310),INDEX(条幅!$J$11:$J$310,245-COUNTA(半紙!$B$11:$B$310)),IF(245&lt;=COUNTA(半紙!$B$11:$B$310)+COUNTA(条幅!$B$11:$B$310)+COUNTA(条幅4分の1!$B$11:$B$310),INDEX(条幅4分の1!$J$11:$J$310,245-COUNTA(半紙!$B$11:$B$310)-COUNTA(条幅!$B$11:$B$310)),"")))=0,"",IF(245&lt;=COUNTA(半紙!$B$11:$B$310),INDEX(半紙!$J$11:$J$310,245),IF(245&lt;=COUNTA(半紙!$B$11:$B$310)+COUNTA(条幅!$B$11:$B$310),INDEX(条幅!$J$11:$J$310,245-COUNTA(半紙!$B$11:$B$310)),IF(245&lt;=COUNTA(半紙!$B$11:$B$310)+COUNTA(条幅!$B$11:$B$310)+COUNTA(条幅4分の1!$B$11:$B$310),INDEX(条幅4分の1!$J$11:$J$310,245-COUNTA(半紙!$B$11:$B$310)-COUNTA(条幅!$B$11:$B$310)),""))))</f>
        <v/>
      </c>
      <c r="K250" s="38" t="str">
        <f>IF(IF(245&lt;=COUNTA(半紙!$B$11:$B$310),INDEX(半紙!$K$11:$K$310,245),IF(245&lt;=COUNTA(半紙!$B$11:$B$310)+COUNTA(条幅!$B$11:$B$310),INDEX(条幅!$K$11:$K$310,245-COUNTA(半紙!$B$11:$B$310)),IF(245&lt;=COUNTA(半紙!$B$11:$B$310)+COUNTA(条幅!$B$11:$B$310)+COUNTA(条幅4分の1!$B$11:$B$310),INDEX(条幅4分の1!$K$11:$K$310,245-COUNTA(半紙!$B$11:$B$310)-COUNTA(条幅!$B$11:$B$310)),"")))=0,"",IF(245&lt;=COUNTA(半紙!$B$11:$B$310),INDEX(半紙!$K$11:$K$310,245),IF(245&lt;=COUNTA(半紙!$B$11:$B$310)+COUNTA(条幅!$B$11:$B$310),INDEX(条幅!$K$11:$K$310,245-COUNTA(半紙!$B$11:$B$310)),IF(245&lt;=COUNTA(半紙!$B$11:$B$310)+COUNTA(条幅!$B$11:$B$310)+COUNTA(条幅4分の1!$B$11:$B$310),INDEX(条幅4分の1!$K$11:$K$310,245-COUNTA(半紙!$B$11:$B$310)-COUNTA(条幅!$B$11:$B$310)),""))))</f>
        <v/>
      </c>
      <c r="L250" s="48" t="str">
        <f>IF($B250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245))</f>
        <v/>
      </c>
    </row>
    <row r="251" spans="1:12" ht="15" customHeight="1">
      <c r="A251" s="37" t="str">
        <f>IF(246&lt;=COUNTA(半紙!$B$11:$B$310),"半紙",IF(246&lt;=COUNTA(半紙!$B$11:$B$310)+COUNTA(条幅!$B$11:$B$310),"条幅(半切)",IF(246&lt;=COUNTA(半紙!$B$11:$B$310)+COUNTA(条幅!$B$11:$B$310)+COUNTA(条幅4分の1!$B$11:$B$310),"条幅(1/4)","")))</f>
        <v/>
      </c>
      <c r="B251" s="38" t="str">
        <f>IF(IF(246&lt;=COUNTA(半紙!$B$11:$B$310),INDEX(半紙!$B$11:$B$310,246),IF(246&lt;=COUNTA(半紙!$B$11:$B$310)+COUNTA(条幅!$B$11:$B$310),INDEX(条幅!$B$11:$B$310,246-COUNTA(半紙!$B$11:$B$310)),IF(246&lt;=COUNTA(半紙!$B$11:$B$310)+COUNTA(条幅!$B$11:$B$310)+COUNTA(条幅4分の1!$B$11:$B$310),INDEX(条幅4分の1!$B$11:$B$310,246-COUNTA(半紙!$B$11:$B$310)-COUNTA(条幅!$B$11:$B$310)),"")))=0,"",IF(246&lt;=COUNTA(半紙!$B$11:$B$310),INDEX(半紙!$B$11:$B$310,246),IF(246&lt;=COUNTA(半紙!$B$11:$B$310)+COUNTA(条幅!$B$11:$B$310),INDEX(条幅!$B$11:$B$310,246-COUNTA(半紙!$B$11:$B$310)),IF(246&lt;=COUNTA(半紙!$B$11:$B$310)+COUNTA(条幅!$B$11:$B$310)+COUNTA(条幅4分の1!$B$11:$B$310),INDEX(条幅4分の1!$B$11:$B$310,246-COUNTA(半紙!$B$11:$B$310)-COUNTA(条幅!$B$11:$B$310)),""))))</f>
        <v/>
      </c>
      <c r="C251" s="38" t="str">
        <f>IF(IF(246&lt;=COUNTA(半紙!$B$11:$B$310),INDEX(半紙!$C$11:$C$310,246),IF(246&lt;=COUNTA(半紙!$B$11:$B$310)+COUNTA(条幅!$B$11:$B$310),INDEX(条幅!$C$11:$C$310,246-COUNTA(半紙!$B$11:$B$310)),IF(246&lt;=COUNTA(半紙!$B$11:$B$310)+COUNTA(条幅!$B$11:$B$310)+COUNTA(条幅4分の1!$B$11:$B$310),INDEX(条幅4分の1!$C$11:$C$310,246-COUNTA(半紙!$B$11:$B$310)-COUNTA(条幅!$B$11:$B$310)),"")))=0,"",IF(246&lt;=COUNTA(半紙!$B$11:$B$310),INDEX(半紙!$C$11:$C$310,246),IF(246&lt;=COUNTA(半紙!$B$11:$B$310)+COUNTA(条幅!$B$11:$B$310),INDEX(条幅!$C$11:$C$310,246-COUNTA(半紙!$B$11:$B$310)),IF(246&lt;=COUNTA(半紙!$B$11:$B$310)+COUNTA(条幅!$B$11:$B$310)+COUNTA(条幅4分の1!$B$11:$B$310),INDEX(条幅4分の1!$C$11:$C$310,246-COUNTA(半紙!$B$11:$B$310)-COUNTA(条幅!$B$11:$B$310)),""))))</f>
        <v/>
      </c>
      <c r="D251" s="38" t="str">
        <f>IF(IF(246&lt;=COUNTA(半紙!$B$11:$B$310),INDEX(半紙!$D$11:$D$310,246),IF(246&lt;=COUNTA(半紙!$B$11:$B$310)+COUNTA(条幅!$B$11:$B$310),INDEX(条幅!$D$11:$D$310,246-COUNTA(半紙!$B$11:$B$310)),IF(246&lt;=COUNTA(半紙!$B$11:$B$310)+COUNTA(条幅!$B$11:$B$310)+COUNTA(条幅4分の1!$B$11:$B$310),INDEX(条幅4分の1!$D$11:$D$310,246-COUNTA(半紙!$B$11:$B$310)-COUNTA(条幅!$B$11:$B$310)),"")))=0,"",IF(246&lt;=COUNTA(半紙!$B$11:$B$310),INDEX(半紙!$D$11:$D$310,246),IF(246&lt;=COUNTA(半紙!$B$11:$B$310)+COUNTA(条幅!$B$11:$B$310),INDEX(条幅!$D$11:$D$310,246-COUNTA(半紙!$B$11:$B$310)),IF(246&lt;=COUNTA(半紙!$B$11:$B$310)+COUNTA(条幅!$B$11:$B$310)+COUNTA(条幅4分の1!$B$11:$B$310),INDEX(条幅4分の1!$D$11:$D$310,246-COUNTA(半紙!$B$11:$B$310)-COUNTA(条幅!$B$11:$B$310)),""))))</f>
        <v/>
      </c>
      <c r="E251" s="38" t="str">
        <f>IF(IF(246&lt;=COUNTA(半紙!$B$11:$B$310),INDEX(半紙!$E$11:$E$310,246),IF(246&lt;=COUNTA(半紙!$B$11:$B$310)+COUNTA(条幅!$B$11:$B$310),INDEX(条幅!$E$11:$E$310,246-COUNTA(半紙!$B$11:$B$310)),IF(246&lt;=COUNTA(半紙!$B$11:$B$310)+COUNTA(条幅!$B$11:$B$310)+COUNTA(条幅4分の1!$B$11:$B$310),INDEX(条幅4分の1!$E$11:$E$310,246-COUNTA(半紙!$B$11:$B$310)-COUNTA(条幅!$B$11:$B$310)),"")))=0,"",IF(246&lt;=COUNTA(半紙!$B$11:$B$310),INDEX(半紙!$E$11:$E$310,246),IF(246&lt;=COUNTA(半紙!$B$11:$B$310)+COUNTA(条幅!$B$11:$B$310),INDEX(条幅!$E$11:$E$310,246-COUNTA(半紙!$B$11:$B$310)),IF(246&lt;=COUNTA(半紙!$B$11:$B$310)+COUNTA(条幅!$B$11:$B$310)+COUNTA(条幅4分の1!$B$11:$B$310),INDEX(条幅4分の1!$E$11:$E$310,246-COUNTA(半紙!$B$11:$B$310)-COUNTA(条幅!$B$11:$B$310)),""))))</f>
        <v/>
      </c>
      <c r="F251" s="38" t="str">
        <f>IF(IF(246&lt;=COUNTA(半紙!$B$11:$B$310),INDEX(半紙!$F$11:$F$310,246),IF(246&lt;=COUNTA(半紙!$B$11:$B$310)+COUNTA(条幅!$B$11:$B$310),INDEX(条幅!$F$11:$F$310,246-COUNTA(半紙!$B$11:$B$310)),IF(246&lt;=COUNTA(半紙!$B$11:$B$310)+COUNTA(条幅!$B$11:$B$310)+COUNTA(条幅4分の1!$B$11:$B$310),INDEX(条幅4分の1!$F$11:$F$310,246-COUNTA(半紙!$B$11:$B$310)-COUNTA(条幅!$B$11:$B$310)),"")))=0,"",IF(246&lt;=COUNTA(半紙!$B$11:$B$310),INDEX(半紙!$F$11:$F$310,246),IF(246&lt;=COUNTA(半紙!$B$11:$B$310)+COUNTA(条幅!$B$11:$B$310),INDEX(条幅!$F$11:$F$310,246-COUNTA(半紙!$B$11:$B$310)),IF(246&lt;=COUNTA(半紙!$B$11:$B$310)+COUNTA(条幅!$B$11:$B$310)+COUNTA(条幅4分の1!$B$11:$B$310),INDEX(条幅4分の1!$F$11:$F$310,246-COUNTA(半紙!$B$11:$B$310)-COUNTA(条幅!$B$11:$B$310)),""))))</f>
        <v/>
      </c>
      <c r="G251" s="38" t="str">
        <f>IF(IF(246&lt;=COUNTA(半紙!$B$11:$B$310),INDEX(半紙!$G$11:$G$310,246),IF(246&lt;=COUNTA(半紙!$B$11:$B$310)+COUNTA(条幅!$B$11:$B$310),INDEX(条幅!$G$11:$G$310,246-COUNTA(半紙!$B$11:$B$310)),IF(246&lt;=COUNTA(半紙!$B$11:$B$310)+COUNTA(条幅!$B$11:$B$310)+COUNTA(条幅4分の1!$B$11:$B$310),INDEX(条幅4分の1!$G$11:$G$310,246-COUNTA(半紙!$B$11:$B$310)-COUNTA(条幅!$B$11:$B$310)),"")))=0,"",IF(246&lt;=COUNTA(半紙!$B$11:$B$310),INDEX(半紙!$G$11:$G$310,246),IF(246&lt;=COUNTA(半紙!$B$11:$B$310)+COUNTA(条幅!$B$11:$B$310),INDEX(条幅!$G$11:$G$310,246-COUNTA(半紙!$B$11:$B$310)),IF(246&lt;=COUNTA(半紙!$B$11:$B$310)+COUNTA(条幅!$B$11:$B$310)+COUNTA(条幅4分の1!$B$11:$B$310),INDEX(条幅4分の1!$G$11:$G$310,246-COUNTA(半紙!$B$11:$B$310)-COUNTA(条幅!$B$11:$B$310)),""))))</f>
        <v/>
      </c>
      <c r="H251" s="38" t="str">
        <f>IF(IF(246&lt;=COUNTA(半紙!$B$11:$B$310),INDEX(半紙!$H$11:$H$310,246),IF(246&lt;=COUNTA(半紙!$B$11:$B$310)+COUNTA(条幅!$B$11:$B$310),INDEX(条幅!$H$11:$H$310,246-COUNTA(半紙!$B$11:$B$310)),IF(246&lt;=COUNTA(半紙!$B$11:$B$310)+COUNTA(条幅!$B$11:$B$310)+COUNTA(条幅4分の1!$B$11:$B$310),INDEX(条幅4分の1!$H$11:$H$310,246-COUNTA(半紙!$B$11:$B$310)-COUNTA(条幅!$B$11:$B$310)),"")))=0,"",IF(246&lt;=COUNTA(半紙!$B$11:$B$310),INDEX(半紙!$H$11:$H$310,246),IF(246&lt;=COUNTA(半紙!$B$11:$B$310)+COUNTA(条幅!$B$11:$B$310),INDEX(条幅!$H$11:$H$310,246-COUNTA(半紙!$B$11:$B$310)),IF(246&lt;=COUNTA(半紙!$B$11:$B$310)+COUNTA(条幅!$B$11:$B$310)+COUNTA(条幅4分の1!$B$11:$B$310),INDEX(条幅4分の1!$H$11:$H$310,246-COUNTA(半紙!$B$11:$B$310)-COUNTA(条幅!$B$11:$B$310)),""))))</f>
        <v/>
      </c>
      <c r="I251" s="38" t="str">
        <f>IF(IF(246&lt;=COUNTA(半紙!$B$11:$B$310),INDEX(半紙!$I$11:$I$310,246),IF(246&lt;=COUNTA(半紙!$B$11:$B$310)+COUNTA(条幅!$B$11:$B$310),INDEX(条幅!$I$11:$I$310,246-COUNTA(半紙!$B$11:$B$310)),IF(246&lt;=COUNTA(半紙!$B$11:$B$310)+COUNTA(条幅!$B$11:$B$310)+COUNTA(条幅4分の1!$B$11:$B$310),INDEX(条幅4分の1!$I$11:$I$310,246-COUNTA(半紙!$B$11:$B$310)-COUNTA(条幅!$B$11:$B$310)),"")))=0,"",IF(246&lt;=COUNTA(半紙!$B$11:$B$310),INDEX(半紙!$I$11:$I$310,246),IF(246&lt;=COUNTA(半紙!$B$11:$B$310)+COUNTA(条幅!$B$11:$B$310),INDEX(条幅!$I$11:$I$310,246-COUNTA(半紙!$B$11:$B$310)),IF(246&lt;=COUNTA(半紙!$B$11:$B$310)+COUNTA(条幅!$B$11:$B$310)+COUNTA(条幅4分の1!$B$11:$B$310),INDEX(条幅4分の1!$I$11:$I$310,246-COUNTA(半紙!$B$11:$B$310)-COUNTA(条幅!$B$11:$B$310)),""))))</f>
        <v/>
      </c>
      <c r="J251" s="38" t="str">
        <f>IF(IF(246&lt;=COUNTA(半紙!$B$11:$B$310),INDEX(半紙!$J$11:$J$310,246),IF(246&lt;=COUNTA(半紙!$B$11:$B$310)+COUNTA(条幅!$B$11:$B$310),INDEX(条幅!$J$11:$J$310,246-COUNTA(半紙!$B$11:$B$310)),IF(246&lt;=COUNTA(半紙!$B$11:$B$310)+COUNTA(条幅!$B$11:$B$310)+COUNTA(条幅4分の1!$B$11:$B$310),INDEX(条幅4分の1!$J$11:$J$310,246-COUNTA(半紙!$B$11:$B$310)-COUNTA(条幅!$B$11:$B$310)),"")))=0,"",IF(246&lt;=COUNTA(半紙!$B$11:$B$310),INDEX(半紙!$J$11:$J$310,246),IF(246&lt;=COUNTA(半紙!$B$11:$B$310)+COUNTA(条幅!$B$11:$B$310),INDEX(条幅!$J$11:$J$310,246-COUNTA(半紙!$B$11:$B$310)),IF(246&lt;=COUNTA(半紙!$B$11:$B$310)+COUNTA(条幅!$B$11:$B$310)+COUNTA(条幅4分の1!$B$11:$B$310),INDEX(条幅4分の1!$J$11:$J$310,246-COUNTA(半紙!$B$11:$B$310)-COUNTA(条幅!$B$11:$B$310)),""))))</f>
        <v/>
      </c>
      <c r="K251" s="38" t="str">
        <f>IF(IF(246&lt;=COUNTA(半紙!$B$11:$B$310),INDEX(半紙!$K$11:$K$310,246),IF(246&lt;=COUNTA(半紙!$B$11:$B$310)+COUNTA(条幅!$B$11:$B$310),INDEX(条幅!$K$11:$K$310,246-COUNTA(半紙!$B$11:$B$310)),IF(246&lt;=COUNTA(半紙!$B$11:$B$310)+COUNTA(条幅!$B$11:$B$310)+COUNTA(条幅4分の1!$B$11:$B$310),INDEX(条幅4分の1!$K$11:$K$310,246-COUNTA(半紙!$B$11:$B$310)-COUNTA(条幅!$B$11:$B$310)),"")))=0,"",IF(246&lt;=COUNTA(半紙!$B$11:$B$310),INDEX(半紙!$K$11:$K$310,246),IF(246&lt;=COUNTA(半紙!$B$11:$B$310)+COUNTA(条幅!$B$11:$B$310),INDEX(条幅!$K$11:$K$310,246-COUNTA(半紙!$B$11:$B$310)),IF(246&lt;=COUNTA(半紙!$B$11:$B$310)+COUNTA(条幅!$B$11:$B$310)+COUNTA(条幅4分の1!$B$11:$B$310),INDEX(条幅4分の1!$K$11:$K$310,246-COUNTA(半紙!$B$11:$B$310)-COUNTA(条幅!$B$11:$B$310)),""))))</f>
        <v/>
      </c>
      <c r="L251" s="48" t="str">
        <f>IF($B251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246))</f>
        <v/>
      </c>
    </row>
    <row r="252" spans="1:12" ht="15" customHeight="1">
      <c r="A252" s="37" t="str">
        <f>IF(247&lt;=COUNTA(半紙!$B$11:$B$310),"半紙",IF(247&lt;=COUNTA(半紙!$B$11:$B$310)+COUNTA(条幅!$B$11:$B$310),"条幅(半切)",IF(247&lt;=COUNTA(半紙!$B$11:$B$310)+COUNTA(条幅!$B$11:$B$310)+COUNTA(条幅4分の1!$B$11:$B$310),"条幅(1/4)","")))</f>
        <v/>
      </c>
      <c r="B252" s="38" t="str">
        <f>IF(IF(247&lt;=COUNTA(半紙!$B$11:$B$310),INDEX(半紙!$B$11:$B$310,247),IF(247&lt;=COUNTA(半紙!$B$11:$B$310)+COUNTA(条幅!$B$11:$B$310),INDEX(条幅!$B$11:$B$310,247-COUNTA(半紙!$B$11:$B$310)),IF(247&lt;=COUNTA(半紙!$B$11:$B$310)+COUNTA(条幅!$B$11:$B$310)+COUNTA(条幅4分の1!$B$11:$B$310),INDEX(条幅4分の1!$B$11:$B$310,247-COUNTA(半紙!$B$11:$B$310)-COUNTA(条幅!$B$11:$B$310)),"")))=0,"",IF(247&lt;=COUNTA(半紙!$B$11:$B$310),INDEX(半紙!$B$11:$B$310,247),IF(247&lt;=COUNTA(半紙!$B$11:$B$310)+COUNTA(条幅!$B$11:$B$310),INDEX(条幅!$B$11:$B$310,247-COUNTA(半紙!$B$11:$B$310)),IF(247&lt;=COUNTA(半紙!$B$11:$B$310)+COUNTA(条幅!$B$11:$B$310)+COUNTA(条幅4分の1!$B$11:$B$310),INDEX(条幅4分の1!$B$11:$B$310,247-COUNTA(半紙!$B$11:$B$310)-COUNTA(条幅!$B$11:$B$310)),""))))</f>
        <v/>
      </c>
      <c r="C252" s="38" t="str">
        <f>IF(IF(247&lt;=COUNTA(半紙!$B$11:$B$310),INDEX(半紙!$C$11:$C$310,247),IF(247&lt;=COUNTA(半紙!$B$11:$B$310)+COUNTA(条幅!$B$11:$B$310),INDEX(条幅!$C$11:$C$310,247-COUNTA(半紙!$B$11:$B$310)),IF(247&lt;=COUNTA(半紙!$B$11:$B$310)+COUNTA(条幅!$B$11:$B$310)+COUNTA(条幅4分の1!$B$11:$B$310),INDEX(条幅4分の1!$C$11:$C$310,247-COUNTA(半紙!$B$11:$B$310)-COUNTA(条幅!$B$11:$B$310)),"")))=0,"",IF(247&lt;=COUNTA(半紙!$B$11:$B$310),INDEX(半紙!$C$11:$C$310,247),IF(247&lt;=COUNTA(半紙!$B$11:$B$310)+COUNTA(条幅!$B$11:$B$310),INDEX(条幅!$C$11:$C$310,247-COUNTA(半紙!$B$11:$B$310)),IF(247&lt;=COUNTA(半紙!$B$11:$B$310)+COUNTA(条幅!$B$11:$B$310)+COUNTA(条幅4分の1!$B$11:$B$310),INDEX(条幅4分の1!$C$11:$C$310,247-COUNTA(半紙!$B$11:$B$310)-COUNTA(条幅!$B$11:$B$310)),""))))</f>
        <v/>
      </c>
      <c r="D252" s="38" t="str">
        <f>IF(IF(247&lt;=COUNTA(半紙!$B$11:$B$310),INDEX(半紙!$D$11:$D$310,247),IF(247&lt;=COUNTA(半紙!$B$11:$B$310)+COUNTA(条幅!$B$11:$B$310),INDEX(条幅!$D$11:$D$310,247-COUNTA(半紙!$B$11:$B$310)),IF(247&lt;=COUNTA(半紙!$B$11:$B$310)+COUNTA(条幅!$B$11:$B$310)+COUNTA(条幅4分の1!$B$11:$B$310),INDEX(条幅4分の1!$D$11:$D$310,247-COUNTA(半紙!$B$11:$B$310)-COUNTA(条幅!$B$11:$B$310)),"")))=0,"",IF(247&lt;=COUNTA(半紙!$B$11:$B$310),INDEX(半紙!$D$11:$D$310,247),IF(247&lt;=COUNTA(半紙!$B$11:$B$310)+COUNTA(条幅!$B$11:$B$310),INDEX(条幅!$D$11:$D$310,247-COUNTA(半紙!$B$11:$B$310)),IF(247&lt;=COUNTA(半紙!$B$11:$B$310)+COUNTA(条幅!$B$11:$B$310)+COUNTA(条幅4分の1!$B$11:$B$310),INDEX(条幅4分の1!$D$11:$D$310,247-COUNTA(半紙!$B$11:$B$310)-COUNTA(条幅!$B$11:$B$310)),""))))</f>
        <v/>
      </c>
      <c r="E252" s="38" t="str">
        <f>IF(IF(247&lt;=COUNTA(半紙!$B$11:$B$310),INDEX(半紙!$E$11:$E$310,247),IF(247&lt;=COUNTA(半紙!$B$11:$B$310)+COUNTA(条幅!$B$11:$B$310),INDEX(条幅!$E$11:$E$310,247-COUNTA(半紙!$B$11:$B$310)),IF(247&lt;=COUNTA(半紙!$B$11:$B$310)+COUNTA(条幅!$B$11:$B$310)+COUNTA(条幅4分の1!$B$11:$B$310),INDEX(条幅4分の1!$E$11:$E$310,247-COUNTA(半紙!$B$11:$B$310)-COUNTA(条幅!$B$11:$B$310)),"")))=0,"",IF(247&lt;=COUNTA(半紙!$B$11:$B$310),INDEX(半紙!$E$11:$E$310,247),IF(247&lt;=COUNTA(半紙!$B$11:$B$310)+COUNTA(条幅!$B$11:$B$310),INDEX(条幅!$E$11:$E$310,247-COUNTA(半紙!$B$11:$B$310)),IF(247&lt;=COUNTA(半紙!$B$11:$B$310)+COUNTA(条幅!$B$11:$B$310)+COUNTA(条幅4分の1!$B$11:$B$310),INDEX(条幅4分の1!$E$11:$E$310,247-COUNTA(半紙!$B$11:$B$310)-COUNTA(条幅!$B$11:$B$310)),""))))</f>
        <v/>
      </c>
      <c r="F252" s="38" t="str">
        <f>IF(IF(247&lt;=COUNTA(半紙!$B$11:$B$310),INDEX(半紙!$F$11:$F$310,247),IF(247&lt;=COUNTA(半紙!$B$11:$B$310)+COUNTA(条幅!$B$11:$B$310),INDEX(条幅!$F$11:$F$310,247-COUNTA(半紙!$B$11:$B$310)),IF(247&lt;=COUNTA(半紙!$B$11:$B$310)+COUNTA(条幅!$B$11:$B$310)+COUNTA(条幅4分の1!$B$11:$B$310),INDEX(条幅4分の1!$F$11:$F$310,247-COUNTA(半紙!$B$11:$B$310)-COUNTA(条幅!$B$11:$B$310)),"")))=0,"",IF(247&lt;=COUNTA(半紙!$B$11:$B$310),INDEX(半紙!$F$11:$F$310,247),IF(247&lt;=COUNTA(半紙!$B$11:$B$310)+COUNTA(条幅!$B$11:$B$310),INDEX(条幅!$F$11:$F$310,247-COUNTA(半紙!$B$11:$B$310)),IF(247&lt;=COUNTA(半紙!$B$11:$B$310)+COUNTA(条幅!$B$11:$B$310)+COUNTA(条幅4分の1!$B$11:$B$310),INDEX(条幅4分の1!$F$11:$F$310,247-COUNTA(半紙!$B$11:$B$310)-COUNTA(条幅!$B$11:$B$310)),""))))</f>
        <v/>
      </c>
      <c r="G252" s="38" t="str">
        <f>IF(IF(247&lt;=COUNTA(半紙!$B$11:$B$310),INDEX(半紙!$G$11:$G$310,247),IF(247&lt;=COUNTA(半紙!$B$11:$B$310)+COUNTA(条幅!$B$11:$B$310),INDEX(条幅!$G$11:$G$310,247-COUNTA(半紙!$B$11:$B$310)),IF(247&lt;=COUNTA(半紙!$B$11:$B$310)+COUNTA(条幅!$B$11:$B$310)+COUNTA(条幅4分の1!$B$11:$B$310),INDEX(条幅4分の1!$G$11:$G$310,247-COUNTA(半紙!$B$11:$B$310)-COUNTA(条幅!$B$11:$B$310)),"")))=0,"",IF(247&lt;=COUNTA(半紙!$B$11:$B$310),INDEX(半紙!$G$11:$G$310,247),IF(247&lt;=COUNTA(半紙!$B$11:$B$310)+COUNTA(条幅!$B$11:$B$310),INDEX(条幅!$G$11:$G$310,247-COUNTA(半紙!$B$11:$B$310)),IF(247&lt;=COUNTA(半紙!$B$11:$B$310)+COUNTA(条幅!$B$11:$B$310)+COUNTA(条幅4分の1!$B$11:$B$310),INDEX(条幅4分の1!$G$11:$G$310,247-COUNTA(半紙!$B$11:$B$310)-COUNTA(条幅!$B$11:$B$310)),""))))</f>
        <v/>
      </c>
      <c r="H252" s="38" t="str">
        <f>IF(IF(247&lt;=COUNTA(半紙!$B$11:$B$310),INDEX(半紙!$H$11:$H$310,247),IF(247&lt;=COUNTA(半紙!$B$11:$B$310)+COUNTA(条幅!$B$11:$B$310),INDEX(条幅!$H$11:$H$310,247-COUNTA(半紙!$B$11:$B$310)),IF(247&lt;=COUNTA(半紙!$B$11:$B$310)+COUNTA(条幅!$B$11:$B$310)+COUNTA(条幅4分の1!$B$11:$B$310),INDEX(条幅4分の1!$H$11:$H$310,247-COUNTA(半紙!$B$11:$B$310)-COUNTA(条幅!$B$11:$B$310)),"")))=0,"",IF(247&lt;=COUNTA(半紙!$B$11:$B$310),INDEX(半紙!$H$11:$H$310,247),IF(247&lt;=COUNTA(半紙!$B$11:$B$310)+COUNTA(条幅!$B$11:$B$310),INDEX(条幅!$H$11:$H$310,247-COUNTA(半紙!$B$11:$B$310)),IF(247&lt;=COUNTA(半紙!$B$11:$B$310)+COUNTA(条幅!$B$11:$B$310)+COUNTA(条幅4分の1!$B$11:$B$310),INDEX(条幅4分の1!$H$11:$H$310,247-COUNTA(半紙!$B$11:$B$310)-COUNTA(条幅!$B$11:$B$310)),""))))</f>
        <v/>
      </c>
      <c r="I252" s="38" t="str">
        <f>IF(IF(247&lt;=COUNTA(半紙!$B$11:$B$310),INDEX(半紙!$I$11:$I$310,247),IF(247&lt;=COUNTA(半紙!$B$11:$B$310)+COUNTA(条幅!$B$11:$B$310),INDEX(条幅!$I$11:$I$310,247-COUNTA(半紙!$B$11:$B$310)),IF(247&lt;=COUNTA(半紙!$B$11:$B$310)+COUNTA(条幅!$B$11:$B$310)+COUNTA(条幅4分の1!$B$11:$B$310),INDEX(条幅4分の1!$I$11:$I$310,247-COUNTA(半紙!$B$11:$B$310)-COUNTA(条幅!$B$11:$B$310)),"")))=0,"",IF(247&lt;=COUNTA(半紙!$B$11:$B$310),INDEX(半紙!$I$11:$I$310,247),IF(247&lt;=COUNTA(半紙!$B$11:$B$310)+COUNTA(条幅!$B$11:$B$310),INDEX(条幅!$I$11:$I$310,247-COUNTA(半紙!$B$11:$B$310)),IF(247&lt;=COUNTA(半紙!$B$11:$B$310)+COUNTA(条幅!$B$11:$B$310)+COUNTA(条幅4分の1!$B$11:$B$310),INDEX(条幅4分の1!$I$11:$I$310,247-COUNTA(半紙!$B$11:$B$310)-COUNTA(条幅!$B$11:$B$310)),""))))</f>
        <v/>
      </c>
      <c r="J252" s="38" t="str">
        <f>IF(IF(247&lt;=COUNTA(半紙!$B$11:$B$310),INDEX(半紙!$J$11:$J$310,247),IF(247&lt;=COUNTA(半紙!$B$11:$B$310)+COUNTA(条幅!$B$11:$B$310),INDEX(条幅!$J$11:$J$310,247-COUNTA(半紙!$B$11:$B$310)),IF(247&lt;=COUNTA(半紙!$B$11:$B$310)+COUNTA(条幅!$B$11:$B$310)+COUNTA(条幅4分の1!$B$11:$B$310),INDEX(条幅4分の1!$J$11:$J$310,247-COUNTA(半紙!$B$11:$B$310)-COUNTA(条幅!$B$11:$B$310)),"")))=0,"",IF(247&lt;=COUNTA(半紙!$B$11:$B$310),INDEX(半紙!$J$11:$J$310,247),IF(247&lt;=COUNTA(半紙!$B$11:$B$310)+COUNTA(条幅!$B$11:$B$310),INDEX(条幅!$J$11:$J$310,247-COUNTA(半紙!$B$11:$B$310)),IF(247&lt;=COUNTA(半紙!$B$11:$B$310)+COUNTA(条幅!$B$11:$B$310)+COUNTA(条幅4分の1!$B$11:$B$310),INDEX(条幅4分の1!$J$11:$J$310,247-COUNTA(半紙!$B$11:$B$310)-COUNTA(条幅!$B$11:$B$310)),""))))</f>
        <v/>
      </c>
      <c r="K252" s="38" t="str">
        <f>IF(IF(247&lt;=COUNTA(半紙!$B$11:$B$310),INDEX(半紙!$K$11:$K$310,247),IF(247&lt;=COUNTA(半紙!$B$11:$B$310)+COUNTA(条幅!$B$11:$B$310),INDEX(条幅!$K$11:$K$310,247-COUNTA(半紙!$B$11:$B$310)),IF(247&lt;=COUNTA(半紙!$B$11:$B$310)+COUNTA(条幅!$B$11:$B$310)+COUNTA(条幅4分の1!$B$11:$B$310),INDEX(条幅4分の1!$K$11:$K$310,247-COUNTA(半紙!$B$11:$B$310)-COUNTA(条幅!$B$11:$B$310)),"")))=0,"",IF(247&lt;=COUNTA(半紙!$B$11:$B$310),INDEX(半紙!$K$11:$K$310,247),IF(247&lt;=COUNTA(半紙!$B$11:$B$310)+COUNTA(条幅!$B$11:$B$310),INDEX(条幅!$K$11:$K$310,247-COUNTA(半紙!$B$11:$B$310)),IF(247&lt;=COUNTA(半紙!$B$11:$B$310)+COUNTA(条幅!$B$11:$B$310)+COUNTA(条幅4分の1!$B$11:$B$310),INDEX(条幅4分の1!$K$11:$K$310,247-COUNTA(半紙!$B$11:$B$310)-COUNTA(条幅!$B$11:$B$310)),""))))</f>
        <v/>
      </c>
      <c r="L252" s="48" t="str">
        <f>IF($B252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247))</f>
        <v/>
      </c>
    </row>
    <row r="253" spans="1:12" ht="15" customHeight="1">
      <c r="A253" s="37" t="str">
        <f>IF(248&lt;=COUNTA(半紙!$B$11:$B$310),"半紙",IF(248&lt;=COUNTA(半紙!$B$11:$B$310)+COUNTA(条幅!$B$11:$B$310),"条幅(半切)",IF(248&lt;=COUNTA(半紙!$B$11:$B$310)+COUNTA(条幅!$B$11:$B$310)+COUNTA(条幅4分の1!$B$11:$B$310),"条幅(1/4)","")))</f>
        <v/>
      </c>
      <c r="B253" s="38" t="str">
        <f>IF(IF(248&lt;=COUNTA(半紙!$B$11:$B$310),INDEX(半紙!$B$11:$B$310,248),IF(248&lt;=COUNTA(半紙!$B$11:$B$310)+COUNTA(条幅!$B$11:$B$310),INDEX(条幅!$B$11:$B$310,248-COUNTA(半紙!$B$11:$B$310)),IF(248&lt;=COUNTA(半紙!$B$11:$B$310)+COUNTA(条幅!$B$11:$B$310)+COUNTA(条幅4分の1!$B$11:$B$310),INDEX(条幅4分の1!$B$11:$B$310,248-COUNTA(半紙!$B$11:$B$310)-COUNTA(条幅!$B$11:$B$310)),"")))=0,"",IF(248&lt;=COUNTA(半紙!$B$11:$B$310),INDEX(半紙!$B$11:$B$310,248),IF(248&lt;=COUNTA(半紙!$B$11:$B$310)+COUNTA(条幅!$B$11:$B$310),INDEX(条幅!$B$11:$B$310,248-COUNTA(半紙!$B$11:$B$310)),IF(248&lt;=COUNTA(半紙!$B$11:$B$310)+COUNTA(条幅!$B$11:$B$310)+COUNTA(条幅4分の1!$B$11:$B$310),INDEX(条幅4分の1!$B$11:$B$310,248-COUNTA(半紙!$B$11:$B$310)-COUNTA(条幅!$B$11:$B$310)),""))))</f>
        <v/>
      </c>
      <c r="C253" s="38" t="str">
        <f>IF(IF(248&lt;=COUNTA(半紙!$B$11:$B$310),INDEX(半紙!$C$11:$C$310,248),IF(248&lt;=COUNTA(半紙!$B$11:$B$310)+COUNTA(条幅!$B$11:$B$310),INDEX(条幅!$C$11:$C$310,248-COUNTA(半紙!$B$11:$B$310)),IF(248&lt;=COUNTA(半紙!$B$11:$B$310)+COUNTA(条幅!$B$11:$B$310)+COUNTA(条幅4分の1!$B$11:$B$310),INDEX(条幅4分の1!$C$11:$C$310,248-COUNTA(半紙!$B$11:$B$310)-COUNTA(条幅!$B$11:$B$310)),"")))=0,"",IF(248&lt;=COUNTA(半紙!$B$11:$B$310),INDEX(半紙!$C$11:$C$310,248),IF(248&lt;=COUNTA(半紙!$B$11:$B$310)+COUNTA(条幅!$B$11:$B$310),INDEX(条幅!$C$11:$C$310,248-COUNTA(半紙!$B$11:$B$310)),IF(248&lt;=COUNTA(半紙!$B$11:$B$310)+COUNTA(条幅!$B$11:$B$310)+COUNTA(条幅4分の1!$B$11:$B$310),INDEX(条幅4分の1!$C$11:$C$310,248-COUNTA(半紙!$B$11:$B$310)-COUNTA(条幅!$B$11:$B$310)),""))))</f>
        <v/>
      </c>
      <c r="D253" s="38" t="str">
        <f>IF(IF(248&lt;=COUNTA(半紙!$B$11:$B$310),INDEX(半紙!$D$11:$D$310,248),IF(248&lt;=COUNTA(半紙!$B$11:$B$310)+COUNTA(条幅!$B$11:$B$310),INDEX(条幅!$D$11:$D$310,248-COUNTA(半紙!$B$11:$B$310)),IF(248&lt;=COUNTA(半紙!$B$11:$B$310)+COUNTA(条幅!$B$11:$B$310)+COUNTA(条幅4分の1!$B$11:$B$310),INDEX(条幅4分の1!$D$11:$D$310,248-COUNTA(半紙!$B$11:$B$310)-COUNTA(条幅!$B$11:$B$310)),"")))=0,"",IF(248&lt;=COUNTA(半紙!$B$11:$B$310),INDEX(半紙!$D$11:$D$310,248),IF(248&lt;=COUNTA(半紙!$B$11:$B$310)+COUNTA(条幅!$B$11:$B$310),INDEX(条幅!$D$11:$D$310,248-COUNTA(半紙!$B$11:$B$310)),IF(248&lt;=COUNTA(半紙!$B$11:$B$310)+COUNTA(条幅!$B$11:$B$310)+COUNTA(条幅4分の1!$B$11:$B$310),INDEX(条幅4分の1!$D$11:$D$310,248-COUNTA(半紙!$B$11:$B$310)-COUNTA(条幅!$B$11:$B$310)),""))))</f>
        <v/>
      </c>
      <c r="E253" s="38" t="str">
        <f>IF(IF(248&lt;=COUNTA(半紙!$B$11:$B$310),INDEX(半紙!$E$11:$E$310,248),IF(248&lt;=COUNTA(半紙!$B$11:$B$310)+COUNTA(条幅!$B$11:$B$310),INDEX(条幅!$E$11:$E$310,248-COUNTA(半紙!$B$11:$B$310)),IF(248&lt;=COUNTA(半紙!$B$11:$B$310)+COUNTA(条幅!$B$11:$B$310)+COUNTA(条幅4分の1!$B$11:$B$310),INDEX(条幅4分の1!$E$11:$E$310,248-COUNTA(半紙!$B$11:$B$310)-COUNTA(条幅!$B$11:$B$310)),"")))=0,"",IF(248&lt;=COUNTA(半紙!$B$11:$B$310),INDEX(半紙!$E$11:$E$310,248),IF(248&lt;=COUNTA(半紙!$B$11:$B$310)+COUNTA(条幅!$B$11:$B$310),INDEX(条幅!$E$11:$E$310,248-COUNTA(半紙!$B$11:$B$310)),IF(248&lt;=COUNTA(半紙!$B$11:$B$310)+COUNTA(条幅!$B$11:$B$310)+COUNTA(条幅4分の1!$B$11:$B$310),INDEX(条幅4分の1!$E$11:$E$310,248-COUNTA(半紙!$B$11:$B$310)-COUNTA(条幅!$B$11:$B$310)),""))))</f>
        <v/>
      </c>
      <c r="F253" s="38" t="str">
        <f>IF(IF(248&lt;=COUNTA(半紙!$B$11:$B$310),INDEX(半紙!$F$11:$F$310,248),IF(248&lt;=COUNTA(半紙!$B$11:$B$310)+COUNTA(条幅!$B$11:$B$310),INDEX(条幅!$F$11:$F$310,248-COUNTA(半紙!$B$11:$B$310)),IF(248&lt;=COUNTA(半紙!$B$11:$B$310)+COUNTA(条幅!$B$11:$B$310)+COUNTA(条幅4分の1!$B$11:$B$310),INDEX(条幅4分の1!$F$11:$F$310,248-COUNTA(半紙!$B$11:$B$310)-COUNTA(条幅!$B$11:$B$310)),"")))=0,"",IF(248&lt;=COUNTA(半紙!$B$11:$B$310),INDEX(半紙!$F$11:$F$310,248),IF(248&lt;=COUNTA(半紙!$B$11:$B$310)+COUNTA(条幅!$B$11:$B$310),INDEX(条幅!$F$11:$F$310,248-COUNTA(半紙!$B$11:$B$310)),IF(248&lt;=COUNTA(半紙!$B$11:$B$310)+COUNTA(条幅!$B$11:$B$310)+COUNTA(条幅4分の1!$B$11:$B$310),INDEX(条幅4分の1!$F$11:$F$310,248-COUNTA(半紙!$B$11:$B$310)-COUNTA(条幅!$B$11:$B$310)),""))))</f>
        <v/>
      </c>
      <c r="G253" s="38" t="str">
        <f>IF(IF(248&lt;=COUNTA(半紙!$B$11:$B$310),INDEX(半紙!$G$11:$G$310,248),IF(248&lt;=COUNTA(半紙!$B$11:$B$310)+COUNTA(条幅!$B$11:$B$310),INDEX(条幅!$G$11:$G$310,248-COUNTA(半紙!$B$11:$B$310)),IF(248&lt;=COUNTA(半紙!$B$11:$B$310)+COUNTA(条幅!$B$11:$B$310)+COUNTA(条幅4分の1!$B$11:$B$310),INDEX(条幅4分の1!$G$11:$G$310,248-COUNTA(半紙!$B$11:$B$310)-COUNTA(条幅!$B$11:$B$310)),"")))=0,"",IF(248&lt;=COUNTA(半紙!$B$11:$B$310),INDEX(半紙!$G$11:$G$310,248),IF(248&lt;=COUNTA(半紙!$B$11:$B$310)+COUNTA(条幅!$B$11:$B$310),INDEX(条幅!$G$11:$G$310,248-COUNTA(半紙!$B$11:$B$310)),IF(248&lt;=COUNTA(半紙!$B$11:$B$310)+COUNTA(条幅!$B$11:$B$310)+COUNTA(条幅4分の1!$B$11:$B$310),INDEX(条幅4分の1!$G$11:$G$310,248-COUNTA(半紙!$B$11:$B$310)-COUNTA(条幅!$B$11:$B$310)),""))))</f>
        <v/>
      </c>
      <c r="H253" s="38" t="str">
        <f>IF(IF(248&lt;=COUNTA(半紙!$B$11:$B$310),INDEX(半紙!$H$11:$H$310,248),IF(248&lt;=COUNTA(半紙!$B$11:$B$310)+COUNTA(条幅!$B$11:$B$310),INDEX(条幅!$H$11:$H$310,248-COUNTA(半紙!$B$11:$B$310)),IF(248&lt;=COUNTA(半紙!$B$11:$B$310)+COUNTA(条幅!$B$11:$B$310)+COUNTA(条幅4分の1!$B$11:$B$310),INDEX(条幅4分の1!$H$11:$H$310,248-COUNTA(半紙!$B$11:$B$310)-COUNTA(条幅!$B$11:$B$310)),"")))=0,"",IF(248&lt;=COUNTA(半紙!$B$11:$B$310),INDEX(半紙!$H$11:$H$310,248),IF(248&lt;=COUNTA(半紙!$B$11:$B$310)+COUNTA(条幅!$B$11:$B$310),INDEX(条幅!$H$11:$H$310,248-COUNTA(半紙!$B$11:$B$310)),IF(248&lt;=COUNTA(半紙!$B$11:$B$310)+COUNTA(条幅!$B$11:$B$310)+COUNTA(条幅4分の1!$B$11:$B$310),INDEX(条幅4分の1!$H$11:$H$310,248-COUNTA(半紙!$B$11:$B$310)-COUNTA(条幅!$B$11:$B$310)),""))))</f>
        <v/>
      </c>
      <c r="I253" s="38" t="str">
        <f>IF(IF(248&lt;=COUNTA(半紙!$B$11:$B$310),INDEX(半紙!$I$11:$I$310,248),IF(248&lt;=COUNTA(半紙!$B$11:$B$310)+COUNTA(条幅!$B$11:$B$310),INDEX(条幅!$I$11:$I$310,248-COUNTA(半紙!$B$11:$B$310)),IF(248&lt;=COUNTA(半紙!$B$11:$B$310)+COUNTA(条幅!$B$11:$B$310)+COUNTA(条幅4分の1!$B$11:$B$310),INDEX(条幅4分の1!$I$11:$I$310,248-COUNTA(半紙!$B$11:$B$310)-COUNTA(条幅!$B$11:$B$310)),"")))=0,"",IF(248&lt;=COUNTA(半紙!$B$11:$B$310),INDEX(半紙!$I$11:$I$310,248),IF(248&lt;=COUNTA(半紙!$B$11:$B$310)+COUNTA(条幅!$B$11:$B$310),INDEX(条幅!$I$11:$I$310,248-COUNTA(半紙!$B$11:$B$310)),IF(248&lt;=COUNTA(半紙!$B$11:$B$310)+COUNTA(条幅!$B$11:$B$310)+COUNTA(条幅4分の1!$B$11:$B$310),INDEX(条幅4分の1!$I$11:$I$310,248-COUNTA(半紙!$B$11:$B$310)-COUNTA(条幅!$B$11:$B$310)),""))))</f>
        <v/>
      </c>
      <c r="J253" s="38" t="str">
        <f>IF(IF(248&lt;=COUNTA(半紙!$B$11:$B$310),INDEX(半紙!$J$11:$J$310,248),IF(248&lt;=COUNTA(半紙!$B$11:$B$310)+COUNTA(条幅!$B$11:$B$310),INDEX(条幅!$J$11:$J$310,248-COUNTA(半紙!$B$11:$B$310)),IF(248&lt;=COUNTA(半紙!$B$11:$B$310)+COUNTA(条幅!$B$11:$B$310)+COUNTA(条幅4分の1!$B$11:$B$310),INDEX(条幅4分の1!$J$11:$J$310,248-COUNTA(半紙!$B$11:$B$310)-COUNTA(条幅!$B$11:$B$310)),"")))=0,"",IF(248&lt;=COUNTA(半紙!$B$11:$B$310),INDEX(半紙!$J$11:$J$310,248),IF(248&lt;=COUNTA(半紙!$B$11:$B$310)+COUNTA(条幅!$B$11:$B$310),INDEX(条幅!$J$11:$J$310,248-COUNTA(半紙!$B$11:$B$310)),IF(248&lt;=COUNTA(半紙!$B$11:$B$310)+COUNTA(条幅!$B$11:$B$310)+COUNTA(条幅4分の1!$B$11:$B$310),INDEX(条幅4分の1!$J$11:$J$310,248-COUNTA(半紙!$B$11:$B$310)-COUNTA(条幅!$B$11:$B$310)),""))))</f>
        <v/>
      </c>
      <c r="K253" s="38" t="str">
        <f>IF(IF(248&lt;=COUNTA(半紙!$B$11:$B$310),INDEX(半紙!$K$11:$K$310,248),IF(248&lt;=COUNTA(半紙!$B$11:$B$310)+COUNTA(条幅!$B$11:$B$310),INDEX(条幅!$K$11:$K$310,248-COUNTA(半紙!$B$11:$B$310)),IF(248&lt;=COUNTA(半紙!$B$11:$B$310)+COUNTA(条幅!$B$11:$B$310)+COUNTA(条幅4分の1!$B$11:$B$310),INDEX(条幅4分の1!$K$11:$K$310,248-COUNTA(半紙!$B$11:$B$310)-COUNTA(条幅!$B$11:$B$310)),"")))=0,"",IF(248&lt;=COUNTA(半紙!$B$11:$B$310),INDEX(半紙!$K$11:$K$310,248),IF(248&lt;=COUNTA(半紙!$B$11:$B$310)+COUNTA(条幅!$B$11:$B$310),INDEX(条幅!$K$11:$K$310,248-COUNTA(半紙!$B$11:$B$310)),IF(248&lt;=COUNTA(半紙!$B$11:$B$310)+COUNTA(条幅!$B$11:$B$310)+COUNTA(条幅4分の1!$B$11:$B$310),INDEX(条幅4分の1!$K$11:$K$310,248-COUNTA(半紙!$B$11:$B$310)-COUNTA(条幅!$B$11:$B$310)),""))))</f>
        <v/>
      </c>
      <c r="L253" s="48" t="str">
        <f>IF($B253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248))</f>
        <v/>
      </c>
    </row>
    <row r="254" spans="1:12" ht="15" customHeight="1">
      <c r="A254" s="37" t="str">
        <f>IF(249&lt;=COUNTA(半紙!$B$11:$B$310),"半紙",IF(249&lt;=COUNTA(半紙!$B$11:$B$310)+COUNTA(条幅!$B$11:$B$310),"条幅(半切)",IF(249&lt;=COUNTA(半紙!$B$11:$B$310)+COUNTA(条幅!$B$11:$B$310)+COUNTA(条幅4分の1!$B$11:$B$310),"条幅(1/4)","")))</f>
        <v/>
      </c>
      <c r="B254" s="38" t="str">
        <f>IF(IF(249&lt;=COUNTA(半紙!$B$11:$B$310),INDEX(半紙!$B$11:$B$310,249),IF(249&lt;=COUNTA(半紙!$B$11:$B$310)+COUNTA(条幅!$B$11:$B$310),INDEX(条幅!$B$11:$B$310,249-COUNTA(半紙!$B$11:$B$310)),IF(249&lt;=COUNTA(半紙!$B$11:$B$310)+COUNTA(条幅!$B$11:$B$310)+COUNTA(条幅4分の1!$B$11:$B$310),INDEX(条幅4分の1!$B$11:$B$310,249-COUNTA(半紙!$B$11:$B$310)-COUNTA(条幅!$B$11:$B$310)),"")))=0,"",IF(249&lt;=COUNTA(半紙!$B$11:$B$310),INDEX(半紙!$B$11:$B$310,249),IF(249&lt;=COUNTA(半紙!$B$11:$B$310)+COUNTA(条幅!$B$11:$B$310),INDEX(条幅!$B$11:$B$310,249-COUNTA(半紙!$B$11:$B$310)),IF(249&lt;=COUNTA(半紙!$B$11:$B$310)+COUNTA(条幅!$B$11:$B$310)+COUNTA(条幅4分の1!$B$11:$B$310),INDEX(条幅4分の1!$B$11:$B$310,249-COUNTA(半紙!$B$11:$B$310)-COUNTA(条幅!$B$11:$B$310)),""))))</f>
        <v/>
      </c>
      <c r="C254" s="38" t="str">
        <f>IF(IF(249&lt;=COUNTA(半紙!$B$11:$B$310),INDEX(半紙!$C$11:$C$310,249),IF(249&lt;=COUNTA(半紙!$B$11:$B$310)+COUNTA(条幅!$B$11:$B$310),INDEX(条幅!$C$11:$C$310,249-COUNTA(半紙!$B$11:$B$310)),IF(249&lt;=COUNTA(半紙!$B$11:$B$310)+COUNTA(条幅!$B$11:$B$310)+COUNTA(条幅4分の1!$B$11:$B$310),INDEX(条幅4分の1!$C$11:$C$310,249-COUNTA(半紙!$B$11:$B$310)-COUNTA(条幅!$B$11:$B$310)),"")))=0,"",IF(249&lt;=COUNTA(半紙!$B$11:$B$310),INDEX(半紙!$C$11:$C$310,249),IF(249&lt;=COUNTA(半紙!$B$11:$B$310)+COUNTA(条幅!$B$11:$B$310),INDEX(条幅!$C$11:$C$310,249-COUNTA(半紙!$B$11:$B$310)),IF(249&lt;=COUNTA(半紙!$B$11:$B$310)+COUNTA(条幅!$B$11:$B$310)+COUNTA(条幅4分の1!$B$11:$B$310),INDEX(条幅4分の1!$C$11:$C$310,249-COUNTA(半紙!$B$11:$B$310)-COUNTA(条幅!$B$11:$B$310)),""))))</f>
        <v/>
      </c>
      <c r="D254" s="38" t="str">
        <f>IF(IF(249&lt;=COUNTA(半紙!$B$11:$B$310),INDEX(半紙!$D$11:$D$310,249),IF(249&lt;=COUNTA(半紙!$B$11:$B$310)+COUNTA(条幅!$B$11:$B$310),INDEX(条幅!$D$11:$D$310,249-COUNTA(半紙!$B$11:$B$310)),IF(249&lt;=COUNTA(半紙!$B$11:$B$310)+COUNTA(条幅!$B$11:$B$310)+COUNTA(条幅4分の1!$B$11:$B$310),INDEX(条幅4分の1!$D$11:$D$310,249-COUNTA(半紙!$B$11:$B$310)-COUNTA(条幅!$B$11:$B$310)),"")))=0,"",IF(249&lt;=COUNTA(半紙!$B$11:$B$310),INDEX(半紙!$D$11:$D$310,249),IF(249&lt;=COUNTA(半紙!$B$11:$B$310)+COUNTA(条幅!$B$11:$B$310),INDEX(条幅!$D$11:$D$310,249-COUNTA(半紙!$B$11:$B$310)),IF(249&lt;=COUNTA(半紙!$B$11:$B$310)+COUNTA(条幅!$B$11:$B$310)+COUNTA(条幅4分の1!$B$11:$B$310),INDEX(条幅4分の1!$D$11:$D$310,249-COUNTA(半紙!$B$11:$B$310)-COUNTA(条幅!$B$11:$B$310)),""))))</f>
        <v/>
      </c>
      <c r="E254" s="38" t="str">
        <f>IF(IF(249&lt;=COUNTA(半紙!$B$11:$B$310),INDEX(半紙!$E$11:$E$310,249),IF(249&lt;=COUNTA(半紙!$B$11:$B$310)+COUNTA(条幅!$B$11:$B$310),INDEX(条幅!$E$11:$E$310,249-COUNTA(半紙!$B$11:$B$310)),IF(249&lt;=COUNTA(半紙!$B$11:$B$310)+COUNTA(条幅!$B$11:$B$310)+COUNTA(条幅4分の1!$B$11:$B$310),INDEX(条幅4分の1!$E$11:$E$310,249-COUNTA(半紙!$B$11:$B$310)-COUNTA(条幅!$B$11:$B$310)),"")))=0,"",IF(249&lt;=COUNTA(半紙!$B$11:$B$310),INDEX(半紙!$E$11:$E$310,249),IF(249&lt;=COUNTA(半紙!$B$11:$B$310)+COUNTA(条幅!$B$11:$B$310),INDEX(条幅!$E$11:$E$310,249-COUNTA(半紙!$B$11:$B$310)),IF(249&lt;=COUNTA(半紙!$B$11:$B$310)+COUNTA(条幅!$B$11:$B$310)+COUNTA(条幅4分の1!$B$11:$B$310),INDEX(条幅4分の1!$E$11:$E$310,249-COUNTA(半紙!$B$11:$B$310)-COUNTA(条幅!$B$11:$B$310)),""))))</f>
        <v/>
      </c>
      <c r="F254" s="38" t="str">
        <f>IF(IF(249&lt;=COUNTA(半紙!$B$11:$B$310),INDEX(半紙!$F$11:$F$310,249),IF(249&lt;=COUNTA(半紙!$B$11:$B$310)+COUNTA(条幅!$B$11:$B$310),INDEX(条幅!$F$11:$F$310,249-COUNTA(半紙!$B$11:$B$310)),IF(249&lt;=COUNTA(半紙!$B$11:$B$310)+COUNTA(条幅!$B$11:$B$310)+COUNTA(条幅4分の1!$B$11:$B$310),INDEX(条幅4分の1!$F$11:$F$310,249-COUNTA(半紙!$B$11:$B$310)-COUNTA(条幅!$B$11:$B$310)),"")))=0,"",IF(249&lt;=COUNTA(半紙!$B$11:$B$310),INDEX(半紙!$F$11:$F$310,249),IF(249&lt;=COUNTA(半紙!$B$11:$B$310)+COUNTA(条幅!$B$11:$B$310),INDEX(条幅!$F$11:$F$310,249-COUNTA(半紙!$B$11:$B$310)),IF(249&lt;=COUNTA(半紙!$B$11:$B$310)+COUNTA(条幅!$B$11:$B$310)+COUNTA(条幅4分の1!$B$11:$B$310),INDEX(条幅4分の1!$F$11:$F$310,249-COUNTA(半紙!$B$11:$B$310)-COUNTA(条幅!$B$11:$B$310)),""))))</f>
        <v/>
      </c>
      <c r="G254" s="38" t="str">
        <f>IF(IF(249&lt;=COUNTA(半紙!$B$11:$B$310),INDEX(半紙!$G$11:$G$310,249),IF(249&lt;=COUNTA(半紙!$B$11:$B$310)+COUNTA(条幅!$B$11:$B$310),INDEX(条幅!$G$11:$G$310,249-COUNTA(半紙!$B$11:$B$310)),IF(249&lt;=COUNTA(半紙!$B$11:$B$310)+COUNTA(条幅!$B$11:$B$310)+COUNTA(条幅4分の1!$B$11:$B$310),INDEX(条幅4分の1!$G$11:$G$310,249-COUNTA(半紙!$B$11:$B$310)-COUNTA(条幅!$B$11:$B$310)),"")))=0,"",IF(249&lt;=COUNTA(半紙!$B$11:$B$310),INDEX(半紙!$G$11:$G$310,249),IF(249&lt;=COUNTA(半紙!$B$11:$B$310)+COUNTA(条幅!$B$11:$B$310),INDEX(条幅!$G$11:$G$310,249-COUNTA(半紙!$B$11:$B$310)),IF(249&lt;=COUNTA(半紙!$B$11:$B$310)+COUNTA(条幅!$B$11:$B$310)+COUNTA(条幅4分の1!$B$11:$B$310),INDEX(条幅4分の1!$G$11:$G$310,249-COUNTA(半紙!$B$11:$B$310)-COUNTA(条幅!$B$11:$B$310)),""))))</f>
        <v/>
      </c>
      <c r="H254" s="38" t="str">
        <f>IF(IF(249&lt;=COUNTA(半紙!$B$11:$B$310),INDEX(半紙!$H$11:$H$310,249),IF(249&lt;=COUNTA(半紙!$B$11:$B$310)+COUNTA(条幅!$B$11:$B$310),INDEX(条幅!$H$11:$H$310,249-COUNTA(半紙!$B$11:$B$310)),IF(249&lt;=COUNTA(半紙!$B$11:$B$310)+COUNTA(条幅!$B$11:$B$310)+COUNTA(条幅4分の1!$B$11:$B$310),INDEX(条幅4分の1!$H$11:$H$310,249-COUNTA(半紙!$B$11:$B$310)-COUNTA(条幅!$B$11:$B$310)),"")))=0,"",IF(249&lt;=COUNTA(半紙!$B$11:$B$310),INDEX(半紙!$H$11:$H$310,249),IF(249&lt;=COUNTA(半紙!$B$11:$B$310)+COUNTA(条幅!$B$11:$B$310),INDEX(条幅!$H$11:$H$310,249-COUNTA(半紙!$B$11:$B$310)),IF(249&lt;=COUNTA(半紙!$B$11:$B$310)+COUNTA(条幅!$B$11:$B$310)+COUNTA(条幅4分の1!$B$11:$B$310),INDEX(条幅4分の1!$H$11:$H$310,249-COUNTA(半紙!$B$11:$B$310)-COUNTA(条幅!$B$11:$B$310)),""))))</f>
        <v/>
      </c>
      <c r="I254" s="38" t="str">
        <f>IF(IF(249&lt;=COUNTA(半紙!$B$11:$B$310),INDEX(半紙!$I$11:$I$310,249),IF(249&lt;=COUNTA(半紙!$B$11:$B$310)+COUNTA(条幅!$B$11:$B$310),INDEX(条幅!$I$11:$I$310,249-COUNTA(半紙!$B$11:$B$310)),IF(249&lt;=COUNTA(半紙!$B$11:$B$310)+COUNTA(条幅!$B$11:$B$310)+COUNTA(条幅4分の1!$B$11:$B$310),INDEX(条幅4分の1!$I$11:$I$310,249-COUNTA(半紙!$B$11:$B$310)-COUNTA(条幅!$B$11:$B$310)),"")))=0,"",IF(249&lt;=COUNTA(半紙!$B$11:$B$310),INDEX(半紙!$I$11:$I$310,249),IF(249&lt;=COUNTA(半紙!$B$11:$B$310)+COUNTA(条幅!$B$11:$B$310),INDEX(条幅!$I$11:$I$310,249-COUNTA(半紙!$B$11:$B$310)),IF(249&lt;=COUNTA(半紙!$B$11:$B$310)+COUNTA(条幅!$B$11:$B$310)+COUNTA(条幅4分の1!$B$11:$B$310),INDEX(条幅4分の1!$I$11:$I$310,249-COUNTA(半紙!$B$11:$B$310)-COUNTA(条幅!$B$11:$B$310)),""))))</f>
        <v/>
      </c>
      <c r="J254" s="38" t="str">
        <f>IF(IF(249&lt;=COUNTA(半紙!$B$11:$B$310),INDEX(半紙!$J$11:$J$310,249),IF(249&lt;=COUNTA(半紙!$B$11:$B$310)+COUNTA(条幅!$B$11:$B$310),INDEX(条幅!$J$11:$J$310,249-COUNTA(半紙!$B$11:$B$310)),IF(249&lt;=COUNTA(半紙!$B$11:$B$310)+COUNTA(条幅!$B$11:$B$310)+COUNTA(条幅4分の1!$B$11:$B$310),INDEX(条幅4分の1!$J$11:$J$310,249-COUNTA(半紙!$B$11:$B$310)-COUNTA(条幅!$B$11:$B$310)),"")))=0,"",IF(249&lt;=COUNTA(半紙!$B$11:$B$310),INDEX(半紙!$J$11:$J$310,249),IF(249&lt;=COUNTA(半紙!$B$11:$B$310)+COUNTA(条幅!$B$11:$B$310),INDEX(条幅!$J$11:$J$310,249-COUNTA(半紙!$B$11:$B$310)),IF(249&lt;=COUNTA(半紙!$B$11:$B$310)+COUNTA(条幅!$B$11:$B$310)+COUNTA(条幅4分の1!$B$11:$B$310),INDEX(条幅4分の1!$J$11:$J$310,249-COUNTA(半紙!$B$11:$B$310)-COUNTA(条幅!$B$11:$B$310)),""))))</f>
        <v/>
      </c>
      <c r="K254" s="38" t="str">
        <f>IF(IF(249&lt;=COUNTA(半紙!$B$11:$B$310),INDEX(半紙!$K$11:$K$310,249),IF(249&lt;=COUNTA(半紙!$B$11:$B$310)+COUNTA(条幅!$B$11:$B$310),INDEX(条幅!$K$11:$K$310,249-COUNTA(半紙!$B$11:$B$310)),IF(249&lt;=COUNTA(半紙!$B$11:$B$310)+COUNTA(条幅!$B$11:$B$310)+COUNTA(条幅4分の1!$B$11:$B$310),INDEX(条幅4分の1!$K$11:$K$310,249-COUNTA(半紙!$B$11:$B$310)-COUNTA(条幅!$B$11:$B$310)),"")))=0,"",IF(249&lt;=COUNTA(半紙!$B$11:$B$310),INDEX(半紙!$K$11:$K$310,249),IF(249&lt;=COUNTA(半紙!$B$11:$B$310)+COUNTA(条幅!$B$11:$B$310),INDEX(条幅!$K$11:$K$310,249-COUNTA(半紙!$B$11:$B$310)),IF(249&lt;=COUNTA(半紙!$B$11:$B$310)+COUNTA(条幅!$B$11:$B$310)+COUNTA(条幅4分の1!$B$11:$B$310),INDEX(条幅4分の1!$K$11:$K$310,249-COUNTA(半紙!$B$11:$B$310)-COUNTA(条幅!$B$11:$B$310)),""))))</f>
        <v/>
      </c>
      <c r="L254" s="48" t="str">
        <f>IF($B254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249))</f>
        <v/>
      </c>
    </row>
    <row r="255" spans="1:12" ht="15" customHeight="1">
      <c r="A255" s="37" t="str">
        <f>IF(250&lt;=COUNTA(半紙!$B$11:$B$310),"半紙",IF(250&lt;=COUNTA(半紙!$B$11:$B$310)+COUNTA(条幅!$B$11:$B$310),"条幅(半切)",IF(250&lt;=COUNTA(半紙!$B$11:$B$310)+COUNTA(条幅!$B$11:$B$310)+COUNTA(条幅4分の1!$B$11:$B$310),"条幅(1/4)","")))</f>
        <v/>
      </c>
      <c r="B255" s="38" t="str">
        <f>IF(IF(250&lt;=COUNTA(半紙!$B$11:$B$310),INDEX(半紙!$B$11:$B$310,250),IF(250&lt;=COUNTA(半紙!$B$11:$B$310)+COUNTA(条幅!$B$11:$B$310),INDEX(条幅!$B$11:$B$310,250-COUNTA(半紙!$B$11:$B$310)),IF(250&lt;=COUNTA(半紙!$B$11:$B$310)+COUNTA(条幅!$B$11:$B$310)+COUNTA(条幅4分の1!$B$11:$B$310),INDEX(条幅4分の1!$B$11:$B$310,250-COUNTA(半紙!$B$11:$B$310)-COUNTA(条幅!$B$11:$B$310)),"")))=0,"",IF(250&lt;=COUNTA(半紙!$B$11:$B$310),INDEX(半紙!$B$11:$B$310,250),IF(250&lt;=COUNTA(半紙!$B$11:$B$310)+COUNTA(条幅!$B$11:$B$310),INDEX(条幅!$B$11:$B$310,250-COUNTA(半紙!$B$11:$B$310)),IF(250&lt;=COUNTA(半紙!$B$11:$B$310)+COUNTA(条幅!$B$11:$B$310)+COUNTA(条幅4分の1!$B$11:$B$310),INDEX(条幅4分の1!$B$11:$B$310,250-COUNTA(半紙!$B$11:$B$310)-COUNTA(条幅!$B$11:$B$310)),""))))</f>
        <v/>
      </c>
      <c r="C255" s="38" t="str">
        <f>IF(IF(250&lt;=COUNTA(半紙!$B$11:$B$310),INDEX(半紙!$C$11:$C$310,250),IF(250&lt;=COUNTA(半紙!$B$11:$B$310)+COUNTA(条幅!$B$11:$B$310),INDEX(条幅!$C$11:$C$310,250-COUNTA(半紙!$B$11:$B$310)),IF(250&lt;=COUNTA(半紙!$B$11:$B$310)+COUNTA(条幅!$B$11:$B$310)+COUNTA(条幅4分の1!$B$11:$B$310),INDEX(条幅4分の1!$C$11:$C$310,250-COUNTA(半紙!$B$11:$B$310)-COUNTA(条幅!$B$11:$B$310)),"")))=0,"",IF(250&lt;=COUNTA(半紙!$B$11:$B$310),INDEX(半紙!$C$11:$C$310,250),IF(250&lt;=COUNTA(半紙!$B$11:$B$310)+COUNTA(条幅!$B$11:$B$310),INDEX(条幅!$C$11:$C$310,250-COUNTA(半紙!$B$11:$B$310)),IF(250&lt;=COUNTA(半紙!$B$11:$B$310)+COUNTA(条幅!$B$11:$B$310)+COUNTA(条幅4分の1!$B$11:$B$310),INDEX(条幅4分の1!$C$11:$C$310,250-COUNTA(半紙!$B$11:$B$310)-COUNTA(条幅!$B$11:$B$310)),""))))</f>
        <v/>
      </c>
      <c r="D255" s="38" t="str">
        <f>IF(IF(250&lt;=COUNTA(半紙!$B$11:$B$310),INDEX(半紙!$D$11:$D$310,250),IF(250&lt;=COUNTA(半紙!$B$11:$B$310)+COUNTA(条幅!$B$11:$B$310),INDEX(条幅!$D$11:$D$310,250-COUNTA(半紙!$B$11:$B$310)),IF(250&lt;=COUNTA(半紙!$B$11:$B$310)+COUNTA(条幅!$B$11:$B$310)+COUNTA(条幅4分の1!$B$11:$B$310),INDEX(条幅4分の1!$D$11:$D$310,250-COUNTA(半紙!$B$11:$B$310)-COUNTA(条幅!$B$11:$B$310)),"")))=0,"",IF(250&lt;=COUNTA(半紙!$B$11:$B$310),INDEX(半紙!$D$11:$D$310,250),IF(250&lt;=COUNTA(半紙!$B$11:$B$310)+COUNTA(条幅!$B$11:$B$310),INDEX(条幅!$D$11:$D$310,250-COUNTA(半紙!$B$11:$B$310)),IF(250&lt;=COUNTA(半紙!$B$11:$B$310)+COUNTA(条幅!$B$11:$B$310)+COUNTA(条幅4分の1!$B$11:$B$310),INDEX(条幅4分の1!$D$11:$D$310,250-COUNTA(半紙!$B$11:$B$310)-COUNTA(条幅!$B$11:$B$310)),""))))</f>
        <v/>
      </c>
      <c r="E255" s="38" t="str">
        <f>IF(IF(250&lt;=COUNTA(半紙!$B$11:$B$310),INDEX(半紙!$E$11:$E$310,250),IF(250&lt;=COUNTA(半紙!$B$11:$B$310)+COUNTA(条幅!$B$11:$B$310),INDEX(条幅!$E$11:$E$310,250-COUNTA(半紙!$B$11:$B$310)),IF(250&lt;=COUNTA(半紙!$B$11:$B$310)+COUNTA(条幅!$B$11:$B$310)+COUNTA(条幅4分の1!$B$11:$B$310),INDEX(条幅4分の1!$E$11:$E$310,250-COUNTA(半紙!$B$11:$B$310)-COUNTA(条幅!$B$11:$B$310)),"")))=0,"",IF(250&lt;=COUNTA(半紙!$B$11:$B$310),INDEX(半紙!$E$11:$E$310,250),IF(250&lt;=COUNTA(半紙!$B$11:$B$310)+COUNTA(条幅!$B$11:$B$310),INDEX(条幅!$E$11:$E$310,250-COUNTA(半紙!$B$11:$B$310)),IF(250&lt;=COUNTA(半紙!$B$11:$B$310)+COUNTA(条幅!$B$11:$B$310)+COUNTA(条幅4分の1!$B$11:$B$310),INDEX(条幅4分の1!$E$11:$E$310,250-COUNTA(半紙!$B$11:$B$310)-COUNTA(条幅!$B$11:$B$310)),""))))</f>
        <v/>
      </c>
      <c r="F255" s="38" t="str">
        <f>IF(IF(250&lt;=COUNTA(半紙!$B$11:$B$310),INDEX(半紙!$F$11:$F$310,250),IF(250&lt;=COUNTA(半紙!$B$11:$B$310)+COUNTA(条幅!$B$11:$B$310),INDEX(条幅!$F$11:$F$310,250-COUNTA(半紙!$B$11:$B$310)),IF(250&lt;=COUNTA(半紙!$B$11:$B$310)+COUNTA(条幅!$B$11:$B$310)+COUNTA(条幅4分の1!$B$11:$B$310),INDEX(条幅4分の1!$F$11:$F$310,250-COUNTA(半紙!$B$11:$B$310)-COUNTA(条幅!$B$11:$B$310)),"")))=0,"",IF(250&lt;=COUNTA(半紙!$B$11:$B$310),INDEX(半紙!$F$11:$F$310,250),IF(250&lt;=COUNTA(半紙!$B$11:$B$310)+COUNTA(条幅!$B$11:$B$310),INDEX(条幅!$F$11:$F$310,250-COUNTA(半紙!$B$11:$B$310)),IF(250&lt;=COUNTA(半紙!$B$11:$B$310)+COUNTA(条幅!$B$11:$B$310)+COUNTA(条幅4分の1!$B$11:$B$310),INDEX(条幅4分の1!$F$11:$F$310,250-COUNTA(半紙!$B$11:$B$310)-COUNTA(条幅!$B$11:$B$310)),""))))</f>
        <v/>
      </c>
      <c r="G255" s="38" t="str">
        <f>IF(IF(250&lt;=COUNTA(半紙!$B$11:$B$310),INDEX(半紙!$G$11:$G$310,250),IF(250&lt;=COUNTA(半紙!$B$11:$B$310)+COUNTA(条幅!$B$11:$B$310),INDEX(条幅!$G$11:$G$310,250-COUNTA(半紙!$B$11:$B$310)),IF(250&lt;=COUNTA(半紙!$B$11:$B$310)+COUNTA(条幅!$B$11:$B$310)+COUNTA(条幅4分の1!$B$11:$B$310),INDEX(条幅4分の1!$G$11:$G$310,250-COUNTA(半紙!$B$11:$B$310)-COUNTA(条幅!$B$11:$B$310)),"")))=0,"",IF(250&lt;=COUNTA(半紙!$B$11:$B$310),INDEX(半紙!$G$11:$G$310,250),IF(250&lt;=COUNTA(半紙!$B$11:$B$310)+COUNTA(条幅!$B$11:$B$310),INDEX(条幅!$G$11:$G$310,250-COUNTA(半紙!$B$11:$B$310)),IF(250&lt;=COUNTA(半紙!$B$11:$B$310)+COUNTA(条幅!$B$11:$B$310)+COUNTA(条幅4分の1!$B$11:$B$310),INDEX(条幅4分の1!$G$11:$G$310,250-COUNTA(半紙!$B$11:$B$310)-COUNTA(条幅!$B$11:$B$310)),""))))</f>
        <v/>
      </c>
      <c r="H255" s="38" t="str">
        <f>IF(IF(250&lt;=COUNTA(半紙!$B$11:$B$310),INDEX(半紙!$H$11:$H$310,250),IF(250&lt;=COUNTA(半紙!$B$11:$B$310)+COUNTA(条幅!$B$11:$B$310),INDEX(条幅!$H$11:$H$310,250-COUNTA(半紙!$B$11:$B$310)),IF(250&lt;=COUNTA(半紙!$B$11:$B$310)+COUNTA(条幅!$B$11:$B$310)+COUNTA(条幅4分の1!$B$11:$B$310),INDEX(条幅4分の1!$H$11:$H$310,250-COUNTA(半紙!$B$11:$B$310)-COUNTA(条幅!$B$11:$B$310)),"")))=0,"",IF(250&lt;=COUNTA(半紙!$B$11:$B$310),INDEX(半紙!$H$11:$H$310,250),IF(250&lt;=COUNTA(半紙!$B$11:$B$310)+COUNTA(条幅!$B$11:$B$310),INDEX(条幅!$H$11:$H$310,250-COUNTA(半紙!$B$11:$B$310)),IF(250&lt;=COUNTA(半紙!$B$11:$B$310)+COUNTA(条幅!$B$11:$B$310)+COUNTA(条幅4分の1!$B$11:$B$310),INDEX(条幅4分の1!$H$11:$H$310,250-COUNTA(半紙!$B$11:$B$310)-COUNTA(条幅!$B$11:$B$310)),""))))</f>
        <v/>
      </c>
      <c r="I255" s="38" t="str">
        <f>IF(IF(250&lt;=COUNTA(半紙!$B$11:$B$310),INDEX(半紙!$I$11:$I$310,250),IF(250&lt;=COUNTA(半紙!$B$11:$B$310)+COUNTA(条幅!$B$11:$B$310),INDEX(条幅!$I$11:$I$310,250-COUNTA(半紙!$B$11:$B$310)),IF(250&lt;=COUNTA(半紙!$B$11:$B$310)+COUNTA(条幅!$B$11:$B$310)+COUNTA(条幅4分の1!$B$11:$B$310),INDEX(条幅4分の1!$I$11:$I$310,250-COUNTA(半紙!$B$11:$B$310)-COUNTA(条幅!$B$11:$B$310)),"")))=0,"",IF(250&lt;=COUNTA(半紙!$B$11:$B$310),INDEX(半紙!$I$11:$I$310,250),IF(250&lt;=COUNTA(半紙!$B$11:$B$310)+COUNTA(条幅!$B$11:$B$310),INDEX(条幅!$I$11:$I$310,250-COUNTA(半紙!$B$11:$B$310)),IF(250&lt;=COUNTA(半紙!$B$11:$B$310)+COUNTA(条幅!$B$11:$B$310)+COUNTA(条幅4分の1!$B$11:$B$310),INDEX(条幅4分の1!$I$11:$I$310,250-COUNTA(半紙!$B$11:$B$310)-COUNTA(条幅!$B$11:$B$310)),""))))</f>
        <v/>
      </c>
      <c r="J255" s="38" t="str">
        <f>IF(IF(250&lt;=COUNTA(半紙!$B$11:$B$310),INDEX(半紙!$J$11:$J$310,250),IF(250&lt;=COUNTA(半紙!$B$11:$B$310)+COUNTA(条幅!$B$11:$B$310),INDEX(条幅!$J$11:$J$310,250-COUNTA(半紙!$B$11:$B$310)),IF(250&lt;=COUNTA(半紙!$B$11:$B$310)+COUNTA(条幅!$B$11:$B$310)+COUNTA(条幅4分の1!$B$11:$B$310),INDEX(条幅4分の1!$J$11:$J$310,250-COUNTA(半紙!$B$11:$B$310)-COUNTA(条幅!$B$11:$B$310)),"")))=0,"",IF(250&lt;=COUNTA(半紙!$B$11:$B$310),INDEX(半紙!$J$11:$J$310,250),IF(250&lt;=COUNTA(半紙!$B$11:$B$310)+COUNTA(条幅!$B$11:$B$310),INDEX(条幅!$J$11:$J$310,250-COUNTA(半紙!$B$11:$B$310)),IF(250&lt;=COUNTA(半紙!$B$11:$B$310)+COUNTA(条幅!$B$11:$B$310)+COUNTA(条幅4分の1!$B$11:$B$310),INDEX(条幅4分の1!$J$11:$J$310,250-COUNTA(半紙!$B$11:$B$310)-COUNTA(条幅!$B$11:$B$310)),""))))</f>
        <v/>
      </c>
      <c r="K255" s="38" t="str">
        <f>IF(IF(250&lt;=COUNTA(半紙!$B$11:$B$310),INDEX(半紙!$K$11:$K$310,250),IF(250&lt;=COUNTA(半紙!$B$11:$B$310)+COUNTA(条幅!$B$11:$B$310),INDEX(条幅!$K$11:$K$310,250-COUNTA(半紙!$B$11:$B$310)),IF(250&lt;=COUNTA(半紙!$B$11:$B$310)+COUNTA(条幅!$B$11:$B$310)+COUNTA(条幅4分の1!$B$11:$B$310),INDEX(条幅4分の1!$K$11:$K$310,250-COUNTA(半紙!$B$11:$B$310)-COUNTA(条幅!$B$11:$B$310)),"")))=0,"",IF(250&lt;=COUNTA(半紙!$B$11:$B$310),INDEX(半紙!$K$11:$K$310,250),IF(250&lt;=COUNTA(半紙!$B$11:$B$310)+COUNTA(条幅!$B$11:$B$310),INDEX(条幅!$K$11:$K$310,250-COUNTA(半紙!$B$11:$B$310)),IF(250&lt;=COUNTA(半紙!$B$11:$B$310)+COUNTA(条幅!$B$11:$B$310)+COUNTA(条幅4分の1!$B$11:$B$310),INDEX(条幅4分の1!$K$11:$K$310,250-COUNTA(半紙!$B$11:$B$310)-COUNTA(条幅!$B$11:$B$310)),""))))</f>
        <v/>
      </c>
      <c r="L255" s="48" t="str">
        <f>IF($B255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250))</f>
        <v/>
      </c>
    </row>
    <row r="256" spans="1:12" ht="15" customHeight="1">
      <c r="A256" s="37" t="str">
        <f>IF(251&lt;=COUNTA(半紙!$B$11:$B$310),"半紙",IF(251&lt;=COUNTA(半紙!$B$11:$B$310)+COUNTA(条幅!$B$11:$B$310),"条幅(半切)",IF(251&lt;=COUNTA(半紙!$B$11:$B$310)+COUNTA(条幅!$B$11:$B$310)+COUNTA(条幅4分の1!$B$11:$B$310),"条幅(1/4)","")))</f>
        <v/>
      </c>
      <c r="B256" s="38" t="str">
        <f>IF(IF(251&lt;=COUNTA(半紙!$B$11:$B$310),INDEX(半紙!$B$11:$B$310,251),IF(251&lt;=COUNTA(半紙!$B$11:$B$310)+COUNTA(条幅!$B$11:$B$310),INDEX(条幅!$B$11:$B$310,251-COUNTA(半紙!$B$11:$B$310)),IF(251&lt;=COUNTA(半紙!$B$11:$B$310)+COUNTA(条幅!$B$11:$B$310)+COUNTA(条幅4分の1!$B$11:$B$310),INDEX(条幅4分の1!$B$11:$B$310,251-COUNTA(半紙!$B$11:$B$310)-COUNTA(条幅!$B$11:$B$310)),"")))=0,"",IF(251&lt;=COUNTA(半紙!$B$11:$B$310),INDEX(半紙!$B$11:$B$310,251),IF(251&lt;=COUNTA(半紙!$B$11:$B$310)+COUNTA(条幅!$B$11:$B$310),INDEX(条幅!$B$11:$B$310,251-COUNTA(半紙!$B$11:$B$310)),IF(251&lt;=COUNTA(半紙!$B$11:$B$310)+COUNTA(条幅!$B$11:$B$310)+COUNTA(条幅4分の1!$B$11:$B$310),INDEX(条幅4分の1!$B$11:$B$310,251-COUNTA(半紙!$B$11:$B$310)-COUNTA(条幅!$B$11:$B$310)),""))))</f>
        <v/>
      </c>
      <c r="C256" s="38" t="str">
        <f>IF(IF(251&lt;=COUNTA(半紙!$B$11:$B$310),INDEX(半紙!$C$11:$C$310,251),IF(251&lt;=COUNTA(半紙!$B$11:$B$310)+COUNTA(条幅!$B$11:$B$310),INDEX(条幅!$C$11:$C$310,251-COUNTA(半紙!$B$11:$B$310)),IF(251&lt;=COUNTA(半紙!$B$11:$B$310)+COUNTA(条幅!$B$11:$B$310)+COUNTA(条幅4分の1!$B$11:$B$310),INDEX(条幅4分の1!$C$11:$C$310,251-COUNTA(半紙!$B$11:$B$310)-COUNTA(条幅!$B$11:$B$310)),"")))=0,"",IF(251&lt;=COUNTA(半紙!$B$11:$B$310),INDEX(半紙!$C$11:$C$310,251),IF(251&lt;=COUNTA(半紙!$B$11:$B$310)+COUNTA(条幅!$B$11:$B$310),INDEX(条幅!$C$11:$C$310,251-COUNTA(半紙!$B$11:$B$310)),IF(251&lt;=COUNTA(半紙!$B$11:$B$310)+COUNTA(条幅!$B$11:$B$310)+COUNTA(条幅4分の1!$B$11:$B$310),INDEX(条幅4分の1!$C$11:$C$310,251-COUNTA(半紙!$B$11:$B$310)-COUNTA(条幅!$B$11:$B$310)),""))))</f>
        <v/>
      </c>
      <c r="D256" s="38" t="str">
        <f>IF(IF(251&lt;=COUNTA(半紙!$B$11:$B$310),INDEX(半紙!$D$11:$D$310,251),IF(251&lt;=COUNTA(半紙!$B$11:$B$310)+COUNTA(条幅!$B$11:$B$310),INDEX(条幅!$D$11:$D$310,251-COUNTA(半紙!$B$11:$B$310)),IF(251&lt;=COUNTA(半紙!$B$11:$B$310)+COUNTA(条幅!$B$11:$B$310)+COUNTA(条幅4分の1!$B$11:$B$310),INDEX(条幅4分の1!$D$11:$D$310,251-COUNTA(半紙!$B$11:$B$310)-COUNTA(条幅!$B$11:$B$310)),"")))=0,"",IF(251&lt;=COUNTA(半紙!$B$11:$B$310),INDEX(半紙!$D$11:$D$310,251),IF(251&lt;=COUNTA(半紙!$B$11:$B$310)+COUNTA(条幅!$B$11:$B$310),INDEX(条幅!$D$11:$D$310,251-COUNTA(半紙!$B$11:$B$310)),IF(251&lt;=COUNTA(半紙!$B$11:$B$310)+COUNTA(条幅!$B$11:$B$310)+COUNTA(条幅4分の1!$B$11:$B$310),INDEX(条幅4分の1!$D$11:$D$310,251-COUNTA(半紙!$B$11:$B$310)-COUNTA(条幅!$B$11:$B$310)),""))))</f>
        <v/>
      </c>
      <c r="E256" s="38" t="str">
        <f>IF(IF(251&lt;=COUNTA(半紙!$B$11:$B$310),INDEX(半紙!$E$11:$E$310,251),IF(251&lt;=COUNTA(半紙!$B$11:$B$310)+COUNTA(条幅!$B$11:$B$310),INDEX(条幅!$E$11:$E$310,251-COUNTA(半紙!$B$11:$B$310)),IF(251&lt;=COUNTA(半紙!$B$11:$B$310)+COUNTA(条幅!$B$11:$B$310)+COUNTA(条幅4分の1!$B$11:$B$310),INDEX(条幅4分の1!$E$11:$E$310,251-COUNTA(半紙!$B$11:$B$310)-COUNTA(条幅!$B$11:$B$310)),"")))=0,"",IF(251&lt;=COUNTA(半紙!$B$11:$B$310),INDEX(半紙!$E$11:$E$310,251),IF(251&lt;=COUNTA(半紙!$B$11:$B$310)+COUNTA(条幅!$B$11:$B$310),INDEX(条幅!$E$11:$E$310,251-COUNTA(半紙!$B$11:$B$310)),IF(251&lt;=COUNTA(半紙!$B$11:$B$310)+COUNTA(条幅!$B$11:$B$310)+COUNTA(条幅4分の1!$B$11:$B$310),INDEX(条幅4分の1!$E$11:$E$310,251-COUNTA(半紙!$B$11:$B$310)-COUNTA(条幅!$B$11:$B$310)),""))))</f>
        <v/>
      </c>
      <c r="F256" s="38" t="str">
        <f>IF(IF(251&lt;=COUNTA(半紙!$B$11:$B$310),INDEX(半紙!$F$11:$F$310,251),IF(251&lt;=COUNTA(半紙!$B$11:$B$310)+COUNTA(条幅!$B$11:$B$310),INDEX(条幅!$F$11:$F$310,251-COUNTA(半紙!$B$11:$B$310)),IF(251&lt;=COUNTA(半紙!$B$11:$B$310)+COUNTA(条幅!$B$11:$B$310)+COUNTA(条幅4分の1!$B$11:$B$310),INDEX(条幅4分の1!$F$11:$F$310,251-COUNTA(半紙!$B$11:$B$310)-COUNTA(条幅!$B$11:$B$310)),"")))=0,"",IF(251&lt;=COUNTA(半紙!$B$11:$B$310),INDEX(半紙!$F$11:$F$310,251),IF(251&lt;=COUNTA(半紙!$B$11:$B$310)+COUNTA(条幅!$B$11:$B$310),INDEX(条幅!$F$11:$F$310,251-COUNTA(半紙!$B$11:$B$310)),IF(251&lt;=COUNTA(半紙!$B$11:$B$310)+COUNTA(条幅!$B$11:$B$310)+COUNTA(条幅4分の1!$B$11:$B$310),INDEX(条幅4分の1!$F$11:$F$310,251-COUNTA(半紙!$B$11:$B$310)-COUNTA(条幅!$B$11:$B$310)),""))))</f>
        <v/>
      </c>
      <c r="G256" s="38" t="str">
        <f>IF(IF(251&lt;=COUNTA(半紙!$B$11:$B$310),INDEX(半紙!$G$11:$G$310,251),IF(251&lt;=COUNTA(半紙!$B$11:$B$310)+COUNTA(条幅!$B$11:$B$310),INDEX(条幅!$G$11:$G$310,251-COUNTA(半紙!$B$11:$B$310)),IF(251&lt;=COUNTA(半紙!$B$11:$B$310)+COUNTA(条幅!$B$11:$B$310)+COUNTA(条幅4分の1!$B$11:$B$310),INDEX(条幅4分の1!$G$11:$G$310,251-COUNTA(半紙!$B$11:$B$310)-COUNTA(条幅!$B$11:$B$310)),"")))=0,"",IF(251&lt;=COUNTA(半紙!$B$11:$B$310),INDEX(半紙!$G$11:$G$310,251),IF(251&lt;=COUNTA(半紙!$B$11:$B$310)+COUNTA(条幅!$B$11:$B$310),INDEX(条幅!$G$11:$G$310,251-COUNTA(半紙!$B$11:$B$310)),IF(251&lt;=COUNTA(半紙!$B$11:$B$310)+COUNTA(条幅!$B$11:$B$310)+COUNTA(条幅4分の1!$B$11:$B$310),INDEX(条幅4分の1!$G$11:$G$310,251-COUNTA(半紙!$B$11:$B$310)-COUNTA(条幅!$B$11:$B$310)),""))))</f>
        <v/>
      </c>
      <c r="H256" s="38" t="str">
        <f>IF(IF(251&lt;=COUNTA(半紙!$B$11:$B$310),INDEX(半紙!$H$11:$H$310,251),IF(251&lt;=COUNTA(半紙!$B$11:$B$310)+COUNTA(条幅!$B$11:$B$310),INDEX(条幅!$H$11:$H$310,251-COUNTA(半紙!$B$11:$B$310)),IF(251&lt;=COUNTA(半紙!$B$11:$B$310)+COUNTA(条幅!$B$11:$B$310)+COUNTA(条幅4分の1!$B$11:$B$310),INDEX(条幅4分の1!$H$11:$H$310,251-COUNTA(半紙!$B$11:$B$310)-COUNTA(条幅!$B$11:$B$310)),"")))=0,"",IF(251&lt;=COUNTA(半紙!$B$11:$B$310),INDEX(半紙!$H$11:$H$310,251),IF(251&lt;=COUNTA(半紙!$B$11:$B$310)+COUNTA(条幅!$B$11:$B$310),INDEX(条幅!$H$11:$H$310,251-COUNTA(半紙!$B$11:$B$310)),IF(251&lt;=COUNTA(半紙!$B$11:$B$310)+COUNTA(条幅!$B$11:$B$310)+COUNTA(条幅4分の1!$B$11:$B$310),INDEX(条幅4分の1!$H$11:$H$310,251-COUNTA(半紙!$B$11:$B$310)-COUNTA(条幅!$B$11:$B$310)),""))))</f>
        <v/>
      </c>
      <c r="I256" s="38" t="str">
        <f>IF(IF(251&lt;=COUNTA(半紙!$B$11:$B$310),INDEX(半紙!$I$11:$I$310,251),IF(251&lt;=COUNTA(半紙!$B$11:$B$310)+COUNTA(条幅!$B$11:$B$310),INDEX(条幅!$I$11:$I$310,251-COUNTA(半紙!$B$11:$B$310)),IF(251&lt;=COUNTA(半紙!$B$11:$B$310)+COUNTA(条幅!$B$11:$B$310)+COUNTA(条幅4分の1!$B$11:$B$310),INDEX(条幅4分の1!$I$11:$I$310,251-COUNTA(半紙!$B$11:$B$310)-COUNTA(条幅!$B$11:$B$310)),"")))=0,"",IF(251&lt;=COUNTA(半紙!$B$11:$B$310),INDEX(半紙!$I$11:$I$310,251),IF(251&lt;=COUNTA(半紙!$B$11:$B$310)+COUNTA(条幅!$B$11:$B$310),INDEX(条幅!$I$11:$I$310,251-COUNTA(半紙!$B$11:$B$310)),IF(251&lt;=COUNTA(半紙!$B$11:$B$310)+COUNTA(条幅!$B$11:$B$310)+COUNTA(条幅4分の1!$B$11:$B$310),INDEX(条幅4分の1!$I$11:$I$310,251-COUNTA(半紙!$B$11:$B$310)-COUNTA(条幅!$B$11:$B$310)),""))))</f>
        <v/>
      </c>
      <c r="J256" s="38" t="str">
        <f>IF(IF(251&lt;=COUNTA(半紙!$B$11:$B$310),INDEX(半紙!$J$11:$J$310,251),IF(251&lt;=COUNTA(半紙!$B$11:$B$310)+COUNTA(条幅!$B$11:$B$310),INDEX(条幅!$J$11:$J$310,251-COUNTA(半紙!$B$11:$B$310)),IF(251&lt;=COUNTA(半紙!$B$11:$B$310)+COUNTA(条幅!$B$11:$B$310)+COUNTA(条幅4分の1!$B$11:$B$310),INDEX(条幅4分の1!$J$11:$J$310,251-COUNTA(半紙!$B$11:$B$310)-COUNTA(条幅!$B$11:$B$310)),"")))=0,"",IF(251&lt;=COUNTA(半紙!$B$11:$B$310),INDEX(半紙!$J$11:$J$310,251),IF(251&lt;=COUNTA(半紙!$B$11:$B$310)+COUNTA(条幅!$B$11:$B$310),INDEX(条幅!$J$11:$J$310,251-COUNTA(半紙!$B$11:$B$310)),IF(251&lt;=COUNTA(半紙!$B$11:$B$310)+COUNTA(条幅!$B$11:$B$310)+COUNTA(条幅4分の1!$B$11:$B$310),INDEX(条幅4分の1!$J$11:$J$310,251-COUNTA(半紙!$B$11:$B$310)-COUNTA(条幅!$B$11:$B$310)),""))))</f>
        <v/>
      </c>
      <c r="K256" s="38" t="str">
        <f>IF(IF(251&lt;=COUNTA(半紙!$B$11:$B$310),INDEX(半紙!$K$11:$K$310,251),IF(251&lt;=COUNTA(半紙!$B$11:$B$310)+COUNTA(条幅!$B$11:$B$310),INDEX(条幅!$K$11:$K$310,251-COUNTA(半紙!$B$11:$B$310)),IF(251&lt;=COUNTA(半紙!$B$11:$B$310)+COUNTA(条幅!$B$11:$B$310)+COUNTA(条幅4分の1!$B$11:$B$310),INDEX(条幅4分の1!$K$11:$K$310,251-COUNTA(半紙!$B$11:$B$310)-COUNTA(条幅!$B$11:$B$310)),"")))=0,"",IF(251&lt;=COUNTA(半紙!$B$11:$B$310),INDEX(半紙!$K$11:$K$310,251),IF(251&lt;=COUNTA(半紙!$B$11:$B$310)+COUNTA(条幅!$B$11:$B$310),INDEX(条幅!$K$11:$K$310,251-COUNTA(半紙!$B$11:$B$310)),IF(251&lt;=COUNTA(半紙!$B$11:$B$310)+COUNTA(条幅!$B$11:$B$310)+COUNTA(条幅4分の1!$B$11:$B$310),INDEX(条幅4分の1!$K$11:$K$310,251-COUNTA(半紙!$B$11:$B$310)-COUNTA(条幅!$B$11:$B$310)),""))))</f>
        <v/>
      </c>
      <c r="L256" s="48" t="str">
        <f>IF($B256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251))</f>
        <v/>
      </c>
    </row>
    <row r="257" spans="1:12" ht="15" customHeight="1">
      <c r="A257" s="37" t="str">
        <f>IF(252&lt;=COUNTA(半紙!$B$11:$B$310),"半紙",IF(252&lt;=COUNTA(半紙!$B$11:$B$310)+COUNTA(条幅!$B$11:$B$310),"条幅(半切)",IF(252&lt;=COUNTA(半紙!$B$11:$B$310)+COUNTA(条幅!$B$11:$B$310)+COUNTA(条幅4分の1!$B$11:$B$310),"条幅(1/4)","")))</f>
        <v/>
      </c>
      <c r="B257" s="38" t="str">
        <f>IF(IF(252&lt;=COUNTA(半紙!$B$11:$B$310),INDEX(半紙!$B$11:$B$310,252),IF(252&lt;=COUNTA(半紙!$B$11:$B$310)+COUNTA(条幅!$B$11:$B$310),INDEX(条幅!$B$11:$B$310,252-COUNTA(半紙!$B$11:$B$310)),IF(252&lt;=COUNTA(半紙!$B$11:$B$310)+COUNTA(条幅!$B$11:$B$310)+COUNTA(条幅4分の1!$B$11:$B$310),INDEX(条幅4分の1!$B$11:$B$310,252-COUNTA(半紙!$B$11:$B$310)-COUNTA(条幅!$B$11:$B$310)),"")))=0,"",IF(252&lt;=COUNTA(半紙!$B$11:$B$310),INDEX(半紙!$B$11:$B$310,252),IF(252&lt;=COUNTA(半紙!$B$11:$B$310)+COUNTA(条幅!$B$11:$B$310),INDEX(条幅!$B$11:$B$310,252-COUNTA(半紙!$B$11:$B$310)),IF(252&lt;=COUNTA(半紙!$B$11:$B$310)+COUNTA(条幅!$B$11:$B$310)+COUNTA(条幅4分の1!$B$11:$B$310),INDEX(条幅4分の1!$B$11:$B$310,252-COUNTA(半紙!$B$11:$B$310)-COUNTA(条幅!$B$11:$B$310)),""))))</f>
        <v/>
      </c>
      <c r="C257" s="38" t="str">
        <f>IF(IF(252&lt;=COUNTA(半紙!$B$11:$B$310),INDEX(半紙!$C$11:$C$310,252),IF(252&lt;=COUNTA(半紙!$B$11:$B$310)+COUNTA(条幅!$B$11:$B$310),INDEX(条幅!$C$11:$C$310,252-COUNTA(半紙!$B$11:$B$310)),IF(252&lt;=COUNTA(半紙!$B$11:$B$310)+COUNTA(条幅!$B$11:$B$310)+COUNTA(条幅4分の1!$B$11:$B$310),INDEX(条幅4分の1!$C$11:$C$310,252-COUNTA(半紙!$B$11:$B$310)-COUNTA(条幅!$B$11:$B$310)),"")))=0,"",IF(252&lt;=COUNTA(半紙!$B$11:$B$310),INDEX(半紙!$C$11:$C$310,252),IF(252&lt;=COUNTA(半紙!$B$11:$B$310)+COUNTA(条幅!$B$11:$B$310),INDEX(条幅!$C$11:$C$310,252-COUNTA(半紙!$B$11:$B$310)),IF(252&lt;=COUNTA(半紙!$B$11:$B$310)+COUNTA(条幅!$B$11:$B$310)+COUNTA(条幅4分の1!$B$11:$B$310),INDEX(条幅4分の1!$C$11:$C$310,252-COUNTA(半紙!$B$11:$B$310)-COUNTA(条幅!$B$11:$B$310)),""))))</f>
        <v/>
      </c>
      <c r="D257" s="38" t="str">
        <f>IF(IF(252&lt;=COUNTA(半紙!$B$11:$B$310),INDEX(半紙!$D$11:$D$310,252),IF(252&lt;=COUNTA(半紙!$B$11:$B$310)+COUNTA(条幅!$B$11:$B$310),INDEX(条幅!$D$11:$D$310,252-COUNTA(半紙!$B$11:$B$310)),IF(252&lt;=COUNTA(半紙!$B$11:$B$310)+COUNTA(条幅!$B$11:$B$310)+COUNTA(条幅4分の1!$B$11:$B$310),INDEX(条幅4分の1!$D$11:$D$310,252-COUNTA(半紙!$B$11:$B$310)-COUNTA(条幅!$B$11:$B$310)),"")))=0,"",IF(252&lt;=COUNTA(半紙!$B$11:$B$310),INDEX(半紙!$D$11:$D$310,252),IF(252&lt;=COUNTA(半紙!$B$11:$B$310)+COUNTA(条幅!$B$11:$B$310),INDEX(条幅!$D$11:$D$310,252-COUNTA(半紙!$B$11:$B$310)),IF(252&lt;=COUNTA(半紙!$B$11:$B$310)+COUNTA(条幅!$B$11:$B$310)+COUNTA(条幅4分の1!$B$11:$B$310),INDEX(条幅4分の1!$D$11:$D$310,252-COUNTA(半紙!$B$11:$B$310)-COUNTA(条幅!$B$11:$B$310)),""))))</f>
        <v/>
      </c>
      <c r="E257" s="38" t="str">
        <f>IF(IF(252&lt;=COUNTA(半紙!$B$11:$B$310),INDEX(半紙!$E$11:$E$310,252),IF(252&lt;=COUNTA(半紙!$B$11:$B$310)+COUNTA(条幅!$B$11:$B$310),INDEX(条幅!$E$11:$E$310,252-COUNTA(半紙!$B$11:$B$310)),IF(252&lt;=COUNTA(半紙!$B$11:$B$310)+COUNTA(条幅!$B$11:$B$310)+COUNTA(条幅4分の1!$B$11:$B$310),INDEX(条幅4分の1!$E$11:$E$310,252-COUNTA(半紙!$B$11:$B$310)-COUNTA(条幅!$B$11:$B$310)),"")))=0,"",IF(252&lt;=COUNTA(半紙!$B$11:$B$310),INDEX(半紙!$E$11:$E$310,252),IF(252&lt;=COUNTA(半紙!$B$11:$B$310)+COUNTA(条幅!$B$11:$B$310),INDEX(条幅!$E$11:$E$310,252-COUNTA(半紙!$B$11:$B$310)),IF(252&lt;=COUNTA(半紙!$B$11:$B$310)+COUNTA(条幅!$B$11:$B$310)+COUNTA(条幅4分の1!$B$11:$B$310),INDEX(条幅4分の1!$E$11:$E$310,252-COUNTA(半紙!$B$11:$B$310)-COUNTA(条幅!$B$11:$B$310)),""))))</f>
        <v/>
      </c>
      <c r="F257" s="38" t="str">
        <f>IF(IF(252&lt;=COUNTA(半紙!$B$11:$B$310),INDEX(半紙!$F$11:$F$310,252),IF(252&lt;=COUNTA(半紙!$B$11:$B$310)+COUNTA(条幅!$B$11:$B$310),INDEX(条幅!$F$11:$F$310,252-COUNTA(半紙!$B$11:$B$310)),IF(252&lt;=COUNTA(半紙!$B$11:$B$310)+COUNTA(条幅!$B$11:$B$310)+COUNTA(条幅4分の1!$B$11:$B$310),INDEX(条幅4分の1!$F$11:$F$310,252-COUNTA(半紙!$B$11:$B$310)-COUNTA(条幅!$B$11:$B$310)),"")))=0,"",IF(252&lt;=COUNTA(半紙!$B$11:$B$310),INDEX(半紙!$F$11:$F$310,252),IF(252&lt;=COUNTA(半紙!$B$11:$B$310)+COUNTA(条幅!$B$11:$B$310),INDEX(条幅!$F$11:$F$310,252-COUNTA(半紙!$B$11:$B$310)),IF(252&lt;=COUNTA(半紙!$B$11:$B$310)+COUNTA(条幅!$B$11:$B$310)+COUNTA(条幅4分の1!$B$11:$B$310),INDEX(条幅4分の1!$F$11:$F$310,252-COUNTA(半紙!$B$11:$B$310)-COUNTA(条幅!$B$11:$B$310)),""))))</f>
        <v/>
      </c>
      <c r="G257" s="38" t="str">
        <f>IF(IF(252&lt;=COUNTA(半紙!$B$11:$B$310),INDEX(半紙!$G$11:$G$310,252),IF(252&lt;=COUNTA(半紙!$B$11:$B$310)+COUNTA(条幅!$B$11:$B$310),INDEX(条幅!$G$11:$G$310,252-COUNTA(半紙!$B$11:$B$310)),IF(252&lt;=COUNTA(半紙!$B$11:$B$310)+COUNTA(条幅!$B$11:$B$310)+COUNTA(条幅4分の1!$B$11:$B$310),INDEX(条幅4分の1!$G$11:$G$310,252-COUNTA(半紙!$B$11:$B$310)-COUNTA(条幅!$B$11:$B$310)),"")))=0,"",IF(252&lt;=COUNTA(半紙!$B$11:$B$310),INDEX(半紙!$G$11:$G$310,252),IF(252&lt;=COUNTA(半紙!$B$11:$B$310)+COUNTA(条幅!$B$11:$B$310),INDEX(条幅!$G$11:$G$310,252-COUNTA(半紙!$B$11:$B$310)),IF(252&lt;=COUNTA(半紙!$B$11:$B$310)+COUNTA(条幅!$B$11:$B$310)+COUNTA(条幅4分の1!$B$11:$B$310),INDEX(条幅4分の1!$G$11:$G$310,252-COUNTA(半紙!$B$11:$B$310)-COUNTA(条幅!$B$11:$B$310)),""))))</f>
        <v/>
      </c>
      <c r="H257" s="38" t="str">
        <f>IF(IF(252&lt;=COUNTA(半紙!$B$11:$B$310),INDEX(半紙!$H$11:$H$310,252),IF(252&lt;=COUNTA(半紙!$B$11:$B$310)+COUNTA(条幅!$B$11:$B$310),INDEX(条幅!$H$11:$H$310,252-COUNTA(半紙!$B$11:$B$310)),IF(252&lt;=COUNTA(半紙!$B$11:$B$310)+COUNTA(条幅!$B$11:$B$310)+COUNTA(条幅4分の1!$B$11:$B$310),INDEX(条幅4分の1!$H$11:$H$310,252-COUNTA(半紙!$B$11:$B$310)-COUNTA(条幅!$B$11:$B$310)),"")))=0,"",IF(252&lt;=COUNTA(半紙!$B$11:$B$310),INDEX(半紙!$H$11:$H$310,252),IF(252&lt;=COUNTA(半紙!$B$11:$B$310)+COUNTA(条幅!$B$11:$B$310),INDEX(条幅!$H$11:$H$310,252-COUNTA(半紙!$B$11:$B$310)),IF(252&lt;=COUNTA(半紙!$B$11:$B$310)+COUNTA(条幅!$B$11:$B$310)+COUNTA(条幅4分の1!$B$11:$B$310),INDEX(条幅4分の1!$H$11:$H$310,252-COUNTA(半紙!$B$11:$B$310)-COUNTA(条幅!$B$11:$B$310)),""))))</f>
        <v/>
      </c>
      <c r="I257" s="38" t="str">
        <f>IF(IF(252&lt;=COUNTA(半紙!$B$11:$B$310),INDEX(半紙!$I$11:$I$310,252),IF(252&lt;=COUNTA(半紙!$B$11:$B$310)+COUNTA(条幅!$B$11:$B$310),INDEX(条幅!$I$11:$I$310,252-COUNTA(半紙!$B$11:$B$310)),IF(252&lt;=COUNTA(半紙!$B$11:$B$310)+COUNTA(条幅!$B$11:$B$310)+COUNTA(条幅4分の1!$B$11:$B$310),INDEX(条幅4分の1!$I$11:$I$310,252-COUNTA(半紙!$B$11:$B$310)-COUNTA(条幅!$B$11:$B$310)),"")))=0,"",IF(252&lt;=COUNTA(半紙!$B$11:$B$310),INDEX(半紙!$I$11:$I$310,252),IF(252&lt;=COUNTA(半紙!$B$11:$B$310)+COUNTA(条幅!$B$11:$B$310),INDEX(条幅!$I$11:$I$310,252-COUNTA(半紙!$B$11:$B$310)),IF(252&lt;=COUNTA(半紙!$B$11:$B$310)+COUNTA(条幅!$B$11:$B$310)+COUNTA(条幅4分の1!$B$11:$B$310),INDEX(条幅4分の1!$I$11:$I$310,252-COUNTA(半紙!$B$11:$B$310)-COUNTA(条幅!$B$11:$B$310)),""))))</f>
        <v/>
      </c>
      <c r="J257" s="38" t="str">
        <f>IF(IF(252&lt;=COUNTA(半紙!$B$11:$B$310),INDEX(半紙!$J$11:$J$310,252),IF(252&lt;=COUNTA(半紙!$B$11:$B$310)+COUNTA(条幅!$B$11:$B$310),INDEX(条幅!$J$11:$J$310,252-COUNTA(半紙!$B$11:$B$310)),IF(252&lt;=COUNTA(半紙!$B$11:$B$310)+COUNTA(条幅!$B$11:$B$310)+COUNTA(条幅4分の1!$B$11:$B$310),INDEX(条幅4分の1!$J$11:$J$310,252-COUNTA(半紙!$B$11:$B$310)-COUNTA(条幅!$B$11:$B$310)),"")))=0,"",IF(252&lt;=COUNTA(半紙!$B$11:$B$310),INDEX(半紙!$J$11:$J$310,252),IF(252&lt;=COUNTA(半紙!$B$11:$B$310)+COUNTA(条幅!$B$11:$B$310),INDEX(条幅!$J$11:$J$310,252-COUNTA(半紙!$B$11:$B$310)),IF(252&lt;=COUNTA(半紙!$B$11:$B$310)+COUNTA(条幅!$B$11:$B$310)+COUNTA(条幅4分の1!$B$11:$B$310),INDEX(条幅4分の1!$J$11:$J$310,252-COUNTA(半紙!$B$11:$B$310)-COUNTA(条幅!$B$11:$B$310)),""))))</f>
        <v/>
      </c>
      <c r="K257" s="38" t="str">
        <f>IF(IF(252&lt;=COUNTA(半紙!$B$11:$B$310),INDEX(半紙!$K$11:$K$310,252),IF(252&lt;=COUNTA(半紙!$B$11:$B$310)+COUNTA(条幅!$B$11:$B$310),INDEX(条幅!$K$11:$K$310,252-COUNTA(半紙!$B$11:$B$310)),IF(252&lt;=COUNTA(半紙!$B$11:$B$310)+COUNTA(条幅!$B$11:$B$310)+COUNTA(条幅4分の1!$B$11:$B$310),INDEX(条幅4分の1!$K$11:$K$310,252-COUNTA(半紙!$B$11:$B$310)-COUNTA(条幅!$B$11:$B$310)),"")))=0,"",IF(252&lt;=COUNTA(半紙!$B$11:$B$310),INDEX(半紙!$K$11:$K$310,252),IF(252&lt;=COUNTA(半紙!$B$11:$B$310)+COUNTA(条幅!$B$11:$B$310),INDEX(条幅!$K$11:$K$310,252-COUNTA(半紙!$B$11:$B$310)),IF(252&lt;=COUNTA(半紙!$B$11:$B$310)+COUNTA(条幅!$B$11:$B$310)+COUNTA(条幅4分の1!$B$11:$B$310),INDEX(条幅4分の1!$K$11:$K$310,252-COUNTA(半紙!$B$11:$B$310)-COUNTA(条幅!$B$11:$B$310)),""))))</f>
        <v/>
      </c>
      <c r="L257" s="48" t="str">
        <f>IF($B257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252))</f>
        <v/>
      </c>
    </row>
    <row r="258" spans="1:12" ht="15" customHeight="1">
      <c r="A258" s="37" t="str">
        <f>IF(253&lt;=COUNTA(半紙!$B$11:$B$310),"半紙",IF(253&lt;=COUNTA(半紙!$B$11:$B$310)+COUNTA(条幅!$B$11:$B$310),"条幅(半切)",IF(253&lt;=COUNTA(半紙!$B$11:$B$310)+COUNTA(条幅!$B$11:$B$310)+COUNTA(条幅4分の1!$B$11:$B$310),"条幅(1/4)","")))</f>
        <v/>
      </c>
      <c r="B258" s="38" t="str">
        <f>IF(IF(253&lt;=COUNTA(半紙!$B$11:$B$310),INDEX(半紙!$B$11:$B$310,253),IF(253&lt;=COUNTA(半紙!$B$11:$B$310)+COUNTA(条幅!$B$11:$B$310),INDEX(条幅!$B$11:$B$310,253-COUNTA(半紙!$B$11:$B$310)),IF(253&lt;=COUNTA(半紙!$B$11:$B$310)+COUNTA(条幅!$B$11:$B$310)+COUNTA(条幅4分の1!$B$11:$B$310),INDEX(条幅4分の1!$B$11:$B$310,253-COUNTA(半紙!$B$11:$B$310)-COUNTA(条幅!$B$11:$B$310)),"")))=0,"",IF(253&lt;=COUNTA(半紙!$B$11:$B$310),INDEX(半紙!$B$11:$B$310,253),IF(253&lt;=COUNTA(半紙!$B$11:$B$310)+COUNTA(条幅!$B$11:$B$310),INDEX(条幅!$B$11:$B$310,253-COUNTA(半紙!$B$11:$B$310)),IF(253&lt;=COUNTA(半紙!$B$11:$B$310)+COUNTA(条幅!$B$11:$B$310)+COUNTA(条幅4分の1!$B$11:$B$310),INDEX(条幅4分の1!$B$11:$B$310,253-COUNTA(半紙!$B$11:$B$310)-COUNTA(条幅!$B$11:$B$310)),""))))</f>
        <v/>
      </c>
      <c r="C258" s="38" t="str">
        <f>IF(IF(253&lt;=COUNTA(半紙!$B$11:$B$310),INDEX(半紙!$C$11:$C$310,253),IF(253&lt;=COUNTA(半紙!$B$11:$B$310)+COUNTA(条幅!$B$11:$B$310),INDEX(条幅!$C$11:$C$310,253-COUNTA(半紙!$B$11:$B$310)),IF(253&lt;=COUNTA(半紙!$B$11:$B$310)+COUNTA(条幅!$B$11:$B$310)+COUNTA(条幅4分の1!$B$11:$B$310),INDEX(条幅4分の1!$C$11:$C$310,253-COUNTA(半紙!$B$11:$B$310)-COUNTA(条幅!$B$11:$B$310)),"")))=0,"",IF(253&lt;=COUNTA(半紙!$B$11:$B$310),INDEX(半紙!$C$11:$C$310,253),IF(253&lt;=COUNTA(半紙!$B$11:$B$310)+COUNTA(条幅!$B$11:$B$310),INDEX(条幅!$C$11:$C$310,253-COUNTA(半紙!$B$11:$B$310)),IF(253&lt;=COUNTA(半紙!$B$11:$B$310)+COUNTA(条幅!$B$11:$B$310)+COUNTA(条幅4分の1!$B$11:$B$310),INDEX(条幅4分の1!$C$11:$C$310,253-COUNTA(半紙!$B$11:$B$310)-COUNTA(条幅!$B$11:$B$310)),""))))</f>
        <v/>
      </c>
      <c r="D258" s="38" t="str">
        <f>IF(IF(253&lt;=COUNTA(半紙!$B$11:$B$310),INDEX(半紙!$D$11:$D$310,253),IF(253&lt;=COUNTA(半紙!$B$11:$B$310)+COUNTA(条幅!$B$11:$B$310),INDEX(条幅!$D$11:$D$310,253-COUNTA(半紙!$B$11:$B$310)),IF(253&lt;=COUNTA(半紙!$B$11:$B$310)+COUNTA(条幅!$B$11:$B$310)+COUNTA(条幅4分の1!$B$11:$B$310),INDEX(条幅4分の1!$D$11:$D$310,253-COUNTA(半紙!$B$11:$B$310)-COUNTA(条幅!$B$11:$B$310)),"")))=0,"",IF(253&lt;=COUNTA(半紙!$B$11:$B$310),INDEX(半紙!$D$11:$D$310,253),IF(253&lt;=COUNTA(半紙!$B$11:$B$310)+COUNTA(条幅!$B$11:$B$310),INDEX(条幅!$D$11:$D$310,253-COUNTA(半紙!$B$11:$B$310)),IF(253&lt;=COUNTA(半紙!$B$11:$B$310)+COUNTA(条幅!$B$11:$B$310)+COUNTA(条幅4分の1!$B$11:$B$310),INDEX(条幅4分の1!$D$11:$D$310,253-COUNTA(半紙!$B$11:$B$310)-COUNTA(条幅!$B$11:$B$310)),""))))</f>
        <v/>
      </c>
      <c r="E258" s="38" t="str">
        <f>IF(IF(253&lt;=COUNTA(半紙!$B$11:$B$310),INDEX(半紙!$E$11:$E$310,253),IF(253&lt;=COUNTA(半紙!$B$11:$B$310)+COUNTA(条幅!$B$11:$B$310),INDEX(条幅!$E$11:$E$310,253-COUNTA(半紙!$B$11:$B$310)),IF(253&lt;=COUNTA(半紙!$B$11:$B$310)+COUNTA(条幅!$B$11:$B$310)+COUNTA(条幅4分の1!$B$11:$B$310),INDEX(条幅4分の1!$E$11:$E$310,253-COUNTA(半紙!$B$11:$B$310)-COUNTA(条幅!$B$11:$B$310)),"")))=0,"",IF(253&lt;=COUNTA(半紙!$B$11:$B$310),INDEX(半紙!$E$11:$E$310,253),IF(253&lt;=COUNTA(半紙!$B$11:$B$310)+COUNTA(条幅!$B$11:$B$310),INDEX(条幅!$E$11:$E$310,253-COUNTA(半紙!$B$11:$B$310)),IF(253&lt;=COUNTA(半紙!$B$11:$B$310)+COUNTA(条幅!$B$11:$B$310)+COUNTA(条幅4分の1!$B$11:$B$310),INDEX(条幅4分の1!$E$11:$E$310,253-COUNTA(半紙!$B$11:$B$310)-COUNTA(条幅!$B$11:$B$310)),""))))</f>
        <v/>
      </c>
      <c r="F258" s="38" t="str">
        <f>IF(IF(253&lt;=COUNTA(半紙!$B$11:$B$310),INDEX(半紙!$F$11:$F$310,253),IF(253&lt;=COUNTA(半紙!$B$11:$B$310)+COUNTA(条幅!$B$11:$B$310),INDEX(条幅!$F$11:$F$310,253-COUNTA(半紙!$B$11:$B$310)),IF(253&lt;=COUNTA(半紙!$B$11:$B$310)+COUNTA(条幅!$B$11:$B$310)+COUNTA(条幅4分の1!$B$11:$B$310),INDEX(条幅4分の1!$F$11:$F$310,253-COUNTA(半紙!$B$11:$B$310)-COUNTA(条幅!$B$11:$B$310)),"")))=0,"",IF(253&lt;=COUNTA(半紙!$B$11:$B$310),INDEX(半紙!$F$11:$F$310,253),IF(253&lt;=COUNTA(半紙!$B$11:$B$310)+COUNTA(条幅!$B$11:$B$310),INDEX(条幅!$F$11:$F$310,253-COUNTA(半紙!$B$11:$B$310)),IF(253&lt;=COUNTA(半紙!$B$11:$B$310)+COUNTA(条幅!$B$11:$B$310)+COUNTA(条幅4分の1!$B$11:$B$310),INDEX(条幅4分の1!$F$11:$F$310,253-COUNTA(半紙!$B$11:$B$310)-COUNTA(条幅!$B$11:$B$310)),""))))</f>
        <v/>
      </c>
      <c r="G258" s="38" t="str">
        <f>IF(IF(253&lt;=COUNTA(半紙!$B$11:$B$310),INDEX(半紙!$G$11:$G$310,253),IF(253&lt;=COUNTA(半紙!$B$11:$B$310)+COUNTA(条幅!$B$11:$B$310),INDEX(条幅!$G$11:$G$310,253-COUNTA(半紙!$B$11:$B$310)),IF(253&lt;=COUNTA(半紙!$B$11:$B$310)+COUNTA(条幅!$B$11:$B$310)+COUNTA(条幅4分の1!$B$11:$B$310),INDEX(条幅4分の1!$G$11:$G$310,253-COUNTA(半紙!$B$11:$B$310)-COUNTA(条幅!$B$11:$B$310)),"")))=0,"",IF(253&lt;=COUNTA(半紙!$B$11:$B$310),INDEX(半紙!$G$11:$G$310,253),IF(253&lt;=COUNTA(半紙!$B$11:$B$310)+COUNTA(条幅!$B$11:$B$310),INDEX(条幅!$G$11:$G$310,253-COUNTA(半紙!$B$11:$B$310)),IF(253&lt;=COUNTA(半紙!$B$11:$B$310)+COUNTA(条幅!$B$11:$B$310)+COUNTA(条幅4分の1!$B$11:$B$310),INDEX(条幅4分の1!$G$11:$G$310,253-COUNTA(半紙!$B$11:$B$310)-COUNTA(条幅!$B$11:$B$310)),""))))</f>
        <v/>
      </c>
      <c r="H258" s="38" t="str">
        <f>IF(IF(253&lt;=COUNTA(半紙!$B$11:$B$310),INDEX(半紙!$H$11:$H$310,253),IF(253&lt;=COUNTA(半紙!$B$11:$B$310)+COUNTA(条幅!$B$11:$B$310),INDEX(条幅!$H$11:$H$310,253-COUNTA(半紙!$B$11:$B$310)),IF(253&lt;=COUNTA(半紙!$B$11:$B$310)+COUNTA(条幅!$B$11:$B$310)+COUNTA(条幅4分の1!$B$11:$B$310),INDEX(条幅4分の1!$H$11:$H$310,253-COUNTA(半紙!$B$11:$B$310)-COUNTA(条幅!$B$11:$B$310)),"")))=0,"",IF(253&lt;=COUNTA(半紙!$B$11:$B$310),INDEX(半紙!$H$11:$H$310,253),IF(253&lt;=COUNTA(半紙!$B$11:$B$310)+COUNTA(条幅!$B$11:$B$310),INDEX(条幅!$H$11:$H$310,253-COUNTA(半紙!$B$11:$B$310)),IF(253&lt;=COUNTA(半紙!$B$11:$B$310)+COUNTA(条幅!$B$11:$B$310)+COUNTA(条幅4分の1!$B$11:$B$310),INDEX(条幅4分の1!$H$11:$H$310,253-COUNTA(半紙!$B$11:$B$310)-COUNTA(条幅!$B$11:$B$310)),""))))</f>
        <v/>
      </c>
      <c r="I258" s="38" t="str">
        <f>IF(IF(253&lt;=COUNTA(半紙!$B$11:$B$310),INDEX(半紙!$I$11:$I$310,253),IF(253&lt;=COUNTA(半紙!$B$11:$B$310)+COUNTA(条幅!$B$11:$B$310),INDEX(条幅!$I$11:$I$310,253-COUNTA(半紙!$B$11:$B$310)),IF(253&lt;=COUNTA(半紙!$B$11:$B$310)+COUNTA(条幅!$B$11:$B$310)+COUNTA(条幅4分の1!$B$11:$B$310),INDEX(条幅4分の1!$I$11:$I$310,253-COUNTA(半紙!$B$11:$B$310)-COUNTA(条幅!$B$11:$B$310)),"")))=0,"",IF(253&lt;=COUNTA(半紙!$B$11:$B$310),INDEX(半紙!$I$11:$I$310,253),IF(253&lt;=COUNTA(半紙!$B$11:$B$310)+COUNTA(条幅!$B$11:$B$310),INDEX(条幅!$I$11:$I$310,253-COUNTA(半紙!$B$11:$B$310)),IF(253&lt;=COUNTA(半紙!$B$11:$B$310)+COUNTA(条幅!$B$11:$B$310)+COUNTA(条幅4分の1!$B$11:$B$310),INDEX(条幅4分の1!$I$11:$I$310,253-COUNTA(半紙!$B$11:$B$310)-COUNTA(条幅!$B$11:$B$310)),""))))</f>
        <v/>
      </c>
      <c r="J258" s="38" t="str">
        <f>IF(IF(253&lt;=COUNTA(半紙!$B$11:$B$310),INDEX(半紙!$J$11:$J$310,253),IF(253&lt;=COUNTA(半紙!$B$11:$B$310)+COUNTA(条幅!$B$11:$B$310),INDEX(条幅!$J$11:$J$310,253-COUNTA(半紙!$B$11:$B$310)),IF(253&lt;=COUNTA(半紙!$B$11:$B$310)+COUNTA(条幅!$B$11:$B$310)+COUNTA(条幅4分の1!$B$11:$B$310),INDEX(条幅4分の1!$J$11:$J$310,253-COUNTA(半紙!$B$11:$B$310)-COUNTA(条幅!$B$11:$B$310)),"")))=0,"",IF(253&lt;=COUNTA(半紙!$B$11:$B$310),INDEX(半紙!$J$11:$J$310,253),IF(253&lt;=COUNTA(半紙!$B$11:$B$310)+COUNTA(条幅!$B$11:$B$310),INDEX(条幅!$J$11:$J$310,253-COUNTA(半紙!$B$11:$B$310)),IF(253&lt;=COUNTA(半紙!$B$11:$B$310)+COUNTA(条幅!$B$11:$B$310)+COUNTA(条幅4分の1!$B$11:$B$310),INDEX(条幅4分の1!$J$11:$J$310,253-COUNTA(半紙!$B$11:$B$310)-COUNTA(条幅!$B$11:$B$310)),""))))</f>
        <v/>
      </c>
      <c r="K258" s="38" t="str">
        <f>IF(IF(253&lt;=COUNTA(半紙!$B$11:$B$310),INDEX(半紙!$K$11:$K$310,253),IF(253&lt;=COUNTA(半紙!$B$11:$B$310)+COUNTA(条幅!$B$11:$B$310),INDEX(条幅!$K$11:$K$310,253-COUNTA(半紙!$B$11:$B$310)),IF(253&lt;=COUNTA(半紙!$B$11:$B$310)+COUNTA(条幅!$B$11:$B$310)+COUNTA(条幅4分の1!$B$11:$B$310),INDEX(条幅4分の1!$K$11:$K$310,253-COUNTA(半紙!$B$11:$B$310)-COUNTA(条幅!$B$11:$B$310)),"")))=0,"",IF(253&lt;=COUNTA(半紙!$B$11:$B$310),INDEX(半紙!$K$11:$K$310,253),IF(253&lt;=COUNTA(半紙!$B$11:$B$310)+COUNTA(条幅!$B$11:$B$310),INDEX(条幅!$K$11:$K$310,253-COUNTA(半紙!$B$11:$B$310)),IF(253&lt;=COUNTA(半紙!$B$11:$B$310)+COUNTA(条幅!$B$11:$B$310)+COUNTA(条幅4分の1!$B$11:$B$310),INDEX(条幅4分の1!$K$11:$K$310,253-COUNTA(半紙!$B$11:$B$310)-COUNTA(条幅!$B$11:$B$310)),""))))</f>
        <v/>
      </c>
      <c r="L258" s="48" t="str">
        <f>IF($B258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253))</f>
        <v/>
      </c>
    </row>
    <row r="259" spans="1:12" ht="15" customHeight="1">
      <c r="A259" s="37" t="str">
        <f>IF(254&lt;=COUNTA(半紙!$B$11:$B$310),"半紙",IF(254&lt;=COUNTA(半紙!$B$11:$B$310)+COUNTA(条幅!$B$11:$B$310),"条幅(半切)",IF(254&lt;=COUNTA(半紙!$B$11:$B$310)+COUNTA(条幅!$B$11:$B$310)+COUNTA(条幅4分の1!$B$11:$B$310),"条幅(1/4)","")))</f>
        <v/>
      </c>
      <c r="B259" s="38" t="str">
        <f>IF(IF(254&lt;=COUNTA(半紙!$B$11:$B$310),INDEX(半紙!$B$11:$B$310,254),IF(254&lt;=COUNTA(半紙!$B$11:$B$310)+COUNTA(条幅!$B$11:$B$310),INDEX(条幅!$B$11:$B$310,254-COUNTA(半紙!$B$11:$B$310)),IF(254&lt;=COUNTA(半紙!$B$11:$B$310)+COUNTA(条幅!$B$11:$B$310)+COUNTA(条幅4分の1!$B$11:$B$310),INDEX(条幅4分の1!$B$11:$B$310,254-COUNTA(半紙!$B$11:$B$310)-COUNTA(条幅!$B$11:$B$310)),"")))=0,"",IF(254&lt;=COUNTA(半紙!$B$11:$B$310),INDEX(半紙!$B$11:$B$310,254),IF(254&lt;=COUNTA(半紙!$B$11:$B$310)+COUNTA(条幅!$B$11:$B$310),INDEX(条幅!$B$11:$B$310,254-COUNTA(半紙!$B$11:$B$310)),IF(254&lt;=COUNTA(半紙!$B$11:$B$310)+COUNTA(条幅!$B$11:$B$310)+COUNTA(条幅4分の1!$B$11:$B$310),INDEX(条幅4分の1!$B$11:$B$310,254-COUNTA(半紙!$B$11:$B$310)-COUNTA(条幅!$B$11:$B$310)),""))))</f>
        <v/>
      </c>
      <c r="C259" s="38" t="str">
        <f>IF(IF(254&lt;=COUNTA(半紙!$B$11:$B$310),INDEX(半紙!$C$11:$C$310,254),IF(254&lt;=COUNTA(半紙!$B$11:$B$310)+COUNTA(条幅!$B$11:$B$310),INDEX(条幅!$C$11:$C$310,254-COUNTA(半紙!$B$11:$B$310)),IF(254&lt;=COUNTA(半紙!$B$11:$B$310)+COUNTA(条幅!$B$11:$B$310)+COUNTA(条幅4分の1!$B$11:$B$310),INDEX(条幅4分の1!$C$11:$C$310,254-COUNTA(半紙!$B$11:$B$310)-COUNTA(条幅!$B$11:$B$310)),"")))=0,"",IF(254&lt;=COUNTA(半紙!$B$11:$B$310),INDEX(半紙!$C$11:$C$310,254),IF(254&lt;=COUNTA(半紙!$B$11:$B$310)+COUNTA(条幅!$B$11:$B$310),INDEX(条幅!$C$11:$C$310,254-COUNTA(半紙!$B$11:$B$310)),IF(254&lt;=COUNTA(半紙!$B$11:$B$310)+COUNTA(条幅!$B$11:$B$310)+COUNTA(条幅4分の1!$B$11:$B$310),INDEX(条幅4分の1!$C$11:$C$310,254-COUNTA(半紙!$B$11:$B$310)-COUNTA(条幅!$B$11:$B$310)),""))))</f>
        <v/>
      </c>
      <c r="D259" s="38" t="str">
        <f>IF(IF(254&lt;=COUNTA(半紙!$B$11:$B$310),INDEX(半紙!$D$11:$D$310,254),IF(254&lt;=COUNTA(半紙!$B$11:$B$310)+COUNTA(条幅!$B$11:$B$310),INDEX(条幅!$D$11:$D$310,254-COUNTA(半紙!$B$11:$B$310)),IF(254&lt;=COUNTA(半紙!$B$11:$B$310)+COUNTA(条幅!$B$11:$B$310)+COUNTA(条幅4分の1!$B$11:$B$310),INDEX(条幅4分の1!$D$11:$D$310,254-COUNTA(半紙!$B$11:$B$310)-COUNTA(条幅!$B$11:$B$310)),"")))=0,"",IF(254&lt;=COUNTA(半紙!$B$11:$B$310),INDEX(半紙!$D$11:$D$310,254),IF(254&lt;=COUNTA(半紙!$B$11:$B$310)+COUNTA(条幅!$B$11:$B$310),INDEX(条幅!$D$11:$D$310,254-COUNTA(半紙!$B$11:$B$310)),IF(254&lt;=COUNTA(半紙!$B$11:$B$310)+COUNTA(条幅!$B$11:$B$310)+COUNTA(条幅4分の1!$B$11:$B$310),INDEX(条幅4分の1!$D$11:$D$310,254-COUNTA(半紙!$B$11:$B$310)-COUNTA(条幅!$B$11:$B$310)),""))))</f>
        <v/>
      </c>
      <c r="E259" s="38" t="str">
        <f>IF(IF(254&lt;=COUNTA(半紙!$B$11:$B$310),INDEX(半紙!$E$11:$E$310,254),IF(254&lt;=COUNTA(半紙!$B$11:$B$310)+COUNTA(条幅!$B$11:$B$310),INDEX(条幅!$E$11:$E$310,254-COUNTA(半紙!$B$11:$B$310)),IF(254&lt;=COUNTA(半紙!$B$11:$B$310)+COUNTA(条幅!$B$11:$B$310)+COUNTA(条幅4分の1!$B$11:$B$310),INDEX(条幅4分の1!$E$11:$E$310,254-COUNTA(半紙!$B$11:$B$310)-COUNTA(条幅!$B$11:$B$310)),"")))=0,"",IF(254&lt;=COUNTA(半紙!$B$11:$B$310),INDEX(半紙!$E$11:$E$310,254),IF(254&lt;=COUNTA(半紙!$B$11:$B$310)+COUNTA(条幅!$B$11:$B$310),INDEX(条幅!$E$11:$E$310,254-COUNTA(半紙!$B$11:$B$310)),IF(254&lt;=COUNTA(半紙!$B$11:$B$310)+COUNTA(条幅!$B$11:$B$310)+COUNTA(条幅4分の1!$B$11:$B$310),INDEX(条幅4分の1!$E$11:$E$310,254-COUNTA(半紙!$B$11:$B$310)-COUNTA(条幅!$B$11:$B$310)),""))))</f>
        <v/>
      </c>
      <c r="F259" s="38" t="str">
        <f>IF(IF(254&lt;=COUNTA(半紙!$B$11:$B$310),INDEX(半紙!$F$11:$F$310,254),IF(254&lt;=COUNTA(半紙!$B$11:$B$310)+COUNTA(条幅!$B$11:$B$310),INDEX(条幅!$F$11:$F$310,254-COUNTA(半紙!$B$11:$B$310)),IF(254&lt;=COUNTA(半紙!$B$11:$B$310)+COUNTA(条幅!$B$11:$B$310)+COUNTA(条幅4分の1!$B$11:$B$310),INDEX(条幅4分の1!$F$11:$F$310,254-COUNTA(半紙!$B$11:$B$310)-COUNTA(条幅!$B$11:$B$310)),"")))=0,"",IF(254&lt;=COUNTA(半紙!$B$11:$B$310),INDEX(半紙!$F$11:$F$310,254),IF(254&lt;=COUNTA(半紙!$B$11:$B$310)+COUNTA(条幅!$B$11:$B$310),INDEX(条幅!$F$11:$F$310,254-COUNTA(半紙!$B$11:$B$310)),IF(254&lt;=COUNTA(半紙!$B$11:$B$310)+COUNTA(条幅!$B$11:$B$310)+COUNTA(条幅4分の1!$B$11:$B$310),INDEX(条幅4分の1!$F$11:$F$310,254-COUNTA(半紙!$B$11:$B$310)-COUNTA(条幅!$B$11:$B$310)),""))))</f>
        <v/>
      </c>
      <c r="G259" s="38" t="str">
        <f>IF(IF(254&lt;=COUNTA(半紙!$B$11:$B$310),INDEX(半紙!$G$11:$G$310,254),IF(254&lt;=COUNTA(半紙!$B$11:$B$310)+COUNTA(条幅!$B$11:$B$310),INDEX(条幅!$G$11:$G$310,254-COUNTA(半紙!$B$11:$B$310)),IF(254&lt;=COUNTA(半紙!$B$11:$B$310)+COUNTA(条幅!$B$11:$B$310)+COUNTA(条幅4分の1!$B$11:$B$310),INDEX(条幅4分の1!$G$11:$G$310,254-COUNTA(半紙!$B$11:$B$310)-COUNTA(条幅!$B$11:$B$310)),"")))=0,"",IF(254&lt;=COUNTA(半紙!$B$11:$B$310),INDEX(半紙!$G$11:$G$310,254),IF(254&lt;=COUNTA(半紙!$B$11:$B$310)+COUNTA(条幅!$B$11:$B$310),INDEX(条幅!$G$11:$G$310,254-COUNTA(半紙!$B$11:$B$310)),IF(254&lt;=COUNTA(半紙!$B$11:$B$310)+COUNTA(条幅!$B$11:$B$310)+COUNTA(条幅4分の1!$B$11:$B$310),INDEX(条幅4分の1!$G$11:$G$310,254-COUNTA(半紙!$B$11:$B$310)-COUNTA(条幅!$B$11:$B$310)),""))))</f>
        <v/>
      </c>
      <c r="H259" s="38" t="str">
        <f>IF(IF(254&lt;=COUNTA(半紙!$B$11:$B$310),INDEX(半紙!$H$11:$H$310,254),IF(254&lt;=COUNTA(半紙!$B$11:$B$310)+COUNTA(条幅!$B$11:$B$310),INDEX(条幅!$H$11:$H$310,254-COUNTA(半紙!$B$11:$B$310)),IF(254&lt;=COUNTA(半紙!$B$11:$B$310)+COUNTA(条幅!$B$11:$B$310)+COUNTA(条幅4分の1!$B$11:$B$310),INDEX(条幅4分の1!$H$11:$H$310,254-COUNTA(半紙!$B$11:$B$310)-COUNTA(条幅!$B$11:$B$310)),"")))=0,"",IF(254&lt;=COUNTA(半紙!$B$11:$B$310),INDEX(半紙!$H$11:$H$310,254),IF(254&lt;=COUNTA(半紙!$B$11:$B$310)+COUNTA(条幅!$B$11:$B$310),INDEX(条幅!$H$11:$H$310,254-COUNTA(半紙!$B$11:$B$310)),IF(254&lt;=COUNTA(半紙!$B$11:$B$310)+COUNTA(条幅!$B$11:$B$310)+COUNTA(条幅4分の1!$B$11:$B$310),INDEX(条幅4分の1!$H$11:$H$310,254-COUNTA(半紙!$B$11:$B$310)-COUNTA(条幅!$B$11:$B$310)),""))))</f>
        <v/>
      </c>
      <c r="I259" s="38" t="str">
        <f>IF(IF(254&lt;=COUNTA(半紙!$B$11:$B$310),INDEX(半紙!$I$11:$I$310,254),IF(254&lt;=COUNTA(半紙!$B$11:$B$310)+COUNTA(条幅!$B$11:$B$310),INDEX(条幅!$I$11:$I$310,254-COUNTA(半紙!$B$11:$B$310)),IF(254&lt;=COUNTA(半紙!$B$11:$B$310)+COUNTA(条幅!$B$11:$B$310)+COUNTA(条幅4分の1!$B$11:$B$310),INDEX(条幅4分の1!$I$11:$I$310,254-COUNTA(半紙!$B$11:$B$310)-COUNTA(条幅!$B$11:$B$310)),"")))=0,"",IF(254&lt;=COUNTA(半紙!$B$11:$B$310),INDEX(半紙!$I$11:$I$310,254),IF(254&lt;=COUNTA(半紙!$B$11:$B$310)+COUNTA(条幅!$B$11:$B$310),INDEX(条幅!$I$11:$I$310,254-COUNTA(半紙!$B$11:$B$310)),IF(254&lt;=COUNTA(半紙!$B$11:$B$310)+COUNTA(条幅!$B$11:$B$310)+COUNTA(条幅4分の1!$B$11:$B$310),INDEX(条幅4分の1!$I$11:$I$310,254-COUNTA(半紙!$B$11:$B$310)-COUNTA(条幅!$B$11:$B$310)),""))))</f>
        <v/>
      </c>
      <c r="J259" s="38" t="str">
        <f>IF(IF(254&lt;=COUNTA(半紙!$B$11:$B$310),INDEX(半紙!$J$11:$J$310,254),IF(254&lt;=COUNTA(半紙!$B$11:$B$310)+COUNTA(条幅!$B$11:$B$310),INDEX(条幅!$J$11:$J$310,254-COUNTA(半紙!$B$11:$B$310)),IF(254&lt;=COUNTA(半紙!$B$11:$B$310)+COUNTA(条幅!$B$11:$B$310)+COUNTA(条幅4分の1!$B$11:$B$310),INDEX(条幅4分の1!$J$11:$J$310,254-COUNTA(半紙!$B$11:$B$310)-COUNTA(条幅!$B$11:$B$310)),"")))=0,"",IF(254&lt;=COUNTA(半紙!$B$11:$B$310),INDEX(半紙!$J$11:$J$310,254),IF(254&lt;=COUNTA(半紙!$B$11:$B$310)+COUNTA(条幅!$B$11:$B$310),INDEX(条幅!$J$11:$J$310,254-COUNTA(半紙!$B$11:$B$310)),IF(254&lt;=COUNTA(半紙!$B$11:$B$310)+COUNTA(条幅!$B$11:$B$310)+COUNTA(条幅4分の1!$B$11:$B$310),INDEX(条幅4分の1!$J$11:$J$310,254-COUNTA(半紙!$B$11:$B$310)-COUNTA(条幅!$B$11:$B$310)),""))))</f>
        <v/>
      </c>
      <c r="K259" s="38" t="str">
        <f>IF(IF(254&lt;=COUNTA(半紙!$B$11:$B$310),INDEX(半紙!$K$11:$K$310,254),IF(254&lt;=COUNTA(半紙!$B$11:$B$310)+COUNTA(条幅!$B$11:$B$310),INDEX(条幅!$K$11:$K$310,254-COUNTA(半紙!$B$11:$B$310)),IF(254&lt;=COUNTA(半紙!$B$11:$B$310)+COUNTA(条幅!$B$11:$B$310)+COUNTA(条幅4分の1!$B$11:$B$310),INDEX(条幅4分の1!$K$11:$K$310,254-COUNTA(半紙!$B$11:$B$310)-COUNTA(条幅!$B$11:$B$310)),"")))=0,"",IF(254&lt;=COUNTA(半紙!$B$11:$B$310),INDEX(半紙!$K$11:$K$310,254),IF(254&lt;=COUNTA(半紙!$B$11:$B$310)+COUNTA(条幅!$B$11:$B$310),INDEX(条幅!$K$11:$K$310,254-COUNTA(半紙!$B$11:$B$310)),IF(254&lt;=COUNTA(半紙!$B$11:$B$310)+COUNTA(条幅!$B$11:$B$310)+COUNTA(条幅4分の1!$B$11:$B$310),INDEX(条幅4分の1!$K$11:$K$310,254-COUNTA(半紙!$B$11:$B$310)-COUNTA(条幅!$B$11:$B$310)),""))))</f>
        <v/>
      </c>
      <c r="L259" s="48" t="str">
        <f>IF($B259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254))</f>
        <v/>
      </c>
    </row>
    <row r="260" spans="1:12" ht="15" customHeight="1">
      <c r="A260" s="37" t="str">
        <f>IF(255&lt;=COUNTA(半紙!$B$11:$B$310),"半紙",IF(255&lt;=COUNTA(半紙!$B$11:$B$310)+COUNTA(条幅!$B$11:$B$310),"条幅(半切)",IF(255&lt;=COUNTA(半紙!$B$11:$B$310)+COUNTA(条幅!$B$11:$B$310)+COUNTA(条幅4分の1!$B$11:$B$310),"条幅(1/4)","")))</f>
        <v/>
      </c>
      <c r="B260" s="38" t="str">
        <f>IF(IF(255&lt;=COUNTA(半紙!$B$11:$B$310),INDEX(半紙!$B$11:$B$310,255),IF(255&lt;=COUNTA(半紙!$B$11:$B$310)+COUNTA(条幅!$B$11:$B$310),INDEX(条幅!$B$11:$B$310,255-COUNTA(半紙!$B$11:$B$310)),IF(255&lt;=COUNTA(半紙!$B$11:$B$310)+COUNTA(条幅!$B$11:$B$310)+COUNTA(条幅4分の1!$B$11:$B$310),INDEX(条幅4分の1!$B$11:$B$310,255-COUNTA(半紙!$B$11:$B$310)-COUNTA(条幅!$B$11:$B$310)),"")))=0,"",IF(255&lt;=COUNTA(半紙!$B$11:$B$310),INDEX(半紙!$B$11:$B$310,255),IF(255&lt;=COUNTA(半紙!$B$11:$B$310)+COUNTA(条幅!$B$11:$B$310),INDEX(条幅!$B$11:$B$310,255-COUNTA(半紙!$B$11:$B$310)),IF(255&lt;=COUNTA(半紙!$B$11:$B$310)+COUNTA(条幅!$B$11:$B$310)+COUNTA(条幅4分の1!$B$11:$B$310),INDEX(条幅4分の1!$B$11:$B$310,255-COUNTA(半紙!$B$11:$B$310)-COUNTA(条幅!$B$11:$B$310)),""))))</f>
        <v/>
      </c>
      <c r="C260" s="38" t="str">
        <f>IF(IF(255&lt;=COUNTA(半紙!$B$11:$B$310),INDEX(半紙!$C$11:$C$310,255),IF(255&lt;=COUNTA(半紙!$B$11:$B$310)+COUNTA(条幅!$B$11:$B$310),INDEX(条幅!$C$11:$C$310,255-COUNTA(半紙!$B$11:$B$310)),IF(255&lt;=COUNTA(半紙!$B$11:$B$310)+COUNTA(条幅!$B$11:$B$310)+COUNTA(条幅4分の1!$B$11:$B$310),INDEX(条幅4分の1!$C$11:$C$310,255-COUNTA(半紙!$B$11:$B$310)-COUNTA(条幅!$B$11:$B$310)),"")))=0,"",IF(255&lt;=COUNTA(半紙!$B$11:$B$310),INDEX(半紙!$C$11:$C$310,255),IF(255&lt;=COUNTA(半紙!$B$11:$B$310)+COUNTA(条幅!$B$11:$B$310),INDEX(条幅!$C$11:$C$310,255-COUNTA(半紙!$B$11:$B$310)),IF(255&lt;=COUNTA(半紙!$B$11:$B$310)+COUNTA(条幅!$B$11:$B$310)+COUNTA(条幅4分の1!$B$11:$B$310),INDEX(条幅4分の1!$C$11:$C$310,255-COUNTA(半紙!$B$11:$B$310)-COUNTA(条幅!$B$11:$B$310)),""))))</f>
        <v/>
      </c>
      <c r="D260" s="38" t="str">
        <f>IF(IF(255&lt;=COUNTA(半紙!$B$11:$B$310),INDEX(半紙!$D$11:$D$310,255),IF(255&lt;=COUNTA(半紙!$B$11:$B$310)+COUNTA(条幅!$B$11:$B$310),INDEX(条幅!$D$11:$D$310,255-COUNTA(半紙!$B$11:$B$310)),IF(255&lt;=COUNTA(半紙!$B$11:$B$310)+COUNTA(条幅!$B$11:$B$310)+COUNTA(条幅4分の1!$B$11:$B$310),INDEX(条幅4分の1!$D$11:$D$310,255-COUNTA(半紙!$B$11:$B$310)-COUNTA(条幅!$B$11:$B$310)),"")))=0,"",IF(255&lt;=COUNTA(半紙!$B$11:$B$310),INDEX(半紙!$D$11:$D$310,255),IF(255&lt;=COUNTA(半紙!$B$11:$B$310)+COUNTA(条幅!$B$11:$B$310),INDEX(条幅!$D$11:$D$310,255-COUNTA(半紙!$B$11:$B$310)),IF(255&lt;=COUNTA(半紙!$B$11:$B$310)+COUNTA(条幅!$B$11:$B$310)+COUNTA(条幅4分の1!$B$11:$B$310),INDEX(条幅4分の1!$D$11:$D$310,255-COUNTA(半紙!$B$11:$B$310)-COUNTA(条幅!$B$11:$B$310)),""))))</f>
        <v/>
      </c>
      <c r="E260" s="38" t="str">
        <f>IF(IF(255&lt;=COUNTA(半紙!$B$11:$B$310),INDEX(半紙!$E$11:$E$310,255),IF(255&lt;=COUNTA(半紙!$B$11:$B$310)+COUNTA(条幅!$B$11:$B$310),INDEX(条幅!$E$11:$E$310,255-COUNTA(半紙!$B$11:$B$310)),IF(255&lt;=COUNTA(半紙!$B$11:$B$310)+COUNTA(条幅!$B$11:$B$310)+COUNTA(条幅4分の1!$B$11:$B$310),INDEX(条幅4分の1!$E$11:$E$310,255-COUNTA(半紙!$B$11:$B$310)-COUNTA(条幅!$B$11:$B$310)),"")))=0,"",IF(255&lt;=COUNTA(半紙!$B$11:$B$310),INDEX(半紙!$E$11:$E$310,255),IF(255&lt;=COUNTA(半紙!$B$11:$B$310)+COUNTA(条幅!$B$11:$B$310),INDEX(条幅!$E$11:$E$310,255-COUNTA(半紙!$B$11:$B$310)),IF(255&lt;=COUNTA(半紙!$B$11:$B$310)+COUNTA(条幅!$B$11:$B$310)+COUNTA(条幅4分の1!$B$11:$B$310),INDEX(条幅4分の1!$E$11:$E$310,255-COUNTA(半紙!$B$11:$B$310)-COUNTA(条幅!$B$11:$B$310)),""))))</f>
        <v/>
      </c>
      <c r="F260" s="38" t="str">
        <f>IF(IF(255&lt;=COUNTA(半紙!$B$11:$B$310),INDEX(半紙!$F$11:$F$310,255),IF(255&lt;=COUNTA(半紙!$B$11:$B$310)+COUNTA(条幅!$B$11:$B$310),INDEX(条幅!$F$11:$F$310,255-COUNTA(半紙!$B$11:$B$310)),IF(255&lt;=COUNTA(半紙!$B$11:$B$310)+COUNTA(条幅!$B$11:$B$310)+COUNTA(条幅4分の1!$B$11:$B$310),INDEX(条幅4分の1!$F$11:$F$310,255-COUNTA(半紙!$B$11:$B$310)-COUNTA(条幅!$B$11:$B$310)),"")))=0,"",IF(255&lt;=COUNTA(半紙!$B$11:$B$310),INDEX(半紙!$F$11:$F$310,255),IF(255&lt;=COUNTA(半紙!$B$11:$B$310)+COUNTA(条幅!$B$11:$B$310),INDEX(条幅!$F$11:$F$310,255-COUNTA(半紙!$B$11:$B$310)),IF(255&lt;=COUNTA(半紙!$B$11:$B$310)+COUNTA(条幅!$B$11:$B$310)+COUNTA(条幅4分の1!$B$11:$B$310),INDEX(条幅4分の1!$F$11:$F$310,255-COUNTA(半紙!$B$11:$B$310)-COUNTA(条幅!$B$11:$B$310)),""))))</f>
        <v/>
      </c>
      <c r="G260" s="38" t="str">
        <f>IF(IF(255&lt;=COUNTA(半紙!$B$11:$B$310),INDEX(半紙!$G$11:$G$310,255),IF(255&lt;=COUNTA(半紙!$B$11:$B$310)+COUNTA(条幅!$B$11:$B$310),INDEX(条幅!$G$11:$G$310,255-COUNTA(半紙!$B$11:$B$310)),IF(255&lt;=COUNTA(半紙!$B$11:$B$310)+COUNTA(条幅!$B$11:$B$310)+COUNTA(条幅4分の1!$B$11:$B$310),INDEX(条幅4分の1!$G$11:$G$310,255-COUNTA(半紙!$B$11:$B$310)-COUNTA(条幅!$B$11:$B$310)),"")))=0,"",IF(255&lt;=COUNTA(半紙!$B$11:$B$310),INDEX(半紙!$G$11:$G$310,255),IF(255&lt;=COUNTA(半紙!$B$11:$B$310)+COUNTA(条幅!$B$11:$B$310),INDEX(条幅!$G$11:$G$310,255-COUNTA(半紙!$B$11:$B$310)),IF(255&lt;=COUNTA(半紙!$B$11:$B$310)+COUNTA(条幅!$B$11:$B$310)+COUNTA(条幅4分の1!$B$11:$B$310),INDEX(条幅4分の1!$G$11:$G$310,255-COUNTA(半紙!$B$11:$B$310)-COUNTA(条幅!$B$11:$B$310)),""))))</f>
        <v/>
      </c>
      <c r="H260" s="38" t="str">
        <f>IF(IF(255&lt;=COUNTA(半紙!$B$11:$B$310),INDEX(半紙!$H$11:$H$310,255),IF(255&lt;=COUNTA(半紙!$B$11:$B$310)+COUNTA(条幅!$B$11:$B$310),INDEX(条幅!$H$11:$H$310,255-COUNTA(半紙!$B$11:$B$310)),IF(255&lt;=COUNTA(半紙!$B$11:$B$310)+COUNTA(条幅!$B$11:$B$310)+COUNTA(条幅4分の1!$B$11:$B$310),INDEX(条幅4分の1!$H$11:$H$310,255-COUNTA(半紙!$B$11:$B$310)-COUNTA(条幅!$B$11:$B$310)),"")))=0,"",IF(255&lt;=COUNTA(半紙!$B$11:$B$310),INDEX(半紙!$H$11:$H$310,255),IF(255&lt;=COUNTA(半紙!$B$11:$B$310)+COUNTA(条幅!$B$11:$B$310),INDEX(条幅!$H$11:$H$310,255-COUNTA(半紙!$B$11:$B$310)),IF(255&lt;=COUNTA(半紙!$B$11:$B$310)+COUNTA(条幅!$B$11:$B$310)+COUNTA(条幅4分の1!$B$11:$B$310),INDEX(条幅4分の1!$H$11:$H$310,255-COUNTA(半紙!$B$11:$B$310)-COUNTA(条幅!$B$11:$B$310)),""))))</f>
        <v/>
      </c>
      <c r="I260" s="38" t="str">
        <f>IF(IF(255&lt;=COUNTA(半紙!$B$11:$B$310),INDEX(半紙!$I$11:$I$310,255),IF(255&lt;=COUNTA(半紙!$B$11:$B$310)+COUNTA(条幅!$B$11:$B$310),INDEX(条幅!$I$11:$I$310,255-COUNTA(半紙!$B$11:$B$310)),IF(255&lt;=COUNTA(半紙!$B$11:$B$310)+COUNTA(条幅!$B$11:$B$310)+COUNTA(条幅4分の1!$B$11:$B$310),INDEX(条幅4分の1!$I$11:$I$310,255-COUNTA(半紙!$B$11:$B$310)-COUNTA(条幅!$B$11:$B$310)),"")))=0,"",IF(255&lt;=COUNTA(半紙!$B$11:$B$310),INDEX(半紙!$I$11:$I$310,255),IF(255&lt;=COUNTA(半紙!$B$11:$B$310)+COUNTA(条幅!$B$11:$B$310),INDEX(条幅!$I$11:$I$310,255-COUNTA(半紙!$B$11:$B$310)),IF(255&lt;=COUNTA(半紙!$B$11:$B$310)+COUNTA(条幅!$B$11:$B$310)+COUNTA(条幅4分の1!$B$11:$B$310),INDEX(条幅4分の1!$I$11:$I$310,255-COUNTA(半紙!$B$11:$B$310)-COUNTA(条幅!$B$11:$B$310)),""))))</f>
        <v/>
      </c>
      <c r="J260" s="38" t="str">
        <f>IF(IF(255&lt;=COUNTA(半紙!$B$11:$B$310),INDEX(半紙!$J$11:$J$310,255),IF(255&lt;=COUNTA(半紙!$B$11:$B$310)+COUNTA(条幅!$B$11:$B$310),INDEX(条幅!$J$11:$J$310,255-COUNTA(半紙!$B$11:$B$310)),IF(255&lt;=COUNTA(半紙!$B$11:$B$310)+COUNTA(条幅!$B$11:$B$310)+COUNTA(条幅4分の1!$B$11:$B$310),INDEX(条幅4分の1!$J$11:$J$310,255-COUNTA(半紙!$B$11:$B$310)-COUNTA(条幅!$B$11:$B$310)),"")))=0,"",IF(255&lt;=COUNTA(半紙!$B$11:$B$310),INDEX(半紙!$J$11:$J$310,255),IF(255&lt;=COUNTA(半紙!$B$11:$B$310)+COUNTA(条幅!$B$11:$B$310),INDEX(条幅!$J$11:$J$310,255-COUNTA(半紙!$B$11:$B$310)),IF(255&lt;=COUNTA(半紙!$B$11:$B$310)+COUNTA(条幅!$B$11:$B$310)+COUNTA(条幅4分の1!$B$11:$B$310),INDEX(条幅4分の1!$J$11:$J$310,255-COUNTA(半紙!$B$11:$B$310)-COUNTA(条幅!$B$11:$B$310)),""))))</f>
        <v/>
      </c>
      <c r="K260" s="38" t="str">
        <f>IF(IF(255&lt;=COUNTA(半紙!$B$11:$B$310),INDEX(半紙!$K$11:$K$310,255),IF(255&lt;=COUNTA(半紙!$B$11:$B$310)+COUNTA(条幅!$B$11:$B$310),INDEX(条幅!$K$11:$K$310,255-COUNTA(半紙!$B$11:$B$310)),IF(255&lt;=COUNTA(半紙!$B$11:$B$310)+COUNTA(条幅!$B$11:$B$310)+COUNTA(条幅4分の1!$B$11:$B$310),INDEX(条幅4分の1!$K$11:$K$310,255-COUNTA(半紙!$B$11:$B$310)-COUNTA(条幅!$B$11:$B$310)),"")))=0,"",IF(255&lt;=COUNTA(半紙!$B$11:$B$310),INDEX(半紙!$K$11:$K$310,255),IF(255&lt;=COUNTA(半紙!$B$11:$B$310)+COUNTA(条幅!$B$11:$B$310),INDEX(条幅!$K$11:$K$310,255-COUNTA(半紙!$B$11:$B$310)),IF(255&lt;=COUNTA(半紙!$B$11:$B$310)+COUNTA(条幅!$B$11:$B$310)+COUNTA(条幅4分の1!$B$11:$B$310),INDEX(条幅4分の1!$K$11:$K$310,255-COUNTA(半紙!$B$11:$B$310)-COUNTA(条幅!$B$11:$B$310)),""))))</f>
        <v/>
      </c>
      <c r="L260" s="48" t="str">
        <f>IF($B260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255))</f>
        <v/>
      </c>
    </row>
    <row r="261" spans="1:12" ht="15" customHeight="1">
      <c r="A261" s="37" t="str">
        <f>IF(256&lt;=COUNTA(半紙!$B$11:$B$310),"半紙",IF(256&lt;=COUNTA(半紙!$B$11:$B$310)+COUNTA(条幅!$B$11:$B$310),"条幅(半切)",IF(256&lt;=COUNTA(半紙!$B$11:$B$310)+COUNTA(条幅!$B$11:$B$310)+COUNTA(条幅4分の1!$B$11:$B$310),"条幅(1/4)","")))</f>
        <v/>
      </c>
      <c r="B261" s="38" t="str">
        <f>IF(IF(256&lt;=COUNTA(半紙!$B$11:$B$310),INDEX(半紙!$B$11:$B$310,256),IF(256&lt;=COUNTA(半紙!$B$11:$B$310)+COUNTA(条幅!$B$11:$B$310),INDEX(条幅!$B$11:$B$310,256-COUNTA(半紙!$B$11:$B$310)),IF(256&lt;=COUNTA(半紙!$B$11:$B$310)+COUNTA(条幅!$B$11:$B$310)+COUNTA(条幅4分の1!$B$11:$B$310),INDEX(条幅4分の1!$B$11:$B$310,256-COUNTA(半紙!$B$11:$B$310)-COUNTA(条幅!$B$11:$B$310)),"")))=0,"",IF(256&lt;=COUNTA(半紙!$B$11:$B$310),INDEX(半紙!$B$11:$B$310,256),IF(256&lt;=COUNTA(半紙!$B$11:$B$310)+COUNTA(条幅!$B$11:$B$310),INDEX(条幅!$B$11:$B$310,256-COUNTA(半紙!$B$11:$B$310)),IF(256&lt;=COUNTA(半紙!$B$11:$B$310)+COUNTA(条幅!$B$11:$B$310)+COUNTA(条幅4分の1!$B$11:$B$310),INDEX(条幅4分の1!$B$11:$B$310,256-COUNTA(半紙!$B$11:$B$310)-COUNTA(条幅!$B$11:$B$310)),""))))</f>
        <v/>
      </c>
      <c r="C261" s="38" t="str">
        <f>IF(IF(256&lt;=COUNTA(半紙!$B$11:$B$310),INDEX(半紙!$C$11:$C$310,256),IF(256&lt;=COUNTA(半紙!$B$11:$B$310)+COUNTA(条幅!$B$11:$B$310),INDEX(条幅!$C$11:$C$310,256-COUNTA(半紙!$B$11:$B$310)),IF(256&lt;=COUNTA(半紙!$B$11:$B$310)+COUNTA(条幅!$B$11:$B$310)+COUNTA(条幅4分の1!$B$11:$B$310),INDEX(条幅4分の1!$C$11:$C$310,256-COUNTA(半紙!$B$11:$B$310)-COUNTA(条幅!$B$11:$B$310)),"")))=0,"",IF(256&lt;=COUNTA(半紙!$B$11:$B$310),INDEX(半紙!$C$11:$C$310,256),IF(256&lt;=COUNTA(半紙!$B$11:$B$310)+COUNTA(条幅!$B$11:$B$310),INDEX(条幅!$C$11:$C$310,256-COUNTA(半紙!$B$11:$B$310)),IF(256&lt;=COUNTA(半紙!$B$11:$B$310)+COUNTA(条幅!$B$11:$B$310)+COUNTA(条幅4分の1!$B$11:$B$310),INDEX(条幅4分の1!$C$11:$C$310,256-COUNTA(半紙!$B$11:$B$310)-COUNTA(条幅!$B$11:$B$310)),""))))</f>
        <v/>
      </c>
      <c r="D261" s="38" t="str">
        <f>IF(IF(256&lt;=COUNTA(半紙!$B$11:$B$310),INDEX(半紙!$D$11:$D$310,256),IF(256&lt;=COUNTA(半紙!$B$11:$B$310)+COUNTA(条幅!$B$11:$B$310),INDEX(条幅!$D$11:$D$310,256-COUNTA(半紙!$B$11:$B$310)),IF(256&lt;=COUNTA(半紙!$B$11:$B$310)+COUNTA(条幅!$B$11:$B$310)+COUNTA(条幅4分の1!$B$11:$B$310),INDEX(条幅4分の1!$D$11:$D$310,256-COUNTA(半紙!$B$11:$B$310)-COUNTA(条幅!$B$11:$B$310)),"")))=0,"",IF(256&lt;=COUNTA(半紙!$B$11:$B$310),INDEX(半紙!$D$11:$D$310,256),IF(256&lt;=COUNTA(半紙!$B$11:$B$310)+COUNTA(条幅!$B$11:$B$310),INDEX(条幅!$D$11:$D$310,256-COUNTA(半紙!$B$11:$B$310)),IF(256&lt;=COUNTA(半紙!$B$11:$B$310)+COUNTA(条幅!$B$11:$B$310)+COUNTA(条幅4分の1!$B$11:$B$310),INDEX(条幅4分の1!$D$11:$D$310,256-COUNTA(半紙!$B$11:$B$310)-COUNTA(条幅!$B$11:$B$310)),""))))</f>
        <v/>
      </c>
      <c r="E261" s="38" t="str">
        <f>IF(IF(256&lt;=COUNTA(半紙!$B$11:$B$310),INDEX(半紙!$E$11:$E$310,256),IF(256&lt;=COUNTA(半紙!$B$11:$B$310)+COUNTA(条幅!$B$11:$B$310),INDEX(条幅!$E$11:$E$310,256-COUNTA(半紙!$B$11:$B$310)),IF(256&lt;=COUNTA(半紙!$B$11:$B$310)+COUNTA(条幅!$B$11:$B$310)+COUNTA(条幅4分の1!$B$11:$B$310),INDEX(条幅4分の1!$E$11:$E$310,256-COUNTA(半紙!$B$11:$B$310)-COUNTA(条幅!$B$11:$B$310)),"")))=0,"",IF(256&lt;=COUNTA(半紙!$B$11:$B$310),INDEX(半紙!$E$11:$E$310,256),IF(256&lt;=COUNTA(半紙!$B$11:$B$310)+COUNTA(条幅!$B$11:$B$310),INDEX(条幅!$E$11:$E$310,256-COUNTA(半紙!$B$11:$B$310)),IF(256&lt;=COUNTA(半紙!$B$11:$B$310)+COUNTA(条幅!$B$11:$B$310)+COUNTA(条幅4分の1!$B$11:$B$310),INDEX(条幅4分の1!$E$11:$E$310,256-COUNTA(半紙!$B$11:$B$310)-COUNTA(条幅!$B$11:$B$310)),""))))</f>
        <v/>
      </c>
      <c r="F261" s="38" t="str">
        <f>IF(IF(256&lt;=COUNTA(半紙!$B$11:$B$310),INDEX(半紙!$F$11:$F$310,256),IF(256&lt;=COUNTA(半紙!$B$11:$B$310)+COUNTA(条幅!$B$11:$B$310),INDEX(条幅!$F$11:$F$310,256-COUNTA(半紙!$B$11:$B$310)),IF(256&lt;=COUNTA(半紙!$B$11:$B$310)+COUNTA(条幅!$B$11:$B$310)+COUNTA(条幅4分の1!$B$11:$B$310),INDEX(条幅4分の1!$F$11:$F$310,256-COUNTA(半紙!$B$11:$B$310)-COUNTA(条幅!$B$11:$B$310)),"")))=0,"",IF(256&lt;=COUNTA(半紙!$B$11:$B$310),INDEX(半紙!$F$11:$F$310,256),IF(256&lt;=COUNTA(半紙!$B$11:$B$310)+COUNTA(条幅!$B$11:$B$310),INDEX(条幅!$F$11:$F$310,256-COUNTA(半紙!$B$11:$B$310)),IF(256&lt;=COUNTA(半紙!$B$11:$B$310)+COUNTA(条幅!$B$11:$B$310)+COUNTA(条幅4分の1!$B$11:$B$310),INDEX(条幅4分の1!$F$11:$F$310,256-COUNTA(半紙!$B$11:$B$310)-COUNTA(条幅!$B$11:$B$310)),""))))</f>
        <v/>
      </c>
      <c r="G261" s="38" t="str">
        <f>IF(IF(256&lt;=COUNTA(半紙!$B$11:$B$310),INDEX(半紙!$G$11:$G$310,256),IF(256&lt;=COUNTA(半紙!$B$11:$B$310)+COUNTA(条幅!$B$11:$B$310),INDEX(条幅!$G$11:$G$310,256-COUNTA(半紙!$B$11:$B$310)),IF(256&lt;=COUNTA(半紙!$B$11:$B$310)+COUNTA(条幅!$B$11:$B$310)+COUNTA(条幅4分の1!$B$11:$B$310),INDEX(条幅4分の1!$G$11:$G$310,256-COUNTA(半紙!$B$11:$B$310)-COUNTA(条幅!$B$11:$B$310)),"")))=0,"",IF(256&lt;=COUNTA(半紙!$B$11:$B$310),INDEX(半紙!$G$11:$G$310,256),IF(256&lt;=COUNTA(半紙!$B$11:$B$310)+COUNTA(条幅!$B$11:$B$310),INDEX(条幅!$G$11:$G$310,256-COUNTA(半紙!$B$11:$B$310)),IF(256&lt;=COUNTA(半紙!$B$11:$B$310)+COUNTA(条幅!$B$11:$B$310)+COUNTA(条幅4分の1!$B$11:$B$310),INDEX(条幅4分の1!$G$11:$G$310,256-COUNTA(半紙!$B$11:$B$310)-COUNTA(条幅!$B$11:$B$310)),""))))</f>
        <v/>
      </c>
      <c r="H261" s="38" t="str">
        <f>IF(IF(256&lt;=COUNTA(半紙!$B$11:$B$310),INDEX(半紙!$H$11:$H$310,256),IF(256&lt;=COUNTA(半紙!$B$11:$B$310)+COUNTA(条幅!$B$11:$B$310),INDEX(条幅!$H$11:$H$310,256-COUNTA(半紙!$B$11:$B$310)),IF(256&lt;=COUNTA(半紙!$B$11:$B$310)+COUNTA(条幅!$B$11:$B$310)+COUNTA(条幅4分の1!$B$11:$B$310),INDEX(条幅4分の1!$H$11:$H$310,256-COUNTA(半紙!$B$11:$B$310)-COUNTA(条幅!$B$11:$B$310)),"")))=0,"",IF(256&lt;=COUNTA(半紙!$B$11:$B$310),INDEX(半紙!$H$11:$H$310,256),IF(256&lt;=COUNTA(半紙!$B$11:$B$310)+COUNTA(条幅!$B$11:$B$310),INDEX(条幅!$H$11:$H$310,256-COUNTA(半紙!$B$11:$B$310)),IF(256&lt;=COUNTA(半紙!$B$11:$B$310)+COUNTA(条幅!$B$11:$B$310)+COUNTA(条幅4分の1!$B$11:$B$310),INDEX(条幅4分の1!$H$11:$H$310,256-COUNTA(半紙!$B$11:$B$310)-COUNTA(条幅!$B$11:$B$310)),""))))</f>
        <v/>
      </c>
      <c r="I261" s="38" t="str">
        <f>IF(IF(256&lt;=COUNTA(半紙!$B$11:$B$310),INDEX(半紙!$I$11:$I$310,256),IF(256&lt;=COUNTA(半紙!$B$11:$B$310)+COUNTA(条幅!$B$11:$B$310),INDEX(条幅!$I$11:$I$310,256-COUNTA(半紙!$B$11:$B$310)),IF(256&lt;=COUNTA(半紙!$B$11:$B$310)+COUNTA(条幅!$B$11:$B$310)+COUNTA(条幅4分の1!$B$11:$B$310),INDEX(条幅4分の1!$I$11:$I$310,256-COUNTA(半紙!$B$11:$B$310)-COUNTA(条幅!$B$11:$B$310)),"")))=0,"",IF(256&lt;=COUNTA(半紙!$B$11:$B$310),INDEX(半紙!$I$11:$I$310,256),IF(256&lt;=COUNTA(半紙!$B$11:$B$310)+COUNTA(条幅!$B$11:$B$310),INDEX(条幅!$I$11:$I$310,256-COUNTA(半紙!$B$11:$B$310)),IF(256&lt;=COUNTA(半紙!$B$11:$B$310)+COUNTA(条幅!$B$11:$B$310)+COUNTA(条幅4分の1!$B$11:$B$310),INDEX(条幅4分の1!$I$11:$I$310,256-COUNTA(半紙!$B$11:$B$310)-COUNTA(条幅!$B$11:$B$310)),""))))</f>
        <v/>
      </c>
      <c r="J261" s="38" t="str">
        <f>IF(IF(256&lt;=COUNTA(半紙!$B$11:$B$310),INDEX(半紙!$J$11:$J$310,256),IF(256&lt;=COUNTA(半紙!$B$11:$B$310)+COUNTA(条幅!$B$11:$B$310),INDEX(条幅!$J$11:$J$310,256-COUNTA(半紙!$B$11:$B$310)),IF(256&lt;=COUNTA(半紙!$B$11:$B$310)+COUNTA(条幅!$B$11:$B$310)+COUNTA(条幅4分の1!$B$11:$B$310),INDEX(条幅4分の1!$J$11:$J$310,256-COUNTA(半紙!$B$11:$B$310)-COUNTA(条幅!$B$11:$B$310)),"")))=0,"",IF(256&lt;=COUNTA(半紙!$B$11:$B$310),INDEX(半紙!$J$11:$J$310,256),IF(256&lt;=COUNTA(半紙!$B$11:$B$310)+COUNTA(条幅!$B$11:$B$310),INDEX(条幅!$J$11:$J$310,256-COUNTA(半紙!$B$11:$B$310)),IF(256&lt;=COUNTA(半紙!$B$11:$B$310)+COUNTA(条幅!$B$11:$B$310)+COUNTA(条幅4分の1!$B$11:$B$310),INDEX(条幅4分の1!$J$11:$J$310,256-COUNTA(半紙!$B$11:$B$310)-COUNTA(条幅!$B$11:$B$310)),""))))</f>
        <v/>
      </c>
      <c r="K261" s="38" t="str">
        <f>IF(IF(256&lt;=COUNTA(半紙!$B$11:$B$310),INDEX(半紙!$K$11:$K$310,256),IF(256&lt;=COUNTA(半紙!$B$11:$B$310)+COUNTA(条幅!$B$11:$B$310),INDEX(条幅!$K$11:$K$310,256-COUNTA(半紙!$B$11:$B$310)),IF(256&lt;=COUNTA(半紙!$B$11:$B$310)+COUNTA(条幅!$B$11:$B$310)+COUNTA(条幅4分の1!$B$11:$B$310),INDEX(条幅4分の1!$K$11:$K$310,256-COUNTA(半紙!$B$11:$B$310)-COUNTA(条幅!$B$11:$B$310)),"")))=0,"",IF(256&lt;=COUNTA(半紙!$B$11:$B$310),INDEX(半紙!$K$11:$K$310,256),IF(256&lt;=COUNTA(半紙!$B$11:$B$310)+COUNTA(条幅!$B$11:$B$310),INDEX(条幅!$K$11:$K$310,256-COUNTA(半紙!$B$11:$B$310)),IF(256&lt;=COUNTA(半紙!$B$11:$B$310)+COUNTA(条幅!$B$11:$B$310)+COUNTA(条幅4分の1!$B$11:$B$310),INDEX(条幅4分の1!$K$11:$K$310,256-COUNTA(半紙!$B$11:$B$310)-COUNTA(条幅!$B$11:$B$310)),""))))</f>
        <v/>
      </c>
      <c r="L261" s="48" t="str">
        <f>IF($B261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256))</f>
        <v/>
      </c>
    </row>
    <row r="262" spans="1:12" ht="15" customHeight="1">
      <c r="A262" s="37" t="str">
        <f>IF(257&lt;=COUNTA(半紙!$B$11:$B$310),"半紙",IF(257&lt;=COUNTA(半紙!$B$11:$B$310)+COUNTA(条幅!$B$11:$B$310),"条幅(半切)",IF(257&lt;=COUNTA(半紙!$B$11:$B$310)+COUNTA(条幅!$B$11:$B$310)+COUNTA(条幅4分の1!$B$11:$B$310),"条幅(1/4)","")))</f>
        <v/>
      </c>
      <c r="B262" s="38" t="str">
        <f>IF(IF(257&lt;=COUNTA(半紙!$B$11:$B$310),INDEX(半紙!$B$11:$B$310,257),IF(257&lt;=COUNTA(半紙!$B$11:$B$310)+COUNTA(条幅!$B$11:$B$310),INDEX(条幅!$B$11:$B$310,257-COUNTA(半紙!$B$11:$B$310)),IF(257&lt;=COUNTA(半紙!$B$11:$B$310)+COUNTA(条幅!$B$11:$B$310)+COUNTA(条幅4分の1!$B$11:$B$310),INDEX(条幅4分の1!$B$11:$B$310,257-COUNTA(半紙!$B$11:$B$310)-COUNTA(条幅!$B$11:$B$310)),"")))=0,"",IF(257&lt;=COUNTA(半紙!$B$11:$B$310),INDEX(半紙!$B$11:$B$310,257),IF(257&lt;=COUNTA(半紙!$B$11:$B$310)+COUNTA(条幅!$B$11:$B$310),INDEX(条幅!$B$11:$B$310,257-COUNTA(半紙!$B$11:$B$310)),IF(257&lt;=COUNTA(半紙!$B$11:$B$310)+COUNTA(条幅!$B$11:$B$310)+COUNTA(条幅4分の1!$B$11:$B$310),INDEX(条幅4分の1!$B$11:$B$310,257-COUNTA(半紙!$B$11:$B$310)-COUNTA(条幅!$B$11:$B$310)),""))))</f>
        <v/>
      </c>
      <c r="C262" s="38" t="str">
        <f>IF(IF(257&lt;=COUNTA(半紙!$B$11:$B$310),INDEX(半紙!$C$11:$C$310,257),IF(257&lt;=COUNTA(半紙!$B$11:$B$310)+COUNTA(条幅!$B$11:$B$310),INDEX(条幅!$C$11:$C$310,257-COUNTA(半紙!$B$11:$B$310)),IF(257&lt;=COUNTA(半紙!$B$11:$B$310)+COUNTA(条幅!$B$11:$B$310)+COUNTA(条幅4分の1!$B$11:$B$310),INDEX(条幅4分の1!$C$11:$C$310,257-COUNTA(半紙!$B$11:$B$310)-COUNTA(条幅!$B$11:$B$310)),"")))=0,"",IF(257&lt;=COUNTA(半紙!$B$11:$B$310),INDEX(半紙!$C$11:$C$310,257),IF(257&lt;=COUNTA(半紙!$B$11:$B$310)+COUNTA(条幅!$B$11:$B$310),INDEX(条幅!$C$11:$C$310,257-COUNTA(半紙!$B$11:$B$310)),IF(257&lt;=COUNTA(半紙!$B$11:$B$310)+COUNTA(条幅!$B$11:$B$310)+COUNTA(条幅4分の1!$B$11:$B$310),INDEX(条幅4分の1!$C$11:$C$310,257-COUNTA(半紙!$B$11:$B$310)-COUNTA(条幅!$B$11:$B$310)),""))))</f>
        <v/>
      </c>
      <c r="D262" s="38" t="str">
        <f>IF(IF(257&lt;=COUNTA(半紙!$B$11:$B$310),INDEX(半紙!$D$11:$D$310,257),IF(257&lt;=COUNTA(半紙!$B$11:$B$310)+COUNTA(条幅!$B$11:$B$310),INDEX(条幅!$D$11:$D$310,257-COUNTA(半紙!$B$11:$B$310)),IF(257&lt;=COUNTA(半紙!$B$11:$B$310)+COUNTA(条幅!$B$11:$B$310)+COUNTA(条幅4分の1!$B$11:$B$310),INDEX(条幅4分の1!$D$11:$D$310,257-COUNTA(半紙!$B$11:$B$310)-COUNTA(条幅!$B$11:$B$310)),"")))=0,"",IF(257&lt;=COUNTA(半紙!$B$11:$B$310),INDEX(半紙!$D$11:$D$310,257),IF(257&lt;=COUNTA(半紙!$B$11:$B$310)+COUNTA(条幅!$B$11:$B$310),INDEX(条幅!$D$11:$D$310,257-COUNTA(半紙!$B$11:$B$310)),IF(257&lt;=COUNTA(半紙!$B$11:$B$310)+COUNTA(条幅!$B$11:$B$310)+COUNTA(条幅4分の1!$B$11:$B$310),INDEX(条幅4分の1!$D$11:$D$310,257-COUNTA(半紙!$B$11:$B$310)-COUNTA(条幅!$B$11:$B$310)),""))))</f>
        <v/>
      </c>
      <c r="E262" s="38" t="str">
        <f>IF(IF(257&lt;=COUNTA(半紙!$B$11:$B$310),INDEX(半紙!$E$11:$E$310,257),IF(257&lt;=COUNTA(半紙!$B$11:$B$310)+COUNTA(条幅!$B$11:$B$310),INDEX(条幅!$E$11:$E$310,257-COUNTA(半紙!$B$11:$B$310)),IF(257&lt;=COUNTA(半紙!$B$11:$B$310)+COUNTA(条幅!$B$11:$B$310)+COUNTA(条幅4分の1!$B$11:$B$310),INDEX(条幅4分の1!$E$11:$E$310,257-COUNTA(半紙!$B$11:$B$310)-COUNTA(条幅!$B$11:$B$310)),"")))=0,"",IF(257&lt;=COUNTA(半紙!$B$11:$B$310),INDEX(半紙!$E$11:$E$310,257),IF(257&lt;=COUNTA(半紙!$B$11:$B$310)+COUNTA(条幅!$B$11:$B$310),INDEX(条幅!$E$11:$E$310,257-COUNTA(半紙!$B$11:$B$310)),IF(257&lt;=COUNTA(半紙!$B$11:$B$310)+COUNTA(条幅!$B$11:$B$310)+COUNTA(条幅4分の1!$B$11:$B$310),INDEX(条幅4分の1!$E$11:$E$310,257-COUNTA(半紙!$B$11:$B$310)-COUNTA(条幅!$B$11:$B$310)),""))))</f>
        <v/>
      </c>
      <c r="F262" s="38" t="str">
        <f>IF(IF(257&lt;=COUNTA(半紙!$B$11:$B$310),INDEX(半紙!$F$11:$F$310,257),IF(257&lt;=COUNTA(半紙!$B$11:$B$310)+COUNTA(条幅!$B$11:$B$310),INDEX(条幅!$F$11:$F$310,257-COUNTA(半紙!$B$11:$B$310)),IF(257&lt;=COUNTA(半紙!$B$11:$B$310)+COUNTA(条幅!$B$11:$B$310)+COUNTA(条幅4分の1!$B$11:$B$310),INDEX(条幅4分の1!$F$11:$F$310,257-COUNTA(半紙!$B$11:$B$310)-COUNTA(条幅!$B$11:$B$310)),"")))=0,"",IF(257&lt;=COUNTA(半紙!$B$11:$B$310),INDEX(半紙!$F$11:$F$310,257),IF(257&lt;=COUNTA(半紙!$B$11:$B$310)+COUNTA(条幅!$B$11:$B$310),INDEX(条幅!$F$11:$F$310,257-COUNTA(半紙!$B$11:$B$310)),IF(257&lt;=COUNTA(半紙!$B$11:$B$310)+COUNTA(条幅!$B$11:$B$310)+COUNTA(条幅4分の1!$B$11:$B$310),INDEX(条幅4分の1!$F$11:$F$310,257-COUNTA(半紙!$B$11:$B$310)-COUNTA(条幅!$B$11:$B$310)),""))))</f>
        <v/>
      </c>
      <c r="G262" s="38" t="str">
        <f>IF(IF(257&lt;=COUNTA(半紙!$B$11:$B$310),INDEX(半紙!$G$11:$G$310,257),IF(257&lt;=COUNTA(半紙!$B$11:$B$310)+COUNTA(条幅!$B$11:$B$310),INDEX(条幅!$G$11:$G$310,257-COUNTA(半紙!$B$11:$B$310)),IF(257&lt;=COUNTA(半紙!$B$11:$B$310)+COUNTA(条幅!$B$11:$B$310)+COUNTA(条幅4分の1!$B$11:$B$310),INDEX(条幅4分の1!$G$11:$G$310,257-COUNTA(半紙!$B$11:$B$310)-COUNTA(条幅!$B$11:$B$310)),"")))=0,"",IF(257&lt;=COUNTA(半紙!$B$11:$B$310),INDEX(半紙!$G$11:$G$310,257),IF(257&lt;=COUNTA(半紙!$B$11:$B$310)+COUNTA(条幅!$B$11:$B$310),INDEX(条幅!$G$11:$G$310,257-COUNTA(半紙!$B$11:$B$310)),IF(257&lt;=COUNTA(半紙!$B$11:$B$310)+COUNTA(条幅!$B$11:$B$310)+COUNTA(条幅4分の1!$B$11:$B$310),INDEX(条幅4分の1!$G$11:$G$310,257-COUNTA(半紙!$B$11:$B$310)-COUNTA(条幅!$B$11:$B$310)),""))))</f>
        <v/>
      </c>
      <c r="H262" s="38" t="str">
        <f>IF(IF(257&lt;=COUNTA(半紙!$B$11:$B$310),INDEX(半紙!$H$11:$H$310,257),IF(257&lt;=COUNTA(半紙!$B$11:$B$310)+COUNTA(条幅!$B$11:$B$310),INDEX(条幅!$H$11:$H$310,257-COUNTA(半紙!$B$11:$B$310)),IF(257&lt;=COUNTA(半紙!$B$11:$B$310)+COUNTA(条幅!$B$11:$B$310)+COUNTA(条幅4分の1!$B$11:$B$310),INDEX(条幅4分の1!$H$11:$H$310,257-COUNTA(半紙!$B$11:$B$310)-COUNTA(条幅!$B$11:$B$310)),"")))=0,"",IF(257&lt;=COUNTA(半紙!$B$11:$B$310),INDEX(半紙!$H$11:$H$310,257),IF(257&lt;=COUNTA(半紙!$B$11:$B$310)+COUNTA(条幅!$B$11:$B$310),INDEX(条幅!$H$11:$H$310,257-COUNTA(半紙!$B$11:$B$310)),IF(257&lt;=COUNTA(半紙!$B$11:$B$310)+COUNTA(条幅!$B$11:$B$310)+COUNTA(条幅4分の1!$B$11:$B$310),INDEX(条幅4分の1!$H$11:$H$310,257-COUNTA(半紙!$B$11:$B$310)-COUNTA(条幅!$B$11:$B$310)),""))))</f>
        <v/>
      </c>
      <c r="I262" s="38" t="str">
        <f>IF(IF(257&lt;=COUNTA(半紙!$B$11:$B$310),INDEX(半紙!$I$11:$I$310,257),IF(257&lt;=COUNTA(半紙!$B$11:$B$310)+COUNTA(条幅!$B$11:$B$310),INDEX(条幅!$I$11:$I$310,257-COUNTA(半紙!$B$11:$B$310)),IF(257&lt;=COUNTA(半紙!$B$11:$B$310)+COUNTA(条幅!$B$11:$B$310)+COUNTA(条幅4分の1!$B$11:$B$310),INDEX(条幅4分の1!$I$11:$I$310,257-COUNTA(半紙!$B$11:$B$310)-COUNTA(条幅!$B$11:$B$310)),"")))=0,"",IF(257&lt;=COUNTA(半紙!$B$11:$B$310),INDEX(半紙!$I$11:$I$310,257),IF(257&lt;=COUNTA(半紙!$B$11:$B$310)+COUNTA(条幅!$B$11:$B$310),INDEX(条幅!$I$11:$I$310,257-COUNTA(半紙!$B$11:$B$310)),IF(257&lt;=COUNTA(半紙!$B$11:$B$310)+COUNTA(条幅!$B$11:$B$310)+COUNTA(条幅4分の1!$B$11:$B$310),INDEX(条幅4分の1!$I$11:$I$310,257-COUNTA(半紙!$B$11:$B$310)-COUNTA(条幅!$B$11:$B$310)),""))))</f>
        <v/>
      </c>
      <c r="J262" s="38" t="str">
        <f>IF(IF(257&lt;=COUNTA(半紙!$B$11:$B$310),INDEX(半紙!$J$11:$J$310,257),IF(257&lt;=COUNTA(半紙!$B$11:$B$310)+COUNTA(条幅!$B$11:$B$310),INDEX(条幅!$J$11:$J$310,257-COUNTA(半紙!$B$11:$B$310)),IF(257&lt;=COUNTA(半紙!$B$11:$B$310)+COUNTA(条幅!$B$11:$B$310)+COUNTA(条幅4分の1!$B$11:$B$310),INDEX(条幅4分の1!$J$11:$J$310,257-COUNTA(半紙!$B$11:$B$310)-COUNTA(条幅!$B$11:$B$310)),"")))=0,"",IF(257&lt;=COUNTA(半紙!$B$11:$B$310),INDEX(半紙!$J$11:$J$310,257),IF(257&lt;=COUNTA(半紙!$B$11:$B$310)+COUNTA(条幅!$B$11:$B$310),INDEX(条幅!$J$11:$J$310,257-COUNTA(半紙!$B$11:$B$310)),IF(257&lt;=COUNTA(半紙!$B$11:$B$310)+COUNTA(条幅!$B$11:$B$310)+COUNTA(条幅4分の1!$B$11:$B$310),INDEX(条幅4分の1!$J$11:$J$310,257-COUNTA(半紙!$B$11:$B$310)-COUNTA(条幅!$B$11:$B$310)),""))))</f>
        <v/>
      </c>
      <c r="K262" s="38" t="str">
        <f>IF(IF(257&lt;=COUNTA(半紙!$B$11:$B$310),INDEX(半紙!$K$11:$K$310,257),IF(257&lt;=COUNTA(半紙!$B$11:$B$310)+COUNTA(条幅!$B$11:$B$310),INDEX(条幅!$K$11:$K$310,257-COUNTA(半紙!$B$11:$B$310)),IF(257&lt;=COUNTA(半紙!$B$11:$B$310)+COUNTA(条幅!$B$11:$B$310)+COUNTA(条幅4分の1!$B$11:$B$310),INDEX(条幅4分の1!$K$11:$K$310,257-COUNTA(半紙!$B$11:$B$310)-COUNTA(条幅!$B$11:$B$310)),"")))=0,"",IF(257&lt;=COUNTA(半紙!$B$11:$B$310),INDEX(半紙!$K$11:$K$310,257),IF(257&lt;=COUNTA(半紙!$B$11:$B$310)+COUNTA(条幅!$B$11:$B$310),INDEX(条幅!$K$11:$K$310,257-COUNTA(半紙!$B$11:$B$310)),IF(257&lt;=COUNTA(半紙!$B$11:$B$310)+COUNTA(条幅!$B$11:$B$310)+COUNTA(条幅4分の1!$B$11:$B$310),INDEX(条幅4分の1!$K$11:$K$310,257-COUNTA(半紙!$B$11:$B$310)-COUNTA(条幅!$B$11:$B$310)),""))))</f>
        <v/>
      </c>
      <c r="L262" s="48" t="str">
        <f>IF($B262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257))</f>
        <v/>
      </c>
    </row>
    <row r="263" spans="1:12" ht="15" customHeight="1">
      <c r="A263" s="37" t="str">
        <f>IF(258&lt;=COUNTA(半紙!$B$11:$B$310),"半紙",IF(258&lt;=COUNTA(半紙!$B$11:$B$310)+COUNTA(条幅!$B$11:$B$310),"条幅(半切)",IF(258&lt;=COUNTA(半紙!$B$11:$B$310)+COUNTA(条幅!$B$11:$B$310)+COUNTA(条幅4分の1!$B$11:$B$310),"条幅(1/4)","")))</f>
        <v/>
      </c>
      <c r="B263" s="38" t="str">
        <f>IF(IF(258&lt;=COUNTA(半紙!$B$11:$B$310),INDEX(半紙!$B$11:$B$310,258),IF(258&lt;=COUNTA(半紙!$B$11:$B$310)+COUNTA(条幅!$B$11:$B$310),INDEX(条幅!$B$11:$B$310,258-COUNTA(半紙!$B$11:$B$310)),IF(258&lt;=COUNTA(半紙!$B$11:$B$310)+COUNTA(条幅!$B$11:$B$310)+COUNTA(条幅4分の1!$B$11:$B$310),INDEX(条幅4分の1!$B$11:$B$310,258-COUNTA(半紙!$B$11:$B$310)-COUNTA(条幅!$B$11:$B$310)),"")))=0,"",IF(258&lt;=COUNTA(半紙!$B$11:$B$310),INDEX(半紙!$B$11:$B$310,258),IF(258&lt;=COUNTA(半紙!$B$11:$B$310)+COUNTA(条幅!$B$11:$B$310),INDEX(条幅!$B$11:$B$310,258-COUNTA(半紙!$B$11:$B$310)),IF(258&lt;=COUNTA(半紙!$B$11:$B$310)+COUNTA(条幅!$B$11:$B$310)+COUNTA(条幅4分の1!$B$11:$B$310),INDEX(条幅4分の1!$B$11:$B$310,258-COUNTA(半紙!$B$11:$B$310)-COUNTA(条幅!$B$11:$B$310)),""))))</f>
        <v/>
      </c>
      <c r="C263" s="38" t="str">
        <f>IF(IF(258&lt;=COUNTA(半紙!$B$11:$B$310),INDEX(半紙!$C$11:$C$310,258),IF(258&lt;=COUNTA(半紙!$B$11:$B$310)+COUNTA(条幅!$B$11:$B$310),INDEX(条幅!$C$11:$C$310,258-COUNTA(半紙!$B$11:$B$310)),IF(258&lt;=COUNTA(半紙!$B$11:$B$310)+COUNTA(条幅!$B$11:$B$310)+COUNTA(条幅4分の1!$B$11:$B$310),INDEX(条幅4分の1!$C$11:$C$310,258-COUNTA(半紙!$B$11:$B$310)-COUNTA(条幅!$B$11:$B$310)),"")))=0,"",IF(258&lt;=COUNTA(半紙!$B$11:$B$310),INDEX(半紙!$C$11:$C$310,258),IF(258&lt;=COUNTA(半紙!$B$11:$B$310)+COUNTA(条幅!$B$11:$B$310),INDEX(条幅!$C$11:$C$310,258-COUNTA(半紙!$B$11:$B$310)),IF(258&lt;=COUNTA(半紙!$B$11:$B$310)+COUNTA(条幅!$B$11:$B$310)+COUNTA(条幅4分の1!$B$11:$B$310),INDEX(条幅4分の1!$C$11:$C$310,258-COUNTA(半紙!$B$11:$B$310)-COUNTA(条幅!$B$11:$B$310)),""))))</f>
        <v/>
      </c>
      <c r="D263" s="38" t="str">
        <f>IF(IF(258&lt;=COUNTA(半紙!$B$11:$B$310),INDEX(半紙!$D$11:$D$310,258),IF(258&lt;=COUNTA(半紙!$B$11:$B$310)+COUNTA(条幅!$B$11:$B$310),INDEX(条幅!$D$11:$D$310,258-COUNTA(半紙!$B$11:$B$310)),IF(258&lt;=COUNTA(半紙!$B$11:$B$310)+COUNTA(条幅!$B$11:$B$310)+COUNTA(条幅4分の1!$B$11:$B$310),INDEX(条幅4分の1!$D$11:$D$310,258-COUNTA(半紙!$B$11:$B$310)-COUNTA(条幅!$B$11:$B$310)),"")))=0,"",IF(258&lt;=COUNTA(半紙!$B$11:$B$310),INDEX(半紙!$D$11:$D$310,258),IF(258&lt;=COUNTA(半紙!$B$11:$B$310)+COUNTA(条幅!$B$11:$B$310),INDEX(条幅!$D$11:$D$310,258-COUNTA(半紙!$B$11:$B$310)),IF(258&lt;=COUNTA(半紙!$B$11:$B$310)+COUNTA(条幅!$B$11:$B$310)+COUNTA(条幅4分の1!$B$11:$B$310),INDEX(条幅4分の1!$D$11:$D$310,258-COUNTA(半紙!$B$11:$B$310)-COUNTA(条幅!$B$11:$B$310)),""))))</f>
        <v/>
      </c>
      <c r="E263" s="38" t="str">
        <f>IF(IF(258&lt;=COUNTA(半紙!$B$11:$B$310),INDEX(半紙!$E$11:$E$310,258),IF(258&lt;=COUNTA(半紙!$B$11:$B$310)+COUNTA(条幅!$B$11:$B$310),INDEX(条幅!$E$11:$E$310,258-COUNTA(半紙!$B$11:$B$310)),IF(258&lt;=COUNTA(半紙!$B$11:$B$310)+COUNTA(条幅!$B$11:$B$310)+COUNTA(条幅4分の1!$B$11:$B$310),INDEX(条幅4分の1!$E$11:$E$310,258-COUNTA(半紙!$B$11:$B$310)-COUNTA(条幅!$B$11:$B$310)),"")))=0,"",IF(258&lt;=COUNTA(半紙!$B$11:$B$310),INDEX(半紙!$E$11:$E$310,258),IF(258&lt;=COUNTA(半紙!$B$11:$B$310)+COUNTA(条幅!$B$11:$B$310),INDEX(条幅!$E$11:$E$310,258-COUNTA(半紙!$B$11:$B$310)),IF(258&lt;=COUNTA(半紙!$B$11:$B$310)+COUNTA(条幅!$B$11:$B$310)+COUNTA(条幅4分の1!$B$11:$B$310),INDEX(条幅4分の1!$E$11:$E$310,258-COUNTA(半紙!$B$11:$B$310)-COUNTA(条幅!$B$11:$B$310)),""))))</f>
        <v/>
      </c>
      <c r="F263" s="38" t="str">
        <f>IF(IF(258&lt;=COUNTA(半紙!$B$11:$B$310),INDEX(半紙!$F$11:$F$310,258),IF(258&lt;=COUNTA(半紙!$B$11:$B$310)+COUNTA(条幅!$B$11:$B$310),INDEX(条幅!$F$11:$F$310,258-COUNTA(半紙!$B$11:$B$310)),IF(258&lt;=COUNTA(半紙!$B$11:$B$310)+COUNTA(条幅!$B$11:$B$310)+COUNTA(条幅4分の1!$B$11:$B$310),INDEX(条幅4分の1!$F$11:$F$310,258-COUNTA(半紙!$B$11:$B$310)-COUNTA(条幅!$B$11:$B$310)),"")))=0,"",IF(258&lt;=COUNTA(半紙!$B$11:$B$310),INDEX(半紙!$F$11:$F$310,258),IF(258&lt;=COUNTA(半紙!$B$11:$B$310)+COUNTA(条幅!$B$11:$B$310),INDEX(条幅!$F$11:$F$310,258-COUNTA(半紙!$B$11:$B$310)),IF(258&lt;=COUNTA(半紙!$B$11:$B$310)+COUNTA(条幅!$B$11:$B$310)+COUNTA(条幅4分の1!$B$11:$B$310),INDEX(条幅4分の1!$F$11:$F$310,258-COUNTA(半紙!$B$11:$B$310)-COUNTA(条幅!$B$11:$B$310)),""))))</f>
        <v/>
      </c>
      <c r="G263" s="38" t="str">
        <f>IF(IF(258&lt;=COUNTA(半紙!$B$11:$B$310),INDEX(半紙!$G$11:$G$310,258),IF(258&lt;=COUNTA(半紙!$B$11:$B$310)+COUNTA(条幅!$B$11:$B$310),INDEX(条幅!$G$11:$G$310,258-COUNTA(半紙!$B$11:$B$310)),IF(258&lt;=COUNTA(半紙!$B$11:$B$310)+COUNTA(条幅!$B$11:$B$310)+COUNTA(条幅4分の1!$B$11:$B$310),INDEX(条幅4分の1!$G$11:$G$310,258-COUNTA(半紙!$B$11:$B$310)-COUNTA(条幅!$B$11:$B$310)),"")))=0,"",IF(258&lt;=COUNTA(半紙!$B$11:$B$310),INDEX(半紙!$G$11:$G$310,258),IF(258&lt;=COUNTA(半紙!$B$11:$B$310)+COUNTA(条幅!$B$11:$B$310),INDEX(条幅!$G$11:$G$310,258-COUNTA(半紙!$B$11:$B$310)),IF(258&lt;=COUNTA(半紙!$B$11:$B$310)+COUNTA(条幅!$B$11:$B$310)+COUNTA(条幅4分の1!$B$11:$B$310),INDEX(条幅4分の1!$G$11:$G$310,258-COUNTA(半紙!$B$11:$B$310)-COUNTA(条幅!$B$11:$B$310)),""))))</f>
        <v/>
      </c>
      <c r="H263" s="38" t="str">
        <f>IF(IF(258&lt;=COUNTA(半紙!$B$11:$B$310),INDEX(半紙!$H$11:$H$310,258),IF(258&lt;=COUNTA(半紙!$B$11:$B$310)+COUNTA(条幅!$B$11:$B$310),INDEX(条幅!$H$11:$H$310,258-COUNTA(半紙!$B$11:$B$310)),IF(258&lt;=COUNTA(半紙!$B$11:$B$310)+COUNTA(条幅!$B$11:$B$310)+COUNTA(条幅4分の1!$B$11:$B$310),INDEX(条幅4分の1!$H$11:$H$310,258-COUNTA(半紙!$B$11:$B$310)-COUNTA(条幅!$B$11:$B$310)),"")))=0,"",IF(258&lt;=COUNTA(半紙!$B$11:$B$310),INDEX(半紙!$H$11:$H$310,258),IF(258&lt;=COUNTA(半紙!$B$11:$B$310)+COUNTA(条幅!$B$11:$B$310),INDEX(条幅!$H$11:$H$310,258-COUNTA(半紙!$B$11:$B$310)),IF(258&lt;=COUNTA(半紙!$B$11:$B$310)+COUNTA(条幅!$B$11:$B$310)+COUNTA(条幅4分の1!$B$11:$B$310),INDEX(条幅4分の1!$H$11:$H$310,258-COUNTA(半紙!$B$11:$B$310)-COUNTA(条幅!$B$11:$B$310)),""))))</f>
        <v/>
      </c>
      <c r="I263" s="38" t="str">
        <f>IF(IF(258&lt;=COUNTA(半紙!$B$11:$B$310),INDEX(半紙!$I$11:$I$310,258),IF(258&lt;=COUNTA(半紙!$B$11:$B$310)+COUNTA(条幅!$B$11:$B$310),INDEX(条幅!$I$11:$I$310,258-COUNTA(半紙!$B$11:$B$310)),IF(258&lt;=COUNTA(半紙!$B$11:$B$310)+COUNTA(条幅!$B$11:$B$310)+COUNTA(条幅4分の1!$B$11:$B$310),INDEX(条幅4分の1!$I$11:$I$310,258-COUNTA(半紙!$B$11:$B$310)-COUNTA(条幅!$B$11:$B$310)),"")))=0,"",IF(258&lt;=COUNTA(半紙!$B$11:$B$310),INDEX(半紙!$I$11:$I$310,258),IF(258&lt;=COUNTA(半紙!$B$11:$B$310)+COUNTA(条幅!$B$11:$B$310),INDEX(条幅!$I$11:$I$310,258-COUNTA(半紙!$B$11:$B$310)),IF(258&lt;=COUNTA(半紙!$B$11:$B$310)+COUNTA(条幅!$B$11:$B$310)+COUNTA(条幅4分の1!$B$11:$B$310),INDEX(条幅4分の1!$I$11:$I$310,258-COUNTA(半紙!$B$11:$B$310)-COUNTA(条幅!$B$11:$B$310)),""))))</f>
        <v/>
      </c>
      <c r="J263" s="38" t="str">
        <f>IF(IF(258&lt;=COUNTA(半紙!$B$11:$B$310),INDEX(半紙!$J$11:$J$310,258),IF(258&lt;=COUNTA(半紙!$B$11:$B$310)+COUNTA(条幅!$B$11:$B$310),INDEX(条幅!$J$11:$J$310,258-COUNTA(半紙!$B$11:$B$310)),IF(258&lt;=COUNTA(半紙!$B$11:$B$310)+COUNTA(条幅!$B$11:$B$310)+COUNTA(条幅4分の1!$B$11:$B$310),INDEX(条幅4分の1!$J$11:$J$310,258-COUNTA(半紙!$B$11:$B$310)-COUNTA(条幅!$B$11:$B$310)),"")))=0,"",IF(258&lt;=COUNTA(半紙!$B$11:$B$310),INDEX(半紙!$J$11:$J$310,258),IF(258&lt;=COUNTA(半紙!$B$11:$B$310)+COUNTA(条幅!$B$11:$B$310),INDEX(条幅!$J$11:$J$310,258-COUNTA(半紙!$B$11:$B$310)),IF(258&lt;=COUNTA(半紙!$B$11:$B$310)+COUNTA(条幅!$B$11:$B$310)+COUNTA(条幅4分の1!$B$11:$B$310),INDEX(条幅4分の1!$J$11:$J$310,258-COUNTA(半紙!$B$11:$B$310)-COUNTA(条幅!$B$11:$B$310)),""))))</f>
        <v/>
      </c>
      <c r="K263" s="38" t="str">
        <f>IF(IF(258&lt;=COUNTA(半紙!$B$11:$B$310),INDEX(半紙!$K$11:$K$310,258),IF(258&lt;=COUNTA(半紙!$B$11:$B$310)+COUNTA(条幅!$B$11:$B$310),INDEX(条幅!$K$11:$K$310,258-COUNTA(半紙!$B$11:$B$310)),IF(258&lt;=COUNTA(半紙!$B$11:$B$310)+COUNTA(条幅!$B$11:$B$310)+COUNTA(条幅4分の1!$B$11:$B$310),INDEX(条幅4分の1!$K$11:$K$310,258-COUNTA(半紙!$B$11:$B$310)-COUNTA(条幅!$B$11:$B$310)),"")))=0,"",IF(258&lt;=COUNTA(半紙!$B$11:$B$310),INDEX(半紙!$K$11:$K$310,258),IF(258&lt;=COUNTA(半紙!$B$11:$B$310)+COUNTA(条幅!$B$11:$B$310),INDEX(条幅!$K$11:$K$310,258-COUNTA(半紙!$B$11:$B$310)),IF(258&lt;=COUNTA(半紙!$B$11:$B$310)+COUNTA(条幅!$B$11:$B$310)+COUNTA(条幅4分の1!$B$11:$B$310),INDEX(条幅4分の1!$K$11:$K$310,258-COUNTA(半紙!$B$11:$B$310)-COUNTA(条幅!$B$11:$B$310)),""))))</f>
        <v/>
      </c>
      <c r="L263" s="48" t="str">
        <f>IF($B263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258))</f>
        <v/>
      </c>
    </row>
    <row r="264" spans="1:12" ht="15" customHeight="1">
      <c r="A264" s="37" t="str">
        <f>IF(259&lt;=COUNTA(半紙!$B$11:$B$310),"半紙",IF(259&lt;=COUNTA(半紙!$B$11:$B$310)+COUNTA(条幅!$B$11:$B$310),"条幅(半切)",IF(259&lt;=COUNTA(半紙!$B$11:$B$310)+COUNTA(条幅!$B$11:$B$310)+COUNTA(条幅4分の1!$B$11:$B$310),"条幅(1/4)","")))</f>
        <v/>
      </c>
      <c r="B264" s="38" t="str">
        <f>IF(IF(259&lt;=COUNTA(半紙!$B$11:$B$310),INDEX(半紙!$B$11:$B$310,259),IF(259&lt;=COUNTA(半紙!$B$11:$B$310)+COUNTA(条幅!$B$11:$B$310),INDEX(条幅!$B$11:$B$310,259-COUNTA(半紙!$B$11:$B$310)),IF(259&lt;=COUNTA(半紙!$B$11:$B$310)+COUNTA(条幅!$B$11:$B$310)+COUNTA(条幅4分の1!$B$11:$B$310),INDEX(条幅4分の1!$B$11:$B$310,259-COUNTA(半紙!$B$11:$B$310)-COUNTA(条幅!$B$11:$B$310)),"")))=0,"",IF(259&lt;=COUNTA(半紙!$B$11:$B$310),INDEX(半紙!$B$11:$B$310,259),IF(259&lt;=COUNTA(半紙!$B$11:$B$310)+COUNTA(条幅!$B$11:$B$310),INDEX(条幅!$B$11:$B$310,259-COUNTA(半紙!$B$11:$B$310)),IF(259&lt;=COUNTA(半紙!$B$11:$B$310)+COUNTA(条幅!$B$11:$B$310)+COUNTA(条幅4分の1!$B$11:$B$310),INDEX(条幅4分の1!$B$11:$B$310,259-COUNTA(半紙!$B$11:$B$310)-COUNTA(条幅!$B$11:$B$310)),""))))</f>
        <v/>
      </c>
      <c r="C264" s="38" t="str">
        <f>IF(IF(259&lt;=COUNTA(半紙!$B$11:$B$310),INDEX(半紙!$C$11:$C$310,259),IF(259&lt;=COUNTA(半紙!$B$11:$B$310)+COUNTA(条幅!$B$11:$B$310),INDEX(条幅!$C$11:$C$310,259-COUNTA(半紙!$B$11:$B$310)),IF(259&lt;=COUNTA(半紙!$B$11:$B$310)+COUNTA(条幅!$B$11:$B$310)+COUNTA(条幅4分の1!$B$11:$B$310),INDEX(条幅4分の1!$C$11:$C$310,259-COUNTA(半紙!$B$11:$B$310)-COUNTA(条幅!$B$11:$B$310)),"")))=0,"",IF(259&lt;=COUNTA(半紙!$B$11:$B$310),INDEX(半紙!$C$11:$C$310,259),IF(259&lt;=COUNTA(半紙!$B$11:$B$310)+COUNTA(条幅!$B$11:$B$310),INDEX(条幅!$C$11:$C$310,259-COUNTA(半紙!$B$11:$B$310)),IF(259&lt;=COUNTA(半紙!$B$11:$B$310)+COUNTA(条幅!$B$11:$B$310)+COUNTA(条幅4分の1!$B$11:$B$310),INDEX(条幅4分の1!$C$11:$C$310,259-COUNTA(半紙!$B$11:$B$310)-COUNTA(条幅!$B$11:$B$310)),""))))</f>
        <v/>
      </c>
      <c r="D264" s="38" t="str">
        <f>IF(IF(259&lt;=COUNTA(半紙!$B$11:$B$310),INDEX(半紙!$D$11:$D$310,259),IF(259&lt;=COUNTA(半紙!$B$11:$B$310)+COUNTA(条幅!$B$11:$B$310),INDEX(条幅!$D$11:$D$310,259-COUNTA(半紙!$B$11:$B$310)),IF(259&lt;=COUNTA(半紙!$B$11:$B$310)+COUNTA(条幅!$B$11:$B$310)+COUNTA(条幅4分の1!$B$11:$B$310),INDEX(条幅4分の1!$D$11:$D$310,259-COUNTA(半紙!$B$11:$B$310)-COUNTA(条幅!$B$11:$B$310)),"")))=0,"",IF(259&lt;=COUNTA(半紙!$B$11:$B$310),INDEX(半紙!$D$11:$D$310,259),IF(259&lt;=COUNTA(半紙!$B$11:$B$310)+COUNTA(条幅!$B$11:$B$310),INDEX(条幅!$D$11:$D$310,259-COUNTA(半紙!$B$11:$B$310)),IF(259&lt;=COUNTA(半紙!$B$11:$B$310)+COUNTA(条幅!$B$11:$B$310)+COUNTA(条幅4分の1!$B$11:$B$310),INDEX(条幅4分の1!$D$11:$D$310,259-COUNTA(半紙!$B$11:$B$310)-COUNTA(条幅!$B$11:$B$310)),""))))</f>
        <v/>
      </c>
      <c r="E264" s="38" t="str">
        <f>IF(IF(259&lt;=COUNTA(半紙!$B$11:$B$310),INDEX(半紙!$E$11:$E$310,259),IF(259&lt;=COUNTA(半紙!$B$11:$B$310)+COUNTA(条幅!$B$11:$B$310),INDEX(条幅!$E$11:$E$310,259-COUNTA(半紙!$B$11:$B$310)),IF(259&lt;=COUNTA(半紙!$B$11:$B$310)+COUNTA(条幅!$B$11:$B$310)+COUNTA(条幅4分の1!$B$11:$B$310),INDEX(条幅4分の1!$E$11:$E$310,259-COUNTA(半紙!$B$11:$B$310)-COUNTA(条幅!$B$11:$B$310)),"")))=0,"",IF(259&lt;=COUNTA(半紙!$B$11:$B$310),INDEX(半紙!$E$11:$E$310,259),IF(259&lt;=COUNTA(半紙!$B$11:$B$310)+COUNTA(条幅!$B$11:$B$310),INDEX(条幅!$E$11:$E$310,259-COUNTA(半紙!$B$11:$B$310)),IF(259&lt;=COUNTA(半紙!$B$11:$B$310)+COUNTA(条幅!$B$11:$B$310)+COUNTA(条幅4分の1!$B$11:$B$310),INDEX(条幅4分の1!$E$11:$E$310,259-COUNTA(半紙!$B$11:$B$310)-COUNTA(条幅!$B$11:$B$310)),""))))</f>
        <v/>
      </c>
      <c r="F264" s="38" t="str">
        <f>IF(IF(259&lt;=COUNTA(半紙!$B$11:$B$310),INDEX(半紙!$F$11:$F$310,259),IF(259&lt;=COUNTA(半紙!$B$11:$B$310)+COUNTA(条幅!$B$11:$B$310),INDEX(条幅!$F$11:$F$310,259-COUNTA(半紙!$B$11:$B$310)),IF(259&lt;=COUNTA(半紙!$B$11:$B$310)+COUNTA(条幅!$B$11:$B$310)+COUNTA(条幅4分の1!$B$11:$B$310),INDEX(条幅4分の1!$F$11:$F$310,259-COUNTA(半紙!$B$11:$B$310)-COUNTA(条幅!$B$11:$B$310)),"")))=0,"",IF(259&lt;=COUNTA(半紙!$B$11:$B$310),INDEX(半紙!$F$11:$F$310,259),IF(259&lt;=COUNTA(半紙!$B$11:$B$310)+COUNTA(条幅!$B$11:$B$310),INDEX(条幅!$F$11:$F$310,259-COUNTA(半紙!$B$11:$B$310)),IF(259&lt;=COUNTA(半紙!$B$11:$B$310)+COUNTA(条幅!$B$11:$B$310)+COUNTA(条幅4分の1!$B$11:$B$310),INDEX(条幅4分の1!$F$11:$F$310,259-COUNTA(半紙!$B$11:$B$310)-COUNTA(条幅!$B$11:$B$310)),""))))</f>
        <v/>
      </c>
      <c r="G264" s="38" t="str">
        <f>IF(IF(259&lt;=COUNTA(半紙!$B$11:$B$310),INDEX(半紙!$G$11:$G$310,259),IF(259&lt;=COUNTA(半紙!$B$11:$B$310)+COUNTA(条幅!$B$11:$B$310),INDEX(条幅!$G$11:$G$310,259-COUNTA(半紙!$B$11:$B$310)),IF(259&lt;=COUNTA(半紙!$B$11:$B$310)+COUNTA(条幅!$B$11:$B$310)+COUNTA(条幅4分の1!$B$11:$B$310),INDEX(条幅4分の1!$G$11:$G$310,259-COUNTA(半紙!$B$11:$B$310)-COUNTA(条幅!$B$11:$B$310)),"")))=0,"",IF(259&lt;=COUNTA(半紙!$B$11:$B$310),INDEX(半紙!$G$11:$G$310,259),IF(259&lt;=COUNTA(半紙!$B$11:$B$310)+COUNTA(条幅!$B$11:$B$310),INDEX(条幅!$G$11:$G$310,259-COUNTA(半紙!$B$11:$B$310)),IF(259&lt;=COUNTA(半紙!$B$11:$B$310)+COUNTA(条幅!$B$11:$B$310)+COUNTA(条幅4分の1!$B$11:$B$310),INDEX(条幅4分の1!$G$11:$G$310,259-COUNTA(半紙!$B$11:$B$310)-COUNTA(条幅!$B$11:$B$310)),""))))</f>
        <v/>
      </c>
      <c r="H264" s="38" t="str">
        <f>IF(IF(259&lt;=COUNTA(半紙!$B$11:$B$310),INDEX(半紙!$H$11:$H$310,259),IF(259&lt;=COUNTA(半紙!$B$11:$B$310)+COUNTA(条幅!$B$11:$B$310),INDEX(条幅!$H$11:$H$310,259-COUNTA(半紙!$B$11:$B$310)),IF(259&lt;=COUNTA(半紙!$B$11:$B$310)+COUNTA(条幅!$B$11:$B$310)+COUNTA(条幅4分の1!$B$11:$B$310),INDEX(条幅4分の1!$H$11:$H$310,259-COUNTA(半紙!$B$11:$B$310)-COUNTA(条幅!$B$11:$B$310)),"")))=0,"",IF(259&lt;=COUNTA(半紙!$B$11:$B$310),INDEX(半紙!$H$11:$H$310,259),IF(259&lt;=COUNTA(半紙!$B$11:$B$310)+COUNTA(条幅!$B$11:$B$310),INDEX(条幅!$H$11:$H$310,259-COUNTA(半紙!$B$11:$B$310)),IF(259&lt;=COUNTA(半紙!$B$11:$B$310)+COUNTA(条幅!$B$11:$B$310)+COUNTA(条幅4分の1!$B$11:$B$310),INDEX(条幅4分の1!$H$11:$H$310,259-COUNTA(半紙!$B$11:$B$310)-COUNTA(条幅!$B$11:$B$310)),""))))</f>
        <v/>
      </c>
      <c r="I264" s="38" t="str">
        <f>IF(IF(259&lt;=COUNTA(半紙!$B$11:$B$310),INDEX(半紙!$I$11:$I$310,259),IF(259&lt;=COUNTA(半紙!$B$11:$B$310)+COUNTA(条幅!$B$11:$B$310),INDEX(条幅!$I$11:$I$310,259-COUNTA(半紙!$B$11:$B$310)),IF(259&lt;=COUNTA(半紙!$B$11:$B$310)+COUNTA(条幅!$B$11:$B$310)+COUNTA(条幅4分の1!$B$11:$B$310),INDEX(条幅4分の1!$I$11:$I$310,259-COUNTA(半紙!$B$11:$B$310)-COUNTA(条幅!$B$11:$B$310)),"")))=0,"",IF(259&lt;=COUNTA(半紙!$B$11:$B$310),INDEX(半紙!$I$11:$I$310,259),IF(259&lt;=COUNTA(半紙!$B$11:$B$310)+COUNTA(条幅!$B$11:$B$310),INDEX(条幅!$I$11:$I$310,259-COUNTA(半紙!$B$11:$B$310)),IF(259&lt;=COUNTA(半紙!$B$11:$B$310)+COUNTA(条幅!$B$11:$B$310)+COUNTA(条幅4分の1!$B$11:$B$310),INDEX(条幅4分の1!$I$11:$I$310,259-COUNTA(半紙!$B$11:$B$310)-COUNTA(条幅!$B$11:$B$310)),""))))</f>
        <v/>
      </c>
      <c r="J264" s="38" t="str">
        <f>IF(IF(259&lt;=COUNTA(半紙!$B$11:$B$310),INDEX(半紙!$J$11:$J$310,259),IF(259&lt;=COUNTA(半紙!$B$11:$B$310)+COUNTA(条幅!$B$11:$B$310),INDEX(条幅!$J$11:$J$310,259-COUNTA(半紙!$B$11:$B$310)),IF(259&lt;=COUNTA(半紙!$B$11:$B$310)+COUNTA(条幅!$B$11:$B$310)+COUNTA(条幅4分の1!$B$11:$B$310),INDEX(条幅4分の1!$J$11:$J$310,259-COUNTA(半紙!$B$11:$B$310)-COUNTA(条幅!$B$11:$B$310)),"")))=0,"",IF(259&lt;=COUNTA(半紙!$B$11:$B$310),INDEX(半紙!$J$11:$J$310,259),IF(259&lt;=COUNTA(半紙!$B$11:$B$310)+COUNTA(条幅!$B$11:$B$310),INDEX(条幅!$J$11:$J$310,259-COUNTA(半紙!$B$11:$B$310)),IF(259&lt;=COUNTA(半紙!$B$11:$B$310)+COUNTA(条幅!$B$11:$B$310)+COUNTA(条幅4分の1!$B$11:$B$310),INDEX(条幅4分の1!$J$11:$J$310,259-COUNTA(半紙!$B$11:$B$310)-COUNTA(条幅!$B$11:$B$310)),""))))</f>
        <v/>
      </c>
      <c r="K264" s="38" t="str">
        <f>IF(IF(259&lt;=COUNTA(半紙!$B$11:$B$310),INDEX(半紙!$K$11:$K$310,259),IF(259&lt;=COUNTA(半紙!$B$11:$B$310)+COUNTA(条幅!$B$11:$B$310),INDEX(条幅!$K$11:$K$310,259-COUNTA(半紙!$B$11:$B$310)),IF(259&lt;=COUNTA(半紙!$B$11:$B$310)+COUNTA(条幅!$B$11:$B$310)+COUNTA(条幅4分の1!$B$11:$B$310),INDEX(条幅4分の1!$K$11:$K$310,259-COUNTA(半紙!$B$11:$B$310)-COUNTA(条幅!$B$11:$B$310)),"")))=0,"",IF(259&lt;=COUNTA(半紙!$B$11:$B$310),INDEX(半紙!$K$11:$K$310,259),IF(259&lt;=COUNTA(半紙!$B$11:$B$310)+COUNTA(条幅!$B$11:$B$310),INDEX(条幅!$K$11:$K$310,259-COUNTA(半紙!$B$11:$B$310)),IF(259&lt;=COUNTA(半紙!$B$11:$B$310)+COUNTA(条幅!$B$11:$B$310)+COUNTA(条幅4分の1!$B$11:$B$310),INDEX(条幅4分の1!$K$11:$K$310,259-COUNTA(半紙!$B$11:$B$310)-COUNTA(条幅!$B$11:$B$310)),""))))</f>
        <v/>
      </c>
      <c r="L264" s="48" t="str">
        <f>IF($B264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259))</f>
        <v/>
      </c>
    </row>
    <row r="265" spans="1:12" ht="15" customHeight="1">
      <c r="A265" s="37" t="str">
        <f>IF(260&lt;=COUNTA(半紙!$B$11:$B$310),"半紙",IF(260&lt;=COUNTA(半紙!$B$11:$B$310)+COUNTA(条幅!$B$11:$B$310),"条幅(半切)",IF(260&lt;=COUNTA(半紙!$B$11:$B$310)+COUNTA(条幅!$B$11:$B$310)+COUNTA(条幅4分の1!$B$11:$B$310),"条幅(1/4)","")))</f>
        <v/>
      </c>
      <c r="B265" s="38" t="str">
        <f>IF(IF(260&lt;=COUNTA(半紙!$B$11:$B$310),INDEX(半紙!$B$11:$B$310,260),IF(260&lt;=COUNTA(半紙!$B$11:$B$310)+COUNTA(条幅!$B$11:$B$310),INDEX(条幅!$B$11:$B$310,260-COUNTA(半紙!$B$11:$B$310)),IF(260&lt;=COUNTA(半紙!$B$11:$B$310)+COUNTA(条幅!$B$11:$B$310)+COUNTA(条幅4分の1!$B$11:$B$310),INDEX(条幅4分の1!$B$11:$B$310,260-COUNTA(半紙!$B$11:$B$310)-COUNTA(条幅!$B$11:$B$310)),"")))=0,"",IF(260&lt;=COUNTA(半紙!$B$11:$B$310),INDEX(半紙!$B$11:$B$310,260),IF(260&lt;=COUNTA(半紙!$B$11:$B$310)+COUNTA(条幅!$B$11:$B$310),INDEX(条幅!$B$11:$B$310,260-COUNTA(半紙!$B$11:$B$310)),IF(260&lt;=COUNTA(半紙!$B$11:$B$310)+COUNTA(条幅!$B$11:$B$310)+COUNTA(条幅4分の1!$B$11:$B$310),INDEX(条幅4分の1!$B$11:$B$310,260-COUNTA(半紙!$B$11:$B$310)-COUNTA(条幅!$B$11:$B$310)),""))))</f>
        <v/>
      </c>
      <c r="C265" s="38" t="str">
        <f>IF(IF(260&lt;=COUNTA(半紙!$B$11:$B$310),INDEX(半紙!$C$11:$C$310,260),IF(260&lt;=COUNTA(半紙!$B$11:$B$310)+COUNTA(条幅!$B$11:$B$310),INDEX(条幅!$C$11:$C$310,260-COUNTA(半紙!$B$11:$B$310)),IF(260&lt;=COUNTA(半紙!$B$11:$B$310)+COUNTA(条幅!$B$11:$B$310)+COUNTA(条幅4分の1!$B$11:$B$310),INDEX(条幅4分の1!$C$11:$C$310,260-COUNTA(半紙!$B$11:$B$310)-COUNTA(条幅!$B$11:$B$310)),"")))=0,"",IF(260&lt;=COUNTA(半紙!$B$11:$B$310),INDEX(半紙!$C$11:$C$310,260),IF(260&lt;=COUNTA(半紙!$B$11:$B$310)+COUNTA(条幅!$B$11:$B$310),INDEX(条幅!$C$11:$C$310,260-COUNTA(半紙!$B$11:$B$310)),IF(260&lt;=COUNTA(半紙!$B$11:$B$310)+COUNTA(条幅!$B$11:$B$310)+COUNTA(条幅4分の1!$B$11:$B$310),INDEX(条幅4分の1!$C$11:$C$310,260-COUNTA(半紙!$B$11:$B$310)-COUNTA(条幅!$B$11:$B$310)),""))))</f>
        <v/>
      </c>
      <c r="D265" s="38" t="str">
        <f>IF(IF(260&lt;=COUNTA(半紙!$B$11:$B$310),INDEX(半紙!$D$11:$D$310,260),IF(260&lt;=COUNTA(半紙!$B$11:$B$310)+COUNTA(条幅!$B$11:$B$310),INDEX(条幅!$D$11:$D$310,260-COUNTA(半紙!$B$11:$B$310)),IF(260&lt;=COUNTA(半紙!$B$11:$B$310)+COUNTA(条幅!$B$11:$B$310)+COUNTA(条幅4分の1!$B$11:$B$310),INDEX(条幅4分の1!$D$11:$D$310,260-COUNTA(半紙!$B$11:$B$310)-COUNTA(条幅!$B$11:$B$310)),"")))=0,"",IF(260&lt;=COUNTA(半紙!$B$11:$B$310),INDEX(半紙!$D$11:$D$310,260),IF(260&lt;=COUNTA(半紙!$B$11:$B$310)+COUNTA(条幅!$B$11:$B$310),INDEX(条幅!$D$11:$D$310,260-COUNTA(半紙!$B$11:$B$310)),IF(260&lt;=COUNTA(半紙!$B$11:$B$310)+COUNTA(条幅!$B$11:$B$310)+COUNTA(条幅4分の1!$B$11:$B$310),INDEX(条幅4分の1!$D$11:$D$310,260-COUNTA(半紙!$B$11:$B$310)-COUNTA(条幅!$B$11:$B$310)),""))))</f>
        <v/>
      </c>
      <c r="E265" s="38" t="str">
        <f>IF(IF(260&lt;=COUNTA(半紙!$B$11:$B$310),INDEX(半紙!$E$11:$E$310,260),IF(260&lt;=COUNTA(半紙!$B$11:$B$310)+COUNTA(条幅!$B$11:$B$310),INDEX(条幅!$E$11:$E$310,260-COUNTA(半紙!$B$11:$B$310)),IF(260&lt;=COUNTA(半紙!$B$11:$B$310)+COUNTA(条幅!$B$11:$B$310)+COUNTA(条幅4分の1!$B$11:$B$310),INDEX(条幅4分の1!$E$11:$E$310,260-COUNTA(半紙!$B$11:$B$310)-COUNTA(条幅!$B$11:$B$310)),"")))=0,"",IF(260&lt;=COUNTA(半紙!$B$11:$B$310),INDEX(半紙!$E$11:$E$310,260),IF(260&lt;=COUNTA(半紙!$B$11:$B$310)+COUNTA(条幅!$B$11:$B$310),INDEX(条幅!$E$11:$E$310,260-COUNTA(半紙!$B$11:$B$310)),IF(260&lt;=COUNTA(半紙!$B$11:$B$310)+COUNTA(条幅!$B$11:$B$310)+COUNTA(条幅4分の1!$B$11:$B$310),INDEX(条幅4分の1!$E$11:$E$310,260-COUNTA(半紙!$B$11:$B$310)-COUNTA(条幅!$B$11:$B$310)),""))))</f>
        <v/>
      </c>
      <c r="F265" s="38" t="str">
        <f>IF(IF(260&lt;=COUNTA(半紙!$B$11:$B$310),INDEX(半紙!$F$11:$F$310,260),IF(260&lt;=COUNTA(半紙!$B$11:$B$310)+COUNTA(条幅!$B$11:$B$310),INDEX(条幅!$F$11:$F$310,260-COUNTA(半紙!$B$11:$B$310)),IF(260&lt;=COUNTA(半紙!$B$11:$B$310)+COUNTA(条幅!$B$11:$B$310)+COUNTA(条幅4分の1!$B$11:$B$310),INDEX(条幅4分の1!$F$11:$F$310,260-COUNTA(半紙!$B$11:$B$310)-COUNTA(条幅!$B$11:$B$310)),"")))=0,"",IF(260&lt;=COUNTA(半紙!$B$11:$B$310),INDEX(半紙!$F$11:$F$310,260),IF(260&lt;=COUNTA(半紙!$B$11:$B$310)+COUNTA(条幅!$B$11:$B$310),INDEX(条幅!$F$11:$F$310,260-COUNTA(半紙!$B$11:$B$310)),IF(260&lt;=COUNTA(半紙!$B$11:$B$310)+COUNTA(条幅!$B$11:$B$310)+COUNTA(条幅4分の1!$B$11:$B$310),INDEX(条幅4分の1!$F$11:$F$310,260-COUNTA(半紙!$B$11:$B$310)-COUNTA(条幅!$B$11:$B$310)),""))))</f>
        <v/>
      </c>
      <c r="G265" s="38" t="str">
        <f>IF(IF(260&lt;=COUNTA(半紙!$B$11:$B$310),INDEX(半紙!$G$11:$G$310,260),IF(260&lt;=COUNTA(半紙!$B$11:$B$310)+COUNTA(条幅!$B$11:$B$310),INDEX(条幅!$G$11:$G$310,260-COUNTA(半紙!$B$11:$B$310)),IF(260&lt;=COUNTA(半紙!$B$11:$B$310)+COUNTA(条幅!$B$11:$B$310)+COUNTA(条幅4分の1!$B$11:$B$310),INDEX(条幅4分の1!$G$11:$G$310,260-COUNTA(半紙!$B$11:$B$310)-COUNTA(条幅!$B$11:$B$310)),"")))=0,"",IF(260&lt;=COUNTA(半紙!$B$11:$B$310),INDEX(半紙!$G$11:$G$310,260),IF(260&lt;=COUNTA(半紙!$B$11:$B$310)+COUNTA(条幅!$B$11:$B$310),INDEX(条幅!$G$11:$G$310,260-COUNTA(半紙!$B$11:$B$310)),IF(260&lt;=COUNTA(半紙!$B$11:$B$310)+COUNTA(条幅!$B$11:$B$310)+COUNTA(条幅4分の1!$B$11:$B$310),INDEX(条幅4分の1!$G$11:$G$310,260-COUNTA(半紙!$B$11:$B$310)-COUNTA(条幅!$B$11:$B$310)),""))))</f>
        <v/>
      </c>
      <c r="H265" s="38" t="str">
        <f>IF(IF(260&lt;=COUNTA(半紙!$B$11:$B$310),INDEX(半紙!$H$11:$H$310,260),IF(260&lt;=COUNTA(半紙!$B$11:$B$310)+COUNTA(条幅!$B$11:$B$310),INDEX(条幅!$H$11:$H$310,260-COUNTA(半紙!$B$11:$B$310)),IF(260&lt;=COUNTA(半紙!$B$11:$B$310)+COUNTA(条幅!$B$11:$B$310)+COUNTA(条幅4分の1!$B$11:$B$310),INDEX(条幅4分の1!$H$11:$H$310,260-COUNTA(半紙!$B$11:$B$310)-COUNTA(条幅!$B$11:$B$310)),"")))=0,"",IF(260&lt;=COUNTA(半紙!$B$11:$B$310),INDEX(半紙!$H$11:$H$310,260),IF(260&lt;=COUNTA(半紙!$B$11:$B$310)+COUNTA(条幅!$B$11:$B$310),INDEX(条幅!$H$11:$H$310,260-COUNTA(半紙!$B$11:$B$310)),IF(260&lt;=COUNTA(半紙!$B$11:$B$310)+COUNTA(条幅!$B$11:$B$310)+COUNTA(条幅4分の1!$B$11:$B$310),INDEX(条幅4分の1!$H$11:$H$310,260-COUNTA(半紙!$B$11:$B$310)-COUNTA(条幅!$B$11:$B$310)),""))))</f>
        <v/>
      </c>
      <c r="I265" s="38" t="str">
        <f>IF(IF(260&lt;=COUNTA(半紙!$B$11:$B$310),INDEX(半紙!$I$11:$I$310,260),IF(260&lt;=COUNTA(半紙!$B$11:$B$310)+COUNTA(条幅!$B$11:$B$310),INDEX(条幅!$I$11:$I$310,260-COUNTA(半紙!$B$11:$B$310)),IF(260&lt;=COUNTA(半紙!$B$11:$B$310)+COUNTA(条幅!$B$11:$B$310)+COUNTA(条幅4分の1!$B$11:$B$310),INDEX(条幅4分の1!$I$11:$I$310,260-COUNTA(半紙!$B$11:$B$310)-COUNTA(条幅!$B$11:$B$310)),"")))=0,"",IF(260&lt;=COUNTA(半紙!$B$11:$B$310),INDEX(半紙!$I$11:$I$310,260),IF(260&lt;=COUNTA(半紙!$B$11:$B$310)+COUNTA(条幅!$B$11:$B$310),INDEX(条幅!$I$11:$I$310,260-COUNTA(半紙!$B$11:$B$310)),IF(260&lt;=COUNTA(半紙!$B$11:$B$310)+COUNTA(条幅!$B$11:$B$310)+COUNTA(条幅4分の1!$B$11:$B$310),INDEX(条幅4分の1!$I$11:$I$310,260-COUNTA(半紙!$B$11:$B$310)-COUNTA(条幅!$B$11:$B$310)),""))))</f>
        <v/>
      </c>
      <c r="J265" s="38" t="str">
        <f>IF(IF(260&lt;=COUNTA(半紙!$B$11:$B$310),INDEX(半紙!$J$11:$J$310,260),IF(260&lt;=COUNTA(半紙!$B$11:$B$310)+COUNTA(条幅!$B$11:$B$310),INDEX(条幅!$J$11:$J$310,260-COUNTA(半紙!$B$11:$B$310)),IF(260&lt;=COUNTA(半紙!$B$11:$B$310)+COUNTA(条幅!$B$11:$B$310)+COUNTA(条幅4分の1!$B$11:$B$310),INDEX(条幅4分の1!$J$11:$J$310,260-COUNTA(半紙!$B$11:$B$310)-COUNTA(条幅!$B$11:$B$310)),"")))=0,"",IF(260&lt;=COUNTA(半紙!$B$11:$B$310),INDEX(半紙!$J$11:$J$310,260),IF(260&lt;=COUNTA(半紙!$B$11:$B$310)+COUNTA(条幅!$B$11:$B$310),INDEX(条幅!$J$11:$J$310,260-COUNTA(半紙!$B$11:$B$310)),IF(260&lt;=COUNTA(半紙!$B$11:$B$310)+COUNTA(条幅!$B$11:$B$310)+COUNTA(条幅4分の1!$B$11:$B$310),INDEX(条幅4分の1!$J$11:$J$310,260-COUNTA(半紙!$B$11:$B$310)-COUNTA(条幅!$B$11:$B$310)),""))))</f>
        <v/>
      </c>
      <c r="K265" s="38" t="str">
        <f>IF(IF(260&lt;=COUNTA(半紙!$B$11:$B$310),INDEX(半紙!$K$11:$K$310,260),IF(260&lt;=COUNTA(半紙!$B$11:$B$310)+COUNTA(条幅!$B$11:$B$310),INDEX(条幅!$K$11:$K$310,260-COUNTA(半紙!$B$11:$B$310)),IF(260&lt;=COUNTA(半紙!$B$11:$B$310)+COUNTA(条幅!$B$11:$B$310)+COUNTA(条幅4分の1!$B$11:$B$310),INDEX(条幅4分の1!$K$11:$K$310,260-COUNTA(半紙!$B$11:$B$310)-COUNTA(条幅!$B$11:$B$310)),"")))=0,"",IF(260&lt;=COUNTA(半紙!$B$11:$B$310),INDEX(半紙!$K$11:$K$310,260),IF(260&lt;=COUNTA(半紙!$B$11:$B$310)+COUNTA(条幅!$B$11:$B$310),INDEX(条幅!$K$11:$K$310,260-COUNTA(半紙!$B$11:$B$310)),IF(260&lt;=COUNTA(半紙!$B$11:$B$310)+COUNTA(条幅!$B$11:$B$310)+COUNTA(条幅4分の1!$B$11:$B$310),INDEX(条幅4分の1!$K$11:$K$310,260-COUNTA(半紙!$B$11:$B$310)-COUNTA(条幅!$B$11:$B$310)),""))))</f>
        <v/>
      </c>
      <c r="L265" s="48" t="str">
        <f>IF($B265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260))</f>
        <v/>
      </c>
    </row>
    <row r="266" spans="1:12" ht="15" customHeight="1">
      <c r="A266" s="37" t="str">
        <f>IF(261&lt;=COUNTA(半紙!$B$11:$B$310),"半紙",IF(261&lt;=COUNTA(半紙!$B$11:$B$310)+COUNTA(条幅!$B$11:$B$310),"条幅(半切)",IF(261&lt;=COUNTA(半紙!$B$11:$B$310)+COUNTA(条幅!$B$11:$B$310)+COUNTA(条幅4分の1!$B$11:$B$310),"条幅(1/4)","")))</f>
        <v/>
      </c>
      <c r="B266" s="38" t="str">
        <f>IF(IF(261&lt;=COUNTA(半紙!$B$11:$B$310),INDEX(半紙!$B$11:$B$310,261),IF(261&lt;=COUNTA(半紙!$B$11:$B$310)+COUNTA(条幅!$B$11:$B$310),INDEX(条幅!$B$11:$B$310,261-COUNTA(半紙!$B$11:$B$310)),IF(261&lt;=COUNTA(半紙!$B$11:$B$310)+COUNTA(条幅!$B$11:$B$310)+COUNTA(条幅4分の1!$B$11:$B$310),INDEX(条幅4分の1!$B$11:$B$310,261-COUNTA(半紙!$B$11:$B$310)-COUNTA(条幅!$B$11:$B$310)),"")))=0,"",IF(261&lt;=COUNTA(半紙!$B$11:$B$310),INDEX(半紙!$B$11:$B$310,261),IF(261&lt;=COUNTA(半紙!$B$11:$B$310)+COUNTA(条幅!$B$11:$B$310),INDEX(条幅!$B$11:$B$310,261-COUNTA(半紙!$B$11:$B$310)),IF(261&lt;=COUNTA(半紙!$B$11:$B$310)+COUNTA(条幅!$B$11:$B$310)+COUNTA(条幅4分の1!$B$11:$B$310),INDEX(条幅4分の1!$B$11:$B$310,261-COUNTA(半紙!$B$11:$B$310)-COUNTA(条幅!$B$11:$B$310)),""))))</f>
        <v/>
      </c>
      <c r="C266" s="38" t="str">
        <f>IF(IF(261&lt;=COUNTA(半紙!$B$11:$B$310),INDEX(半紙!$C$11:$C$310,261),IF(261&lt;=COUNTA(半紙!$B$11:$B$310)+COUNTA(条幅!$B$11:$B$310),INDEX(条幅!$C$11:$C$310,261-COUNTA(半紙!$B$11:$B$310)),IF(261&lt;=COUNTA(半紙!$B$11:$B$310)+COUNTA(条幅!$B$11:$B$310)+COUNTA(条幅4分の1!$B$11:$B$310),INDEX(条幅4分の1!$C$11:$C$310,261-COUNTA(半紙!$B$11:$B$310)-COUNTA(条幅!$B$11:$B$310)),"")))=0,"",IF(261&lt;=COUNTA(半紙!$B$11:$B$310),INDEX(半紙!$C$11:$C$310,261),IF(261&lt;=COUNTA(半紙!$B$11:$B$310)+COUNTA(条幅!$B$11:$B$310),INDEX(条幅!$C$11:$C$310,261-COUNTA(半紙!$B$11:$B$310)),IF(261&lt;=COUNTA(半紙!$B$11:$B$310)+COUNTA(条幅!$B$11:$B$310)+COUNTA(条幅4分の1!$B$11:$B$310),INDEX(条幅4分の1!$C$11:$C$310,261-COUNTA(半紙!$B$11:$B$310)-COUNTA(条幅!$B$11:$B$310)),""))))</f>
        <v/>
      </c>
      <c r="D266" s="38" t="str">
        <f>IF(IF(261&lt;=COUNTA(半紙!$B$11:$B$310),INDEX(半紙!$D$11:$D$310,261),IF(261&lt;=COUNTA(半紙!$B$11:$B$310)+COUNTA(条幅!$B$11:$B$310),INDEX(条幅!$D$11:$D$310,261-COUNTA(半紙!$B$11:$B$310)),IF(261&lt;=COUNTA(半紙!$B$11:$B$310)+COUNTA(条幅!$B$11:$B$310)+COUNTA(条幅4分の1!$B$11:$B$310),INDEX(条幅4分の1!$D$11:$D$310,261-COUNTA(半紙!$B$11:$B$310)-COUNTA(条幅!$B$11:$B$310)),"")))=0,"",IF(261&lt;=COUNTA(半紙!$B$11:$B$310),INDEX(半紙!$D$11:$D$310,261),IF(261&lt;=COUNTA(半紙!$B$11:$B$310)+COUNTA(条幅!$B$11:$B$310),INDEX(条幅!$D$11:$D$310,261-COUNTA(半紙!$B$11:$B$310)),IF(261&lt;=COUNTA(半紙!$B$11:$B$310)+COUNTA(条幅!$B$11:$B$310)+COUNTA(条幅4分の1!$B$11:$B$310),INDEX(条幅4分の1!$D$11:$D$310,261-COUNTA(半紙!$B$11:$B$310)-COUNTA(条幅!$B$11:$B$310)),""))))</f>
        <v/>
      </c>
      <c r="E266" s="38" t="str">
        <f>IF(IF(261&lt;=COUNTA(半紙!$B$11:$B$310),INDEX(半紙!$E$11:$E$310,261),IF(261&lt;=COUNTA(半紙!$B$11:$B$310)+COUNTA(条幅!$B$11:$B$310),INDEX(条幅!$E$11:$E$310,261-COUNTA(半紙!$B$11:$B$310)),IF(261&lt;=COUNTA(半紙!$B$11:$B$310)+COUNTA(条幅!$B$11:$B$310)+COUNTA(条幅4分の1!$B$11:$B$310),INDEX(条幅4分の1!$E$11:$E$310,261-COUNTA(半紙!$B$11:$B$310)-COUNTA(条幅!$B$11:$B$310)),"")))=0,"",IF(261&lt;=COUNTA(半紙!$B$11:$B$310),INDEX(半紙!$E$11:$E$310,261),IF(261&lt;=COUNTA(半紙!$B$11:$B$310)+COUNTA(条幅!$B$11:$B$310),INDEX(条幅!$E$11:$E$310,261-COUNTA(半紙!$B$11:$B$310)),IF(261&lt;=COUNTA(半紙!$B$11:$B$310)+COUNTA(条幅!$B$11:$B$310)+COUNTA(条幅4分の1!$B$11:$B$310),INDEX(条幅4分の1!$E$11:$E$310,261-COUNTA(半紙!$B$11:$B$310)-COUNTA(条幅!$B$11:$B$310)),""))))</f>
        <v/>
      </c>
      <c r="F266" s="38" t="str">
        <f>IF(IF(261&lt;=COUNTA(半紙!$B$11:$B$310),INDEX(半紙!$F$11:$F$310,261),IF(261&lt;=COUNTA(半紙!$B$11:$B$310)+COUNTA(条幅!$B$11:$B$310),INDEX(条幅!$F$11:$F$310,261-COUNTA(半紙!$B$11:$B$310)),IF(261&lt;=COUNTA(半紙!$B$11:$B$310)+COUNTA(条幅!$B$11:$B$310)+COUNTA(条幅4分の1!$B$11:$B$310),INDEX(条幅4分の1!$F$11:$F$310,261-COUNTA(半紙!$B$11:$B$310)-COUNTA(条幅!$B$11:$B$310)),"")))=0,"",IF(261&lt;=COUNTA(半紙!$B$11:$B$310),INDEX(半紙!$F$11:$F$310,261),IF(261&lt;=COUNTA(半紙!$B$11:$B$310)+COUNTA(条幅!$B$11:$B$310),INDEX(条幅!$F$11:$F$310,261-COUNTA(半紙!$B$11:$B$310)),IF(261&lt;=COUNTA(半紙!$B$11:$B$310)+COUNTA(条幅!$B$11:$B$310)+COUNTA(条幅4分の1!$B$11:$B$310),INDEX(条幅4分の1!$F$11:$F$310,261-COUNTA(半紙!$B$11:$B$310)-COUNTA(条幅!$B$11:$B$310)),""))))</f>
        <v/>
      </c>
      <c r="G266" s="38" t="str">
        <f>IF(IF(261&lt;=COUNTA(半紙!$B$11:$B$310),INDEX(半紙!$G$11:$G$310,261),IF(261&lt;=COUNTA(半紙!$B$11:$B$310)+COUNTA(条幅!$B$11:$B$310),INDEX(条幅!$G$11:$G$310,261-COUNTA(半紙!$B$11:$B$310)),IF(261&lt;=COUNTA(半紙!$B$11:$B$310)+COUNTA(条幅!$B$11:$B$310)+COUNTA(条幅4分の1!$B$11:$B$310),INDEX(条幅4分の1!$G$11:$G$310,261-COUNTA(半紙!$B$11:$B$310)-COUNTA(条幅!$B$11:$B$310)),"")))=0,"",IF(261&lt;=COUNTA(半紙!$B$11:$B$310),INDEX(半紙!$G$11:$G$310,261),IF(261&lt;=COUNTA(半紙!$B$11:$B$310)+COUNTA(条幅!$B$11:$B$310),INDEX(条幅!$G$11:$G$310,261-COUNTA(半紙!$B$11:$B$310)),IF(261&lt;=COUNTA(半紙!$B$11:$B$310)+COUNTA(条幅!$B$11:$B$310)+COUNTA(条幅4分の1!$B$11:$B$310),INDEX(条幅4分の1!$G$11:$G$310,261-COUNTA(半紙!$B$11:$B$310)-COUNTA(条幅!$B$11:$B$310)),""))))</f>
        <v/>
      </c>
      <c r="H266" s="38" t="str">
        <f>IF(IF(261&lt;=COUNTA(半紙!$B$11:$B$310),INDEX(半紙!$H$11:$H$310,261),IF(261&lt;=COUNTA(半紙!$B$11:$B$310)+COUNTA(条幅!$B$11:$B$310),INDEX(条幅!$H$11:$H$310,261-COUNTA(半紙!$B$11:$B$310)),IF(261&lt;=COUNTA(半紙!$B$11:$B$310)+COUNTA(条幅!$B$11:$B$310)+COUNTA(条幅4分の1!$B$11:$B$310),INDEX(条幅4分の1!$H$11:$H$310,261-COUNTA(半紙!$B$11:$B$310)-COUNTA(条幅!$B$11:$B$310)),"")))=0,"",IF(261&lt;=COUNTA(半紙!$B$11:$B$310),INDEX(半紙!$H$11:$H$310,261),IF(261&lt;=COUNTA(半紙!$B$11:$B$310)+COUNTA(条幅!$B$11:$B$310),INDEX(条幅!$H$11:$H$310,261-COUNTA(半紙!$B$11:$B$310)),IF(261&lt;=COUNTA(半紙!$B$11:$B$310)+COUNTA(条幅!$B$11:$B$310)+COUNTA(条幅4分の1!$B$11:$B$310),INDEX(条幅4分の1!$H$11:$H$310,261-COUNTA(半紙!$B$11:$B$310)-COUNTA(条幅!$B$11:$B$310)),""))))</f>
        <v/>
      </c>
      <c r="I266" s="38" t="str">
        <f>IF(IF(261&lt;=COUNTA(半紙!$B$11:$B$310),INDEX(半紙!$I$11:$I$310,261),IF(261&lt;=COUNTA(半紙!$B$11:$B$310)+COUNTA(条幅!$B$11:$B$310),INDEX(条幅!$I$11:$I$310,261-COUNTA(半紙!$B$11:$B$310)),IF(261&lt;=COUNTA(半紙!$B$11:$B$310)+COUNTA(条幅!$B$11:$B$310)+COUNTA(条幅4分の1!$B$11:$B$310),INDEX(条幅4分の1!$I$11:$I$310,261-COUNTA(半紙!$B$11:$B$310)-COUNTA(条幅!$B$11:$B$310)),"")))=0,"",IF(261&lt;=COUNTA(半紙!$B$11:$B$310),INDEX(半紙!$I$11:$I$310,261),IF(261&lt;=COUNTA(半紙!$B$11:$B$310)+COUNTA(条幅!$B$11:$B$310),INDEX(条幅!$I$11:$I$310,261-COUNTA(半紙!$B$11:$B$310)),IF(261&lt;=COUNTA(半紙!$B$11:$B$310)+COUNTA(条幅!$B$11:$B$310)+COUNTA(条幅4分の1!$B$11:$B$310),INDEX(条幅4分の1!$I$11:$I$310,261-COUNTA(半紙!$B$11:$B$310)-COUNTA(条幅!$B$11:$B$310)),""))))</f>
        <v/>
      </c>
      <c r="J266" s="38" t="str">
        <f>IF(IF(261&lt;=COUNTA(半紙!$B$11:$B$310),INDEX(半紙!$J$11:$J$310,261),IF(261&lt;=COUNTA(半紙!$B$11:$B$310)+COUNTA(条幅!$B$11:$B$310),INDEX(条幅!$J$11:$J$310,261-COUNTA(半紙!$B$11:$B$310)),IF(261&lt;=COUNTA(半紙!$B$11:$B$310)+COUNTA(条幅!$B$11:$B$310)+COUNTA(条幅4分の1!$B$11:$B$310),INDEX(条幅4分の1!$J$11:$J$310,261-COUNTA(半紙!$B$11:$B$310)-COUNTA(条幅!$B$11:$B$310)),"")))=0,"",IF(261&lt;=COUNTA(半紙!$B$11:$B$310),INDEX(半紙!$J$11:$J$310,261),IF(261&lt;=COUNTA(半紙!$B$11:$B$310)+COUNTA(条幅!$B$11:$B$310),INDEX(条幅!$J$11:$J$310,261-COUNTA(半紙!$B$11:$B$310)),IF(261&lt;=COUNTA(半紙!$B$11:$B$310)+COUNTA(条幅!$B$11:$B$310)+COUNTA(条幅4分の1!$B$11:$B$310),INDEX(条幅4分の1!$J$11:$J$310,261-COUNTA(半紙!$B$11:$B$310)-COUNTA(条幅!$B$11:$B$310)),""))))</f>
        <v/>
      </c>
      <c r="K266" s="38" t="str">
        <f>IF(IF(261&lt;=COUNTA(半紙!$B$11:$B$310),INDEX(半紙!$K$11:$K$310,261),IF(261&lt;=COUNTA(半紙!$B$11:$B$310)+COUNTA(条幅!$B$11:$B$310),INDEX(条幅!$K$11:$K$310,261-COUNTA(半紙!$B$11:$B$310)),IF(261&lt;=COUNTA(半紙!$B$11:$B$310)+COUNTA(条幅!$B$11:$B$310)+COUNTA(条幅4分の1!$B$11:$B$310),INDEX(条幅4分の1!$K$11:$K$310,261-COUNTA(半紙!$B$11:$B$310)-COUNTA(条幅!$B$11:$B$310)),"")))=0,"",IF(261&lt;=COUNTA(半紙!$B$11:$B$310),INDEX(半紙!$K$11:$K$310,261),IF(261&lt;=COUNTA(半紙!$B$11:$B$310)+COUNTA(条幅!$B$11:$B$310),INDEX(条幅!$K$11:$K$310,261-COUNTA(半紙!$B$11:$B$310)),IF(261&lt;=COUNTA(半紙!$B$11:$B$310)+COUNTA(条幅!$B$11:$B$310)+COUNTA(条幅4分の1!$B$11:$B$310),INDEX(条幅4分の1!$K$11:$K$310,261-COUNTA(半紙!$B$11:$B$310)-COUNTA(条幅!$B$11:$B$310)),""))))</f>
        <v/>
      </c>
      <c r="L266" s="48" t="str">
        <f>IF($B266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261))</f>
        <v/>
      </c>
    </row>
    <row r="267" spans="1:12" ht="15" customHeight="1">
      <c r="A267" s="37" t="str">
        <f>IF(262&lt;=COUNTA(半紙!$B$11:$B$310),"半紙",IF(262&lt;=COUNTA(半紙!$B$11:$B$310)+COUNTA(条幅!$B$11:$B$310),"条幅(半切)",IF(262&lt;=COUNTA(半紙!$B$11:$B$310)+COUNTA(条幅!$B$11:$B$310)+COUNTA(条幅4分の1!$B$11:$B$310),"条幅(1/4)","")))</f>
        <v/>
      </c>
      <c r="B267" s="38" t="str">
        <f>IF(IF(262&lt;=COUNTA(半紙!$B$11:$B$310),INDEX(半紙!$B$11:$B$310,262),IF(262&lt;=COUNTA(半紙!$B$11:$B$310)+COUNTA(条幅!$B$11:$B$310),INDEX(条幅!$B$11:$B$310,262-COUNTA(半紙!$B$11:$B$310)),IF(262&lt;=COUNTA(半紙!$B$11:$B$310)+COUNTA(条幅!$B$11:$B$310)+COUNTA(条幅4分の1!$B$11:$B$310),INDEX(条幅4分の1!$B$11:$B$310,262-COUNTA(半紙!$B$11:$B$310)-COUNTA(条幅!$B$11:$B$310)),"")))=0,"",IF(262&lt;=COUNTA(半紙!$B$11:$B$310),INDEX(半紙!$B$11:$B$310,262),IF(262&lt;=COUNTA(半紙!$B$11:$B$310)+COUNTA(条幅!$B$11:$B$310),INDEX(条幅!$B$11:$B$310,262-COUNTA(半紙!$B$11:$B$310)),IF(262&lt;=COUNTA(半紙!$B$11:$B$310)+COUNTA(条幅!$B$11:$B$310)+COUNTA(条幅4分の1!$B$11:$B$310),INDEX(条幅4分の1!$B$11:$B$310,262-COUNTA(半紙!$B$11:$B$310)-COUNTA(条幅!$B$11:$B$310)),""))))</f>
        <v/>
      </c>
      <c r="C267" s="38" t="str">
        <f>IF(IF(262&lt;=COUNTA(半紙!$B$11:$B$310),INDEX(半紙!$C$11:$C$310,262),IF(262&lt;=COUNTA(半紙!$B$11:$B$310)+COUNTA(条幅!$B$11:$B$310),INDEX(条幅!$C$11:$C$310,262-COUNTA(半紙!$B$11:$B$310)),IF(262&lt;=COUNTA(半紙!$B$11:$B$310)+COUNTA(条幅!$B$11:$B$310)+COUNTA(条幅4分の1!$B$11:$B$310),INDEX(条幅4分の1!$C$11:$C$310,262-COUNTA(半紙!$B$11:$B$310)-COUNTA(条幅!$B$11:$B$310)),"")))=0,"",IF(262&lt;=COUNTA(半紙!$B$11:$B$310),INDEX(半紙!$C$11:$C$310,262),IF(262&lt;=COUNTA(半紙!$B$11:$B$310)+COUNTA(条幅!$B$11:$B$310),INDEX(条幅!$C$11:$C$310,262-COUNTA(半紙!$B$11:$B$310)),IF(262&lt;=COUNTA(半紙!$B$11:$B$310)+COUNTA(条幅!$B$11:$B$310)+COUNTA(条幅4分の1!$B$11:$B$310),INDEX(条幅4分の1!$C$11:$C$310,262-COUNTA(半紙!$B$11:$B$310)-COUNTA(条幅!$B$11:$B$310)),""))))</f>
        <v/>
      </c>
      <c r="D267" s="38" t="str">
        <f>IF(IF(262&lt;=COUNTA(半紙!$B$11:$B$310),INDEX(半紙!$D$11:$D$310,262),IF(262&lt;=COUNTA(半紙!$B$11:$B$310)+COUNTA(条幅!$B$11:$B$310),INDEX(条幅!$D$11:$D$310,262-COUNTA(半紙!$B$11:$B$310)),IF(262&lt;=COUNTA(半紙!$B$11:$B$310)+COUNTA(条幅!$B$11:$B$310)+COUNTA(条幅4分の1!$B$11:$B$310),INDEX(条幅4分の1!$D$11:$D$310,262-COUNTA(半紙!$B$11:$B$310)-COUNTA(条幅!$B$11:$B$310)),"")))=0,"",IF(262&lt;=COUNTA(半紙!$B$11:$B$310),INDEX(半紙!$D$11:$D$310,262),IF(262&lt;=COUNTA(半紙!$B$11:$B$310)+COUNTA(条幅!$B$11:$B$310),INDEX(条幅!$D$11:$D$310,262-COUNTA(半紙!$B$11:$B$310)),IF(262&lt;=COUNTA(半紙!$B$11:$B$310)+COUNTA(条幅!$B$11:$B$310)+COUNTA(条幅4分の1!$B$11:$B$310),INDEX(条幅4分の1!$D$11:$D$310,262-COUNTA(半紙!$B$11:$B$310)-COUNTA(条幅!$B$11:$B$310)),""))))</f>
        <v/>
      </c>
      <c r="E267" s="38" t="str">
        <f>IF(IF(262&lt;=COUNTA(半紙!$B$11:$B$310),INDEX(半紙!$E$11:$E$310,262),IF(262&lt;=COUNTA(半紙!$B$11:$B$310)+COUNTA(条幅!$B$11:$B$310),INDEX(条幅!$E$11:$E$310,262-COUNTA(半紙!$B$11:$B$310)),IF(262&lt;=COUNTA(半紙!$B$11:$B$310)+COUNTA(条幅!$B$11:$B$310)+COUNTA(条幅4分の1!$B$11:$B$310),INDEX(条幅4分の1!$E$11:$E$310,262-COUNTA(半紙!$B$11:$B$310)-COUNTA(条幅!$B$11:$B$310)),"")))=0,"",IF(262&lt;=COUNTA(半紙!$B$11:$B$310),INDEX(半紙!$E$11:$E$310,262),IF(262&lt;=COUNTA(半紙!$B$11:$B$310)+COUNTA(条幅!$B$11:$B$310),INDEX(条幅!$E$11:$E$310,262-COUNTA(半紙!$B$11:$B$310)),IF(262&lt;=COUNTA(半紙!$B$11:$B$310)+COUNTA(条幅!$B$11:$B$310)+COUNTA(条幅4分の1!$B$11:$B$310),INDEX(条幅4分の1!$E$11:$E$310,262-COUNTA(半紙!$B$11:$B$310)-COUNTA(条幅!$B$11:$B$310)),""))))</f>
        <v/>
      </c>
      <c r="F267" s="38" t="str">
        <f>IF(IF(262&lt;=COUNTA(半紙!$B$11:$B$310),INDEX(半紙!$F$11:$F$310,262),IF(262&lt;=COUNTA(半紙!$B$11:$B$310)+COUNTA(条幅!$B$11:$B$310),INDEX(条幅!$F$11:$F$310,262-COUNTA(半紙!$B$11:$B$310)),IF(262&lt;=COUNTA(半紙!$B$11:$B$310)+COUNTA(条幅!$B$11:$B$310)+COUNTA(条幅4分の1!$B$11:$B$310),INDEX(条幅4分の1!$F$11:$F$310,262-COUNTA(半紙!$B$11:$B$310)-COUNTA(条幅!$B$11:$B$310)),"")))=0,"",IF(262&lt;=COUNTA(半紙!$B$11:$B$310),INDEX(半紙!$F$11:$F$310,262),IF(262&lt;=COUNTA(半紙!$B$11:$B$310)+COUNTA(条幅!$B$11:$B$310),INDEX(条幅!$F$11:$F$310,262-COUNTA(半紙!$B$11:$B$310)),IF(262&lt;=COUNTA(半紙!$B$11:$B$310)+COUNTA(条幅!$B$11:$B$310)+COUNTA(条幅4分の1!$B$11:$B$310),INDEX(条幅4分の1!$F$11:$F$310,262-COUNTA(半紙!$B$11:$B$310)-COUNTA(条幅!$B$11:$B$310)),""))))</f>
        <v/>
      </c>
      <c r="G267" s="38" t="str">
        <f>IF(IF(262&lt;=COUNTA(半紙!$B$11:$B$310),INDEX(半紙!$G$11:$G$310,262),IF(262&lt;=COUNTA(半紙!$B$11:$B$310)+COUNTA(条幅!$B$11:$B$310),INDEX(条幅!$G$11:$G$310,262-COUNTA(半紙!$B$11:$B$310)),IF(262&lt;=COUNTA(半紙!$B$11:$B$310)+COUNTA(条幅!$B$11:$B$310)+COUNTA(条幅4分の1!$B$11:$B$310),INDEX(条幅4分の1!$G$11:$G$310,262-COUNTA(半紙!$B$11:$B$310)-COUNTA(条幅!$B$11:$B$310)),"")))=0,"",IF(262&lt;=COUNTA(半紙!$B$11:$B$310),INDEX(半紙!$G$11:$G$310,262),IF(262&lt;=COUNTA(半紙!$B$11:$B$310)+COUNTA(条幅!$B$11:$B$310),INDEX(条幅!$G$11:$G$310,262-COUNTA(半紙!$B$11:$B$310)),IF(262&lt;=COUNTA(半紙!$B$11:$B$310)+COUNTA(条幅!$B$11:$B$310)+COUNTA(条幅4分の1!$B$11:$B$310),INDEX(条幅4分の1!$G$11:$G$310,262-COUNTA(半紙!$B$11:$B$310)-COUNTA(条幅!$B$11:$B$310)),""))))</f>
        <v/>
      </c>
      <c r="H267" s="38" t="str">
        <f>IF(IF(262&lt;=COUNTA(半紙!$B$11:$B$310),INDEX(半紙!$H$11:$H$310,262),IF(262&lt;=COUNTA(半紙!$B$11:$B$310)+COUNTA(条幅!$B$11:$B$310),INDEX(条幅!$H$11:$H$310,262-COUNTA(半紙!$B$11:$B$310)),IF(262&lt;=COUNTA(半紙!$B$11:$B$310)+COUNTA(条幅!$B$11:$B$310)+COUNTA(条幅4分の1!$B$11:$B$310),INDEX(条幅4分の1!$H$11:$H$310,262-COUNTA(半紙!$B$11:$B$310)-COUNTA(条幅!$B$11:$B$310)),"")))=0,"",IF(262&lt;=COUNTA(半紙!$B$11:$B$310),INDEX(半紙!$H$11:$H$310,262),IF(262&lt;=COUNTA(半紙!$B$11:$B$310)+COUNTA(条幅!$B$11:$B$310),INDEX(条幅!$H$11:$H$310,262-COUNTA(半紙!$B$11:$B$310)),IF(262&lt;=COUNTA(半紙!$B$11:$B$310)+COUNTA(条幅!$B$11:$B$310)+COUNTA(条幅4分の1!$B$11:$B$310),INDEX(条幅4分の1!$H$11:$H$310,262-COUNTA(半紙!$B$11:$B$310)-COUNTA(条幅!$B$11:$B$310)),""))))</f>
        <v/>
      </c>
      <c r="I267" s="38" t="str">
        <f>IF(IF(262&lt;=COUNTA(半紙!$B$11:$B$310),INDEX(半紙!$I$11:$I$310,262),IF(262&lt;=COUNTA(半紙!$B$11:$B$310)+COUNTA(条幅!$B$11:$B$310),INDEX(条幅!$I$11:$I$310,262-COUNTA(半紙!$B$11:$B$310)),IF(262&lt;=COUNTA(半紙!$B$11:$B$310)+COUNTA(条幅!$B$11:$B$310)+COUNTA(条幅4分の1!$B$11:$B$310),INDEX(条幅4分の1!$I$11:$I$310,262-COUNTA(半紙!$B$11:$B$310)-COUNTA(条幅!$B$11:$B$310)),"")))=0,"",IF(262&lt;=COUNTA(半紙!$B$11:$B$310),INDEX(半紙!$I$11:$I$310,262),IF(262&lt;=COUNTA(半紙!$B$11:$B$310)+COUNTA(条幅!$B$11:$B$310),INDEX(条幅!$I$11:$I$310,262-COUNTA(半紙!$B$11:$B$310)),IF(262&lt;=COUNTA(半紙!$B$11:$B$310)+COUNTA(条幅!$B$11:$B$310)+COUNTA(条幅4分の1!$B$11:$B$310),INDEX(条幅4分の1!$I$11:$I$310,262-COUNTA(半紙!$B$11:$B$310)-COUNTA(条幅!$B$11:$B$310)),""))))</f>
        <v/>
      </c>
      <c r="J267" s="38" t="str">
        <f>IF(IF(262&lt;=COUNTA(半紙!$B$11:$B$310),INDEX(半紙!$J$11:$J$310,262),IF(262&lt;=COUNTA(半紙!$B$11:$B$310)+COUNTA(条幅!$B$11:$B$310),INDEX(条幅!$J$11:$J$310,262-COUNTA(半紙!$B$11:$B$310)),IF(262&lt;=COUNTA(半紙!$B$11:$B$310)+COUNTA(条幅!$B$11:$B$310)+COUNTA(条幅4分の1!$B$11:$B$310),INDEX(条幅4分の1!$J$11:$J$310,262-COUNTA(半紙!$B$11:$B$310)-COUNTA(条幅!$B$11:$B$310)),"")))=0,"",IF(262&lt;=COUNTA(半紙!$B$11:$B$310),INDEX(半紙!$J$11:$J$310,262),IF(262&lt;=COUNTA(半紙!$B$11:$B$310)+COUNTA(条幅!$B$11:$B$310),INDEX(条幅!$J$11:$J$310,262-COUNTA(半紙!$B$11:$B$310)),IF(262&lt;=COUNTA(半紙!$B$11:$B$310)+COUNTA(条幅!$B$11:$B$310)+COUNTA(条幅4分の1!$B$11:$B$310),INDEX(条幅4分の1!$J$11:$J$310,262-COUNTA(半紙!$B$11:$B$310)-COUNTA(条幅!$B$11:$B$310)),""))))</f>
        <v/>
      </c>
      <c r="K267" s="38" t="str">
        <f>IF(IF(262&lt;=COUNTA(半紙!$B$11:$B$310),INDEX(半紙!$K$11:$K$310,262),IF(262&lt;=COUNTA(半紙!$B$11:$B$310)+COUNTA(条幅!$B$11:$B$310),INDEX(条幅!$K$11:$K$310,262-COUNTA(半紙!$B$11:$B$310)),IF(262&lt;=COUNTA(半紙!$B$11:$B$310)+COUNTA(条幅!$B$11:$B$310)+COUNTA(条幅4分の1!$B$11:$B$310),INDEX(条幅4分の1!$K$11:$K$310,262-COUNTA(半紙!$B$11:$B$310)-COUNTA(条幅!$B$11:$B$310)),"")))=0,"",IF(262&lt;=COUNTA(半紙!$B$11:$B$310),INDEX(半紙!$K$11:$K$310,262),IF(262&lt;=COUNTA(半紙!$B$11:$B$310)+COUNTA(条幅!$B$11:$B$310),INDEX(条幅!$K$11:$K$310,262-COUNTA(半紙!$B$11:$B$310)),IF(262&lt;=COUNTA(半紙!$B$11:$B$310)+COUNTA(条幅!$B$11:$B$310)+COUNTA(条幅4分の1!$B$11:$B$310),INDEX(条幅4分の1!$K$11:$K$310,262-COUNTA(半紙!$B$11:$B$310)-COUNTA(条幅!$B$11:$B$310)),""))))</f>
        <v/>
      </c>
      <c r="L267" s="48" t="str">
        <f>IF($B267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262))</f>
        <v/>
      </c>
    </row>
    <row r="268" spans="1:12" ht="15" customHeight="1">
      <c r="A268" s="37" t="str">
        <f>IF(263&lt;=COUNTA(半紙!$B$11:$B$310),"半紙",IF(263&lt;=COUNTA(半紙!$B$11:$B$310)+COUNTA(条幅!$B$11:$B$310),"条幅(半切)",IF(263&lt;=COUNTA(半紙!$B$11:$B$310)+COUNTA(条幅!$B$11:$B$310)+COUNTA(条幅4分の1!$B$11:$B$310),"条幅(1/4)","")))</f>
        <v/>
      </c>
      <c r="B268" s="38" t="str">
        <f>IF(IF(263&lt;=COUNTA(半紙!$B$11:$B$310),INDEX(半紙!$B$11:$B$310,263),IF(263&lt;=COUNTA(半紙!$B$11:$B$310)+COUNTA(条幅!$B$11:$B$310),INDEX(条幅!$B$11:$B$310,263-COUNTA(半紙!$B$11:$B$310)),IF(263&lt;=COUNTA(半紙!$B$11:$B$310)+COUNTA(条幅!$B$11:$B$310)+COUNTA(条幅4分の1!$B$11:$B$310),INDEX(条幅4分の1!$B$11:$B$310,263-COUNTA(半紙!$B$11:$B$310)-COUNTA(条幅!$B$11:$B$310)),"")))=0,"",IF(263&lt;=COUNTA(半紙!$B$11:$B$310),INDEX(半紙!$B$11:$B$310,263),IF(263&lt;=COUNTA(半紙!$B$11:$B$310)+COUNTA(条幅!$B$11:$B$310),INDEX(条幅!$B$11:$B$310,263-COUNTA(半紙!$B$11:$B$310)),IF(263&lt;=COUNTA(半紙!$B$11:$B$310)+COUNTA(条幅!$B$11:$B$310)+COUNTA(条幅4分の1!$B$11:$B$310),INDEX(条幅4分の1!$B$11:$B$310,263-COUNTA(半紙!$B$11:$B$310)-COUNTA(条幅!$B$11:$B$310)),""))))</f>
        <v/>
      </c>
      <c r="C268" s="38" t="str">
        <f>IF(IF(263&lt;=COUNTA(半紙!$B$11:$B$310),INDEX(半紙!$C$11:$C$310,263),IF(263&lt;=COUNTA(半紙!$B$11:$B$310)+COUNTA(条幅!$B$11:$B$310),INDEX(条幅!$C$11:$C$310,263-COUNTA(半紙!$B$11:$B$310)),IF(263&lt;=COUNTA(半紙!$B$11:$B$310)+COUNTA(条幅!$B$11:$B$310)+COUNTA(条幅4分の1!$B$11:$B$310),INDEX(条幅4分の1!$C$11:$C$310,263-COUNTA(半紙!$B$11:$B$310)-COUNTA(条幅!$B$11:$B$310)),"")))=0,"",IF(263&lt;=COUNTA(半紙!$B$11:$B$310),INDEX(半紙!$C$11:$C$310,263),IF(263&lt;=COUNTA(半紙!$B$11:$B$310)+COUNTA(条幅!$B$11:$B$310),INDEX(条幅!$C$11:$C$310,263-COUNTA(半紙!$B$11:$B$310)),IF(263&lt;=COUNTA(半紙!$B$11:$B$310)+COUNTA(条幅!$B$11:$B$310)+COUNTA(条幅4分の1!$B$11:$B$310),INDEX(条幅4分の1!$C$11:$C$310,263-COUNTA(半紙!$B$11:$B$310)-COUNTA(条幅!$B$11:$B$310)),""))))</f>
        <v/>
      </c>
      <c r="D268" s="38" t="str">
        <f>IF(IF(263&lt;=COUNTA(半紙!$B$11:$B$310),INDEX(半紙!$D$11:$D$310,263),IF(263&lt;=COUNTA(半紙!$B$11:$B$310)+COUNTA(条幅!$B$11:$B$310),INDEX(条幅!$D$11:$D$310,263-COUNTA(半紙!$B$11:$B$310)),IF(263&lt;=COUNTA(半紙!$B$11:$B$310)+COUNTA(条幅!$B$11:$B$310)+COUNTA(条幅4分の1!$B$11:$B$310),INDEX(条幅4分の1!$D$11:$D$310,263-COUNTA(半紙!$B$11:$B$310)-COUNTA(条幅!$B$11:$B$310)),"")))=0,"",IF(263&lt;=COUNTA(半紙!$B$11:$B$310),INDEX(半紙!$D$11:$D$310,263),IF(263&lt;=COUNTA(半紙!$B$11:$B$310)+COUNTA(条幅!$B$11:$B$310),INDEX(条幅!$D$11:$D$310,263-COUNTA(半紙!$B$11:$B$310)),IF(263&lt;=COUNTA(半紙!$B$11:$B$310)+COUNTA(条幅!$B$11:$B$310)+COUNTA(条幅4分の1!$B$11:$B$310),INDEX(条幅4分の1!$D$11:$D$310,263-COUNTA(半紙!$B$11:$B$310)-COUNTA(条幅!$B$11:$B$310)),""))))</f>
        <v/>
      </c>
      <c r="E268" s="38" t="str">
        <f>IF(IF(263&lt;=COUNTA(半紙!$B$11:$B$310),INDEX(半紙!$E$11:$E$310,263),IF(263&lt;=COUNTA(半紙!$B$11:$B$310)+COUNTA(条幅!$B$11:$B$310),INDEX(条幅!$E$11:$E$310,263-COUNTA(半紙!$B$11:$B$310)),IF(263&lt;=COUNTA(半紙!$B$11:$B$310)+COUNTA(条幅!$B$11:$B$310)+COUNTA(条幅4分の1!$B$11:$B$310),INDEX(条幅4分の1!$E$11:$E$310,263-COUNTA(半紙!$B$11:$B$310)-COUNTA(条幅!$B$11:$B$310)),"")))=0,"",IF(263&lt;=COUNTA(半紙!$B$11:$B$310),INDEX(半紙!$E$11:$E$310,263),IF(263&lt;=COUNTA(半紙!$B$11:$B$310)+COUNTA(条幅!$B$11:$B$310),INDEX(条幅!$E$11:$E$310,263-COUNTA(半紙!$B$11:$B$310)),IF(263&lt;=COUNTA(半紙!$B$11:$B$310)+COUNTA(条幅!$B$11:$B$310)+COUNTA(条幅4分の1!$B$11:$B$310),INDEX(条幅4分の1!$E$11:$E$310,263-COUNTA(半紙!$B$11:$B$310)-COUNTA(条幅!$B$11:$B$310)),""))))</f>
        <v/>
      </c>
      <c r="F268" s="38" t="str">
        <f>IF(IF(263&lt;=COUNTA(半紙!$B$11:$B$310),INDEX(半紙!$F$11:$F$310,263),IF(263&lt;=COUNTA(半紙!$B$11:$B$310)+COUNTA(条幅!$B$11:$B$310),INDEX(条幅!$F$11:$F$310,263-COUNTA(半紙!$B$11:$B$310)),IF(263&lt;=COUNTA(半紙!$B$11:$B$310)+COUNTA(条幅!$B$11:$B$310)+COUNTA(条幅4分の1!$B$11:$B$310),INDEX(条幅4分の1!$F$11:$F$310,263-COUNTA(半紙!$B$11:$B$310)-COUNTA(条幅!$B$11:$B$310)),"")))=0,"",IF(263&lt;=COUNTA(半紙!$B$11:$B$310),INDEX(半紙!$F$11:$F$310,263),IF(263&lt;=COUNTA(半紙!$B$11:$B$310)+COUNTA(条幅!$B$11:$B$310),INDEX(条幅!$F$11:$F$310,263-COUNTA(半紙!$B$11:$B$310)),IF(263&lt;=COUNTA(半紙!$B$11:$B$310)+COUNTA(条幅!$B$11:$B$310)+COUNTA(条幅4分の1!$B$11:$B$310),INDEX(条幅4分の1!$F$11:$F$310,263-COUNTA(半紙!$B$11:$B$310)-COUNTA(条幅!$B$11:$B$310)),""))))</f>
        <v/>
      </c>
      <c r="G268" s="38" t="str">
        <f>IF(IF(263&lt;=COUNTA(半紙!$B$11:$B$310),INDEX(半紙!$G$11:$G$310,263),IF(263&lt;=COUNTA(半紙!$B$11:$B$310)+COUNTA(条幅!$B$11:$B$310),INDEX(条幅!$G$11:$G$310,263-COUNTA(半紙!$B$11:$B$310)),IF(263&lt;=COUNTA(半紙!$B$11:$B$310)+COUNTA(条幅!$B$11:$B$310)+COUNTA(条幅4分の1!$B$11:$B$310),INDEX(条幅4分の1!$G$11:$G$310,263-COUNTA(半紙!$B$11:$B$310)-COUNTA(条幅!$B$11:$B$310)),"")))=0,"",IF(263&lt;=COUNTA(半紙!$B$11:$B$310),INDEX(半紙!$G$11:$G$310,263),IF(263&lt;=COUNTA(半紙!$B$11:$B$310)+COUNTA(条幅!$B$11:$B$310),INDEX(条幅!$G$11:$G$310,263-COUNTA(半紙!$B$11:$B$310)),IF(263&lt;=COUNTA(半紙!$B$11:$B$310)+COUNTA(条幅!$B$11:$B$310)+COUNTA(条幅4分の1!$B$11:$B$310),INDEX(条幅4分の1!$G$11:$G$310,263-COUNTA(半紙!$B$11:$B$310)-COUNTA(条幅!$B$11:$B$310)),""))))</f>
        <v/>
      </c>
      <c r="H268" s="38" t="str">
        <f>IF(IF(263&lt;=COUNTA(半紙!$B$11:$B$310),INDEX(半紙!$H$11:$H$310,263),IF(263&lt;=COUNTA(半紙!$B$11:$B$310)+COUNTA(条幅!$B$11:$B$310),INDEX(条幅!$H$11:$H$310,263-COUNTA(半紙!$B$11:$B$310)),IF(263&lt;=COUNTA(半紙!$B$11:$B$310)+COUNTA(条幅!$B$11:$B$310)+COUNTA(条幅4分の1!$B$11:$B$310),INDEX(条幅4分の1!$H$11:$H$310,263-COUNTA(半紙!$B$11:$B$310)-COUNTA(条幅!$B$11:$B$310)),"")))=0,"",IF(263&lt;=COUNTA(半紙!$B$11:$B$310),INDEX(半紙!$H$11:$H$310,263),IF(263&lt;=COUNTA(半紙!$B$11:$B$310)+COUNTA(条幅!$B$11:$B$310),INDEX(条幅!$H$11:$H$310,263-COUNTA(半紙!$B$11:$B$310)),IF(263&lt;=COUNTA(半紙!$B$11:$B$310)+COUNTA(条幅!$B$11:$B$310)+COUNTA(条幅4分の1!$B$11:$B$310),INDEX(条幅4分の1!$H$11:$H$310,263-COUNTA(半紙!$B$11:$B$310)-COUNTA(条幅!$B$11:$B$310)),""))))</f>
        <v/>
      </c>
      <c r="I268" s="38" t="str">
        <f>IF(IF(263&lt;=COUNTA(半紙!$B$11:$B$310),INDEX(半紙!$I$11:$I$310,263),IF(263&lt;=COUNTA(半紙!$B$11:$B$310)+COUNTA(条幅!$B$11:$B$310),INDEX(条幅!$I$11:$I$310,263-COUNTA(半紙!$B$11:$B$310)),IF(263&lt;=COUNTA(半紙!$B$11:$B$310)+COUNTA(条幅!$B$11:$B$310)+COUNTA(条幅4分の1!$B$11:$B$310),INDEX(条幅4分の1!$I$11:$I$310,263-COUNTA(半紙!$B$11:$B$310)-COUNTA(条幅!$B$11:$B$310)),"")))=0,"",IF(263&lt;=COUNTA(半紙!$B$11:$B$310),INDEX(半紙!$I$11:$I$310,263),IF(263&lt;=COUNTA(半紙!$B$11:$B$310)+COUNTA(条幅!$B$11:$B$310),INDEX(条幅!$I$11:$I$310,263-COUNTA(半紙!$B$11:$B$310)),IF(263&lt;=COUNTA(半紙!$B$11:$B$310)+COUNTA(条幅!$B$11:$B$310)+COUNTA(条幅4分の1!$B$11:$B$310),INDEX(条幅4分の1!$I$11:$I$310,263-COUNTA(半紙!$B$11:$B$310)-COUNTA(条幅!$B$11:$B$310)),""))))</f>
        <v/>
      </c>
      <c r="J268" s="38" t="str">
        <f>IF(IF(263&lt;=COUNTA(半紙!$B$11:$B$310),INDEX(半紙!$J$11:$J$310,263),IF(263&lt;=COUNTA(半紙!$B$11:$B$310)+COUNTA(条幅!$B$11:$B$310),INDEX(条幅!$J$11:$J$310,263-COUNTA(半紙!$B$11:$B$310)),IF(263&lt;=COUNTA(半紙!$B$11:$B$310)+COUNTA(条幅!$B$11:$B$310)+COUNTA(条幅4分の1!$B$11:$B$310),INDEX(条幅4分の1!$J$11:$J$310,263-COUNTA(半紙!$B$11:$B$310)-COUNTA(条幅!$B$11:$B$310)),"")))=0,"",IF(263&lt;=COUNTA(半紙!$B$11:$B$310),INDEX(半紙!$J$11:$J$310,263),IF(263&lt;=COUNTA(半紙!$B$11:$B$310)+COUNTA(条幅!$B$11:$B$310),INDEX(条幅!$J$11:$J$310,263-COUNTA(半紙!$B$11:$B$310)),IF(263&lt;=COUNTA(半紙!$B$11:$B$310)+COUNTA(条幅!$B$11:$B$310)+COUNTA(条幅4分の1!$B$11:$B$310),INDEX(条幅4分の1!$J$11:$J$310,263-COUNTA(半紙!$B$11:$B$310)-COUNTA(条幅!$B$11:$B$310)),""))))</f>
        <v/>
      </c>
      <c r="K268" s="38" t="str">
        <f>IF(IF(263&lt;=COUNTA(半紙!$B$11:$B$310),INDEX(半紙!$K$11:$K$310,263),IF(263&lt;=COUNTA(半紙!$B$11:$B$310)+COUNTA(条幅!$B$11:$B$310),INDEX(条幅!$K$11:$K$310,263-COUNTA(半紙!$B$11:$B$310)),IF(263&lt;=COUNTA(半紙!$B$11:$B$310)+COUNTA(条幅!$B$11:$B$310)+COUNTA(条幅4分の1!$B$11:$B$310),INDEX(条幅4分の1!$K$11:$K$310,263-COUNTA(半紙!$B$11:$B$310)-COUNTA(条幅!$B$11:$B$310)),"")))=0,"",IF(263&lt;=COUNTA(半紙!$B$11:$B$310),INDEX(半紙!$K$11:$K$310,263),IF(263&lt;=COUNTA(半紙!$B$11:$B$310)+COUNTA(条幅!$B$11:$B$310),INDEX(条幅!$K$11:$K$310,263-COUNTA(半紙!$B$11:$B$310)),IF(263&lt;=COUNTA(半紙!$B$11:$B$310)+COUNTA(条幅!$B$11:$B$310)+COUNTA(条幅4分の1!$B$11:$B$310),INDEX(条幅4分の1!$K$11:$K$310,263-COUNTA(半紙!$B$11:$B$310)-COUNTA(条幅!$B$11:$B$310)),""))))</f>
        <v/>
      </c>
      <c r="L268" s="48" t="str">
        <f>IF($B268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263))</f>
        <v/>
      </c>
    </row>
    <row r="269" spans="1:12" ht="15" customHeight="1">
      <c r="A269" s="37" t="str">
        <f>IF(264&lt;=COUNTA(半紙!$B$11:$B$310),"半紙",IF(264&lt;=COUNTA(半紙!$B$11:$B$310)+COUNTA(条幅!$B$11:$B$310),"条幅(半切)",IF(264&lt;=COUNTA(半紙!$B$11:$B$310)+COUNTA(条幅!$B$11:$B$310)+COUNTA(条幅4分の1!$B$11:$B$310),"条幅(1/4)","")))</f>
        <v/>
      </c>
      <c r="B269" s="38" t="str">
        <f>IF(IF(264&lt;=COUNTA(半紙!$B$11:$B$310),INDEX(半紙!$B$11:$B$310,264),IF(264&lt;=COUNTA(半紙!$B$11:$B$310)+COUNTA(条幅!$B$11:$B$310),INDEX(条幅!$B$11:$B$310,264-COUNTA(半紙!$B$11:$B$310)),IF(264&lt;=COUNTA(半紙!$B$11:$B$310)+COUNTA(条幅!$B$11:$B$310)+COUNTA(条幅4分の1!$B$11:$B$310),INDEX(条幅4分の1!$B$11:$B$310,264-COUNTA(半紙!$B$11:$B$310)-COUNTA(条幅!$B$11:$B$310)),"")))=0,"",IF(264&lt;=COUNTA(半紙!$B$11:$B$310),INDEX(半紙!$B$11:$B$310,264),IF(264&lt;=COUNTA(半紙!$B$11:$B$310)+COUNTA(条幅!$B$11:$B$310),INDEX(条幅!$B$11:$B$310,264-COUNTA(半紙!$B$11:$B$310)),IF(264&lt;=COUNTA(半紙!$B$11:$B$310)+COUNTA(条幅!$B$11:$B$310)+COUNTA(条幅4分の1!$B$11:$B$310),INDEX(条幅4分の1!$B$11:$B$310,264-COUNTA(半紙!$B$11:$B$310)-COUNTA(条幅!$B$11:$B$310)),""))))</f>
        <v/>
      </c>
      <c r="C269" s="38" t="str">
        <f>IF(IF(264&lt;=COUNTA(半紙!$B$11:$B$310),INDEX(半紙!$C$11:$C$310,264),IF(264&lt;=COUNTA(半紙!$B$11:$B$310)+COUNTA(条幅!$B$11:$B$310),INDEX(条幅!$C$11:$C$310,264-COUNTA(半紙!$B$11:$B$310)),IF(264&lt;=COUNTA(半紙!$B$11:$B$310)+COUNTA(条幅!$B$11:$B$310)+COUNTA(条幅4分の1!$B$11:$B$310),INDEX(条幅4分の1!$C$11:$C$310,264-COUNTA(半紙!$B$11:$B$310)-COUNTA(条幅!$B$11:$B$310)),"")))=0,"",IF(264&lt;=COUNTA(半紙!$B$11:$B$310),INDEX(半紙!$C$11:$C$310,264),IF(264&lt;=COUNTA(半紙!$B$11:$B$310)+COUNTA(条幅!$B$11:$B$310),INDEX(条幅!$C$11:$C$310,264-COUNTA(半紙!$B$11:$B$310)),IF(264&lt;=COUNTA(半紙!$B$11:$B$310)+COUNTA(条幅!$B$11:$B$310)+COUNTA(条幅4分の1!$B$11:$B$310),INDEX(条幅4分の1!$C$11:$C$310,264-COUNTA(半紙!$B$11:$B$310)-COUNTA(条幅!$B$11:$B$310)),""))))</f>
        <v/>
      </c>
      <c r="D269" s="38" t="str">
        <f>IF(IF(264&lt;=COUNTA(半紙!$B$11:$B$310),INDEX(半紙!$D$11:$D$310,264),IF(264&lt;=COUNTA(半紙!$B$11:$B$310)+COUNTA(条幅!$B$11:$B$310),INDEX(条幅!$D$11:$D$310,264-COUNTA(半紙!$B$11:$B$310)),IF(264&lt;=COUNTA(半紙!$B$11:$B$310)+COUNTA(条幅!$B$11:$B$310)+COUNTA(条幅4分の1!$B$11:$B$310),INDEX(条幅4分の1!$D$11:$D$310,264-COUNTA(半紙!$B$11:$B$310)-COUNTA(条幅!$B$11:$B$310)),"")))=0,"",IF(264&lt;=COUNTA(半紙!$B$11:$B$310),INDEX(半紙!$D$11:$D$310,264),IF(264&lt;=COUNTA(半紙!$B$11:$B$310)+COUNTA(条幅!$B$11:$B$310),INDEX(条幅!$D$11:$D$310,264-COUNTA(半紙!$B$11:$B$310)),IF(264&lt;=COUNTA(半紙!$B$11:$B$310)+COUNTA(条幅!$B$11:$B$310)+COUNTA(条幅4分の1!$B$11:$B$310),INDEX(条幅4分の1!$D$11:$D$310,264-COUNTA(半紙!$B$11:$B$310)-COUNTA(条幅!$B$11:$B$310)),""))))</f>
        <v/>
      </c>
      <c r="E269" s="38" t="str">
        <f>IF(IF(264&lt;=COUNTA(半紙!$B$11:$B$310),INDEX(半紙!$E$11:$E$310,264),IF(264&lt;=COUNTA(半紙!$B$11:$B$310)+COUNTA(条幅!$B$11:$B$310),INDEX(条幅!$E$11:$E$310,264-COUNTA(半紙!$B$11:$B$310)),IF(264&lt;=COUNTA(半紙!$B$11:$B$310)+COUNTA(条幅!$B$11:$B$310)+COUNTA(条幅4分の1!$B$11:$B$310),INDEX(条幅4分の1!$E$11:$E$310,264-COUNTA(半紙!$B$11:$B$310)-COUNTA(条幅!$B$11:$B$310)),"")))=0,"",IF(264&lt;=COUNTA(半紙!$B$11:$B$310),INDEX(半紙!$E$11:$E$310,264),IF(264&lt;=COUNTA(半紙!$B$11:$B$310)+COUNTA(条幅!$B$11:$B$310),INDEX(条幅!$E$11:$E$310,264-COUNTA(半紙!$B$11:$B$310)),IF(264&lt;=COUNTA(半紙!$B$11:$B$310)+COUNTA(条幅!$B$11:$B$310)+COUNTA(条幅4分の1!$B$11:$B$310),INDEX(条幅4分の1!$E$11:$E$310,264-COUNTA(半紙!$B$11:$B$310)-COUNTA(条幅!$B$11:$B$310)),""))))</f>
        <v/>
      </c>
      <c r="F269" s="38" t="str">
        <f>IF(IF(264&lt;=COUNTA(半紙!$B$11:$B$310),INDEX(半紙!$F$11:$F$310,264),IF(264&lt;=COUNTA(半紙!$B$11:$B$310)+COUNTA(条幅!$B$11:$B$310),INDEX(条幅!$F$11:$F$310,264-COUNTA(半紙!$B$11:$B$310)),IF(264&lt;=COUNTA(半紙!$B$11:$B$310)+COUNTA(条幅!$B$11:$B$310)+COUNTA(条幅4分の1!$B$11:$B$310),INDEX(条幅4分の1!$F$11:$F$310,264-COUNTA(半紙!$B$11:$B$310)-COUNTA(条幅!$B$11:$B$310)),"")))=0,"",IF(264&lt;=COUNTA(半紙!$B$11:$B$310),INDEX(半紙!$F$11:$F$310,264),IF(264&lt;=COUNTA(半紙!$B$11:$B$310)+COUNTA(条幅!$B$11:$B$310),INDEX(条幅!$F$11:$F$310,264-COUNTA(半紙!$B$11:$B$310)),IF(264&lt;=COUNTA(半紙!$B$11:$B$310)+COUNTA(条幅!$B$11:$B$310)+COUNTA(条幅4分の1!$B$11:$B$310),INDEX(条幅4分の1!$F$11:$F$310,264-COUNTA(半紙!$B$11:$B$310)-COUNTA(条幅!$B$11:$B$310)),""))))</f>
        <v/>
      </c>
      <c r="G269" s="38" t="str">
        <f>IF(IF(264&lt;=COUNTA(半紙!$B$11:$B$310),INDEX(半紙!$G$11:$G$310,264),IF(264&lt;=COUNTA(半紙!$B$11:$B$310)+COUNTA(条幅!$B$11:$B$310),INDEX(条幅!$G$11:$G$310,264-COUNTA(半紙!$B$11:$B$310)),IF(264&lt;=COUNTA(半紙!$B$11:$B$310)+COUNTA(条幅!$B$11:$B$310)+COUNTA(条幅4分の1!$B$11:$B$310),INDEX(条幅4分の1!$G$11:$G$310,264-COUNTA(半紙!$B$11:$B$310)-COUNTA(条幅!$B$11:$B$310)),"")))=0,"",IF(264&lt;=COUNTA(半紙!$B$11:$B$310),INDEX(半紙!$G$11:$G$310,264),IF(264&lt;=COUNTA(半紙!$B$11:$B$310)+COUNTA(条幅!$B$11:$B$310),INDEX(条幅!$G$11:$G$310,264-COUNTA(半紙!$B$11:$B$310)),IF(264&lt;=COUNTA(半紙!$B$11:$B$310)+COUNTA(条幅!$B$11:$B$310)+COUNTA(条幅4分の1!$B$11:$B$310),INDEX(条幅4分の1!$G$11:$G$310,264-COUNTA(半紙!$B$11:$B$310)-COUNTA(条幅!$B$11:$B$310)),""))))</f>
        <v/>
      </c>
      <c r="H269" s="38" t="str">
        <f>IF(IF(264&lt;=COUNTA(半紙!$B$11:$B$310),INDEX(半紙!$H$11:$H$310,264),IF(264&lt;=COUNTA(半紙!$B$11:$B$310)+COUNTA(条幅!$B$11:$B$310),INDEX(条幅!$H$11:$H$310,264-COUNTA(半紙!$B$11:$B$310)),IF(264&lt;=COUNTA(半紙!$B$11:$B$310)+COUNTA(条幅!$B$11:$B$310)+COUNTA(条幅4分の1!$B$11:$B$310),INDEX(条幅4分の1!$H$11:$H$310,264-COUNTA(半紙!$B$11:$B$310)-COUNTA(条幅!$B$11:$B$310)),"")))=0,"",IF(264&lt;=COUNTA(半紙!$B$11:$B$310),INDEX(半紙!$H$11:$H$310,264),IF(264&lt;=COUNTA(半紙!$B$11:$B$310)+COUNTA(条幅!$B$11:$B$310),INDEX(条幅!$H$11:$H$310,264-COUNTA(半紙!$B$11:$B$310)),IF(264&lt;=COUNTA(半紙!$B$11:$B$310)+COUNTA(条幅!$B$11:$B$310)+COUNTA(条幅4分の1!$B$11:$B$310),INDEX(条幅4分の1!$H$11:$H$310,264-COUNTA(半紙!$B$11:$B$310)-COUNTA(条幅!$B$11:$B$310)),""))))</f>
        <v/>
      </c>
      <c r="I269" s="38" t="str">
        <f>IF(IF(264&lt;=COUNTA(半紙!$B$11:$B$310),INDEX(半紙!$I$11:$I$310,264),IF(264&lt;=COUNTA(半紙!$B$11:$B$310)+COUNTA(条幅!$B$11:$B$310),INDEX(条幅!$I$11:$I$310,264-COUNTA(半紙!$B$11:$B$310)),IF(264&lt;=COUNTA(半紙!$B$11:$B$310)+COUNTA(条幅!$B$11:$B$310)+COUNTA(条幅4分の1!$B$11:$B$310),INDEX(条幅4分の1!$I$11:$I$310,264-COUNTA(半紙!$B$11:$B$310)-COUNTA(条幅!$B$11:$B$310)),"")))=0,"",IF(264&lt;=COUNTA(半紙!$B$11:$B$310),INDEX(半紙!$I$11:$I$310,264),IF(264&lt;=COUNTA(半紙!$B$11:$B$310)+COUNTA(条幅!$B$11:$B$310),INDEX(条幅!$I$11:$I$310,264-COUNTA(半紙!$B$11:$B$310)),IF(264&lt;=COUNTA(半紙!$B$11:$B$310)+COUNTA(条幅!$B$11:$B$310)+COUNTA(条幅4分の1!$B$11:$B$310),INDEX(条幅4分の1!$I$11:$I$310,264-COUNTA(半紙!$B$11:$B$310)-COUNTA(条幅!$B$11:$B$310)),""))))</f>
        <v/>
      </c>
      <c r="J269" s="38" t="str">
        <f>IF(IF(264&lt;=COUNTA(半紙!$B$11:$B$310),INDEX(半紙!$J$11:$J$310,264),IF(264&lt;=COUNTA(半紙!$B$11:$B$310)+COUNTA(条幅!$B$11:$B$310),INDEX(条幅!$J$11:$J$310,264-COUNTA(半紙!$B$11:$B$310)),IF(264&lt;=COUNTA(半紙!$B$11:$B$310)+COUNTA(条幅!$B$11:$B$310)+COUNTA(条幅4分の1!$B$11:$B$310),INDEX(条幅4分の1!$J$11:$J$310,264-COUNTA(半紙!$B$11:$B$310)-COUNTA(条幅!$B$11:$B$310)),"")))=0,"",IF(264&lt;=COUNTA(半紙!$B$11:$B$310),INDEX(半紙!$J$11:$J$310,264),IF(264&lt;=COUNTA(半紙!$B$11:$B$310)+COUNTA(条幅!$B$11:$B$310),INDEX(条幅!$J$11:$J$310,264-COUNTA(半紙!$B$11:$B$310)),IF(264&lt;=COUNTA(半紙!$B$11:$B$310)+COUNTA(条幅!$B$11:$B$310)+COUNTA(条幅4分の1!$B$11:$B$310),INDEX(条幅4分の1!$J$11:$J$310,264-COUNTA(半紙!$B$11:$B$310)-COUNTA(条幅!$B$11:$B$310)),""))))</f>
        <v/>
      </c>
      <c r="K269" s="38" t="str">
        <f>IF(IF(264&lt;=COUNTA(半紙!$B$11:$B$310),INDEX(半紙!$K$11:$K$310,264),IF(264&lt;=COUNTA(半紙!$B$11:$B$310)+COUNTA(条幅!$B$11:$B$310),INDEX(条幅!$K$11:$K$310,264-COUNTA(半紙!$B$11:$B$310)),IF(264&lt;=COUNTA(半紙!$B$11:$B$310)+COUNTA(条幅!$B$11:$B$310)+COUNTA(条幅4分の1!$B$11:$B$310),INDEX(条幅4分の1!$K$11:$K$310,264-COUNTA(半紙!$B$11:$B$310)-COUNTA(条幅!$B$11:$B$310)),"")))=0,"",IF(264&lt;=COUNTA(半紙!$B$11:$B$310),INDEX(半紙!$K$11:$K$310,264),IF(264&lt;=COUNTA(半紙!$B$11:$B$310)+COUNTA(条幅!$B$11:$B$310),INDEX(条幅!$K$11:$K$310,264-COUNTA(半紙!$B$11:$B$310)),IF(264&lt;=COUNTA(半紙!$B$11:$B$310)+COUNTA(条幅!$B$11:$B$310)+COUNTA(条幅4分の1!$B$11:$B$310),INDEX(条幅4分の1!$K$11:$K$310,264-COUNTA(半紙!$B$11:$B$310)-COUNTA(条幅!$B$11:$B$310)),""))))</f>
        <v/>
      </c>
      <c r="L269" s="48" t="str">
        <f>IF($B269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264))</f>
        <v/>
      </c>
    </row>
    <row r="270" spans="1:12" ht="15" customHeight="1">
      <c r="A270" s="37" t="str">
        <f>IF(265&lt;=COUNTA(半紙!$B$11:$B$310),"半紙",IF(265&lt;=COUNTA(半紙!$B$11:$B$310)+COUNTA(条幅!$B$11:$B$310),"条幅(半切)",IF(265&lt;=COUNTA(半紙!$B$11:$B$310)+COUNTA(条幅!$B$11:$B$310)+COUNTA(条幅4分の1!$B$11:$B$310),"条幅(1/4)","")))</f>
        <v/>
      </c>
      <c r="B270" s="38" t="str">
        <f>IF(IF(265&lt;=COUNTA(半紙!$B$11:$B$310),INDEX(半紙!$B$11:$B$310,265),IF(265&lt;=COUNTA(半紙!$B$11:$B$310)+COUNTA(条幅!$B$11:$B$310),INDEX(条幅!$B$11:$B$310,265-COUNTA(半紙!$B$11:$B$310)),IF(265&lt;=COUNTA(半紙!$B$11:$B$310)+COUNTA(条幅!$B$11:$B$310)+COUNTA(条幅4分の1!$B$11:$B$310),INDEX(条幅4分の1!$B$11:$B$310,265-COUNTA(半紙!$B$11:$B$310)-COUNTA(条幅!$B$11:$B$310)),"")))=0,"",IF(265&lt;=COUNTA(半紙!$B$11:$B$310),INDEX(半紙!$B$11:$B$310,265),IF(265&lt;=COUNTA(半紙!$B$11:$B$310)+COUNTA(条幅!$B$11:$B$310),INDEX(条幅!$B$11:$B$310,265-COUNTA(半紙!$B$11:$B$310)),IF(265&lt;=COUNTA(半紙!$B$11:$B$310)+COUNTA(条幅!$B$11:$B$310)+COUNTA(条幅4分の1!$B$11:$B$310),INDEX(条幅4分の1!$B$11:$B$310,265-COUNTA(半紙!$B$11:$B$310)-COUNTA(条幅!$B$11:$B$310)),""))))</f>
        <v/>
      </c>
      <c r="C270" s="38" t="str">
        <f>IF(IF(265&lt;=COUNTA(半紙!$B$11:$B$310),INDEX(半紙!$C$11:$C$310,265),IF(265&lt;=COUNTA(半紙!$B$11:$B$310)+COUNTA(条幅!$B$11:$B$310),INDEX(条幅!$C$11:$C$310,265-COUNTA(半紙!$B$11:$B$310)),IF(265&lt;=COUNTA(半紙!$B$11:$B$310)+COUNTA(条幅!$B$11:$B$310)+COUNTA(条幅4分の1!$B$11:$B$310),INDEX(条幅4分の1!$C$11:$C$310,265-COUNTA(半紙!$B$11:$B$310)-COUNTA(条幅!$B$11:$B$310)),"")))=0,"",IF(265&lt;=COUNTA(半紙!$B$11:$B$310),INDEX(半紙!$C$11:$C$310,265),IF(265&lt;=COUNTA(半紙!$B$11:$B$310)+COUNTA(条幅!$B$11:$B$310),INDEX(条幅!$C$11:$C$310,265-COUNTA(半紙!$B$11:$B$310)),IF(265&lt;=COUNTA(半紙!$B$11:$B$310)+COUNTA(条幅!$B$11:$B$310)+COUNTA(条幅4分の1!$B$11:$B$310),INDEX(条幅4分の1!$C$11:$C$310,265-COUNTA(半紙!$B$11:$B$310)-COUNTA(条幅!$B$11:$B$310)),""))))</f>
        <v/>
      </c>
      <c r="D270" s="38" t="str">
        <f>IF(IF(265&lt;=COUNTA(半紙!$B$11:$B$310),INDEX(半紙!$D$11:$D$310,265),IF(265&lt;=COUNTA(半紙!$B$11:$B$310)+COUNTA(条幅!$B$11:$B$310),INDEX(条幅!$D$11:$D$310,265-COUNTA(半紙!$B$11:$B$310)),IF(265&lt;=COUNTA(半紙!$B$11:$B$310)+COUNTA(条幅!$B$11:$B$310)+COUNTA(条幅4分の1!$B$11:$B$310),INDEX(条幅4分の1!$D$11:$D$310,265-COUNTA(半紙!$B$11:$B$310)-COUNTA(条幅!$B$11:$B$310)),"")))=0,"",IF(265&lt;=COUNTA(半紙!$B$11:$B$310),INDEX(半紙!$D$11:$D$310,265),IF(265&lt;=COUNTA(半紙!$B$11:$B$310)+COUNTA(条幅!$B$11:$B$310),INDEX(条幅!$D$11:$D$310,265-COUNTA(半紙!$B$11:$B$310)),IF(265&lt;=COUNTA(半紙!$B$11:$B$310)+COUNTA(条幅!$B$11:$B$310)+COUNTA(条幅4分の1!$B$11:$B$310),INDEX(条幅4分の1!$D$11:$D$310,265-COUNTA(半紙!$B$11:$B$310)-COUNTA(条幅!$B$11:$B$310)),""))))</f>
        <v/>
      </c>
      <c r="E270" s="38" t="str">
        <f>IF(IF(265&lt;=COUNTA(半紙!$B$11:$B$310),INDEX(半紙!$E$11:$E$310,265),IF(265&lt;=COUNTA(半紙!$B$11:$B$310)+COUNTA(条幅!$B$11:$B$310),INDEX(条幅!$E$11:$E$310,265-COUNTA(半紙!$B$11:$B$310)),IF(265&lt;=COUNTA(半紙!$B$11:$B$310)+COUNTA(条幅!$B$11:$B$310)+COUNTA(条幅4分の1!$B$11:$B$310),INDEX(条幅4分の1!$E$11:$E$310,265-COUNTA(半紙!$B$11:$B$310)-COUNTA(条幅!$B$11:$B$310)),"")))=0,"",IF(265&lt;=COUNTA(半紙!$B$11:$B$310),INDEX(半紙!$E$11:$E$310,265),IF(265&lt;=COUNTA(半紙!$B$11:$B$310)+COUNTA(条幅!$B$11:$B$310),INDEX(条幅!$E$11:$E$310,265-COUNTA(半紙!$B$11:$B$310)),IF(265&lt;=COUNTA(半紙!$B$11:$B$310)+COUNTA(条幅!$B$11:$B$310)+COUNTA(条幅4分の1!$B$11:$B$310),INDEX(条幅4分の1!$E$11:$E$310,265-COUNTA(半紙!$B$11:$B$310)-COUNTA(条幅!$B$11:$B$310)),""))))</f>
        <v/>
      </c>
      <c r="F270" s="38" t="str">
        <f>IF(IF(265&lt;=COUNTA(半紙!$B$11:$B$310),INDEX(半紙!$F$11:$F$310,265),IF(265&lt;=COUNTA(半紙!$B$11:$B$310)+COUNTA(条幅!$B$11:$B$310),INDEX(条幅!$F$11:$F$310,265-COUNTA(半紙!$B$11:$B$310)),IF(265&lt;=COUNTA(半紙!$B$11:$B$310)+COUNTA(条幅!$B$11:$B$310)+COUNTA(条幅4分の1!$B$11:$B$310),INDEX(条幅4分の1!$F$11:$F$310,265-COUNTA(半紙!$B$11:$B$310)-COUNTA(条幅!$B$11:$B$310)),"")))=0,"",IF(265&lt;=COUNTA(半紙!$B$11:$B$310),INDEX(半紙!$F$11:$F$310,265),IF(265&lt;=COUNTA(半紙!$B$11:$B$310)+COUNTA(条幅!$B$11:$B$310),INDEX(条幅!$F$11:$F$310,265-COUNTA(半紙!$B$11:$B$310)),IF(265&lt;=COUNTA(半紙!$B$11:$B$310)+COUNTA(条幅!$B$11:$B$310)+COUNTA(条幅4分の1!$B$11:$B$310),INDEX(条幅4分の1!$F$11:$F$310,265-COUNTA(半紙!$B$11:$B$310)-COUNTA(条幅!$B$11:$B$310)),""))))</f>
        <v/>
      </c>
      <c r="G270" s="38" t="str">
        <f>IF(IF(265&lt;=COUNTA(半紙!$B$11:$B$310),INDEX(半紙!$G$11:$G$310,265),IF(265&lt;=COUNTA(半紙!$B$11:$B$310)+COUNTA(条幅!$B$11:$B$310),INDEX(条幅!$G$11:$G$310,265-COUNTA(半紙!$B$11:$B$310)),IF(265&lt;=COUNTA(半紙!$B$11:$B$310)+COUNTA(条幅!$B$11:$B$310)+COUNTA(条幅4分の1!$B$11:$B$310),INDEX(条幅4分の1!$G$11:$G$310,265-COUNTA(半紙!$B$11:$B$310)-COUNTA(条幅!$B$11:$B$310)),"")))=0,"",IF(265&lt;=COUNTA(半紙!$B$11:$B$310),INDEX(半紙!$G$11:$G$310,265),IF(265&lt;=COUNTA(半紙!$B$11:$B$310)+COUNTA(条幅!$B$11:$B$310),INDEX(条幅!$G$11:$G$310,265-COUNTA(半紙!$B$11:$B$310)),IF(265&lt;=COUNTA(半紙!$B$11:$B$310)+COUNTA(条幅!$B$11:$B$310)+COUNTA(条幅4分の1!$B$11:$B$310),INDEX(条幅4分の1!$G$11:$G$310,265-COUNTA(半紙!$B$11:$B$310)-COUNTA(条幅!$B$11:$B$310)),""))))</f>
        <v/>
      </c>
      <c r="H270" s="38" t="str">
        <f>IF(IF(265&lt;=COUNTA(半紙!$B$11:$B$310),INDEX(半紙!$H$11:$H$310,265),IF(265&lt;=COUNTA(半紙!$B$11:$B$310)+COUNTA(条幅!$B$11:$B$310),INDEX(条幅!$H$11:$H$310,265-COUNTA(半紙!$B$11:$B$310)),IF(265&lt;=COUNTA(半紙!$B$11:$B$310)+COUNTA(条幅!$B$11:$B$310)+COUNTA(条幅4分の1!$B$11:$B$310),INDEX(条幅4分の1!$H$11:$H$310,265-COUNTA(半紙!$B$11:$B$310)-COUNTA(条幅!$B$11:$B$310)),"")))=0,"",IF(265&lt;=COUNTA(半紙!$B$11:$B$310),INDEX(半紙!$H$11:$H$310,265),IF(265&lt;=COUNTA(半紙!$B$11:$B$310)+COUNTA(条幅!$B$11:$B$310),INDEX(条幅!$H$11:$H$310,265-COUNTA(半紙!$B$11:$B$310)),IF(265&lt;=COUNTA(半紙!$B$11:$B$310)+COUNTA(条幅!$B$11:$B$310)+COUNTA(条幅4分の1!$B$11:$B$310),INDEX(条幅4分の1!$H$11:$H$310,265-COUNTA(半紙!$B$11:$B$310)-COUNTA(条幅!$B$11:$B$310)),""))))</f>
        <v/>
      </c>
      <c r="I270" s="38" t="str">
        <f>IF(IF(265&lt;=COUNTA(半紙!$B$11:$B$310),INDEX(半紙!$I$11:$I$310,265),IF(265&lt;=COUNTA(半紙!$B$11:$B$310)+COUNTA(条幅!$B$11:$B$310),INDEX(条幅!$I$11:$I$310,265-COUNTA(半紙!$B$11:$B$310)),IF(265&lt;=COUNTA(半紙!$B$11:$B$310)+COUNTA(条幅!$B$11:$B$310)+COUNTA(条幅4分の1!$B$11:$B$310),INDEX(条幅4分の1!$I$11:$I$310,265-COUNTA(半紙!$B$11:$B$310)-COUNTA(条幅!$B$11:$B$310)),"")))=0,"",IF(265&lt;=COUNTA(半紙!$B$11:$B$310),INDEX(半紙!$I$11:$I$310,265),IF(265&lt;=COUNTA(半紙!$B$11:$B$310)+COUNTA(条幅!$B$11:$B$310),INDEX(条幅!$I$11:$I$310,265-COUNTA(半紙!$B$11:$B$310)),IF(265&lt;=COUNTA(半紙!$B$11:$B$310)+COUNTA(条幅!$B$11:$B$310)+COUNTA(条幅4分の1!$B$11:$B$310),INDEX(条幅4分の1!$I$11:$I$310,265-COUNTA(半紙!$B$11:$B$310)-COUNTA(条幅!$B$11:$B$310)),""))))</f>
        <v/>
      </c>
      <c r="J270" s="38" t="str">
        <f>IF(IF(265&lt;=COUNTA(半紙!$B$11:$B$310),INDEX(半紙!$J$11:$J$310,265),IF(265&lt;=COUNTA(半紙!$B$11:$B$310)+COUNTA(条幅!$B$11:$B$310),INDEX(条幅!$J$11:$J$310,265-COUNTA(半紙!$B$11:$B$310)),IF(265&lt;=COUNTA(半紙!$B$11:$B$310)+COUNTA(条幅!$B$11:$B$310)+COUNTA(条幅4分の1!$B$11:$B$310),INDEX(条幅4分の1!$J$11:$J$310,265-COUNTA(半紙!$B$11:$B$310)-COUNTA(条幅!$B$11:$B$310)),"")))=0,"",IF(265&lt;=COUNTA(半紙!$B$11:$B$310),INDEX(半紙!$J$11:$J$310,265),IF(265&lt;=COUNTA(半紙!$B$11:$B$310)+COUNTA(条幅!$B$11:$B$310),INDEX(条幅!$J$11:$J$310,265-COUNTA(半紙!$B$11:$B$310)),IF(265&lt;=COUNTA(半紙!$B$11:$B$310)+COUNTA(条幅!$B$11:$B$310)+COUNTA(条幅4分の1!$B$11:$B$310),INDEX(条幅4分の1!$J$11:$J$310,265-COUNTA(半紙!$B$11:$B$310)-COUNTA(条幅!$B$11:$B$310)),""))))</f>
        <v/>
      </c>
      <c r="K270" s="38" t="str">
        <f>IF(IF(265&lt;=COUNTA(半紙!$B$11:$B$310),INDEX(半紙!$K$11:$K$310,265),IF(265&lt;=COUNTA(半紙!$B$11:$B$310)+COUNTA(条幅!$B$11:$B$310),INDEX(条幅!$K$11:$K$310,265-COUNTA(半紙!$B$11:$B$310)),IF(265&lt;=COUNTA(半紙!$B$11:$B$310)+COUNTA(条幅!$B$11:$B$310)+COUNTA(条幅4分の1!$B$11:$B$310),INDEX(条幅4分の1!$K$11:$K$310,265-COUNTA(半紙!$B$11:$B$310)-COUNTA(条幅!$B$11:$B$310)),"")))=0,"",IF(265&lt;=COUNTA(半紙!$B$11:$B$310),INDEX(半紙!$K$11:$K$310,265),IF(265&lt;=COUNTA(半紙!$B$11:$B$310)+COUNTA(条幅!$B$11:$B$310),INDEX(条幅!$K$11:$K$310,265-COUNTA(半紙!$B$11:$B$310)),IF(265&lt;=COUNTA(半紙!$B$11:$B$310)+COUNTA(条幅!$B$11:$B$310)+COUNTA(条幅4分の1!$B$11:$B$310),INDEX(条幅4分の1!$K$11:$K$310,265-COUNTA(半紙!$B$11:$B$310)-COUNTA(条幅!$B$11:$B$310)),""))))</f>
        <v/>
      </c>
      <c r="L270" s="48" t="str">
        <f>IF($B270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265))</f>
        <v/>
      </c>
    </row>
    <row r="271" spans="1:12" ht="15" customHeight="1">
      <c r="A271" s="37" t="str">
        <f>IF(266&lt;=COUNTA(半紙!$B$11:$B$310),"半紙",IF(266&lt;=COUNTA(半紙!$B$11:$B$310)+COUNTA(条幅!$B$11:$B$310),"条幅(半切)",IF(266&lt;=COUNTA(半紙!$B$11:$B$310)+COUNTA(条幅!$B$11:$B$310)+COUNTA(条幅4分の1!$B$11:$B$310),"条幅(1/4)","")))</f>
        <v/>
      </c>
      <c r="B271" s="38" t="str">
        <f>IF(IF(266&lt;=COUNTA(半紙!$B$11:$B$310),INDEX(半紙!$B$11:$B$310,266),IF(266&lt;=COUNTA(半紙!$B$11:$B$310)+COUNTA(条幅!$B$11:$B$310),INDEX(条幅!$B$11:$B$310,266-COUNTA(半紙!$B$11:$B$310)),IF(266&lt;=COUNTA(半紙!$B$11:$B$310)+COUNTA(条幅!$B$11:$B$310)+COUNTA(条幅4分の1!$B$11:$B$310),INDEX(条幅4分の1!$B$11:$B$310,266-COUNTA(半紙!$B$11:$B$310)-COUNTA(条幅!$B$11:$B$310)),"")))=0,"",IF(266&lt;=COUNTA(半紙!$B$11:$B$310),INDEX(半紙!$B$11:$B$310,266),IF(266&lt;=COUNTA(半紙!$B$11:$B$310)+COUNTA(条幅!$B$11:$B$310),INDEX(条幅!$B$11:$B$310,266-COUNTA(半紙!$B$11:$B$310)),IF(266&lt;=COUNTA(半紙!$B$11:$B$310)+COUNTA(条幅!$B$11:$B$310)+COUNTA(条幅4分の1!$B$11:$B$310),INDEX(条幅4分の1!$B$11:$B$310,266-COUNTA(半紙!$B$11:$B$310)-COUNTA(条幅!$B$11:$B$310)),""))))</f>
        <v/>
      </c>
      <c r="C271" s="38" t="str">
        <f>IF(IF(266&lt;=COUNTA(半紙!$B$11:$B$310),INDEX(半紙!$C$11:$C$310,266),IF(266&lt;=COUNTA(半紙!$B$11:$B$310)+COUNTA(条幅!$B$11:$B$310),INDEX(条幅!$C$11:$C$310,266-COUNTA(半紙!$B$11:$B$310)),IF(266&lt;=COUNTA(半紙!$B$11:$B$310)+COUNTA(条幅!$B$11:$B$310)+COUNTA(条幅4分の1!$B$11:$B$310),INDEX(条幅4分の1!$C$11:$C$310,266-COUNTA(半紙!$B$11:$B$310)-COUNTA(条幅!$B$11:$B$310)),"")))=0,"",IF(266&lt;=COUNTA(半紙!$B$11:$B$310),INDEX(半紙!$C$11:$C$310,266),IF(266&lt;=COUNTA(半紙!$B$11:$B$310)+COUNTA(条幅!$B$11:$B$310),INDEX(条幅!$C$11:$C$310,266-COUNTA(半紙!$B$11:$B$310)),IF(266&lt;=COUNTA(半紙!$B$11:$B$310)+COUNTA(条幅!$B$11:$B$310)+COUNTA(条幅4分の1!$B$11:$B$310),INDEX(条幅4分の1!$C$11:$C$310,266-COUNTA(半紙!$B$11:$B$310)-COUNTA(条幅!$B$11:$B$310)),""))))</f>
        <v/>
      </c>
      <c r="D271" s="38" t="str">
        <f>IF(IF(266&lt;=COUNTA(半紙!$B$11:$B$310),INDEX(半紙!$D$11:$D$310,266),IF(266&lt;=COUNTA(半紙!$B$11:$B$310)+COUNTA(条幅!$B$11:$B$310),INDEX(条幅!$D$11:$D$310,266-COUNTA(半紙!$B$11:$B$310)),IF(266&lt;=COUNTA(半紙!$B$11:$B$310)+COUNTA(条幅!$B$11:$B$310)+COUNTA(条幅4分の1!$B$11:$B$310),INDEX(条幅4分の1!$D$11:$D$310,266-COUNTA(半紙!$B$11:$B$310)-COUNTA(条幅!$B$11:$B$310)),"")))=0,"",IF(266&lt;=COUNTA(半紙!$B$11:$B$310),INDEX(半紙!$D$11:$D$310,266),IF(266&lt;=COUNTA(半紙!$B$11:$B$310)+COUNTA(条幅!$B$11:$B$310),INDEX(条幅!$D$11:$D$310,266-COUNTA(半紙!$B$11:$B$310)),IF(266&lt;=COUNTA(半紙!$B$11:$B$310)+COUNTA(条幅!$B$11:$B$310)+COUNTA(条幅4分の1!$B$11:$B$310),INDEX(条幅4分の1!$D$11:$D$310,266-COUNTA(半紙!$B$11:$B$310)-COUNTA(条幅!$B$11:$B$310)),""))))</f>
        <v/>
      </c>
      <c r="E271" s="38" t="str">
        <f>IF(IF(266&lt;=COUNTA(半紙!$B$11:$B$310),INDEX(半紙!$E$11:$E$310,266),IF(266&lt;=COUNTA(半紙!$B$11:$B$310)+COUNTA(条幅!$B$11:$B$310),INDEX(条幅!$E$11:$E$310,266-COUNTA(半紙!$B$11:$B$310)),IF(266&lt;=COUNTA(半紙!$B$11:$B$310)+COUNTA(条幅!$B$11:$B$310)+COUNTA(条幅4分の1!$B$11:$B$310),INDEX(条幅4分の1!$E$11:$E$310,266-COUNTA(半紙!$B$11:$B$310)-COUNTA(条幅!$B$11:$B$310)),"")))=0,"",IF(266&lt;=COUNTA(半紙!$B$11:$B$310),INDEX(半紙!$E$11:$E$310,266),IF(266&lt;=COUNTA(半紙!$B$11:$B$310)+COUNTA(条幅!$B$11:$B$310),INDEX(条幅!$E$11:$E$310,266-COUNTA(半紙!$B$11:$B$310)),IF(266&lt;=COUNTA(半紙!$B$11:$B$310)+COUNTA(条幅!$B$11:$B$310)+COUNTA(条幅4分の1!$B$11:$B$310),INDEX(条幅4分の1!$E$11:$E$310,266-COUNTA(半紙!$B$11:$B$310)-COUNTA(条幅!$B$11:$B$310)),""))))</f>
        <v/>
      </c>
      <c r="F271" s="38" t="str">
        <f>IF(IF(266&lt;=COUNTA(半紙!$B$11:$B$310),INDEX(半紙!$F$11:$F$310,266),IF(266&lt;=COUNTA(半紙!$B$11:$B$310)+COUNTA(条幅!$B$11:$B$310),INDEX(条幅!$F$11:$F$310,266-COUNTA(半紙!$B$11:$B$310)),IF(266&lt;=COUNTA(半紙!$B$11:$B$310)+COUNTA(条幅!$B$11:$B$310)+COUNTA(条幅4分の1!$B$11:$B$310),INDEX(条幅4分の1!$F$11:$F$310,266-COUNTA(半紙!$B$11:$B$310)-COUNTA(条幅!$B$11:$B$310)),"")))=0,"",IF(266&lt;=COUNTA(半紙!$B$11:$B$310),INDEX(半紙!$F$11:$F$310,266),IF(266&lt;=COUNTA(半紙!$B$11:$B$310)+COUNTA(条幅!$B$11:$B$310),INDEX(条幅!$F$11:$F$310,266-COUNTA(半紙!$B$11:$B$310)),IF(266&lt;=COUNTA(半紙!$B$11:$B$310)+COUNTA(条幅!$B$11:$B$310)+COUNTA(条幅4分の1!$B$11:$B$310),INDEX(条幅4分の1!$F$11:$F$310,266-COUNTA(半紙!$B$11:$B$310)-COUNTA(条幅!$B$11:$B$310)),""))))</f>
        <v/>
      </c>
      <c r="G271" s="38" t="str">
        <f>IF(IF(266&lt;=COUNTA(半紙!$B$11:$B$310),INDEX(半紙!$G$11:$G$310,266),IF(266&lt;=COUNTA(半紙!$B$11:$B$310)+COUNTA(条幅!$B$11:$B$310),INDEX(条幅!$G$11:$G$310,266-COUNTA(半紙!$B$11:$B$310)),IF(266&lt;=COUNTA(半紙!$B$11:$B$310)+COUNTA(条幅!$B$11:$B$310)+COUNTA(条幅4分の1!$B$11:$B$310),INDEX(条幅4分の1!$G$11:$G$310,266-COUNTA(半紙!$B$11:$B$310)-COUNTA(条幅!$B$11:$B$310)),"")))=0,"",IF(266&lt;=COUNTA(半紙!$B$11:$B$310),INDEX(半紙!$G$11:$G$310,266),IF(266&lt;=COUNTA(半紙!$B$11:$B$310)+COUNTA(条幅!$B$11:$B$310),INDEX(条幅!$G$11:$G$310,266-COUNTA(半紙!$B$11:$B$310)),IF(266&lt;=COUNTA(半紙!$B$11:$B$310)+COUNTA(条幅!$B$11:$B$310)+COUNTA(条幅4分の1!$B$11:$B$310),INDEX(条幅4分の1!$G$11:$G$310,266-COUNTA(半紙!$B$11:$B$310)-COUNTA(条幅!$B$11:$B$310)),""))))</f>
        <v/>
      </c>
      <c r="H271" s="38" t="str">
        <f>IF(IF(266&lt;=COUNTA(半紙!$B$11:$B$310),INDEX(半紙!$H$11:$H$310,266),IF(266&lt;=COUNTA(半紙!$B$11:$B$310)+COUNTA(条幅!$B$11:$B$310),INDEX(条幅!$H$11:$H$310,266-COUNTA(半紙!$B$11:$B$310)),IF(266&lt;=COUNTA(半紙!$B$11:$B$310)+COUNTA(条幅!$B$11:$B$310)+COUNTA(条幅4分の1!$B$11:$B$310),INDEX(条幅4分の1!$H$11:$H$310,266-COUNTA(半紙!$B$11:$B$310)-COUNTA(条幅!$B$11:$B$310)),"")))=0,"",IF(266&lt;=COUNTA(半紙!$B$11:$B$310),INDEX(半紙!$H$11:$H$310,266),IF(266&lt;=COUNTA(半紙!$B$11:$B$310)+COUNTA(条幅!$B$11:$B$310),INDEX(条幅!$H$11:$H$310,266-COUNTA(半紙!$B$11:$B$310)),IF(266&lt;=COUNTA(半紙!$B$11:$B$310)+COUNTA(条幅!$B$11:$B$310)+COUNTA(条幅4分の1!$B$11:$B$310),INDEX(条幅4分の1!$H$11:$H$310,266-COUNTA(半紙!$B$11:$B$310)-COUNTA(条幅!$B$11:$B$310)),""))))</f>
        <v/>
      </c>
      <c r="I271" s="38" t="str">
        <f>IF(IF(266&lt;=COUNTA(半紙!$B$11:$B$310),INDEX(半紙!$I$11:$I$310,266),IF(266&lt;=COUNTA(半紙!$B$11:$B$310)+COUNTA(条幅!$B$11:$B$310),INDEX(条幅!$I$11:$I$310,266-COUNTA(半紙!$B$11:$B$310)),IF(266&lt;=COUNTA(半紙!$B$11:$B$310)+COUNTA(条幅!$B$11:$B$310)+COUNTA(条幅4分の1!$B$11:$B$310),INDEX(条幅4分の1!$I$11:$I$310,266-COUNTA(半紙!$B$11:$B$310)-COUNTA(条幅!$B$11:$B$310)),"")))=0,"",IF(266&lt;=COUNTA(半紙!$B$11:$B$310),INDEX(半紙!$I$11:$I$310,266),IF(266&lt;=COUNTA(半紙!$B$11:$B$310)+COUNTA(条幅!$B$11:$B$310),INDEX(条幅!$I$11:$I$310,266-COUNTA(半紙!$B$11:$B$310)),IF(266&lt;=COUNTA(半紙!$B$11:$B$310)+COUNTA(条幅!$B$11:$B$310)+COUNTA(条幅4分の1!$B$11:$B$310),INDEX(条幅4分の1!$I$11:$I$310,266-COUNTA(半紙!$B$11:$B$310)-COUNTA(条幅!$B$11:$B$310)),""))))</f>
        <v/>
      </c>
      <c r="J271" s="38" t="str">
        <f>IF(IF(266&lt;=COUNTA(半紙!$B$11:$B$310),INDEX(半紙!$J$11:$J$310,266),IF(266&lt;=COUNTA(半紙!$B$11:$B$310)+COUNTA(条幅!$B$11:$B$310),INDEX(条幅!$J$11:$J$310,266-COUNTA(半紙!$B$11:$B$310)),IF(266&lt;=COUNTA(半紙!$B$11:$B$310)+COUNTA(条幅!$B$11:$B$310)+COUNTA(条幅4分の1!$B$11:$B$310),INDEX(条幅4分の1!$J$11:$J$310,266-COUNTA(半紙!$B$11:$B$310)-COUNTA(条幅!$B$11:$B$310)),"")))=0,"",IF(266&lt;=COUNTA(半紙!$B$11:$B$310),INDEX(半紙!$J$11:$J$310,266),IF(266&lt;=COUNTA(半紙!$B$11:$B$310)+COUNTA(条幅!$B$11:$B$310),INDEX(条幅!$J$11:$J$310,266-COUNTA(半紙!$B$11:$B$310)),IF(266&lt;=COUNTA(半紙!$B$11:$B$310)+COUNTA(条幅!$B$11:$B$310)+COUNTA(条幅4分の1!$B$11:$B$310),INDEX(条幅4分の1!$J$11:$J$310,266-COUNTA(半紙!$B$11:$B$310)-COUNTA(条幅!$B$11:$B$310)),""))))</f>
        <v/>
      </c>
      <c r="K271" s="38" t="str">
        <f>IF(IF(266&lt;=COUNTA(半紙!$B$11:$B$310),INDEX(半紙!$K$11:$K$310,266),IF(266&lt;=COUNTA(半紙!$B$11:$B$310)+COUNTA(条幅!$B$11:$B$310),INDEX(条幅!$K$11:$K$310,266-COUNTA(半紙!$B$11:$B$310)),IF(266&lt;=COUNTA(半紙!$B$11:$B$310)+COUNTA(条幅!$B$11:$B$310)+COUNTA(条幅4分の1!$B$11:$B$310),INDEX(条幅4分の1!$K$11:$K$310,266-COUNTA(半紙!$B$11:$B$310)-COUNTA(条幅!$B$11:$B$310)),"")))=0,"",IF(266&lt;=COUNTA(半紙!$B$11:$B$310),INDEX(半紙!$K$11:$K$310,266),IF(266&lt;=COUNTA(半紙!$B$11:$B$310)+COUNTA(条幅!$B$11:$B$310),INDEX(条幅!$K$11:$K$310,266-COUNTA(半紙!$B$11:$B$310)),IF(266&lt;=COUNTA(半紙!$B$11:$B$310)+COUNTA(条幅!$B$11:$B$310)+COUNTA(条幅4分の1!$B$11:$B$310),INDEX(条幅4分の1!$K$11:$K$310,266-COUNTA(半紙!$B$11:$B$310)-COUNTA(条幅!$B$11:$B$310)),""))))</f>
        <v/>
      </c>
      <c r="L271" s="48" t="str">
        <f>IF($B271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266))</f>
        <v/>
      </c>
    </row>
    <row r="272" spans="1:12" ht="15" customHeight="1">
      <c r="A272" s="37" t="str">
        <f>IF(267&lt;=COUNTA(半紙!$B$11:$B$310),"半紙",IF(267&lt;=COUNTA(半紙!$B$11:$B$310)+COUNTA(条幅!$B$11:$B$310),"条幅(半切)",IF(267&lt;=COUNTA(半紙!$B$11:$B$310)+COUNTA(条幅!$B$11:$B$310)+COUNTA(条幅4分の1!$B$11:$B$310),"条幅(1/4)","")))</f>
        <v/>
      </c>
      <c r="B272" s="38" t="str">
        <f>IF(IF(267&lt;=COUNTA(半紙!$B$11:$B$310),INDEX(半紙!$B$11:$B$310,267),IF(267&lt;=COUNTA(半紙!$B$11:$B$310)+COUNTA(条幅!$B$11:$B$310),INDEX(条幅!$B$11:$B$310,267-COUNTA(半紙!$B$11:$B$310)),IF(267&lt;=COUNTA(半紙!$B$11:$B$310)+COUNTA(条幅!$B$11:$B$310)+COUNTA(条幅4分の1!$B$11:$B$310),INDEX(条幅4分の1!$B$11:$B$310,267-COUNTA(半紙!$B$11:$B$310)-COUNTA(条幅!$B$11:$B$310)),"")))=0,"",IF(267&lt;=COUNTA(半紙!$B$11:$B$310),INDEX(半紙!$B$11:$B$310,267),IF(267&lt;=COUNTA(半紙!$B$11:$B$310)+COUNTA(条幅!$B$11:$B$310),INDEX(条幅!$B$11:$B$310,267-COUNTA(半紙!$B$11:$B$310)),IF(267&lt;=COUNTA(半紙!$B$11:$B$310)+COUNTA(条幅!$B$11:$B$310)+COUNTA(条幅4分の1!$B$11:$B$310),INDEX(条幅4分の1!$B$11:$B$310,267-COUNTA(半紙!$B$11:$B$310)-COUNTA(条幅!$B$11:$B$310)),""))))</f>
        <v/>
      </c>
      <c r="C272" s="38" t="str">
        <f>IF(IF(267&lt;=COUNTA(半紙!$B$11:$B$310),INDEX(半紙!$C$11:$C$310,267),IF(267&lt;=COUNTA(半紙!$B$11:$B$310)+COUNTA(条幅!$B$11:$B$310),INDEX(条幅!$C$11:$C$310,267-COUNTA(半紙!$B$11:$B$310)),IF(267&lt;=COUNTA(半紙!$B$11:$B$310)+COUNTA(条幅!$B$11:$B$310)+COUNTA(条幅4分の1!$B$11:$B$310),INDEX(条幅4分の1!$C$11:$C$310,267-COUNTA(半紙!$B$11:$B$310)-COUNTA(条幅!$B$11:$B$310)),"")))=0,"",IF(267&lt;=COUNTA(半紙!$B$11:$B$310),INDEX(半紙!$C$11:$C$310,267),IF(267&lt;=COUNTA(半紙!$B$11:$B$310)+COUNTA(条幅!$B$11:$B$310),INDEX(条幅!$C$11:$C$310,267-COUNTA(半紙!$B$11:$B$310)),IF(267&lt;=COUNTA(半紙!$B$11:$B$310)+COUNTA(条幅!$B$11:$B$310)+COUNTA(条幅4分の1!$B$11:$B$310),INDEX(条幅4分の1!$C$11:$C$310,267-COUNTA(半紙!$B$11:$B$310)-COUNTA(条幅!$B$11:$B$310)),""))))</f>
        <v/>
      </c>
      <c r="D272" s="38" t="str">
        <f>IF(IF(267&lt;=COUNTA(半紙!$B$11:$B$310),INDEX(半紙!$D$11:$D$310,267),IF(267&lt;=COUNTA(半紙!$B$11:$B$310)+COUNTA(条幅!$B$11:$B$310),INDEX(条幅!$D$11:$D$310,267-COUNTA(半紙!$B$11:$B$310)),IF(267&lt;=COUNTA(半紙!$B$11:$B$310)+COUNTA(条幅!$B$11:$B$310)+COUNTA(条幅4分の1!$B$11:$B$310),INDEX(条幅4分の1!$D$11:$D$310,267-COUNTA(半紙!$B$11:$B$310)-COUNTA(条幅!$B$11:$B$310)),"")))=0,"",IF(267&lt;=COUNTA(半紙!$B$11:$B$310),INDEX(半紙!$D$11:$D$310,267),IF(267&lt;=COUNTA(半紙!$B$11:$B$310)+COUNTA(条幅!$B$11:$B$310),INDEX(条幅!$D$11:$D$310,267-COUNTA(半紙!$B$11:$B$310)),IF(267&lt;=COUNTA(半紙!$B$11:$B$310)+COUNTA(条幅!$B$11:$B$310)+COUNTA(条幅4分の1!$B$11:$B$310),INDEX(条幅4分の1!$D$11:$D$310,267-COUNTA(半紙!$B$11:$B$310)-COUNTA(条幅!$B$11:$B$310)),""))))</f>
        <v/>
      </c>
      <c r="E272" s="38" t="str">
        <f>IF(IF(267&lt;=COUNTA(半紙!$B$11:$B$310),INDEX(半紙!$E$11:$E$310,267),IF(267&lt;=COUNTA(半紙!$B$11:$B$310)+COUNTA(条幅!$B$11:$B$310),INDEX(条幅!$E$11:$E$310,267-COUNTA(半紙!$B$11:$B$310)),IF(267&lt;=COUNTA(半紙!$B$11:$B$310)+COUNTA(条幅!$B$11:$B$310)+COUNTA(条幅4分の1!$B$11:$B$310),INDEX(条幅4分の1!$E$11:$E$310,267-COUNTA(半紙!$B$11:$B$310)-COUNTA(条幅!$B$11:$B$310)),"")))=0,"",IF(267&lt;=COUNTA(半紙!$B$11:$B$310),INDEX(半紙!$E$11:$E$310,267),IF(267&lt;=COUNTA(半紙!$B$11:$B$310)+COUNTA(条幅!$B$11:$B$310),INDEX(条幅!$E$11:$E$310,267-COUNTA(半紙!$B$11:$B$310)),IF(267&lt;=COUNTA(半紙!$B$11:$B$310)+COUNTA(条幅!$B$11:$B$310)+COUNTA(条幅4分の1!$B$11:$B$310),INDEX(条幅4分の1!$E$11:$E$310,267-COUNTA(半紙!$B$11:$B$310)-COUNTA(条幅!$B$11:$B$310)),""))))</f>
        <v/>
      </c>
      <c r="F272" s="38" t="str">
        <f>IF(IF(267&lt;=COUNTA(半紙!$B$11:$B$310),INDEX(半紙!$F$11:$F$310,267),IF(267&lt;=COUNTA(半紙!$B$11:$B$310)+COUNTA(条幅!$B$11:$B$310),INDEX(条幅!$F$11:$F$310,267-COUNTA(半紙!$B$11:$B$310)),IF(267&lt;=COUNTA(半紙!$B$11:$B$310)+COUNTA(条幅!$B$11:$B$310)+COUNTA(条幅4分の1!$B$11:$B$310),INDEX(条幅4分の1!$F$11:$F$310,267-COUNTA(半紙!$B$11:$B$310)-COUNTA(条幅!$B$11:$B$310)),"")))=0,"",IF(267&lt;=COUNTA(半紙!$B$11:$B$310),INDEX(半紙!$F$11:$F$310,267),IF(267&lt;=COUNTA(半紙!$B$11:$B$310)+COUNTA(条幅!$B$11:$B$310),INDEX(条幅!$F$11:$F$310,267-COUNTA(半紙!$B$11:$B$310)),IF(267&lt;=COUNTA(半紙!$B$11:$B$310)+COUNTA(条幅!$B$11:$B$310)+COUNTA(条幅4分の1!$B$11:$B$310),INDEX(条幅4分の1!$F$11:$F$310,267-COUNTA(半紙!$B$11:$B$310)-COUNTA(条幅!$B$11:$B$310)),""))))</f>
        <v/>
      </c>
      <c r="G272" s="38" t="str">
        <f>IF(IF(267&lt;=COUNTA(半紙!$B$11:$B$310),INDEX(半紙!$G$11:$G$310,267),IF(267&lt;=COUNTA(半紙!$B$11:$B$310)+COUNTA(条幅!$B$11:$B$310),INDEX(条幅!$G$11:$G$310,267-COUNTA(半紙!$B$11:$B$310)),IF(267&lt;=COUNTA(半紙!$B$11:$B$310)+COUNTA(条幅!$B$11:$B$310)+COUNTA(条幅4分の1!$B$11:$B$310),INDEX(条幅4分の1!$G$11:$G$310,267-COUNTA(半紙!$B$11:$B$310)-COUNTA(条幅!$B$11:$B$310)),"")))=0,"",IF(267&lt;=COUNTA(半紙!$B$11:$B$310),INDEX(半紙!$G$11:$G$310,267),IF(267&lt;=COUNTA(半紙!$B$11:$B$310)+COUNTA(条幅!$B$11:$B$310),INDEX(条幅!$G$11:$G$310,267-COUNTA(半紙!$B$11:$B$310)),IF(267&lt;=COUNTA(半紙!$B$11:$B$310)+COUNTA(条幅!$B$11:$B$310)+COUNTA(条幅4分の1!$B$11:$B$310),INDEX(条幅4分の1!$G$11:$G$310,267-COUNTA(半紙!$B$11:$B$310)-COUNTA(条幅!$B$11:$B$310)),""))))</f>
        <v/>
      </c>
      <c r="H272" s="38" t="str">
        <f>IF(IF(267&lt;=COUNTA(半紙!$B$11:$B$310),INDEX(半紙!$H$11:$H$310,267),IF(267&lt;=COUNTA(半紙!$B$11:$B$310)+COUNTA(条幅!$B$11:$B$310),INDEX(条幅!$H$11:$H$310,267-COUNTA(半紙!$B$11:$B$310)),IF(267&lt;=COUNTA(半紙!$B$11:$B$310)+COUNTA(条幅!$B$11:$B$310)+COUNTA(条幅4分の1!$B$11:$B$310),INDEX(条幅4分の1!$H$11:$H$310,267-COUNTA(半紙!$B$11:$B$310)-COUNTA(条幅!$B$11:$B$310)),"")))=0,"",IF(267&lt;=COUNTA(半紙!$B$11:$B$310),INDEX(半紙!$H$11:$H$310,267),IF(267&lt;=COUNTA(半紙!$B$11:$B$310)+COUNTA(条幅!$B$11:$B$310),INDEX(条幅!$H$11:$H$310,267-COUNTA(半紙!$B$11:$B$310)),IF(267&lt;=COUNTA(半紙!$B$11:$B$310)+COUNTA(条幅!$B$11:$B$310)+COUNTA(条幅4分の1!$B$11:$B$310),INDEX(条幅4分の1!$H$11:$H$310,267-COUNTA(半紙!$B$11:$B$310)-COUNTA(条幅!$B$11:$B$310)),""))))</f>
        <v/>
      </c>
      <c r="I272" s="38" t="str">
        <f>IF(IF(267&lt;=COUNTA(半紙!$B$11:$B$310),INDEX(半紙!$I$11:$I$310,267),IF(267&lt;=COUNTA(半紙!$B$11:$B$310)+COUNTA(条幅!$B$11:$B$310),INDEX(条幅!$I$11:$I$310,267-COUNTA(半紙!$B$11:$B$310)),IF(267&lt;=COUNTA(半紙!$B$11:$B$310)+COUNTA(条幅!$B$11:$B$310)+COUNTA(条幅4分の1!$B$11:$B$310),INDEX(条幅4分の1!$I$11:$I$310,267-COUNTA(半紙!$B$11:$B$310)-COUNTA(条幅!$B$11:$B$310)),"")))=0,"",IF(267&lt;=COUNTA(半紙!$B$11:$B$310),INDEX(半紙!$I$11:$I$310,267),IF(267&lt;=COUNTA(半紙!$B$11:$B$310)+COUNTA(条幅!$B$11:$B$310),INDEX(条幅!$I$11:$I$310,267-COUNTA(半紙!$B$11:$B$310)),IF(267&lt;=COUNTA(半紙!$B$11:$B$310)+COUNTA(条幅!$B$11:$B$310)+COUNTA(条幅4分の1!$B$11:$B$310),INDEX(条幅4分の1!$I$11:$I$310,267-COUNTA(半紙!$B$11:$B$310)-COUNTA(条幅!$B$11:$B$310)),""))))</f>
        <v/>
      </c>
      <c r="J272" s="38" t="str">
        <f>IF(IF(267&lt;=COUNTA(半紙!$B$11:$B$310),INDEX(半紙!$J$11:$J$310,267),IF(267&lt;=COUNTA(半紙!$B$11:$B$310)+COUNTA(条幅!$B$11:$B$310),INDEX(条幅!$J$11:$J$310,267-COUNTA(半紙!$B$11:$B$310)),IF(267&lt;=COUNTA(半紙!$B$11:$B$310)+COUNTA(条幅!$B$11:$B$310)+COUNTA(条幅4分の1!$B$11:$B$310),INDEX(条幅4分の1!$J$11:$J$310,267-COUNTA(半紙!$B$11:$B$310)-COUNTA(条幅!$B$11:$B$310)),"")))=0,"",IF(267&lt;=COUNTA(半紙!$B$11:$B$310),INDEX(半紙!$J$11:$J$310,267),IF(267&lt;=COUNTA(半紙!$B$11:$B$310)+COUNTA(条幅!$B$11:$B$310),INDEX(条幅!$J$11:$J$310,267-COUNTA(半紙!$B$11:$B$310)),IF(267&lt;=COUNTA(半紙!$B$11:$B$310)+COUNTA(条幅!$B$11:$B$310)+COUNTA(条幅4分の1!$B$11:$B$310),INDEX(条幅4分の1!$J$11:$J$310,267-COUNTA(半紙!$B$11:$B$310)-COUNTA(条幅!$B$11:$B$310)),""))))</f>
        <v/>
      </c>
      <c r="K272" s="38" t="str">
        <f>IF(IF(267&lt;=COUNTA(半紙!$B$11:$B$310),INDEX(半紙!$K$11:$K$310,267),IF(267&lt;=COUNTA(半紙!$B$11:$B$310)+COUNTA(条幅!$B$11:$B$310),INDEX(条幅!$K$11:$K$310,267-COUNTA(半紙!$B$11:$B$310)),IF(267&lt;=COUNTA(半紙!$B$11:$B$310)+COUNTA(条幅!$B$11:$B$310)+COUNTA(条幅4分の1!$B$11:$B$310),INDEX(条幅4分の1!$K$11:$K$310,267-COUNTA(半紙!$B$11:$B$310)-COUNTA(条幅!$B$11:$B$310)),"")))=0,"",IF(267&lt;=COUNTA(半紙!$B$11:$B$310),INDEX(半紙!$K$11:$K$310,267),IF(267&lt;=COUNTA(半紙!$B$11:$B$310)+COUNTA(条幅!$B$11:$B$310),INDEX(条幅!$K$11:$K$310,267-COUNTA(半紙!$B$11:$B$310)),IF(267&lt;=COUNTA(半紙!$B$11:$B$310)+COUNTA(条幅!$B$11:$B$310)+COUNTA(条幅4分の1!$B$11:$B$310),INDEX(条幅4分の1!$K$11:$K$310,267-COUNTA(半紙!$B$11:$B$310)-COUNTA(条幅!$B$11:$B$310)),""))))</f>
        <v/>
      </c>
      <c r="L272" s="48" t="str">
        <f>IF($B272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267))</f>
        <v/>
      </c>
    </row>
    <row r="273" spans="1:12" ht="15" customHeight="1">
      <c r="A273" s="37" t="str">
        <f>IF(268&lt;=COUNTA(半紙!$B$11:$B$310),"半紙",IF(268&lt;=COUNTA(半紙!$B$11:$B$310)+COUNTA(条幅!$B$11:$B$310),"条幅(半切)",IF(268&lt;=COUNTA(半紙!$B$11:$B$310)+COUNTA(条幅!$B$11:$B$310)+COUNTA(条幅4分の1!$B$11:$B$310),"条幅(1/4)","")))</f>
        <v/>
      </c>
      <c r="B273" s="38" t="str">
        <f>IF(IF(268&lt;=COUNTA(半紙!$B$11:$B$310),INDEX(半紙!$B$11:$B$310,268),IF(268&lt;=COUNTA(半紙!$B$11:$B$310)+COUNTA(条幅!$B$11:$B$310),INDEX(条幅!$B$11:$B$310,268-COUNTA(半紙!$B$11:$B$310)),IF(268&lt;=COUNTA(半紙!$B$11:$B$310)+COUNTA(条幅!$B$11:$B$310)+COUNTA(条幅4分の1!$B$11:$B$310),INDEX(条幅4分の1!$B$11:$B$310,268-COUNTA(半紙!$B$11:$B$310)-COUNTA(条幅!$B$11:$B$310)),"")))=0,"",IF(268&lt;=COUNTA(半紙!$B$11:$B$310),INDEX(半紙!$B$11:$B$310,268),IF(268&lt;=COUNTA(半紙!$B$11:$B$310)+COUNTA(条幅!$B$11:$B$310),INDEX(条幅!$B$11:$B$310,268-COUNTA(半紙!$B$11:$B$310)),IF(268&lt;=COUNTA(半紙!$B$11:$B$310)+COUNTA(条幅!$B$11:$B$310)+COUNTA(条幅4分の1!$B$11:$B$310),INDEX(条幅4分の1!$B$11:$B$310,268-COUNTA(半紙!$B$11:$B$310)-COUNTA(条幅!$B$11:$B$310)),""))))</f>
        <v/>
      </c>
      <c r="C273" s="38" t="str">
        <f>IF(IF(268&lt;=COUNTA(半紙!$B$11:$B$310),INDEX(半紙!$C$11:$C$310,268),IF(268&lt;=COUNTA(半紙!$B$11:$B$310)+COUNTA(条幅!$B$11:$B$310),INDEX(条幅!$C$11:$C$310,268-COUNTA(半紙!$B$11:$B$310)),IF(268&lt;=COUNTA(半紙!$B$11:$B$310)+COUNTA(条幅!$B$11:$B$310)+COUNTA(条幅4分の1!$B$11:$B$310),INDEX(条幅4分の1!$C$11:$C$310,268-COUNTA(半紙!$B$11:$B$310)-COUNTA(条幅!$B$11:$B$310)),"")))=0,"",IF(268&lt;=COUNTA(半紙!$B$11:$B$310),INDEX(半紙!$C$11:$C$310,268),IF(268&lt;=COUNTA(半紙!$B$11:$B$310)+COUNTA(条幅!$B$11:$B$310),INDEX(条幅!$C$11:$C$310,268-COUNTA(半紙!$B$11:$B$310)),IF(268&lt;=COUNTA(半紙!$B$11:$B$310)+COUNTA(条幅!$B$11:$B$310)+COUNTA(条幅4分の1!$B$11:$B$310),INDEX(条幅4分の1!$C$11:$C$310,268-COUNTA(半紙!$B$11:$B$310)-COUNTA(条幅!$B$11:$B$310)),""))))</f>
        <v/>
      </c>
      <c r="D273" s="38" t="str">
        <f>IF(IF(268&lt;=COUNTA(半紙!$B$11:$B$310),INDEX(半紙!$D$11:$D$310,268),IF(268&lt;=COUNTA(半紙!$B$11:$B$310)+COUNTA(条幅!$B$11:$B$310),INDEX(条幅!$D$11:$D$310,268-COUNTA(半紙!$B$11:$B$310)),IF(268&lt;=COUNTA(半紙!$B$11:$B$310)+COUNTA(条幅!$B$11:$B$310)+COUNTA(条幅4分の1!$B$11:$B$310),INDEX(条幅4分の1!$D$11:$D$310,268-COUNTA(半紙!$B$11:$B$310)-COUNTA(条幅!$B$11:$B$310)),"")))=0,"",IF(268&lt;=COUNTA(半紙!$B$11:$B$310),INDEX(半紙!$D$11:$D$310,268),IF(268&lt;=COUNTA(半紙!$B$11:$B$310)+COUNTA(条幅!$B$11:$B$310),INDEX(条幅!$D$11:$D$310,268-COUNTA(半紙!$B$11:$B$310)),IF(268&lt;=COUNTA(半紙!$B$11:$B$310)+COUNTA(条幅!$B$11:$B$310)+COUNTA(条幅4分の1!$B$11:$B$310),INDEX(条幅4分の1!$D$11:$D$310,268-COUNTA(半紙!$B$11:$B$310)-COUNTA(条幅!$B$11:$B$310)),""))))</f>
        <v/>
      </c>
      <c r="E273" s="38" t="str">
        <f>IF(IF(268&lt;=COUNTA(半紙!$B$11:$B$310),INDEX(半紙!$E$11:$E$310,268),IF(268&lt;=COUNTA(半紙!$B$11:$B$310)+COUNTA(条幅!$B$11:$B$310),INDEX(条幅!$E$11:$E$310,268-COUNTA(半紙!$B$11:$B$310)),IF(268&lt;=COUNTA(半紙!$B$11:$B$310)+COUNTA(条幅!$B$11:$B$310)+COUNTA(条幅4分の1!$B$11:$B$310),INDEX(条幅4分の1!$E$11:$E$310,268-COUNTA(半紙!$B$11:$B$310)-COUNTA(条幅!$B$11:$B$310)),"")))=0,"",IF(268&lt;=COUNTA(半紙!$B$11:$B$310),INDEX(半紙!$E$11:$E$310,268),IF(268&lt;=COUNTA(半紙!$B$11:$B$310)+COUNTA(条幅!$B$11:$B$310),INDEX(条幅!$E$11:$E$310,268-COUNTA(半紙!$B$11:$B$310)),IF(268&lt;=COUNTA(半紙!$B$11:$B$310)+COUNTA(条幅!$B$11:$B$310)+COUNTA(条幅4分の1!$B$11:$B$310),INDEX(条幅4分の1!$E$11:$E$310,268-COUNTA(半紙!$B$11:$B$310)-COUNTA(条幅!$B$11:$B$310)),""))))</f>
        <v/>
      </c>
      <c r="F273" s="38" t="str">
        <f>IF(IF(268&lt;=COUNTA(半紙!$B$11:$B$310),INDEX(半紙!$F$11:$F$310,268),IF(268&lt;=COUNTA(半紙!$B$11:$B$310)+COUNTA(条幅!$B$11:$B$310),INDEX(条幅!$F$11:$F$310,268-COUNTA(半紙!$B$11:$B$310)),IF(268&lt;=COUNTA(半紙!$B$11:$B$310)+COUNTA(条幅!$B$11:$B$310)+COUNTA(条幅4分の1!$B$11:$B$310),INDEX(条幅4分の1!$F$11:$F$310,268-COUNTA(半紙!$B$11:$B$310)-COUNTA(条幅!$B$11:$B$310)),"")))=0,"",IF(268&lt;=COUNTA(半紙!$B$11:$B$310),INDEX(半紙!$F$11:$F$310,268),IF(268&lt;=COUNTA(半紙!$B$11:$B$310)+COUNTA(条幅!$B$11:$B$310),INDEX(条幅!$F$11:$F$310,268-COUNTA(半紙!$B$11:$B$310)),IF(268&lt;=COUNTA(半紙!$B$11:$B$310)+COUNTA(条幅!$B$11:$B$310)+COUNTA(条幅4分の1!$B$11:$B$310),INDEX(条幅4分の1!$F$11:$F$310,268-COUNTA(半紙!$B$11:$B$310)-COUNTA(条幅!$B$11:$B$310)),""))))</f>
        <v/>
      </c>
      <c r="G273" s="38" t="str">
        <f>IF(IF(268&lt;=COUNTA(半紙!$B$11:$B$310),INDEX(半紙!$G$11:$G$310,268),IF(268&lt;=COUNTA(半紙!$B$11:$B$310)+COUNTA(条幅!$B$11:$B$310),INDEX(条幅!$G$11:$G$310,268-COUNTA(半紙!$B$11:$B$310)),IF(268&lt;=COUNTA(半紙!$B$11:$B$310)+COUNTA(条幅!$B$11:$B$310)+COUNTA(条幅4分の1!$B$11:$B$310),INDEX(条幅4分の1!$G$11:$G$310,268-COUNTA(半紙!$B$11:$B$310)-COUNTA(条幅!$B$11:$B$310)),"")))=0,"",IF(268&lt;=COUNTA(半紙!$B$11:$B$310),INDEX(半紙!$G$11:$G$310,268),IF(268&lt;=COUNTA(半紙!$B$11:$B$310)+COUNTA(条幅!$B$11:$B$310),INDEX(条幅!$G$11:$G$310,268-COUNTA(半紙!$B$11:$B$310)),IF(268&lt;=COUNTA(半紙!$B$11:$B$310)+COUNTA(条幅!$B$11:$B$310)+COUNTA(条幅4分の1!$B$11:$B$310),INDEX(条幅4分の1!$G$11:$G$310,268-COUNTA(半紙!$B$11:$B$310)-COUNTA(条幅!$B$11:$B$310)),""))))</f>
        <v/>
      </c>
      <c r="H273" s="38" t="str">
        <f>IF(IF(268&lt;=COUNTA(半紙!$B$11:$B$310),INDEX(半紙!$H$11:$H$310,268),IF(268&lt;=COUNTA(半紙!$B$11:$B$310)+COUNTA(条幅!$B$11:$B$310),INDEX(条幅!$H$11:$H$310,268-COUNTA(半紙!$B$11:$B$310)),IF(268&lt;=COUNTA(半紙!$B$11:$B$310)+COUNTA(条幅!$B$11:$B$310)+COUNTA(条幅4分の1!$B$11:$B$310),INDEX(条幅4分の1!$H$11:$H$310,268-COUNTA(半紙!$B$11:$B$310)-COUNTA(条幅!$B$11:$B$310)),"")))=0,"",IF(268&lt;=COUNTA(半紙!$B$11:$B$310),INDEX(半紙!$H$11:$H$310,268),IF(268&lt;=COUNTA(半紙!$B$11:$B$310)+COUNTA(条幅!$B$11:$B$310),INDEX(条幅!$H$11:$H$310,268-COUNTA(半紙!$B$11:$B$310)),IF(268&lt;=COUNTA(半紙!$B$11:$B$310)+COUNTA(条幅!$B$11:$B$310)+COUNTA(条幅4分の1!$B$11:$B$310),INDEX(条幅4分の1!$H$11:$H$310,268-COUNTA(半紙!$B$11:$B$310)-COUNTA(条幅!$B$11:$B$310)),""))))</f>
        <v/>
      </c>
      <c r="I273" s="38" t="str">
        <f>IF(IF(268&lt;=COUNTA(半紙!$B$11:$B$310),INDEX(半紙!$I$11:$I$310,268),IF(268&lt;=COUNTA(半紙!$B$11:$B$310)+COUNTA(条幅!$B$11:$B$310),INDEX(条幅!$I$11:$I$310,268-COUNTA(半紙!$B$11:$B$310)),IF(268&lt;=COUNTA(半紙!$B$11:$B$310)+COUNTA(条幅!$B$11:$B$310)+COUNTA(条幅4分の1!$B$11:$B$310),INDEX(条幅4分の1!$I$11:$I$310,268-COUNTA(半紙!$B$11:$B$310)-COUNTA(条幅!$B$11:$B$310)),"")))=0,"",IF(268&lt;=COUNTA(半紙!$B$11:$B$310),INDEX(半紙!$I$11:$I$310,268),IF(268&lt;=COUNTA(半紙!$B$11:$B$310)+COUNTA(条幅!$B$11:$B$310),INDEX(条幅!$I$11:$I$310,268-COUNTA(半紙!$B$11:$B$310)),IF(268&lt;=COUNTA(半紙!$B$11:$B$310)+COUNTA(条幅!$B$11:$B$310)+COUNTA(条幅4分の1!$B$11:$B$310),INDEX(条幅4分の1!$I$11:$I$310,268-COUNTA(半紙!$B$11:$B$310)-COUNTA(条幅!$B$11:$B$310)),""))))</f>
        <v/>
      </c>
      <c r="J273" s="38" t="str">
        <f>IF(IF(268&lt;=COUNTA(半紙!$B$11:$B$310),INDEX(半紙!$J$11:$J$310,268),IF(268&lt;=COUNTA(半紙!$B$11:$B$310)+COUNTA(条幅!$B$11:$B$310),INDEX(条幅!$J$11:$J$310,268-COUNTA(半紙!$B$11:$B$310)),IF(268&lt;=COUNTA(半紙!$B$11:$B$310)+COUNTA(条幅!$B$11:$B$310)+COUNTA(条幅4分の1!$B$11:$B$310),INDEX(条幅4分の1!$J$11:$J$310,268-COUNTA(半紙!$B$11:$B$310)-COUNTA(条幅!$B$11:$B$310)),"")))=0,"",IF(268&lt;=COUNTA(半紙!$B$11:$B$310),INDEX(半紙!$J$11:$J$310,268),IF(268&lt;=COUNTA(半紙!$B$11:$B$310)+COUNTA(条幅!$B$11:$B$310),INDEX(条幅!$J$11:$J$310,268-COUNTA(半紙!$B$11:$B$310)),IF(268&lt;=COUNTA(半紙!$B$11:$B$310)+COUNTA(条幅!$B$11:$B$310)+COUNTA(条幅4分の1!$B$11:$B$310),INDEX(条幅4分の1!$J$11:$J$310,268-COUNTA(半紙!$B$11:$B$310)-COUNTA(条幅!$B$11:$B$310)),""))))</f>
        <v/>
      </c>
      <c r="K273" s="38" t="str">
        <f>IF(IF(268&lt;=COUNTA(半紙!$B$11:$B$310),INDEX(半紙!$K$11:$K$310,268),IF(268&lt;=COUNTA(半紙!$B$11:$B$310)+COUNTA(条幅!$B$11:$B$310),INDEX(条幅!$K$11:$K$310,268-COUNTA(半紙!$B$11:$B$310)),IF(268&lt;=COUNTA(半紙!$B$11:$B$310)+COUNTA(条幅!$B$11:$B$310)+COUNTA(条幅4分の1!$B$11:$B$310),INDEX(条幅4分の1!$K$11:$K$310,268-COUNTA(半紙!$B$11:$B$310)-COUNTA(条幅!$B$11:$B$310)),"")))=0,"",IF(268&lt;=COUNTA(半紙!$B$11:$B$310),INDEX(半紙!$K$11:$K$310,268),IF(268&lt;=COUNTA(半紙!$B$11:$B$310)+COUNTA(条幅!$B$11:$B$310),INDEX(条幅!$K$11:$K$310,268-COUNTA(半紙!$B$11:$B$310)),IF(268&lt;=COUNTA(半紙!$B$11:$B$310)+COUNTA(条幅!$B$11:$B$310)+COUNTA(条幅4分の1!$B$11:$B$310),INDEX(条幅4分の1!$K$11:$K$310,268-COUNTA(半紙!$B$11:$B$310)-COUNTA(条幅!$B$11:$B$310)),""))))</f>
        <v/>
      </c>
      <c r="L273" s="48" t="str">
        <f>IF($B273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268))</f>
        <v/>
      </c>
    </row>
    <row r="274" spans="1:12" ht="15" customHeight="1">
      <c r="A274" s="37" t="str">
        <f>IF(269&lt;=COUNTA(半紙!$B$11:$B$310),"半紙",IF(269&lt;=COUNTA(半紙!$B$11:$B$310)+COUNTA(条幅!$B$11:$B$310),"条幅(半切)",IF(269&lt;=COUNTA(半紙!$B$11:$B$310)+COUNTA(条幅!$B$11:$B$310)+COUNTA(条幅4分の1!$B$11:$B$310),"条幅(1/4)","")))</f>
        <v/>
      </c>
      <c r="B274" s="38" t="str">
        <f>IF(IF(269&lt;=COUNTA(半紙!$B$11:$B$310),INDEX(半紙!$B$11:$B$310,269),IF(269&lt;=COUNTA(半紙!$B$11:$B$310)+COUNTA(条幅!$B$11:$B$310),INDEX(条幅!$B$11:$B$310,269-COUNTA(半紙!$B$11:$B$310)),IF(269&lt;=COUNTA(半紙!$B$11:$B$310)+COUNTA(条幅!$B$11:$B$310)+COUNTA(条幅4分の1!$B$11:$B$310),INDEX(条幅4分の1!$B$11:$B$310,269-COUNTA(半紙!$B$11:$B$310)-COUNTA(条幅!$B$11:$B$310)),"")))=0,"",IF(269&lt;=COUNTA(半紙!$B$11:$B$310),INDEX(半紙!$B$11:$B$310,269),IF(269&lt;=COUNTA(半紙!$B$11:$B$310)+COUNTA(条幅!$B$11:$B$310),INDEX(条幅!$B$11:$B$310,269-COUNTA(半紙!$B$11:$B$310)),IF(269&lt;=COUNTA(半紙!$B$11:$B$310)+COUNTA(条幅!$B$11:$B$310)+COUNTA(条幅4分の1!$B$11:$B$310),INDEX(条幅4分の1!$B$11:$B$310,269-COUNTA(半紙!$B$11:$B$310)-COUNTA(条幅!$B$11:$B$310)),""))))</f>
        <v/>
      </c>
      <c r="C274" s="38" t="str">
        <f>IF(IF(269&lt;=COUNTA(半紙!$B$11:$B$310),INDEX(半紙!$C$11:$C$310,269),IF(269&lt;=COUNTA(半紙!$B$11:$B$310)+COUNTA(条幅!$B$11:$B$310),INDEX(条幅!$C$11:$C$310,269-COUNTA(半紙!$B$11:$B$310)),IF(269&lt;=COUNTA(半紙!$B$11:$B$310)+COUNTA(条幅!$B$11:$B$310)+COUNTA(条幅4分の1!$B$11:$B$310),INDEX(条幅4分の1!$C$11:$C$310,269-COUNTA(半紙!$B$11:$B$310)-COUNTA(条幅!$B$11:$B$310)),"")))=0,"",IF(269&lt;=COUNTA(半紙!$B$11:$B$310),INDEX(半紙!$C$11:$C$310,269),IF(269&lt;=COUNTA(半紙!$B$11:$B$310)+COUNTA(条幅!$B$11:$B$310),INDEX(条幅!$C$11:$C$310,269-COUNTA(半紙!$B$11:$B$310)),IF(269&lt;=COUNTA(半紙!$B$11:$B$310)+COUNTA(条幅!$B$11:$B$310)+COUNTA(条幅4分の1!$B$11:$B$310),INDEX(条幅4分の1!$C$11:$C$310,269-COUNTA(半紙!$B$11:$B$310)-COUNTA(条幅!$B$11:$B$310)),""))))</f>
        <v/>
      </c>
      <c r="D274" s="38" t="str">
        <f>IF(IF(269&lt;=COUNTA(半紙!$B$11:$B$310),INDEX(半紙!$D$11:$D$310,269),IF(269&lt;=COUNTA(半紙!$B$11:$B$310)+COUNTA(条幅!$B$11:$B$310),INDEX(条幅!$D$11:$D$310,269-COUNTA(半紙!$B$11:$B$310)),IF(269&lt;=COUNTA(半紙!$B$11:$B$310)+COUNTA(条幅!$B$11:$B$310)+COUNTA(条幅4分の1!$B$11:$B$310),INDEX(条幅4分の1!$D$11:$D$310,269-COUNTA(半紙!$B$11:$B$310)-COUNTA(条幅!$B$11:$B$310)),"")))=0,"",IF(269&lt;=COUNTA(半紙!$B$11:$B$310),INDEX(半紙!$D$11:$D$310,269),IF(269&lt;=COUNTA(半紙!$B$11:$B$310)+COUNTA(条幅!$B$11:$B$310),INDEX(条幅!$D$11:$D$310,269-COUNTA(半紙!$B$11:$B$310)),IF(269&lt;=COUNTA(半紙!$B$11:$B$310)+COUNTA(条幅!$B$11:$B$310)+COUNTA(条幅4分の1!$B$11:$B$310),INDEX(条幅4分の1!$D$11:$D$310,269-COUNTA(半紙!$B$11:$B$310)-COUNTA(条幅!$B$11:$B$310)),""))))</f>
        <v/>
      </c>
      <c r="E274" s="38" t="str">
        <f>IF(IF(269&lt;=COUNTA(半紙!$B$11:$B$310),INDEX(半紙!$E$11:$E$310,269),IF(269&lt;=COUNTA(半紙!$B$11:$B$310)+COUNTA(条幅!$B$11:$B$310),INDEX(条幅!$E$11:$E$310,269-COUNTA(半紙!$B$11:$B$310)),IF(269&lt;=COUNTA(半紙!$B$11:$B$310)+COUNTA(条幅!$B$11:$B$310)+COUNTA(条幅4分の1!$B$11:$B$310),INDEX(条幅4分の1!$E$11:$E$310,269-COUNTA(半紙!$B$11:$B$310)-COUNTA(条幅!$B$11:$B$310)),"")))=0,"",IF(269&lt;=COUNTA(半紙!$B$11:$B$310),INDEX(半紙!$E$11:$E$310,269),IF(269&lt;=COUNTA(半紙!$B$11:$B$310)+COUNTA(条幅!$B$11:$B$310),INDEX(条幅!$E$11:$E$310,269-COUNTA(半紙!$B$11:$B$310)),IF(269&lt;=COUNTA(半紙!$B$11:$B$310)+COUNTA(条幅!$B$11:$B$310)+COUNTA(条幅4分の1!$B$11:$B$310),INDEX(条幅4分の1!$E$11:$E$310,269-COUNTA(半紙!$B$11:$B$310)-COUNTA(条幅!$B$11:$B$310)),""))))</f>
        <v/>
      </c>
      <c r="F274" s="38" t="str">
        <f>IF(IF(269&lt;=COUNTA(半紙!$B$11:$B$310),INDEX(半紙!$F$11:$F$310,269),IF(269&lt;=COUNTA(半紙!$B$11:$B$310)+COUNTA(条幅!$B$11:$B$310),INDEX(条幅!$F$11:$F$310,269-COUNTA(半紙!$B$11:$B$310)),IF(269&lt;=COUNTA(半紙!$B$11:$B$310)+COUNTA(条幅!$B$11:$B$310)+COUNTA(条幅4分の1!$B$11:$B$310),INDEX(条幅4分の1!$F$11:$F$310,269-COUNTA(半紙!$B$11:$B$310)-COUNTA(条幅!$B$11:$B$310)),"")))=0,"",IF(269&lt;=COUNTA(半紙!$B$11:$B$310),INDEX(半紙!$F$11:$F$310,269),IF(269&lt;=COUNTA(半紙!$B$11:$B$310)+COUNTA(条幅!$B$11:$B$310),INDEX(条幅!$F$11:$F$310,269-COUNTA(半紙!$B$11:$B$310)),IF(269&lt;=COUNTA(半紙!$B$11:$B$310)+COUNTA(条幅!$B$11:$B$310)+COUNTA(条幅4分の1!$B$11:$B$310),INDEX(条幅4分の1!$F$11:$F$310,269-COUNTA(半紙!$B$11:$B$310)-COUNTA(条幅!$B$11:$B$310)),""))))</f>
        <v/>
      </c>
      <c r="G274" s="38" t="str">
        <f>IF(IF(269&lt;=COUNTA(半紙!$B$11:$B$310),INDEX(半紙!$G$11:$G$310,269),IF(269&lt;=COUNTA(半紙!$B$11:$B$310)+COUNTA(条幅!$B$11:$B$310),INDEX(条幅!$G$11:$G$310,269-COUNTA(半紙!$B$11:$B$310)),IF(269&lt;=COUNTA(半紙!$B$11:$B$310)+COUNTA(条幅!$B$11:$B$310)+COUNTA(条幅4分の1!$B$11:$B$310),INDEX(条幅4分の1!$G$11:$G$310,269-COUNTA(半紙!$B$11:$B$310)-COUNTA(条幅!$B$11:$B$310)),"")))=0,"",IF(269&lt;=COUNTA(半紙!$B$11:$B$310),INDEX(半紙!$G$11:$G$310,269),IF(269&lt;=COUNTA(半紙!$B$11:$B$310)+COUNTA(条幅!$B$11:$B$310),INDEX(条幅!$G$11:$G$310,269-COUNTA(半紙!$B$11:$B$310)),IF(269&lt;=COUNTA(半紙!$B$11:$B$310)+COUNTA(条幅!$B$11:$B$310)+COUNTA(条幅4分の1!$B$11:$B$310),INDEX(条幅4分の1!$G$11:$G$310,269-COUNTA(半紙!$B$11:$B$310)-COUNTA(条幅!$B$11:$B$310)),""))))</f>
        <v/>
      </c>
      <c r="H274" s="38" t="str">
        <f>IF(IF(269&lt;=COUNTA(半紙!$B$11:$B$310),INDEX(半紙!$H$11:$H$310,269),IF(269&lt;=COUNTA(半紙!$B$11:$B$310)+COUNTA(条幅!$B$11:$B$310),INDEX(条幅!$H$11:$H$310,269-COUNTA(半紙!$B$11:$B$310)),IF(269&lt;=COUNTA(半紙!$B$11:$B$310)+COUNTA(条幅!$B$11:$B$310)+COUNTA(条幅4分の1!$B$11:$B$310),INDEX(条幅4分の1!$H$11:$H$310,269-COUNTA(半紙!$B$11:$B$310)-COUNTA(条幅!$B$11:$B$310)),"")))=0,"",IF(269&lt;=COUNTA(半紙!$B$11:$B$310),INDEX(半紙!$H$11:$H$310,269),IF(269&lt;=COUNTA(半紙!$B$11:$B$310)+COUNTA(条幅!$B$11:$B$310),INDEX(条幅!$H$11:$H$310,269-COUNTA(半紙!$B$11:$B$310)),IF(269&lt;=COUNTA(半紙!$B$11:$B$310)+COUNTA(条幅!$B$11:$B$310)+COUNTA(条幅4分の1!$B$11:$B$310),INDEX(条幅4分の1!$H$11:$H$310,269-COUNTA(半紙!$B$11:$B$310)-COUNTA(条幅!$B$11:$B$310)),""))))</f>
        <v/>
      </c>
      <c r="I274" s="38" t="str">
        <f>IF(IF(269&lt;=COUNTA(半紙!$B$11:$B$310),INDEX(半紙!$I$11:$I$310,269),IF(269&lt;=COUNTA(半紙!$B$11:$B$310)+COUNTA(条幅!$B$11:$B$310),INDEX(条幅!$I$11:$I$310,269-COUNTA(半紙!$B$11:$B$310)),IF(269&lt;=COUNTA(半紙!$B$11:$B$310)+COUNTA(条幅!$B$11:$B$310)+COUNTA(条幅4分の1!$B$11:$B$310),INDEX(条幅4分の1!$I$11:$I$310,269-COUNTA(半紙!$B$11:$B$310)-COUNTA(条幅!$B$11:$B$310)),"")))=0,"",IF(269&lt;=COUNTA(半紙!$B$11:$B$310),INDEX(半紙!$I$11:$I$310,269),IF(269&lt;=COUNTA(半紙!$B$11:$B$310)+COUNTA(条幅!$B$11:$B$310),INDEX(条幅!$I$11:$I$310,269-COUNTA(半紙!$B$11:$B$310)),IF(269&lt;=COUNTA(半紙!$B$11:$B$310)+COUNTA(条幅!$B$11:$B$310)+COUNTA(条幅4分の1!$B$11:$B$310),INDEX(条幅4分の1!$I$11:$I$310,269-COUNTA(半紙!$B$11:$B$310)-COUNTA(条幅!$B$11:$B$310)),""))))</f>
        <v/>
      </c>
      <c r="J274" s="38" t="str">
        <f>IF(IF(269&lt;=COUNTA(半紙!$B$11:$B$310),INDEX(半紙!$J$11:$J$310,269),IF(269&lt;=COUNTA(半紙!$B$11:$B$310)+COUNTA(条幅!$B$11:$B$310),INDEX(条幅!$J$11:$J$310,269-COUNTA(半紙!$B$11:$B$310)),IF(269&lt;=COUNTA(半紙!$B$11:$B$310)+COUNTA(条幅!$B$11:$B$310)+COUNTA(条幅4分の1!$B$11:$B$310),INDEX(条幅4分の1!$J$11:$J$310,269-COUNTA(半紙!$B$11:$B$310)-COUNTA(条幅!$B$11:$B$310)),"")))=0,"",IF(269&lt;=COUNTA(半紙!$B$11:$B$310),INDEX(半紙!$J$11:$J$310,269),IF(269&lt;=COUNTA(半紙!$B$11:$B$310)+COUNTA(条幅!$B$11:$B$310),INDEX(条幅!$J$11:$J$310,269-COUNTA(半紙!$B$11:$B$310)),IF(269&lt;=COUNTA(半紙!$B$11:$B$310)+COUNTA(条幅!$B$11:$B$310)+COUNTA(条幅4分の1!$B$11:$B$310),INDEX(条幅4分の1!$J$11:$J$310,269-COUNTA(半紙!$B$11:$B$310)-COUNTA(条幅!$B$11:$B$310)),""))))</f>
        <v/>
      </c>
      <c r="K274" s="38" t="str">
        <f>IF(IF(269&lt;=COUNTA(半紙!$B$11:$B$310),INDEX(半紙!$K$11:$K$310,269),IF(269&lt;=COUNTA(半紙!$B$11:$B$310)+COUNTA(条幅!$B$11:$B$310),INDEX(条幅!$K$11:$K$310,269-COUNTA(半紙!$B$11:$B$310)),IF(269&lt;=COUNTA(半紙!$B$11:$B$310)+COUNTA(条幅!$B$11:$B$310)+COUNTA(条幅4分の1!$B$11:$B$310),INDEX(条幅4分の1!$K$11:$K$310,269-COUNTA(半紙!$B$11:$B$310)-COUNTA(条幅!$B$11:$B$310)),"")))=0,"",IF(269&lt;=COUNTA(半紙!$B$11:$B$310),INDEX(半紙!$K$11:$K$310,269),IF(269&lt;=COUNTA(半紙!$B$11:$B$310)+COUNTA(条幅!$B$11:$B$310),INDEX(条幅!$K$11:$K$310,269-COUNTA(半紙!$B$11:$B$310)),IF(269&lt;=COUNTA(半紙!$B$11:$B$310)+COUNTA(条幅!$B$11:$B$310)+COUNTA(条幅4分の1!$B$11:$B$310),INDEX(条幅4分の1!$K$11:$K$310,269-COUNTA(半紙!$B$11:$B$310)-COUNTA(条幅!$B$11:$B$310)),""))))</f>
        <v/>
      </c>
      <c r="L274" s="48" t="str">
        <f>IF($B274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269))</f>
        <v/>
      </c>
    </row>
    <row r="275" spans="1:12" ht="15" customHeight="1">
      <c r="A275" s="37" t="str">
        <f>IF(270&lt;=COUNTA(半紙!$B$11:$B$310),"半紙",IF(270&lt;=COUNTA(半紙!$B$11:$B$310)+COUNTA(条幅!$B$11:$B$310),"条幅(半切)",IF(270&lt;=COUNTA(半紙!$B$11:$B$310)+COUNTA(条幅!$B$11:$B$310)+COUNTA(条幅4分の1!$B$11:$B$310),"条幅(1/4)","")))</f>
        <v/>
      </c>
      <c r="B275" s="38" t="str">
        <f>IF(IF(270&lt;=COUNTA(半紙!$B$11:$B$310),INDEX(半紙!$B$11:$B$310,270),IF(270&lt;=COUNTA(半紙!$B$11:$B$310)+COUNTA(条幅!$B$11:$B$310),INDEX(条幅!$B$11:$B$310,270-COUNTA(半紙!$B$11:$B$310)),IF(270&lt;=COUNTA(半紙!$B$11:$B$310)+COUNTA(条幅!$B$11:$B$310)+COUNTA(条幅4分の1!$B$11:$B$310),INDEX(条幅4分の1!$B$11:$B$310,270-COUNTA(半紙!$B$11:$B$310)-COUNTA(条幅!$B$11:$B$310)),"")))=0,"",IF(270&lt;=COUNTA(半紙!$B$11:$B$310),INDEX(半紙!$B$11:$B$310,270),IF(270&lt;=COUNTA(半紙!$B$11:$B$310)+COUNTA(条幅!$B$11:$B$310),INDEX(条幅!$B$11:$B$310,270-COUNTA(半紙!$B$11:$B$310)),IF(270&lt;=COUNTA(半紙!$B$11:$B$310)+COUNTA(条幅!$B$11:$B$310)+COUNTA(条幅4分の1!$B$11:$B$310),INDEX(条幅4分の1!$B$11:$B$310,270-COUNTA(半紙!$B$11:$B$310)-COUNTA(条幅!$B$11:$B$310)),""))))</f>
        <v/>
      </c>
      <c r="C275" s="38" t="str">
        <f>IF(IF(270&lt;=COUNTA(半紙!$B$11:$B$310),INDEX(半紙!$C$11:$C$310,270),IF(270&lt;=COUNTA(半紙!$B$11:$B$310)+COUNTA(条幅!$B$11:$B$310),INDEX(条幅!$C$11:$C$310,270-COUNTA(半紙!$B$11:$B$310)),IF(270&lt;=COUNTA(半紙!$B$11:$B$310)+COUNTA(条幅!$B$11:$B$310)+COUNTA(条幅4分の1!$B$11:$B$310),INDEX(条幅4分の1!$C$11:$C$310,270-COUNTA(半紙!$B$11:$B$310)-COUNTA(条幅!$B$11:$B$310)),"")))=0,"",IF(270&lt;=COUNTA(半紙!$B$11:$B$310),INDEX(半紙!$C$11:$C$310,270),IF(270&lt;=COUNTA(半紙!$B$11:$B$310)+COUNTA(条幅!$B$11:$B$310),INDEX(条幅!$C$11:$C$310,270-COUNTA(半紙!$B$11:$B$310)),IF(270&lt;=COUNTA(半紙!$B$11:$B$310)+COUNTA(条幅!$B$11:$B$310)+COUNTA(条幅4分の1!$B$11:$B$310),INDEX(条幅4分の1!$C$11:$C$310,270-COUNTA(半紙!$B$11:$B$310)-COUNTA(条幅!$B$11:$B$310)),""))))</f>
        <v/>
      </c>
      <c r="D275" s="38" t="str">
        <f>IF(IF(270&lt;=COUNTA(半紙!$B$11:$B$310),INDEX(半紙!$D$11:$D$310,270),IF(270&lt;=COUNTA(半紙!$B$11:$B$310)+COUNTA(条幅!$B$11:$B$310),INDEX(条幅!$D$11:$D$310,270-COUNTA(半紙!$B$11:$B$310)),IF(270&lt;=COUNTA(半紙!$B$11:$B$310)+COUNTA(条幅!$B$11:$B$310)+COUNTA(条幅4分の1!$B$11:$B$310),INDEX(条幅4分の1!$D$11:$D$310,270-COUNTA(半紙!$B$11:$B$310)-COUNTA(条幅!$B$11:$B$310)),"")))=0,"",IF(270&lt;=COUNTA(半紙!$B$11:$B$310),INDEX(半紙!$D$11:$D$310,270),IF(270&lt;=COUNTA(半紙!$B$11:$B$310)+COUNTA(条幅!$B$11:$B$310),INDEX(条幅!$D$11:$D$310,270-COUNTA(半紙!$B$11:$B$310)),IF(270&lt;=COUNTA(半紙!$B$11:$B$310)+COUNTA(条幅!$B$11:$B$310)+COUNTA(条幅4分の1!$B$11:$B$310),INDEX(条幅4分の1!$D$11:$D$310,270-COUNTA(半紙!$B$11:$B$310)-COUNTA(条幅!$B$11:$B$310)),""))))</f>
        <v/>
      </c>
      <c r="E275" s="38" t="str">
        <f>IF(IF(270&lt;=COUNTA(半紙!$B$11:$B$310),INDEX(半紙!$E$11:$E$310,270),IF(270&lt;=COUNTA(半紙!$B$11:$B$310)+COUNTA(条幅!$B$11:$B$310),INDEX(条幅!$E$11:$E$310,270-COUNTA(半紙!$B$11:$B$310)),IF(270&lt;=COUNTA(半紙!$B$11:$B$310)+COUNTA(条幅!$B$11:$B$310)+COUNTA(条幅4分の1!$B$11:$B$310),INDEX(条幅4分の1!$E$11:$E$310,270-COUNTA(半紙!$B$11:$B$310)-COUNTA(条幅!$B$11:$B$310)),"")))=0,"",IF(270&lt;=COUNTA(半紙!$B$11:$B$310),INDEX(半紙!$E$11:$E$310,270),IF(270&lt;=COUNTA(半紙!$B$11:$B$310)+COUNTA(条幅!$B$11:$B$310),INDEX(条幅!$E$11:$E$310,270-COUNTA(半紙!$B$11:$B$310)),IF(270&lt;=COUNTA(半紙!$B$11:$B$310)+COUNTA(条幅!$B$11:$B$310)+COUNTA(条幅4分の1!$B$11:$B$310),INDEX(条幅4分の1!$E$11:$E$310,270-COUNTA(半紙!$B$11:$B$310)-COUNTA(条幅!$B$11:$B$310)),""))))</f>
        <v/>
      </c>
      <c r="F275" s="38" t="str">
        <f>IF(IF(270&lt;=COUNTA(半紙!$B$11:$B$310),INDEX(半紙!$F$11:$F$310,270),IF(270&lt;=COUNTA(半紙!$B$11:$B$310)+COUNTA(条幅!$B$11:$B$310),INDEX(条幅!$F$11:$F$310,270-COUNTA(半紙!$B$11:$B$310)),IF(270&lt;=COUNTA(半紙!$B$11:$B$310)+COUNTA(条幅!$B$11:$B$310)+COUNTA(条幅4分の1!$B$11:$B$310),INDEX(条幅4分の1!$F$11:$F$310,270-COUNTA(半紙!$B$11:$B$310)-COUNTA(条幅!$B$11:$B$310)),"")))=0,"",IF(270&lt;=COUNTA(半紙!$B$11:$B$310),INDEX(半紙!$F$11:$F$310,270),IF(270&lt;=COUNTA(半紙!$B$11:$B$310)+COUNTA(条幅!$B$11:$B$310),INDEX(条幅!$F$11:$F$310,270-COUNTA(半紙!$B$11:$B$310)),IF(270&lt;=COUNTA(半紙!$B$11:$B$310)+COUNTA(条幅!$B$11:$B$310)+COUNTA(条幅4分の1!$B$11:$B$310),INDEX(条幅4分の1!$F$11:$F$310,270-COUNTA(半紙!$B$11:$B$310)-COUNTA(条幅!$B$11:$B$310)),""))))</f>
        <v/>
      </c>
      <c r="G275" s="38" t="str">
        <f>IF(IF(270&lt;=COUNTA(半紙!$B$11:$B$310),INDEX(半紙!$G$11:$G$310,270),IF(270&lt;=COUNTA(半紙!$B$11:$B$310)+COUNTA(条幅!$B$11:$B$310),INDEX(条幅!$G$11:$G$310,270-COUNTA(半紙!$B$11:$B$310)),IF(270&lt;=COUNTA(半紙!$B$11:$B$310)+COUNTA(条幅!$B$11:$B$310)+COUNTA(条幅4分の1!$B$11:$B$310),INDEX(条幅4分の1!$G$11:$G$310,270-COUNTA(半紙!$B$11:$B$310)-COUNTA(条幅!$B$11:$B$310)),"")))=0,"",IF(270&lt;=COUNTA(半紙!$B$11:$B$310),INDEX(半紙!$G$11:$G$310,270),IF(270&lt;=COUNTA(半紙!$B$11:$B$310)+COUNTA(条幅!$B$11:$B$310),INDEX(条幅!$G$11:$G$310,270-COUNTA(半紙!$B$11:$B$310)),IF(270&lt;=COUNTA(半紙!$B$11:$B$310)+COUNTA(条幅!$B$11:$B$310)+COUNTA(条幅4分の1!$B$11:$B$310),INDEX(条幅4分の1!$G$11:$G$310,270-COUNTA(半紙!$B$11:$B$310)-COUNTA(条幅!$B$11:$B$310)),""))))</f>
        <v/>
      </c>
      <c r="H275" s="38" t="str">
        <f>IF(IF(270&lt;=COUNTA(半紙!$B$11:$B$310),INDEX(半紙!$H$11:$H$310,270),IF(270&lt;=COUNTA(半紙!$B$11:$B$310)+COUNTA(条幅!$B$11:$B$310),INDEX(条幅!$H$11:$H$310,270-COUNTA(半紙!$B$11:$B$310)),IF(270&lt;=COUNTA(半紙!$B$11:$B$310)+COUNTA(条幅!$B$11:$B$310)+COUNTA(条幅4分の1!$B$11:$B$310),INDEX(条幅4分の1!$H$11:$H$310,270-COUNTA(半紙!$B$11:$B$310)-COUNTA(条幅!$B$11:$B$310)),"")))=0,"",IF(270&lt;=COUNTA(半紙!$B$11:$B$310),INDEX(半紙!$H$11:$H$310,270),IF(270&lt;=COUNTA(半紙!$B$11:$B$310)+COUNTA(条幅!$B$11:$B$310),INDEX(条幅!$H$11:$H$310,270-COUNTA(半紙!$B$11:$B$310)),IF(270&lt;=COUNTA(半紙!$B$11:$B$310)+COUNTA(条幅!$B$11:$B$310)+COUNTA(条幅4分の1!$B$11:$B$310),INDEX(条幅4分の1!$H$11:$H$310,270-COUNTA(半紙!$B$11:$B$310)-COUNTA(条幅!$B$11:$B$310)),""))))</f>
        <v/>
      </c>
      <c r="I275" s="38" t="str">
        <f>IF(IF(270&lt;=COUNTA(半紙!$B$11:$B$310),INDEX(半紙!$I$11:$I$310,270),IF(270&lt;=COUNTA(半紙!$B$11:$B$310)+COUNTA(条幅!$B$11:$B$310),INDEX(条幅!$I$11:$I$310,270-COUNTA(半紙!$B$11:$B$310)),IF(270&lt;=COUNTA(半紙!$B$11:$B$310)+COUNTA(条幅!$B$11:$B$310)+COUNTA(条幅4分の1!$B$11:$B$310),INDEX(条幅4分の1!$I$11:$I$310,270-COUNTA(半紙!$B$11:$B$310)-COUNTA(条幅!$B$11:$B$310)),"")))=0,"",IF(270&lt;=COUNTA(半紙!$B$11:$B$310),INDEX(半紙!$I$11:$I$310,270),IF(270&lt;=COUNTA(半紙!$B$11:$B$310)+COUNTA(条幅!$B$11:$B$310),INDEX(条幅!$I$11:$I$310,270-COUNTA(半紙!$B$11:$B$310)),IF(270&lt;=COUNTA(半紙!$B$11:$B$310)+COUNTA(条幅!$B$11:$B$310)+COUNTA(条幅4分の1!$B$11:$B$310),INDEX(条幅4分の1!$I$11:$I$310,270-COUNTA(半紙!$B$11:$B$310)-COUNTA(条幅!$B$11:$B$310)),""))))</f>
        <v/>
      </c>
      <c r="J275" s="38" t="str">
        <f>IF(IF(270&lt;=COUNTA(半紙!$B$11:$B$310),INDEX(半紙!$J$11:$J$310,270),IF(270&lt;=COUNTA(半紙!$B$11:$B$310)+COUNTA(条幅!$B$11:$B$310),INDEX(条幅!$J$11:$J$310,270-COUNTA(半紙!$B$11:$B$310)),IF(270&lt;=COUNTA(半紙!$B$11:$B$310)+COUNTA(条幅!$B$11:$B$310)+COUNTA(条幅4分の1!$B$11:$B$310),INDEX(条幅4分の1!$J$11:$J$310,270-COUNTA(半紙!$B$11:$B$310)-COUNTA(条幅!$B$11:$B$310)),"")))=0,"",IF(270&lt;=COUNTA(半紙!$B$11:$B$310),INDEX(半紙!$J$11:$J$310,270),IF(270&lt;=COUNTA(半紙!$B$11:$B$310)+COUNTA(条幅!$B$11:$B$310),INDEX(条幅!$J$11:$J$310,270-COUNTA(半紙!$B$11:$B$310)),IF(270&lt;=COUNTA(半紙!$B$11:$B$310)+COUNTA(条幅!$B$11:$B$310)+COUNTA(条幅4分の1!$B$11:$B$310),INDEX(条幅4分の1!$J$11:$J$310,270-COUNTA(半紙!$B$11:$B$310)-COUNTA(条幅!$B$11:$B$310)),""))))</f>
        <v/>
      </c>
      <c r="K275" s="38" t="str">
        <f>IF(IF(270&lt;=COUNTA(半紙!$B$11:$B$310),INDEX(半紙!$K$11:$K$310,270),IF(270&lt;=COUNTA(半紙!$B$11:$B$310)+COUNTA(条幅!$B$11:$B$310),INDEX(条幅!$K$11:$K$310,270-COUNTA(半紙!$B$11:$B$310)),IF(270&lt;=COUNTA(半紙!$B$11:$B$310)+COUNTA(条幅!$B$11:$B$310)+COUNTA(条幅4分の1!$B$11:$B$310),INDEX(条幅4分の1!$K$11:$K$310,270-COUNTA(半紙!$B$11:$B$310)-COUNTA(条幅!$B$11:$B$310)),"")))=0,"",IF(270&lt;=COUNTA(半紙!$B$11:$B$310),INDEX(半紙!$K$11:$K$310,270),IF(270&lt;=COUNTA(半紙!$B$11:$B$310)+COUNTA(条幅!$B$11:$B$310),INDEX(条幅!$K$11:$K$310,270-COUNTA(半紙!$B$11:$B$310)),IF(270&lt;=COUNTA(半紙!$B$11:$B$310)+COUNTA(条幅!$B$11:$B$310)+COUNTA(条幅4分の1!$B$11:$B$310),INDEX(条幅4分の1!$K$11:$K$310,270-COUNTA(半紙!$B$11:$B$310)-COUNTA(条幅!$B$11:$B$310)),""))))</f>
        <v/>
      </c>
      <c r="L275" s="48" t="str">
        <f>IF($B275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270))</f>
        <v/>
      </c>
    </row>
    <row r="276" spans="1:12" ht="15" customHeight="1">
      <c r="A276" s="37" t="str">
        <f>IF(271&lt;=COUNTA(半紙!$B$11:$B$310),"半紙",IF(271&lt;=COUNTA(半紙!$B$11:$B$310)+COUNTA(条幅!$B$11:$B$310),"条幅(半切)",IF(271&lt;=COUNTA(半紙!$B$11:$B$310)+COUNTA(条幅!$B$11:$B$310)+COUNTA(条幅4分の1!$B$11:$B$310),"条幅(1/4)","")))</f>
        <v/>
      </c>
      <c r="B276" s="38" t="str">
        <f>IF(IF(271&lt;=COUNTA(半紙!$B$11:$B$310),INDEX(半紙!$B$11:$B$310,271),IF(271&lt;=COUNTA(半紙!$B$11:$B$310)+COUNTA(条幅!$B$11:$B$310),INDEX(条幅!$B$11:$B$310,271-COUNTA(半紙!$B$11:$B$310)),IF(271&lt;=COUNTA(半紙!$B$11:$B$310)+COUNTA(条幅!$B$11:$B$310)+COUNTA(条幅4分の1!$B$11:$B$310),INDEX(条幅4分の1!$B$11:$B$310,271-COUNTA(半紙!$B$11:$B$310)-COUNTA(条幅!$B$11:$B$310)),"")))=0,"",IF(271&lt;=COUNTA(半紙!$B$11:$B$310),INDEX(半紙!$B$11:$B$310,271),IF(271&lt;=COUNTA(半紙!$B$11:$B$310)+COUNTA(条幅!$B$11:$B$310),INDEX(条幅!$B$11:$B$310,271-COUNTA(半紙!$B$11:$B$310)),IF(271&lt;=COUNTA(半紙!$B$11:$B$310)+COUNTA(条幅!$B$11:$B$310)+COUNTA(条幅4分の1!$B$11:$B$310),INDEX(条幅4分の1!$B$11:$B$310,271-COUNTA(半紙!$B$11:$B$310)-COUNTA(条幅!$B$11:$B$310)),""))))</f>
        <v/>
      </c>
      <c r="C276" s="38" t="str">
        <f>IF(IF(271&lt;=COUNTA(半紙!$B$11:$B$310),INDEX(半紙!$C$11:$C$310,271),IF(271&lt;=COUNTA(半紙!$B$11:$B$310)+COUNTA(条幅!$B$11:$B$310),INDEX(条幅!$C$11:$C$310,271-COUNTA(半紙!$B$11:$B$310)),IF(271&lt;=COUNTA(半紙!$B$11:$B$310)+COUNTA(条幅!$B$11:$B$310)+COUNTA(条幅4分の1!$B$11:$B$310),INDEX(条幅4分の1!$C$11:$C$310,271-COUNTA(半紙!$B$11:$B$310)-COUNTA(条幅!$B$11:$B$310)),"")))=0,"",IF(271&lt;=COUNTA(半紙!$B$11:$B$310),INDEX(半紙!$C$11:$C$310,271),IF(271&lt;=COUNTA(半紙!$B$11:$B$310)+COUNTA(条幅!$B$11:$B$310),INDEX(条幅!$C$11:$C$310,271-COUNTA(半紙!$B$11:$B$310)),IF(271&lt;=COUNTA(半紙!$B$11:$B$310)+COUNTA(条幅!$B$11:$B$310)+COUNTA(条幅4分の1!$B$11:$B$310),INDEX(条幅4分の1!$C$11:$C$310,271-COUNTA(半紙!$B$11:$B$310)-COUNTA(条幅!$B$11:$B$310)),""))))</f>
        <v/>
      </c>
      <c r="D276" s="38" t="str">
        <f>IF(IF(271&lt;=COUNTA(半紙!$B$11:$B$310),INDEX(半紙!$D$11:$D$310,271),IF(271&lt;=COUNTA(半紙!$B$11:$B$310)+COUNTA(条幅!$B$11:$B$310),INDEX(条幅!$D$11:$D$310,271-COUNTA(半紙!$B$11:$B$310)),IF(271&lt;=COUNTA(半紙!$B$11:$B$310)+COUNTA(条幅!$B$11:$B$310)+COUNTA(条幅4分の1!$B$11:$B$310),INDEX(条幅4分の1!$D$11:$D$310,271-COUNTA(半紙!$B$11:$B$310)-COUNTA(条幅!$B$11:$B$310)),"")))=0,"",IF(271&lt;=COUNTA(半紙!$B$11:$B$310),INDEX(半紙!$D$11:$D$310,271),IF(271&lt;=COUNTA(半紙!$B$11:$B$310)+COUNTA(条幅!$B$11:$B$310),INDEX(条幅!$D$11:$D$310,271-COUNTA(半紙!$B$11:$B$310)),IF(271&lt;=COUNTA(半紙!$B$11:$B$310)+COUNTA(条幅!$B$11:$B$310)+COUNTA(条幅4分の1!$B$11:$B$310),INDEX(条幅4分の1!$D$11:$D$310,271-COUNTA(半紙!$B$11:$B$310)-COUNTA(条幅!$B$11:$B$310)),""))))</f>
        <v/>
      </c>
      <c r="E276" s="38" t="str">
        <f>IF(IF(271&lt;=COUNTA(半紙!$B$11:$B$310),INDEX(半紙!$E$11:$E$310,271),IF(271&lt;=COUNTA(半紙!$B$11:$B$310)+COUNTA(条幅!$B$11:$B$310),INDEX(条幅!$E$11:$E$310,271-COUNTA(半紙!$B$11:$B$310)),IF(271&lt;=COUNTA(半紙!$B$11:$B$310)+COUNTA(条幅!$B$11:$B$310)+COUNTA(条幅4分の1!$B$11:$B$310),INDEX(条幅4分の1!$E$11:$E$310,271-COUNTA(半紙!$B$11:$B$310)-COUNTA(条幅!$B$11:$B$310)),"")))=0,"",IF(271&lt;=COUNTA(半紙!$B$11:$B$310),INDEX(半紙!$E$11:$E$310,271),IF(271&lt;=COUNTA(半紙!$B$11:$B$310)+COUNTA(条幅!$B$11:$B$310),INDEX(条幅!$E$11:$E$310,271-COUNTA(半紙!$B$11:$B$310)),IF(271&lt;=COUNTA(半紙!$B$11:$B$310)+COUNTA(条幅!$B$11:$B$310)+COUNTA(条幅4分の1!$B$11:$B$310),INDEX(条幅4分の1!$E$11:$E$310,271-COUNTA(半紙!$B$11:$B$310)-COUNTA(条幅!$B$11:$B$310)),""))))</f>
        <v/>
      </c>
      <c r="F276" s="38" t="str">
        <f>IF(IF(271&lt;=COUNTA(半紙!$B$11:$B$310),INDEX(半紙!$F$11:$F$310,271),IF(271&lt;=COUNTA(半紙!$B$11:$B$310)+COUNTA(条幅!$B$11:$B$310),INDEX(条幅!$F$11:$F$310,271-COUNTA(半紙!$B$11:$B$310)),IF(271&lt;=COUNTA(半紙!$B$11:$B$310)+COUNTA(条幅!$B$11:$B$310)+COUNTA(条幅4分の1!$B$11:$B$310),INDEX(条幅4分の1!$F$11:$F$310,271-COUNTA(半紙!$B$11:$B$310)-COUNTA(条幅!$B$11:$B$310)),"")))=0,"",IF(271&lt;=COUNTA(半紙!$B$11:$B$310),INDEX(半紙!$F$11:$F$310,271),IF(271&lt;=COUNTA(半紙!$B$11:$B$310)+COUNTA(条幅!$B$11:$B$310),INDEX(条幅!$F$11:$F$310,271-COUNTA(半紙!$B$11:$B$310)),IF(271&lt;=COUNTA(半紙!$B$11:$B$310)+COUNTA(条幅!$B$11:$B$310)+COUNTA(条幅4分の1!$B$11:$B$310),INDEX(条幅4分の1!$F$11:$F$310,271-COUNTA(半紙!$B$11:$B$310)-COUNTA(条幅!$B$11:$B$310)),""))))</f>
        <v/>
      </c>
      <c r="G276" s="38" t="str">
        <f>IF(IF(271&lt;=COUNTA(半紙!$B$11:$B$310),INDEX(半紙!$G$11:$G$310,271),IF(271&lt;=COUNTA(半紙!$B$11:$B$310)+COUNTA(条幅!$B$11:$B$310),INDEX(条幅!$G$11:$G$310,271-COUNTA(半紙!$B$11:$B$310)),IF(271&lt;=COUNTA(半紙!$B$11:$B$310)+COUNTA(条幅!$B$11:$B$310)+COUNTA(条幅4分の1!$B$11:$B$310),INDEX(条幅4分の1!$G$11:$G$310,271-COUNTA(半紙!$B$11:$B$310)-COUNTA(条幅!$B$11:$B$310)),"")))=0,"",IF(271&lt;=COUNTA(半紙!$B$11:$B$310),INDEX(半紙!$G$11:$G$310,271),IF(271&lt;=COUNTA(半紙!$B$11:$B$310)+COUNTA(条幅!$B$11:$B$310),INDEX(条幅!$G$11:$G$310,271-COUNTA(半紙!$B$11:$B$310)),IF(271&lt;=COUNTA(半紙!$B$11:$B$310)+COUNTA(条幅!$B$11:$B$310)+COUNTA(条幅4分の1!$B$11:$B$310),INDEX(条幅4分の1!$G$11:$G$310,271-COUNTA(半紙!$B$11:$B$310)-COUNTA(条幅!$B$11:$B$310)),""))))</f>
        <v/>
      </c>
      <c r="H276" s="38" t="str">
        <f>IF(IF(271&lt;=COUNTA(半紙!$B$11:$B$310),INDEX(半紙!$H$11:$H$310,271),IF(271&lt;=COUNTA(半紙!$B$11:$B$310)+COUNTA(条幅!$B$11:$B$310),INDEX(条幅!$H$11:$H$310,271-COUNTA(半紙!$B$11:$B$310)),IF(271&lt;=COUNTA(半紙!$B$11:$B$310)+COUNTA(条幅!$B$11:$B$310)+COUNTA(条幅4分の1!$B$11:$B$310),INDEX(条幅4分の1!$H$11:$H$310,271-COUNTA(半紙!$B$11:$B$310)-COUNTA(条幅!$B$11:$B$310)),"")))=0,"",IF(271&lt;=COUNTA(半紙!$B$11:$B$310),INDEX(半紙!$H$11:$H$310,271),IF(271&lt;=COUNTA(半紙!$B$11:$B$310)+COUNTA(条幅!$B$11:$B$310),INDEX(条幅!$H$11:$H$310,271-COUNTA(半紙!$B$11:$B$310)),IF(271&lt;=COUNTA(半紙!$B$11:$B$310)+COUNTA(条幅!$B$11:$B$310)+COUNTA(条幅4分の1!$B$11:$B$310),INDEX(条幅4分の1!$H$11:$H$310,271-COUNTA(半紙!$B$11:$B$310)-COUNTA(条幅!$B$11:$B$310)),""))))</f>
        <v/>
      </c>
      <c r="I276" s="38" t="str">
        <f>IF(IF(271&lt;=COUNTA(半紙!$B$11:$B$310),INDEX(半紙!$I$11:$I$310,271),IF(271&lt;=COUNTA(半紙!$B$11:$B$310)+COUNTA(条幅!$B$11:$B$310),INDEX(条幅!$I$11:$I$310,271-COUNTA(半紙!$B$11:$B$310)),IF(271&lt;=COUNTA(半紙!$B$11:$B$310)+COUNTA(条幅!$B$11:$B$310)+COUNTA(条幅4分の1!$B$11:$B$310),INDEX(条幅4分の1!$I$11:$I$310,271-COUNTA(半紙!$B$11:$B$310)-COUNTA(条幅!$B$11:$B$310)),"")))=0,"",IF(271&lt;=COUNTA(半紙!$B$11:$B$310),INDEX(半紙!$I$11:$I$310,271),IF(271&lt;=COUNTA(半紙!$B$11:$B$310)+COUNTA(条幅!$B$11:$B$310),INDEX(条幅!$I$11:$I$310,271-COUNTA(半紙!$B$11:$B$310)),IF(271&lt;=COUNTA(半紙!$B$11:$B$310)+COUNTA(条幅!$B$11:$B$310)+COUNTA(条幅4分の1!$B$11:$B$310),INDEX(条幅4分の1!$I$11:$I$310,271-COUNTA(半紙!$B$11:$B$310)-COUNTA(条幅!$B$11:$B$310)),""))))</f>
        <v/>
      </c>
      <c r="J276" s="38" t="str">
        <f>IF(IF(271&lt;=COUNTA(半紙!$B$11:$B$310),INDEX(半紙!$J$11:$J$310,271),IF(271&lt;=COUNTA(半紙!$B$11:$B$310)+COUNTA(条幅!$B$11:$B$310),INDEX(条幅!$J$11:$J$310,271-COUNTA(半紙!$B$11:$B$310)),IF(271&lt;=COUNTA(半紙!$B$11:$B$310)+COUNTA(条幅!$B$11:$B$310)+COUNTA(条幅4分の1!$B$11:$B$310),INDEX(条幅4分の1!$J$11:$J$310,271-COUNTA(半紙!$B$11:$B$310)-COUNTA(条幅!$B$11:$B$310)),"")))=0,"",IF(271&lt;=COUNTA(半紙!$B$11:$B$310),INDEX(半紙!$J$11:$J$310,271),IF(271&lt;=COUNTA(半紙!$B$11:$B$310)+COUNTA(条幅!$B$11:$B$310),INDEX(条幅!$J$11:$J$310,271-COUNTA(半紙!$B$11:$B$310)),IF(271&lt;=COUNTA(半紙!$B$11:$B$310)+COUNTA(条幅!$B$11:$B$310)+COUNTA(条幅4分の1!$B$11:$B$310),INDEX(条幅4分の1!$J$11:$J$310,271-COUNTA(半紙!$B$11:$B$310)-COUNTA(条幅!$B$11:$B$310)),""))))</f>
        <v/>
      </c>
      <c r="K276" s="38" t="str">
        <f>IF(IF(271&lt;=COUNTA(半紙!$B$11:$B$310),INDEX(半紙!$K$11:$K$310,271),IF(271&lt;=COUNTA(半紙!$B$11:$B$310)+COUNTA(条幅!$B$11:$B$310),INDEX(条幅!$K$11:$K$310,271-COUNTA(半紙!$B$11:$B$310)),IF(271&lt;=COUNTA(半紙!$B$11:$B$310)+COUNTA(条幅!$B$11:$B$310)+COUNTA(条幅4分の1!$B$11:$B$310),INDEX(条幅4分の1!$K$11:$K$310,271-COUNTA(半紙!$B$11:$B$310)-COUNTA(条幅!$B$11:$B$310)),"")))=0,"",IF(271&lt;=COUNTA(半紙!$B$11:$B$310),INDEX(半紙!$K$11:$K$310,271),IF(271&lt;=COUNTA(半紙!$B$11:$B$310)+COUNTA(条幅!$B$11:$B$310),INDEX(条幅!$K$11:$K$310,271-COUNTA(半紙!$B$11:$B$310)),IF(271&lt;=COUNTA(半紙!$B$11:$B$310)+COUNTA(条幅!$B$11:$B$310)+COUNTA(条幅4分の1!$B$11:$B$310),INDEX(条幅4分の1!$K$11:$K$310,271-COUNTA(半紙!$B$11:$B$310)-COUNTA(条幅!$B$11:$B$310)),""))))</f>
        <v/>
      </c>
      <c r="L276" s="48" t="str">
        <f>IF($B276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271))</f>
        <v/>
      </c>
    </row>
    <row r="277" spans="1:12" ht="15" customHeight="1">
      <c r="A277" s="37" t="str">
        <f>IF(272&lt;=COUNTA(半紙!$B$11:$B$310),"半紙",IF(272&lt;=COUNTA(半紙!$B$11:$B$310)+COUNTA(条幅!$B$11:$B$310),"条幅(半切)",IF(272&lt;=COUNTA(半紙!$B$11:$B$310)+COUNTA(条幅!$B$11:$B$310)+COUNTA(条幅4分の1!$B$11:$B$310),"条幅(1/4)","")))</f>
        <v/>
      </c>
      <c r="B277" s="38" t="str">
        <f>IF(IF(272&lt;=COUNTA(半紙!$B$11:$B$310),INDEX(半紙!$B$11:$B$310,272),IF(272&lt;=COUNTA(半紙!$B$11:$B$310)+COUNTA(条幅!$B$11:$B$310),INDEX(条幅!$B$11:$B$310,272-COUNTA(半紙!$B$11:$B$310)),IF(272&lt;=COUNTA(半紙!$B$11:$B$310)+COUNTA(条幅!$B$11:$B$310)+COUNTA(条幅4分の1!$B$11:$B$310),INDEX(条幅4分の1!$B$11:$B$310,272-COUNTA(半紙!$B$11:$B$310)-COUNTA(条幅!$B$11:$B$310)),"")))=0,"",IF(272&lt;=COUNTA(半紙!$B$11:$B$310),INDEX(半紙!$B$11:$B$310,272),IF(272&lt;=COUNTA(半紙!$B$11:$B$310)+COUNTA(条幅!$B$11:$B$310),INDEX(条幅!$B$11:$B$310,272-COUNTA(半紙!$B$11:$B$310)),IF(272&lt;=COUNTA(半紙!$B$11:$B$310)+COUNTA(条幅!$B$11:$B$310)+COUNTA(条幅4分の1!$B$11:$B$310),INDEX(条幅4分の1!$B$11:$B$310,272-COUNTA(半紙!$B$11:$B$310)-COUNTA(条幅!$B$11:$B$310)),""))))</f>
        <v/>
      </c>
      <c r="C277" s="38" t="str">
        <f>IF(IF(272&lt;=COUNTA(半紙!$B$11:$B$310),INDEX(半紙!$C$11:$C$310,272),IF(272&lt;=COUNTA(半紙!$B$11:$B$310)+COUNTA(条幅!$B$11:$B$310),INDEX(条幅!$C$11:$C$310,272-COUNTA(半紙!$B$11:$B$310)),IF(272&lt;=COUNTA(半紙!$B$11:$B$310)+COUNTA(条幅!$B$11:$B$310)+COUNTA(条幅4分の1!$B$11:$B$310),INDEX(条幅4分の1!$C$11:$C$310,272-COUNTA(半紙!$B$11:$B$310)-COUNTA(条幅!$B$11:$B$310)),"")))=0,"",IF(272&lt;=COUNTA(半紙!$B$11:$B$310),INDEX(半紙!$C$11:$C$310,272),IF(272&lt;=COUNTA(半紙!$B$11:$B$310)+COUNTA(条幅!$B$11:$B$310),INDEX(条幅!$C$11:$C$310,272-COUNTA(半紙!$B$11:$B$310)),IF(272&lt;=COUNTA(半紙!$B$11:$B$310)+COUNTA(条幅!$B$11:$B$310)+COUNTA(条幅4分の1!$B$11:$B$310),INDEX(条幅4分の1!$C$11:$C$310,272-COUNTA(半紙!$B$11:$B$310)-COUNTA(条幅!$B$11:$B$310)),""))))</f>
        <v/>
      </c>
      <c r="D277" s="38" t="str">
        <f>IF(IF(272&lt;=COUNTA(半紙!$B$11:$B$310),INDEX(半紙!$D$11:$D$310,272),IF(272&lt;=COUNTA(半紙!$B$11:$B$310)+COUNTA(条幅!$B$11:$B$310),INDEX(条幅!$D$11:$D$310,272-COUNTA(半紙!$B$11:$B$310)),IF(272&lt;=COUNTA(半紙!$B$11:$B$310)+COUNTA(条幅!$B$11:$B$310)+COUNTA(条幅4分の1!$B$11:$B$310),INDEX(条幅4分の1!$D$11:$D$310,272-COUNTA(半紙!$B$11:$B$310)-COUNTA(条幅!$B$11:$B$310)),"")))=0,"",IF(272&lt;=COUNTA(半紙!$B$11:$B$310),INDEX(半紙!$D$11:$D$310,272),IF(272&lt;=COUNTA(半紙!$B$11:$B$310)+COUNTA(条幅!$B$11:$B$310),INDEX(条幅!$D$11:$D$310,272-COUNTA(半紙!$B$11:$B$310)),IF(272&lt;=COUNTA(半紙!$B$11:$B$310)+COUNTA(条幅!$B$11:$B$310)+COUNTA(条幅4分の1!$B$11:$B$310),INDEX(条幅4分の1!$D$11:$D$310,272-COUNTA(半紙!$B$11:$B$310)-COUNTA(条幅!$B$11:$B$310)),""))))</f>
        <v/>
      </c>
      <c r="E277" s="38" t="str">
        <f>IF(IF(272&lt;=COUNTA(半紙!$B$11:$B$310),INDEX(半紙!$E$11:$E$310,272),IF(272&lt;=COUNTA(半紙!$B$11:$B$310)+COUNTA(条幅!$B$11:$B$310),INDEX(条幅!$E$11:$E$310,272-COUNTA(半紙!$B$11:$B$310)),IF(272&lt;=COUNTA(半紙!$B$11:$B$310)+COUNTA(条幅!$B$11:$B$310)+COUNTA(条幅4分の1!$B$11:$B$310),INDEX(条幅4分の1!$E$11:$E$310,272-COUNTA(半紙!$B$11:$B$310)-COUNTA(条幅!$B$11:$B$310)),"")))=0,"",IF(272&lt;=COUNTA(半紙!$B$11:$B$310),INDEX(半紙!$E$11:$E$310,272),IF(272&lt;=COUNTA(半紙!$B$11:$B$310)+COUNTA(条幅!$B$11:$B$310),INDEX(条幅!$E$11:$E$310,272-COUNTA(半紙!$B$11:$B$310)),IF(272&lt;=COUNTA(半紙!$B$11:$B$310)+COUNTA(条幅!$B$11:$B$310)+COUNTA(条幅4分の1!$B$11:$B$310),INDEX(条幅4分の1!$E$11:$E$310,272-COUNTA(半紙!$B$11:$B$310)-COUNTA(条幅!$B$11:$B$310)),""))))</f>
        <v/>
      </c>
      <c r="F277" s="38" t="str">
        <f>IF(IF(272&lt;=COUNTA(半紙!$B$11:$B$310),INDEX(半紙!$F$11:$F$310,272),IF(272&lt;=COUNTA(半紙!$B$11:$B$310)+COUNTA(条幅!$B$11:$B$310),INDEX(条幅!$F$11:$F$310,272-COUNTA(半紙!$B$11:$B$310)),IF(272&lt;=COUNTA(半紙!$B$11:$B$310)+COUNTA(条幅!$B$11:$B$310)+COUNTA(条幅4分の1!$B$11:$B$310),INDEX(条幅4分の1!$F$11:$F$310,272-COUNTA(半紙!$B$11:$B$310)-COUNTA(条幅!$B$11:$B$310)),"")))=0,"",IF(272&lt;=COUNTA(半紙!$B$11:$B$310),INDEX(半紙!$F$11:$F$310,272),IF(272&lt;=COUNTA(半紙!$B$11:$B$310)+COUNTA(条幅!$B$11:$B$310),INDEX(条幅!$F$11:$F$310,272-COUNTA(半紙!$B$11:$B$310)),IF(272&lt;=COUNTA(半紙!$B$11:$B$310)+COUNTA(条幅!$B$11:$B$310)+COUNTA(条幅4分の1!$B$11:$B$310),INDEX(条幅4分の1!$F$11:$F$310,272-COUNTA(半紙!$B$11:$B$310)-COUNTA(条幅!$B$11:$B$310)),""))))</f>
        <v/>
      </c>
      <c r="G277" s="38" t="str">
        <f>IF(IF(272&lt;=COUNTA(半紙!$B$11:$B$310),INDEX(半紙!$G$11:$G$310,272),IF(272&lt;=COUNTA(半紙!$B$11:$B$310)+COUNTA(条幅!$B$11:$B$310),INDEX(条幅!$G$11:$G$310,272-COUNTA(半紙!$B$11:$B$310)),IF(272&lt;=COUNTA(半紙!$B$11:$B$310)+COUNTA(条幅!$B$11:$B$310)+COUNTA(条幅4分の1!$B$11:$B$310),INDEX(条幅4分の1!$G$11:$G$310,272-COUNTA(半紙!$B$11:$B$310)-COUNTA(条幅!$B$11:$B$310)),"")))=0,"",IF(272&lt;=COUNTA(半紙!$B$11:$B$310),INDEX(半紙!$G$11:$G$310,272),IF(272&lt;=COUNTA(半紙!$B$11:$B$310)+COUNTA(条幅!$B$11:$B$310),INDEX(条幅!$G$11:$G$310,272-COUNTA(半紙!$B$11:$B$310)),IF(272&lt;=COUNTA(半紙!$B$11:$B$310)+COUNTA(条幅!$B$11:$B$310)+COUNTA(条幅4分の1!$B$11:$B$310),INDEX(条幅4分の1!$G$11:$G$310,272-COUNTA(半紙!$B$11:$B$310)-COUNTA(条幅!$B$11:$B$310)),""))))</f>
        <v/>
      </c>
      <c r="H277" s="38" t="str">
        <f>IF(IF(272&lt;=COUNTA(半紙!$B$11:$B$310),INDEX(半紙!$H$11:$H$310,272),IF(272&lt;=COUNTA(半紙!$B$11:$B$310)+COUNTA(条幅!$B$11:$B$310),INDEX(条幅!$H$11:$H$310,272-COUNTA(半紙!$B$11:$B$310)),IF(272&lt;=COUNTA(半紙!$B$11:$B$310)+COUNTA(条幅!$B$11:$B$310)+COUNTA(条幅4分の1!$B$11:$B$310),INDEX(条幅4分の1!$H$11:$H$310,272-COUNTA(半紙!$B$11:$B$310)-COUNTA(条幅!$B$11:$B$310)),"")))=0,"",IF(272&lt;=COUNTA(半紙!$B$11:$B$310),INDEX(半紙!$H$11:$H$310,272),IF(272&lt;=COUNTA(半紙!$B$11:$B$310)+COUNTA(条幅!$B$11:$B$310),INDEX(条幅!$H$11:$H$310,272-COUNTA(半紙!$B$11:$B$310)),IF(272&lt;=COUNTA(半紙!$B$11:$B$310)+COUNTA(条幅!$B$11:$B$310)+COUNTA(条幅4分の1!$B$11:$B$310),INDEX(条幅4分の1!$H$11:$H$310,272-COUNTA(半紙!$B$11:$B$310)-COUNTA(条幅!$B$11:$B$310)),""))))</f>
        <v/>
      </c>
      <c r="I277" s="38" t="str">
        <f>IF(IF(272&lt;=COUNTA(半紙!$B$11:$B$310),INDEX(半紙!$I$11:$I$310,272),IF(272&lt;=COUNTA(半紙!$B$11:$B$310)+COUNTA(条幅!$B$11:$B$310),INDEX(条幅!$I$11:$I$310,272-COUNTA(半紙!$B$11:$B$310)),IF(272&lt;=COUNTA(半紙!$B$11:$B$310)+COUNTA(条幅!$B$11:$B$310)+COUNTA(条幅4分の1!$B$11:$B$310),INDEX(条幅4分の1!$I$11:$I$310,272-COUNTA(半紙!$B$11:$B$310)-COUNTA(条幅!$B$11:$B$310)),"")))=0,"",IF(272&lt;=COUNTA(半紙!$B$11:$B$310),INDEX(半紙!$I$11:$I$310,272),IF(272&lt;=COUNTA(半紙!$B$11:$B$310)+COUNTA(条幅!$B$11:$B$310),INDEX(条幅!$I$11:$I$310,272-COUNTA(半紙!$B$11:$B$310)),IF(272&lt;=COUNTA(半紙!$B$11:$B$310)+COUNTA(条幅!$B$11:$B$310)+COUNTA(条幅4分の1!$B$11:$B$310),INDEX(条幅4分の1!$I$11:$I$310,272-COUNTA(半紙!$B$11:$B$310)-COUNTA(条幅!$B$11:$B$310)),""))))</f>
        <v/>
      </c>
      <c r="J277" s="38" t="str">
        <f>IF(IF(272&lt;=COUNTA(半紙!$B$11:$B$310),INDEX(半紙!$J$11:$J$310,272),IF(272&lt;=COUNTA(半紙!$B$11:$B$310)+COUNTA(条幅!$B$11:$B$310),INDEX(条幅!$J$11:$J$310,272-COUNTA(半紙!$B$11:$B$310)),IF(272&lt;=COUNTA(半紙!$B$11:$B$310)+COUNTA(条幅!$B$11:$B$310)+COUNTA(条幅4分の1!$B$11:$B$310),INDEX(条幅4分の1!$J$11:$J$310,272-COUNTA(半紙!$B$11:$B$310)-COUNTA(条幅!$B$11:$B$310)),"")))=0,"",IF(272&lt;=COUNTA(半紙!$B$11:$B$310),INDEX(半紙!$J$11:$J$310,272),IF(272&lt;=COUNTA(半紙!$B$11:$B$310)+COUNTA(条幅!$B$11:$B$310),INDEX(条幅!$J$11:$J$310,272-COUNTA(半紙!$B$11:$B$310)),IF(272&lt;=COUNTA(半紙!$B$11:$B$310)+COUNTA(条幅!$B$11:$B$310)+COUNTA(条幅4分の1!$B$11:$B$310),INDEX(条幅4分の1!$J$11:$J$310,272-COUNTA(半紙!$B$11:$B$310)-COUNTA(条幅!$B$11:$B$310)),""))))</f>
        <v/>
      </c>
      <c r="K277" s="38" t="str">
        <f>IF(IF(272&lt;=COUNTA(半紙!$B$11:$B$310),INDEX(半紙!$K$11:$K$310,272),IF(272&lt;=COUNTA(半紙!$B$11:$B$310)+COUNTA(条幅!$B$11:$B$310),INDEX(条幅!$K$11:$K$310,272-COUNTA(半紙!$B$11:$B$310)),IF(272&lt;=COUNTA(半紙!$B$11:$B$310)+COUNTA(条幅!$B$11:$B$310)+COUNTA(条幅4分の1!$B$11:$B$310),INDEX(条幅4分の1!$K$11:$K$310,272-COUNTA(半紙!$B$11:$B$310)-COUNTA(条幅!$B$11:$B$310)),"")))=0,"",IF(272&lt;=COUNTA(半紙!$B$11:$B$310),INDEX(半紙!$K$11:$K$310,272),IF(272&lt;=COUNTA(半紙!$B$11:$B$310)+COUNTA(条幅!$B$11:$B$310),INDEX(条幅!$K$11:$K$310,272-COUNTA(半紙!$B$11:$B$310)),IF(272&lt;=COUNTA(半紙!$B$11:$B$310)+COUNTA(条幅!$B$11:$B$310)+COUNTA(条幅4分の1!$B$11:$B$310),INDEX(条幅4分の1!$K$11:$K$310,272-COUNTA(半紙!$B$11:$B$310)-COUNTA(条幅!$B$11:$B$310)),""))))</f>
        <v/>
      </c>
      <c r="L277" s="48" t="str">
        <f>IF($B277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272))</f>
        <v/>
      </c>
    </row>
    <row r="278" spans="1:12" ht="15" customHeight="1">
      <c r="A278" s="37" t="str">
        <f>IF(273&lt;=COUNTA(半紙!$B$11:$B$310),"半紙",IF(273&lt;=COUNTA(半紙!$B$11:$B$310)+COUNTA(条幅!$B$11:$B$310),"条幅(半切)",IF(273&lt;=COUNTA(半紙!$B$11:$B$310)+COUNTA(条幅!$B$11:$B$310)+COUNTA(条幅4分の1!$B$11:$B$310),"条幅(1/4)","")))</f>
        <v/>
      </c>
      <c r="B278" s="38" t="str">
        <f>IF(IF(273&lt;=COUNTA(半紙!$B$11:$B$310),INDEX(半紙!$B$11:$B$310,273),IF(273&lt;=COUNTA(半紙!$B$11:$B$310)+COUNTA(条幅!$B$11:$B$310),INDEX(条幅!$B$11:$B$310,273-COUNTA(半紙!$B$11:$B$310)),IF(273&lt;=COUNTA(半紙!$B$11:$B$310)+COUNTA(条幅!$B$11:$B$310)+COUNTA(条幅4分の1!$B$11:$B$310),INDEX(条幅4分の1!$B$11:$B$310,273-COUNTA(半紙!$B$11:$B$310)-COUNTA(条幅!$B$11:$B$310)),"")))=0,"",IF(273&lt;=COUNTA(半紙!$B$11:$B$310),INDEX(半紙!$B$11:$B$310,273),IF(273&lt;=COUNTA(半紙!$B$11:$B$310)+COUNTA(条幅!$B$11:$B$310),INDEX(条幅!$B$11:$B$310,273-COUNTA(半紙!$B$11:$B$310)),IF(273&lt;=COUNTA(半紙!$B$11:$B$310)+COUNTA(条幅!$B$11:$B$310)+COUNTA(条幅4分の1!$B$11:$B$310),INDEX(条幅4分の1!$B$11:$B$310,273-COUNTA(半紙!$B$11:$B$310)-COUNTA(条幅!$B$11:$B$310)),""))))</f>
        <v/>
      </c>
      <c r="C278" s="38" t="str">
        <f>IF(IF(273&lt;=COUNTA(半紙!$B$11:$B$310),INDEX(半紙!$C$11:$C$310,273),IF(273&lt;=COUNTA(半紙!$B$11:$B$310)+COUNTA(条幅!$B$11:$B$310),INDEX(条幅!$C$11:$C$310,273-COUNTA(半紙!$B$11:$B$310)),IF(273&lt;=COUNTA(半紙!$B$11:$B$310)+COUNTA(条幅!$B$11:$B$310)+COUNTA(条幅4分の1!$B$11:$B$310),INDEX(条幅4分の1!$C$11:$C$310,273-COUNTA(半紙!$B$11:$B$310)-COUNTA(条幅!$B$11:$B$310)),"")))=0,"",IF(273&lt;=COUNTA(半紙!$B$11:$B$310),INDEX(半紙!$C$11:$C$310,273),IF(273&lt;=COUNTA(半紙!$B$11:$B$310)+COUNTA(条幅!$B$11:$B$310),INDEX(条幅!$C$11:$C$310,273-COUNTA(半紙!$B$11:$B$310)),IF(273&lt;=COUNTA(半紙!$B$11:$B$310)+COUNTA(条幅!$B$11:$B$310)+COUNTA(条幅4分の1!$B$11:$B$310),INDEX(条幅4分の1!$C$11:$C$310,273-COUNTA(半紙!$B$11:$B$310)-COUNTA(条幅!$B$11:$B$310)),""))))</f>
        <v/>
      </c>
      <c r="D278" s="38" t="str">
        <f>IF(IF(273&lt;=COUNTA(半紙!$B$11:$B$310),INDEX(半紙!$D$11:$D$310,273),IF(273&lt;=COUNTA(半紙!$B$11:$B$310)+COUNTA(条幅!$B$11:$B$310),INDEX(条幅!$D$11:$D$310,273-COUNTA(半紙!$B$11:$B$310)),IF(273&lt;=COUNTA(半紙!$B$11:$B$310)+COUNTA(条幅!$B$11:$B$310)+COUNTA(条幅4分の1!$B$11:$B$310),INDEX(条幅4分の1!$D$11:$D$310,273-COUNTA(半紙!$B$11:$B$310)-COUNTA(条幅!$B$11:$B$310)),"")))=0,"",IF(273&lt;=COUNTA(半紙!$B$11:$B$310),INDEX(半紙!$D$11:$D$310,273),IF(273&lt;=COUNTA(半紙!$B$11:$B$310)+COUNTA(条幅!$B$11:$B$310),INDEX(条幅!$D$11:$D$310,273-COUNTA(半紙!$B$11:$B$310)),IF(273&lt;=COUNTA(半紙!$B$11:$B$310)+COUNTA(条幅!$B$11:$B$310)+COUNTA(条幅4分の1!$B$11:$B$310),INDEX(条幅4分の1!$D$11:$D$310,273-COUNTA(半紙!$B$11:$B$310)-COUNTA(条幅!$B$11:$B$310)),""))))</f>
        <v/>
      </c>
      <c r="E278" s="38" t="str">
        <f>IF(IF(273&lt;=COUNTA(半紙!$B$11:$B$310),INDEX(半紙!$E$11:$E$310,273),IF(273&lt;=COUNTA(半紙!$B$11:$B$310)+COUNTA(条幅!$B$11:$B$310),INDEX(条幅!$E$11:$E$310,273-COUNTA(半紙!$B$11:$B$310)),IF(273&lt;=COUNTA(半紙!$B$11:$B$310)+COUNTA(条幅!$B$11:$B$310)+COUNTA(条幅4分の1!$B$11:$B$310),INDEX(条幅4分の1!$E$11:$E$310,273-COUNTA(半紙!$B$11:$B$310)-COUNTA(条幅!$B$11:$B$310)),"")))=0,"",IF(273&lt;=COUNTA(半紙!$B$11:$B$310),INDEX(半紙!$E$11:$E$310,273),IF(273&lt;=COUNTA(半紙!$B$11:$B$310)+COUNTA(条幅!$B$11:$B$310),INDEX(条幅!$E$11:$E$310,273-COUNTA(半紙!$B$11:$B$310)),IF(273&lt;=COUNTA(半紙!$B$11:$B$310)+COUNTA(条幅!$B$11:$B$310)+COUNTA(条幅4分の1!$B$11:$B$310),INDEX(条幅4分の1!$E$11:$E$310,273-COUNTA(半紙!$B$11:$B$310)-COUNTA(条幅!$B$11:$B$310)),""))))</f>
        <v/>
      </c>
      <c r="F278" s="38" t="str">
        <f>IF(IF(273&lt;=COUNTA(半紙!$B$11:$B$310),INDEX(半紙!$F$11:$F$310,273),IF(273&lt;=COUNTA(半紙!$B$11:$B$310)+COUNTA(条幅!$B$11:$B$310),INDEX(条幅!$F$11:$F$310,273-COUNTA(半紙!$B$11:$B$310)),IF(273&lt;=COUNTA(半紙!$B$11:$B$310)+COUNTA(条幅!$B$11:$B$310)+COUNTA(条幅4分の1!$B$11:$B$310),INDEX(条幅4分の1!$F$11:$F$310,273-COUNTA(半紙!$B$11:$B$310)-COUNTA(条幅!$B$11:$B$310)),"")))=0,"",IF(273&lt;=COUNTA(半紙!$B$11:$B$310),INDEX(半紙!$F$11:$F$310,273),IF(273&lt;=COUNTA(半紙!$B$11:$B$310)+COUNTA(条幅!$B$11:$B$310),INDEX(条幅!$F$11:$F$310,273-COUNTA(半紙!$B$11:$B$310)),IF(273&lt;=COUNTA(半紙!$B$11:$B$310)+COUNTA(条幅!$B$11:$B$310)+COUNTA(条幅4分の1!$B$11:$B$310),INDEX(条幅4分の1!$F$11:$F$310,273-COUNTA(半紙!$B$11:$B$310)-COUNTA(条幅!$B$11:$B$310)),""))))</f>
        <v/>
      </c>
      <c r="G278" s="38" t="str">
        <f>IF(IF(273&lt;=COUNTA(半紙!$B$11:$B$310),INDEX(半紙!$G$11:$G$310,273),IF(273&lt;=COUNTA(半紙!$B$11:$B$310)+COUNTA(条幅!$B$11:$B$310),INDEX(条幅!$G$11:$G$310,273-COUNTA(半紙!$B$11:$B$310)),IF(273&lt;=COUNTA(半紙!$B$11:$B$310)+COUNTA(条幅!$B$11:$B$310)+COUNTA(条幅4分の1!$B$11:$B$310),INDEX(条幅4分の1!$G$11:$G$310,273-COUNTA(半紙!$B$11:$B$310)-COUNTA(条幅!$B$11:$B$310)),"")))=0,"",IF(273&lt;=COUNTA(半紙!$B$11:$B$310),INDEX(半紙!$G$11:$G$310,273),IF(273&lt;=COUNTA(半紙!$B$11:$B$310)+COUNTA(条幅!$B$11:$B$310),INDEX(条幅!$G$11:$G$310,273-COUNTA(半紙!$B$11:$B$310)),IF(273&lt;=COUNTA(半紙!$B$11:$B$310)+COUNTA(条幅!$B$11:$B$310)+COUNTA(条幅4分の1!$B$11:$B$310),INDEX(条幅4分の1!$G$11:$G$310,273-COUNTA(半紙!$B$11:$B$310)-COUNTA(条幅!$B$11:$B$310)),""))))</f>
        <v/>
      </c>
      <c r="H278" s="38" t="str">
        <f>IF(IF(273&lt;=COUNTA(半紙!$B$11:$B$310),INDEX(半紙!$H$11:$H$310,273),IF(273&lt;=COUNTA(半紙!$B$11:$B$310)+COUNTA(条幅!$B$11:$B$310),INDEX(条幅!$H$11:$H$310,273-COUNTA(半紙!$B$11:$B$310)),IF(273&lt;=COUNTA(半紙!$B$11:$B$310)+COUNTA(条幅!$B$11:$B$310)+COUNTA(条幅4分の1!$B$11:$B$310),INDEX(条幅4分の1!$H$11:$H$310,273-COUNTA(半紙!$B$11:$B$310)-COUNTA(条幅!$B$11:$B$310)),"")))=0,"",IF(273&lt;=COUNTA(半紙!$B$11:$B$310),INDEX(半紙!$H$11:$H$310,273),IF(273&lt;=COUNTA(半紙!$B$11:$B$310)+COUNTA(条幅!$B$11:$B$310),INDEX(条幅!$H$11:$H$310,273-COUNTA(半紙!$B$11:$B$310)),IF(273&lt;=COUNTA(半紙!$B$11:$B$310)+COUNTA(条幅!$B$11:$B$310)+COUNTA(条幅4分の1!$B$11:$B$310),INDEX(条幅4分の1!$H$11:$H$310,273-COUNTA(半紙!$B$11:$B$310)-COUNTA(条幅!$B$11:$B$310)),""))))</f>
        <v/>
      </c>
      <c r="I278" s="38" t="str">
        <f>IF(IF(273&lt;=COUNTA(半紙!$B$11:$B$310),INDEX(半紙!$I$11:$I$310,273),IF(273&lt;=COUNTA(半紙!$B$11:$B$310)+COUNTA(条幅!$B$11:$B$310),INDEX(条幅!$I$11:$I$310,273-COUNTA(半紙!$B$11:$B$310)),IF(273&lt;=COUNTA(半紙!$B$11:$B$310)+COUNTA(条幅!$B$11:$B$310)+COUNTA(条幅4分の1!$B$11:$B$310),INDEX(条幅4分の1!$I$11:$I$310,273-COUNTA(半紙!$B$11:$B$310)-COUNTA(条幅!$B$11:$B$310)),"")))=0,"",IF(273&lt;=COUNTA(半紙!$B$11:$B$310),INDEX(半紙!$I$11:$I$310,273),IF(273&lt;=COUNTA(半紙!$B$11:$B$310)+COUNTA(条幅!$B$11:$B$310),INDEX(条幅!$I$11:$I$310,273-COUNTA(半紙!$B$11:$B$310)),IF(273&lt;=COUNTA(半紙!$B$11:$B$310)+COUNTA(条幅!$B$11:$B$310)+COUNTA(条幅4分の1!$B$11:$B$310),INDEX(条幅4分の1!$I$11:$I$310,273-COUNTA(半紙!$B$11:$B$310)-COUNTA(条幅!$B$11:$B$310)),""))))</f>
        <v/>
      </c>
      <c r="J278" s="38" t="str">
        <f>IF(IF(273&lt;=COUNTA(半紙!$B$11:$B$310),INDEX(半紙!$J$11:$J$310,273),IF(273&lt;=COUNTA(半紙!$B$11:$B$310)+COUNTA(条幅!$B$11:$B$310),INDEX(条幅!$J$11:$J$310,273-COUNTA(半紙!$B$11:$B$310)),IF(273&lt;=COUNTA(半紙!$B$11:$B$310)+COUNTA(条幅!$B$11:$B$310)+COUNTA(条幅4分の1!$B$11:$B$310),INDEX(条幅4分の1!$J$11:$J$310,273-COUNTA(半紙!$B$11:$B$310)-COUNTA(条幅!$B$11:$B$310)),"")))=0,"",IF(273&lt;=COUNTA(半紙!$B$11:$B$310),INDEX(半紙!$J$11:$J$310,273),IF(273&lt;=COUNTA(半紙!$B$11:$B$310)+COUNTA(条幅!$B$11:$B$310),INDEX(条幅!$J$11:$J$310,273-COUNTA(半紙!$B$11:$B$310)),IF(273&lt;=COUNTA(半紙!$B$11:$B$310)+COUNTA(条幅!$B$11:$B$310)+COUNTA(条幅4分の1!$B$11:$B$310),INDEX(条幅4分の1!$J$11:$J$310,273-COUNTA(半紙!$B$11:$B$310)-COUNTA(条幅!$B$11:$B$310)),""))))</f>
        <v/>
      </c>
      <c r="K278" s="38" t="str">
        <f>IF(IF(273&lt;=COUNTA(半紙!$B$11:$B$310),INDEX(半紙!$K$11:$K$310,273),IF(273&lt;=COUNTA(半紙!$B$11:$B$310)+COUNTA(条幅!$B$11:$B$310),INDEX(条幅!$K$11:$K$310,273-COUNTA(半紙!$B$11:$B$310)),IF(273&lt;=COUNTA(半紙!$B$11:$B$310)+COUNTA(条幅!$B$11:$B$310)+COUNTA(条幅4分の1!$B$11:$B$310),INDEX(条幅4分の1!$K$11:$K$310,273-COUNTA(半紙!$B$11:$B$310)-COUNTA(条幅!$B$11:$B$310)),"")))=0,"",IF(273&lt;=COUNTA(半紙!$B$11:$B$310),INDEX(半紙!$K$11:$K$310,273),IF(273&lt;=COUNTA(半紙!$B$11:$B$310)+COUNTA(条幅!$B$11:$B$310),INDEX(条幅!$K$11:$K$310,273-COUNTA(半紙!$B$11:$B$310)),IF(273&lt;=COUNTA(半紙!$B$11:$B$310)+COUNTA(条幅!$B$11:$B$310)+COUNTA(条幅4分の1!$B$11:$B$310),INDEX(条幅4分の1!$K$11:$K$310,273-COUNTA(半紙!$B$11:$B$310)-COUNTA(条幅!$B$11:$B$310)),""))))</f>
        <v/>
      </c>
      <c r="L278" s="48" t="str">
        <f>IF($B278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273))</f>
        <v/>
      </c>
    </row>
    <row r="279" spans="1:12" ht="15" customHeight="1">
      <c r="A279" s="37" t="str">
        <f>IF(274&lt;=COUNTA(半紙!$B$11:$B$310),"半紙",IF(274&lt;=COUNTA(半紙!$B$11:$B$310)+COUNTA(条幅!$B$11:$B$310),"条幅(半切)",IF(274&lt;=COUNTA(半紙!$B$11:$B$310)+COUNTA(条幅!$B$11:$B$310)+COUNTA(条幅4分の1!$B$11:$B$310),"条幅(1/4)","")))</f>
        <v/>
      </c>
      <c r="B279" s="38" t="str">
        <f>IF(IF(274&lt;=COUNTA(半紙!$B$11:$B$310),INDEX(半紙!$B$11:$B$310,274),IF(274&lt;=COUNTA(半紙!$B$11:$B$310)+COUNTA(条幅!$B$11:$B$310),INDEX(条幅!$B$11:$B$310,274-COUNTA(半紙!$B$11:$B$310)),IF(274&lt;=COUNTA(半紙!$B$11:$B$310)+COUNTA(条幅!$B$11:$B$310)+COUNTA(条幅4分の1!$B$11:$B$310),INDEX(条幅4分の1!$B$11:$B$310,274-COUNTA(半紙!$B$11:$B$310)-COUNTA(条幅!$B$11:$B$310)),"")))=0,"",IF(274&lt;=COUNTA(半紙!$B$11:$B$310),INDEX(半紙!$B$11:$B$310,274),IF(274&lt;=COUNTA(半紙!$B$11:$B$310)+COUNTA(条幅!$B$11:$B$310),INDEX(条幅!$B$11:$B$310,274-COUNTA(半紙!$B$11:$B$310)),IF(274&lt;=COUNTA(半紙!$B$11:$B$310)+COUNTA(条幅!$B$11:$B$310)+COUNTA(条幅4分の1!$B$11:$B$310),INDEX(条幅4分の1!$B$11:$B$310,274-COUNTA(半紙!$B$11:$B$310)-COUNTA(条幅!$B$11:$B$310)),""))))</f>
        <v/>
      </c>
      <c r="C279" s="38" t="str">
        <f>IF(IF(274&lt;=COUNTA(半紙!$B$11:$B$310),INDEX(半紙!$C$11:$C$310,274),IF(274&lt;=COUNTA(半紙!$B$11:$B$310)+COUNTA(条幅!$B$11:$B$310),INDEX(条幅!$C$11:$C$310,274-COUNTA(半紙!$B$11:$B$310)),IF(274&lt;=COUNTA(半紙!$B$11:$B$310)+COUNTA(条幅!$B$11:$B$310)+COUNTA(条幅4分の1!$B$11:$B$310),INDEX(条幅4分の1!$C$11:$C$310,274-COUNTA(半紙!$B$11:$B$310)-COUNTA(条幅!$B$11:$B$310)),"")))=0,"",IF(274&lt;=COUNTA(半紙!$B$11:$B$310),INDEX(半紙!$C$11:$C$310,274),IF(274&lt;=COUNTA(半紙!$B$11:$B$310)+COUNTA(条幅!$B$11:$B$310),INDEX(条幅!$C$11:$C$310,274-COUNTA(半紙!$B$11:$B$310)),IF(274&lt;=COUNTA(半紙!$B$11:$B$310)+COUNTA(条幅!$B$11:$B$310)+COUNTA(条幅4分の1!$B$11:$B$310),INDEX(条幅4分の1!$C$11:$C$310,274-COUNTA(半紙!$B$11:$B$310)-COUNTA(条幅!$B$11:$B$310)),""))))</f>
        <v/>
      </c>
      <c r="D279" s="38" t="str">
        <f>IF(IF(274&lt;=COUNTA(半紙!$B$11:$B$310),INDEX(半紙!$D$11:$D$310,274),IF(274&lt;=COUNTA(半紙!$B$11:$B$310)+COUNTA(条幅!$B$11:$B$310),INDEX(条幅!$D$11:$D$310,274-COUNTA(半紙!$B$11:$B$310)),IF(274&lt;=COUNTA(半紙!$B$11:$B$310)+COUNTA(条幅!$B$11:$B$310)+COUNTA(条幅4分の1!$B$11:$B$310),INDEX(条幅4分の1!$D$11:$D$310,274-COUNTA(半紙!$B$11:$B$310)-COUNTA(条幅!$B$11:$B$310)),"")))=0,"",IF(274&lt;=COUNTA(半紙!$B$11:$B$310),INDEX(半紙!$D$11:$D$310,274),IF(274&lt;=COUNTA(半紙!$B$11:$B$310)+COUNTA(条幅!$B$11:$B$310),INDEX(条幅!$D$11:$D$310,274-COUNTA(半紙!$B$11:$B$310)),IF(274&lt;=COUNTA(半紙!$B$11:$B$310)+COUNTA(条幅!$B$11:$B$310)+COUNTA(条幅4分の1!$B$11:$B$310),INDEX(条幅4分の1!$D$11:$D$310,274-COUNTA(半紙!$B$11:$B$310)-COUNTA(条幅!$B$11:$B$310)),""))))</f>
        <v/>
      </c>
      <c r="E279" s="38" t="str">
        <f>IF(IF(274&lt;=COUNTA(半紙!$B$11:$B$310),INDEX(半紙!$E$11:$E$310,274),IF(274&lt;=COUNTA(半紙!$B$11:$B$310)+COUNTA(条幅!$B$11:$B$310),INDEX(条幅!$E$11:$E$310,274-COUNTA(半紙!$B$11:$B$310)),IF(274&lt;=COUNTA(半紙!$B$11:$B$310)+COUNTA(条幅!$B$11:$B$310)+COUNTA(条幅4分の1!$B$11:$B$310),INDEX(条幅4分の1!$E$11:$E$310,274-COUNTA(半紙!$B$11:$B$310)-COUNTA(条幅!$B$11:$B$310)),"")))=0,"",IF(274&lt;=COUNTA(半紙!$B$11:$B$310),INDEX(半紙!$E$11:$E$310,274),IF(274&lt;=COUNTA(半紙!$B$11:$B$310)+COUNTA(条幅!$B$11:$B$310),INDEX(条幅!$E$11:$E$310,274-COUNTA(半紙!$B$11:$B$310)),IF(274&lt;=COUNTA(半紙!$B$11:$B$310)+COUNTA(条幅!$B$11:$B$310)+COUNTA(条幅4分の1!$B$11:$B$310),INDEX(条幅4分の1!$E$11:$E$310,274-COUNTA(半紙!$B$11:$B$310)-COUNTA(条幅!$B$11:$B$310)),""))))</f>
        <v/>
      </c>
      <c r="F279" s="38" t="str">
        <f>IF(IF(274&lt;=COUNTA(半紙!$B$11:$B$310),INDEX(半紙!$F$11:$F$310,274),IF(274&lt;=COUNTA(半紙!$B$11:$B$310)+COUNTA(条幅!$B$11:$B$310),INDEX(条幅!$F$11:$F$310,274-COUNTA(半紙!$B$11:$B$310)),IF(274&lt;=COUNTA(半紙!$B$11:$B$310)+COUNTA(条幅!$B$11:$B$310)+COUNTA(条幅4分の1!$B$11:$B$310),INDEX(条幅4分の1!$F$11:$F$310,274-COUNTA(半紙!$B$11:$B$310)-COUNTA(条幅!$B$11:$B$310)),"")))=0,"",IF(274&lt;=COUNTA(半紙!$B$11:$B$310),INDEX(半紙!$F$11:$F$310,274),IF(274&lt;=COUNTA(半紙!$B$11:$B$310)+COUNTA(条幅!$B$11:$B$310),INDEX(条幅!$F$11:$F$310,274-COUNTA(半紙!$B$11:$B$310)),IF(274&lt;=COUNTA(半紙!$B$11:$B$310)+COUNTA(条幅!$B$11:$B$310)+COUNTA(条幅4分の1!$B$11:$B$310),INDEX(条幅4分の1!$F$11:$F$310,274-COUNTA(半紙!$B$11:$B$310)-COUNTA(条幅!$B$11:$B$310)),""))))</f>
        <v/>
      </c>
      <c r="G279" s="38" t="str">
        <f>IF(IF(274&lt;=COUNTA(半紙!$B$11:$B$310),INDEX(半紙!$G$11:$G$310,274),IF(274&lt;=COUNTA(半紙!$B$11:$B$310)+COUNTA(条幅!$B$11:$B$310),INDEX(条幅!$G$11:$G$310,274-COUNTA(半紙!$B$11:$B$310)),IF(274&lt;=COUNTA(半紙!$B$11:$B$310)+COUNTA(条幅!$B$11:$B$310)+COUNTA(条幅4分の1!$B$11:$B$310),INDEX(条幅4分の1!$G$11:$G$310,274-COUNTA(半紙!$B$11:$B$310)-COUNTA(条幅!$B$11:$B$310)),"")))=0,"",IF(274&lt;=COUNTA(半紙!$B$11:$B$310),INDEX(半紙!$G$11:$G$310,274),IF(274&lt;=COUNTA(半紙!$B$11:$B$310)+COUNTA(条幅!$B$11:$B$310),INDEX(条幅!$G$11:$G$310,274-COUNTA(半紙!$B$11:$B$310)),IF(274&lt;=COUNTA(半紙!$B$11:$B$310)+COUNTA(条幅!$B$11:$B$310)+COUNTA(条幅4分の1!$B$11:$B$310),INDEX(条幅4分の1!$G$11:$G$310,274-COUNTA(半紙!$B$11:$B$310)-COUNTA(条幅!$B$11:$B$310)),""))))</f>
        <v/>
      </c>
      <c r="H279" s="38" t="str">
        <f>IF(IF(274&lt;=COUNTA(半紙!$B$11:$B$310),INDEX(半紙!$H$11:$H$310,274),IF(274&lt;=COUNTA(半紙!$B$11:$B$310)+COUNTA(条幅!$B$11:$B$310),INDEX(条幅!$H$11:$H$310,274-COUNTA(半紙!$B$11:$B$310)),IF(274&lt;=COUNTA(半紙!$B$11:$B$310)+COUNTA(条幅!$B$11:$B$310)+COUNTA(条幅4分の1!$B$11:$B$310),INDEX(条幅4分の1!$H$11:$H$310,274-COUNTA(半紙!$B$11:$B$310)-COUNTA(条幅!$B$11:$B$310)),"")))=0,"",IF(274&lt;=COUNTA(半紙!$B$11:$B$310),INDEX(半紙!$H$11:$H$310,274),IF(274&lt;=COUNTA(半紙!$B$11:$B$310)+COUNTA(条幅!$B$11:$B$310),INDEX(条幅!$H$11:$H$310,274-COUNTA(半紙!$B$11:$B$310)),IF(274&lt;=COUNTA(半紙!$B$11:$B$310)+COUNTA(条幅!$B$11:$B$310)+COUNTA(条幅4分の1!$B$11:$B$310),INDEX(条幅4分の1!$H$11:$H$310,274-COUNTA(半紙!$B$11:$B$310)-COUNTA(条幅!$B$11:$B$310)),""))))</f>
        <v/>
      </c>
      <c r="I279" s="38" t="str">
        <f>IF(IF(274&lt;=COUNTA(半紙!$B$11:$B$310),INDEX(半紙!$I$11:$I$310,274),IF(274&lt;=COUNTA(半紙!$B$11:$B$310)+COUNTA(条幅!$B$11:$B$310),INDEX(条幅!$I$11:$I$310,274-COUNTA(半紙!$B$11:$B$310)),IF(274&lt;=COUNTA(半紙!$B$11:$B$310)+COUNTA(条幅!$B$11:$B$310)+COUNTA(条幅4分の1!$B$11:$B$310),INDEX(条幅4分の1!$I$11:$I$310,274-COUNTA(半紙!$B$11:$B$310)-COUNTA(条幅!$B$11:$B$310)),"")))=0,"",IF(274&lt;=COUNTA(半紙!$B$11:$B$310),INDEX(半紙!$I$11:$I$310,274),IF(274&lt;=COUNTA(半紙!$B$11:$B$310)+COUNTA(条幅!$B$11:$B$310),INDEX(条幅!$I$11:$I$310,274-COUNTA(半紙!$B$11:$B$310)),IF(274&lt;=COUNTA(半紙!$B$11:$B$310)+COUNTA(条幅!$B$11:$B$310)+COUNTA(条幅4分の1!$B$11:$B$310),INDEX(条幅4分の1!$I$11:$I$310,274-COUNTA(半紙!$B$11:$B$310)-COUNTA(条幅!$B$11:$B$310)),""))))</f>
        <v/>
      </c>
      <c r="J279" s="38" t="str">
        <f>IF(IF(274&lt;=COUNTA(半紙!$B$11:$B$310),INDEX(半紙!$J$11:$J$310,274),IF(274&lt;=COUNTA(半紙!$B$11:$B$310)+COUNTA(条幅!$B$11:$B$310),INDEX(条幅!$J$11:$J$310,274-COUNTA(半紙!$B$11:$B$310)),IF(274&lt;=COUNTA(半紙!$B$11:$B$310)+COUNTA(条幅!$B$11:$B$310)+COUNTA(条幅4分の1!$B$11:$B$310),INDEX(条幅4分の1!$J$11:$J$310,274-COUNTA(半紙!$B$11:$B$310)-COUNTA(条幅!$B$11:$B$310)),"")))=0,"",IF(274&lt;=COUNTA(半紙!$B$11:$B$310),INDEX(半紙!$J$11:$J$310,274),IF(274&lt;=COUNTA(半紙!$B$11:$B$310)+COUNTA(条幅!$B$11:$B$310),INDEX(条幅!$J$11:$J$310,274-COUNTA(半紙!$B$11:$B$310)),IF(274&lt;=COUNTA(半紙!$B$11:$B$310)+COUNTA(条幅!$B$11:$B$310)+COUNTA(条幅4分の1!$B$11:$B$310),INDEX(条幅4分の1!$J$11:$J$310,274-COUNTA(半紙!$B$11:$B$310)-COUNTA(条幅!$B$11:$B$310)),""))))</f>
        <v/>
      </c>
      <c r="K279" s="38" t="str">
        <f>IF(IF(274&lt;=COUNTA(半紙!$B$11:$B$310),INDEX(半紙!$K$11:$K$310,274),IF(274&lt;=COUNTA(半紙!$B$11:$B$310)+COUNTA(条幅!$B$11:$B$310),INDEX(条幅!$K$11:$K$310,274-COUNTA(半紙!$B$11:$B$310)),IF(274&lt;=COUNTA(半紙!$B$11:$B$310)+COUNTA(条幅!$B$11:$B$310)+COUNTA(条幅4分の1!$B$11:$B$310),INDEX(条幅4分の1!$K$11:$K$310,274-COUNTA(半紙!$B$11:$B$310)-COUNTA(条幅!$B$11:$B$310)),"")))=0,"",IF(274&lt;=COUNTA(半紙!$B$11:$B$310),INDEX(半紙!$K$11:$K$310,274),IF(274&lt;=COUNTA(半紙!$B$11:$B$310)+COUNTA(条幅!$B$11:$B$310),INDEX(条幅!$K$11:$K$310,274-COUNTA(半紙!$B$11:$B$310)),IF(274&lt;=COUNTA(半紙!$B$11:$B$310)+COUNTA(条幅!$B$11:$B$310)+COUNTA(条幅4分の1!$B$11:$B$310),INDEX(条幅4分の1!$K$11:$K$310,274-COUNTA(半紙!$B$11:$B$310)-COUNTA(条幅!$B$11:$B$310)),""))))</f>
        <v/>
      </c>
      <c r="L279" s="48" t="str">
        <f>IF($B279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274))</f>
        <v/>
      </c>
    </row>
    <row r="280" spans="1:12" ht="15" customHeight="1">
      <c r="A280" s="37" t="str">
        <f>IF(275&lt;=COUNTA(半紙!$B$11:$B$310),"半紙",IF(275&lt;=COUNTA(半紙!$B$11:$B$310)+COUNTA(条幅!$B$11:$B$310),"条幅(半切)",IF(275&lt;=COUNTA(半紙!$B$11:$B$310)+COUNTA(条幅!$B$11:$B$310)+COUNTA(条幅4分の1!$B$11:$B$310),"条幅(1/4)","")))</f>
        <v/>
      </c>
      <c r="B280" s="38" t="str">
        <f>IF(IF(275&lt;=COUNTA(半紙!$B$11:$B$310),INDEX(半紙!$B$11:$B$310,275),IF(275&lt;=COUNTA(半紙!$B$11:$B$310)+COUNTA(条幅!$B$11:$B$310),INDEX(条幅!$B$11:$B$310,275-COUNTA(半紙!$B$11:$B$310)),IF(275&lt;=COUNTA(半紙!$B$11:$B$310)+COUNTA(条幅!$B$11:$B$310)+COUNTA(条幅4分の1!$B$11:$B$310),INDEX(条幅4分の1!$B$11:$B$310,275-COUNTA(半紙!$B$11:$B$310)-COUNTA(条幅!$B$11:$B$310)),"")))=0,"",IF(275&lt;=COUNTA(半紙!$B$11:$B$310),INDEX(半紙!$B$11:$B$310,275),IF(275&lt;=COUNTA(半紙!$B$11:$B$310)+COUNTA(条幅!$B$11:$B$310),INDEX(条幅!$B$11:$B$310,275-COUNTA(半紙!$B$11:$B$310)),IF(275&lt;=COUNTA(半紙!$B$11:$B$310)+COUNTA(条幅!$B$11:$B$310)+COUNTA(条幅4分の1!$B$11:$B$310),INDEX(条幅4分の1!$B$11:$B$310,275-COUNTA(半紙!$B$11:$B$310)-COUNTA(条幅!$B$11:$B$310)),""))))</f>
        <v/>
      </c>
      <c r="C280" s="38" t="str">
        <f>IF(IF(275&lt;=COUNTA(半紙!$B$11:$B$310),INDEX(半紙!$C$11:$C$310,275),IF(275&lt;=COUNTA(半紙!$B$11:$B$310)+COUNTA(条幅!$B$11:$B$310),INDEX(条幅!$C$11:$C$310,275-COUNTA(半紙!$B$11:$B$310)),IF(275&lt;=COUNTA(半紙!$B$11:$B$310)+COUNTA(条幅!$B$11:$B$310)+COUNTA(条幅4分の1!$B$11:$B$310),INDEX(条幅4分の1!$C$11:$C$310,275-COUNTA(半紙!$B$11:$B$310)-COUNTA(条幅!$B$11:$B$310)),"")))=0,"",IF(275&lt;=COUNTA(半紙!$B$11:$B$310),INDEX(半紙!$C$11:$C$310,275),IF(275&lt;=COUNTA(半紙!$B$11:$B$310)+COUNTA(条幅!$B$11:$B$310),INDEX(条幅!$C$11:$C$310,275-COUNTA(半紙!$B$11:$B$310)),IF(275&lt;=COUNTA(半紙!$B$11:$B$310)+COUNTA(条幅!$B$11:$B$310)+COUNTA(条幅4分の1!$B$11:$B$310),INDEX(条幅4分の1!$C$11:$C$310,275-COUNTA(半紙!$B$11:$B$310)-COUNTA(条幅!$B$11:$B$310)),""))))</f>
        <v/>
      </c>
      <c r="D280" s="38" t="str">
        <f>IF(IF(275&lt;=COUNTA(半紙!$B$11:$B$310),INDEX(半紙!$D$11:$D$310,275),IF(275&lt;=COUNTA(半紙!$B$11:$B$310)+COUNTA(条幅!$B$11:$B$310),INDEX(条幅!$D$11:$D$310,275-COUNTA(半紙!$B$11:$B$310)),IF(275&lt;=COUNTA(半紙!$B$11:$B$310)+COUNTA(条幅!$B$11:$B$310)+COUNTA(条幅4分の1!$B$11:$B$310),INDEX(条幅4分の1!$D$11:$D$310,275-COUNTA(半紙!$B$11:$B$310)-COUNTA(条幅!$B$11:$B$310)),"")))=0,"",IF(275&lt;=COUNTA(半紙!$B$11:$B$310),INDEX(半紙!$D$11:$D$310,275),IF(275&lt;=COUNTA(半紙!$B$11:$B$310)+COUNTA(条幅!$B$11:$B$310),INDEX(条幅!$D$11:$D$310,275-COUNTA(半紙!$B$11:$B$310)),IF(275&lt;=COUNTA(半紙!$B$11:$B$310)+COUNTA(条幅!$B$11:$B$310)+COUNTA(条幅4分の1!$B$11:$B$310),INDEX(条幅4分の1!$D$11:$D$310,275-COUNTA(半紙!$B$11:$B$310)-COUNTA(条幅!$B$11:$B$310)),""))))</f>
        <v/>
      </c>
      <c r="E280" s="38" t="str">
        <f>IF(IF(275&lt;=COUNTA(半紙!$B$11:$B$310),INDEX(半紙!$E$11:$E$310,275),IF(275&lt;=COUNTA(半紙!$B$11:$B$310)+COUNTA(条幅!$B$11:$B$310),INDEX(条幅!$E$11:$E$310,275-COUNTA(半紙!$B$11:$B$310)),IF(275&lt;=COUNTA(半紙!$B$11:$B$310)+COUNTA(条幅!$B$11:$B$310)+COUNTA(条幅4分の1!$B$11:$B$310),INDEX(条幅4分の1!$E$11:$E$310,275-COUNTA(半紙!$B$11:$B$310)-COUNTA(条幅!$B$11:$B$310)),"")))=0,"",IF(275&lt;=COUNTA(半紙!$B$11:$B$310),INDEX(半紙!$E$11:$E$310,275),IF(275&lt;=COUNTA(半紙!$B$11:$B$310)+COUNTA(条幅!$B$11:$B$310),INDEX(条幅!$E$11:$E$310,275-COUNTA(半紙!$B$11:$B$310)),IF(275&lt;=COUNTA(半紙!$B$11:$B$310)+COUNTA(条幅!$B$11:$B$310)+COUNTA(条幅4分の1!$B$11:$B$310),INDEX(条幅4分の1!$E$11:$E$310,275-COUNTA(半紙!$B$11:$B$310)-COUNTA(条幅!$B$11:$B$310)),""))))</f>
        <v/>
      </c>
      <c r="F280" s="38" t="str">
        <f>IF(IF(275&lt;=COUNTA(半紙!$B$11:$B$310),INDEX(半紙!$F$11:$F$310,275),IF(275&lt;=COUNTA(半紙!$B$11:$B$310)+COUNTA(条幅!$B$11:$B$310),INDEX(条幅!$F$11:$F$310,275-COUNTA(半紙!$B$11:$B$310)),IF(275&lt;=COUNTA(半紙!$B$11:$B$310)+COUNTA(条幅!$B$11:$B$310)+COUNTA(条幅4分の1!$B$11:$B$310),INDEX(条幅4分の1!$F$11:$F$310,275-COUNTA(半紙!$B$11:$B$310)-COUNTA(条幅!$B$11:$B$310)),"")))=0,"",IF(275&lt;=COUNTA(半紙!$B$11:$B$310),INDEX(半紙!$F$11:$F$310,275),IF(275&lt;=COUNTA(半紙!$B$11:$B$310)+COUNTA(条幅!$B$11:$B$310),INDEX(条幅!$F$11:$F$310,275-COUNTA(半紙!$B$11:$B$310)),IF(275&lt;=COUNTA(半紙!$B$11:$B$310)+COUNTA(条幅!$B$11:$B$310)+COUNTA(条幅4分の1!$B$11:$B$310),INDEX(条幅4分の1!$F$11:$F$310,275-COUNTA(半紙!$B$11:$B$310)-COUNTA(条幅!$B$11:$B$310)),""))))</f>
        <v/>
      </c>
      <c r="G280" s="38" t="str">
        <f>IF(IF(275&lt;=COUNTA(半紙!$B$11:$B$310),INDEX(半紙!$G$11:$G$310,275),IF(275&lt;=COUNTA(半紙!$B$11:$B$310)+COUNTA(条幅!$B$11:$B$310),INDEX(条幅!$G$11:$G$310,275-COUNTA(半紙!$B$11:$B$310)),IF(275&lt;=COUNTA(半紙!$B$11:$B$310)+COUNTA(条幅!$B$11:$B$310)+COUNTA(条幅4分の1!$B$11:$B$310),INDEX(条幅4分の1!$G$11:$G$310,275-COUNTA(半紙!$B$11:$B$310)-COUNTA(条幅!$B$11:$B$310)),"")))=0,"",IF(275&lt;=COUNTA(半紙!$B$11:$B$310),INDEX(半紙!$G$11:$G$310,275),IF(275&lt;=COUNTA(半紙!$B$11:$B$310)+COUNTA(条幅!$B$11:$B$310),INDEX(条幅!$G$11:$G$310,275-COUNTA(半紙!$B$11:$B$310)),IF(275&lt;=COUNTA(半紙!$B$11:$B$310)+COUNTA(条幅!$B$11:$B$310)+COUNTA(条幅4分の1!$B$11:$B$310),INDEX(条幅4分の1!$G$11:$G$310,275-COUNTA(半紙!$B$11:$B$310)-COUNTA(条幅!$B$11:$B$310)),""))))</f>
        <v/>
      </c>
      <c r="H280" s="38" t="str">
        <f>IF(IF(275&lt;=COUNTA(半紙!$B$11:$B$310),INDEX(半紙!$H$11:$H$310,275),IF(275&lt;=COUNTA(半紙!$B$11:$B$310)+COUNTA(条幅!$B$11:$B$310),INDEX(条幅!$H$11:$H$310,275-COUNTA(半紙!$B$11:$B$310)),IF(275&lt;=COUNTA(半紙!$B$11:$B$310)+COUNTA(条幅!$B$11:$B$310)+COUNTA(条幅4分の1!$B$11:$B$310),INDEX(条幅4分の1!$H$11:$H$310,275-COUNTA(半紙!$B$11:$B$310)-COUNTA(条幅!$B$11:$B$310)),"")))=0,"",IF(275&lt;=COUNTA(半紙!$B$11:$B$310),INDEX(半紙!$H$11:$H$310,275),IF(275&lt;=COUNTA(半紙!$B$11:$B$310)+COUNTA(条幅!$B$11:$B$310),INDEX(条幅!$H$11:$H$310,275-COUNTA(半紙!$B$11:$B$310)),IF(275&lt;=COUNTA(半紙!$B$11:$B$310)+COUNTA(条幅!$B$11:$B$310)+COUNTA(条幅4分の1!$B$11:$B$310),INDEX(条幅4分の1!$H$11:$H$310,275-COUNTA(半紙!$B$11:$B$310)-COUNTA(条幅!$B$11:$B$310)),""))))</f>
        <v/>
      </c>
      <c r="I280" s="38" t="str">
        <f>IF(IF(275&lt;=COUNTA(半紙!$B$11:$B$310),INDEX(半紙!$I$11:$I$310,275),IF(275&lt;=COUNTA(半紙!$B$11:$B$310)+COUNTA(条幅!$B$11:$B$310),INDEX(条幅!$I$11:$I$310,275-COUNTA(半紙!$B$11:$B$310)),IF(275&lt;=COUNTA(半紙!$B$11:$B$310)+COUNTA(条幅!$B$11:$B$310)+COUNTA(条幅4分の1!$B$11:$B$310),INDEX(条幅4分の1!$I$11:$I$310,275-COUNTA(半紙!$B$11:$B$310)-COUNTA(条幅!$B$11:$B$310)),"")))=0,"",IF(275&lt;=COUNTA(半紙!$B$11:$B$310),INDEX(半紙!$I$11:$I$310,275),IF(275&lt;=COUNTA(半紙!$B$11:$B$310)+COUNTA(条幅!$B$11:$B$310),INDEX(条幅!$I$11:$I$310,275-COUNTA(半紙!$B$11:$B$310)),IF(275&lt;=COUNTA(半紙!$B$11:$B$310)+COUNTA(条幅!$B$11:$B$310)+COUNTA(条幅4分の1!$B$11:$B$310),INDEX(条幅4分の1!$I$11:$I$310,275-COUNTA(半紙!$B$11:$B$310)-COUNTA(条幅!$B$11:$B$310)),""))))</f>
        <v/>
      </c>
      <c r="J280" s="38" t="str">
        <f>IF(IF(275&lt;=COUNTA(半紙!$B$11:$B$310),INDEX(半紙!$J$11:$J$310,275),IF(275&lt;=COUNTA(半紙!$B$11:$B$310)+COUNTA(条幅!$B$11:$B$310),INDEX(条幅!$J$11:$J$310,275-COUNTA(半紙!$B$11:$B$310)),IF(275&lt;=COUNTA(半紙!$B$11:$B$310)+COUNTA(条幅!$B$11:$B$310)+COUNTA(条幅4分の1!$B$11:$B$310),INDEX(条幅4分の1!$J$11:$J$310,275-COUNTA(半紙!$B$11:$B$310)-COUNTA(条幅!$B$11:$B$310)),"")))=0,"",IF(275&lt;=COUNTA(半紙!$B$11:$B$310),INDEX(半紙!$J$11:$J$310,275),IF(275&lt;=COUNTA(半紙!$B$11:$B$310)+COUNTA(条幅!$B$11:$B$310),INDEX(条幅!$J$11:$J$310,275-COUNTA(半紙!$B$11:$B$310)),IF(275&lt;=COUNTA(半紙!$B$11:$B$310)+COUNTA(条幅!$B$11:$B$310)+COUNTA(条幅4分の1!$B$11:$B$310),INDEX(条幅4分の1!$J$11:$J$310,275-COUNTA(半紙!$B$11:$B$310)-COUNTA(条幅!$B$11:$B$310)),""))))</f>
        <v/>
      </c>
      <c r="K280" s="38" t="str">
        <f>IF(IF(275&lt;=COUNTA(半紙!$B$11:$B$310),INDEX(半紙!$K$11:$K$310,275),IF(275&lt;=COUNTA(半紙!$B$11:$B$310)+COUNTA(条幅!$B$11:$B$310),INDEX(条幅!$K$11:$K$310,275-COUNTA(半紙!$B$11:$B$310)),IF(275&lt;=COUNTA(半紙!$B$11:$B$310)+COUNTA(条幅!$B$11:$B$310)+COUNTA(条幅4分の1!$B$11:$B$310),INDEX(条幅4分の1!$K$11:$K$310,275-COUNTA(半紙!$B$11:$B$310)-COUNTA(条幅!$B$11:$B$310)),"")))=0,"",IF(275&lt;=COUNTA(半紙!$B$11:$B$310),INDEX(半紙!$K$11:$K$310,275),IF(275&lt;=COUNTA(半紙!$B$11:$B$310)+COUNTA(条幅!$B$11:$B$310),INDEX(条幅!$K$11:$K$310,275-COUNTA(半紙!$B$11:$B$310)),IF(275&lt;=COUNTA(半紙!$B$11:$B$310)+COUNTA(条幅!$B$11:$B$310)+COUNTA(条幅4分の1!$B$11:$B$310),INDEX(条幅4分の1!$K$11:$K$310,275-COUNTA(半紙!$B$11:$B$310)-COUNTA(条幅!$B$11:$B$310)),""))))</f>
        <v/>
      </c>
      <c r="L280" s="48" t="str">
        <f>IF($B280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275))</f>
        <v/>
      </c>
    </row>
    <row r="281" spans="1:12" ht="15" customHeight="1">
      <c r="A281" s="37" t="str">
        <f>IF(276&lt;=COUNTA(半紙!$B$11:$B$310),"半紙",IF(276&lt;=COUNTA(半紙!$B$11:$B$310)+COUNTA(条幅!$B$11:$B$310),"条幅(半切)",IF(276&lt;=COUNTA(半紙!$B$11:$B$310)+COUNTA(条幅!$B$11:$B$310)+COUNTA(条幅4分の1!$B$11:$B$310),"条幅(1/4)","")))</f>
        <v/>
      </c>
      <c r="B281" s="38" t="str">
        <f>IF(IF(276&lt;=COUNTA(半紙!$B$11:$B$310),INDEX(半紙!$B$11:$B$310,276),IF(276&lt;=COUNTA(半紙!$B$11:$B$310)+COUNTA(条幅!$B$11:$B$310),INDEX(条幅!$B$11:$B$310,276-COUNTA(半紙!$B$11:$B$310)),IF(276&lt;=COUNTA(半紙!$B$11:$B$310)+COUNTA(条幅!$B$11:$B$310)+COUNTA(条幅4分の1!$B$11:$B$310),INDEX(条幅4分の1!$B$11:$B$310,276-COUNTA(半紙!$B$11:$B$310)-COUNTA(条幅!$B$11:$B$310)),"")))=0,"",IF(276&lt;=COUNTA(半紙!$B$11:$B$310),INDEX(半紙!$B$11:$B$310,276),IF(276&lt;=COUNTA(半紙!$B$11:$B$310)+COUNTA(条幅!$B$11:$B$310),INDEX(条幅!$B$11:$B$310,276-COUNTA(半紙!$B$11:$B$310)),IF(276&lt;=COUNTA(半紙!$B$11:$B$310)+COUNTA(条幅!$B$11:$B$310)+COUNTA(条幅4分の1!$B$11:$B$310),INDEX(条幅4分の1!$B$11:$B$310,276-COUNTA(半紙!$B$11:$B$310)-COUNTA(条幅!$B$11:$B$310)),""))))</f>
        <v/>
      </c>
      <c r="C281" s="38" t="str">
        <f>IF(IF(276&lt;=COUNTA(半紙!$B$11:$B$310),INDEX(半紙!$C$11:$C$310,276),IF(276&lt;=COUNTA(半紙!$B$11:$B$310)+COUNTA(条幅!$B$11:$B$310),INDEX(条幅!$C$11:$C$310,276-COUNTA(半紙!$B$11:$B$310)),IF(276&lt;=COUNTA(半紙!$B$11:$B$310)+COUNTA(条幅!$B$11:$B$310)+COUNTA(条幅4分の1!$B$11:$B$310),INDEX(条幅4分の1!$C$11:$C$310,276-COUNTA(半紙!$B$11:$B$310)-COUNTA(条幅!$B$11:$B$310)),"")))=0,"",IF(276&lt;=COUNTA(半紙!$B$11:$B$310),INDEX(半紙!$C$11:$C$310,276),IF(276&lt;=COUNTA(半紙!$B$11:$B$310)+COUNTA(条幅!$B$11:$B$310),INDEX(条幅!$C$11:$C$310,276-COUNTA(半紙!$B$11:$B$310)),IF(276&lt;=COUNTA(半紙!$B$11:$B$310)+COUNTA(条幅!$B$11:$B$310)+COUNTA(条幅4分の1!$B$11:$B$310),INDEX(条幅4分の1!$C$11:$C$310,276-COUNTA(半紙!$B$11:$B$310)-COUNTA(条幅!$B$11:$B$310)),""))))</f>
        <v/>
      </c>
      <c r="D281" s="38" t="str">
        <f>IF(IF(276&lt;=COUNTA(半紙!$B$11:$B$310),INDEX(半紙!$D$11:$D$310,276),IF(276&lt;=COUNTA(半紙!$B$11:$B$310)+COUNTA(条幅!$B$11:$B$310),INDEX(条幅!$D$11:$D$310,276-COUNTA(半紙!$B$11:$B$310)),IF(276&lt;=COUNTA(半紙!$B$11:$B$310)+COUNTA(条幅!$B$11:$B$310)+COUNTA(条幅4分の1!$B$11:$B$310),INDEX(条幅4分の1!$D$11:$D$310,276-COUNTA(半紙!$B$11:$B$310)-COUNTA(条幅!$B$11:$B$310)),"")))=0,"",IF(276&lt;=COUNTA(半紙!$B$11:$B$310),INDEX(半紙!$D$11:$D$310,276),IF(276&lt;=COUNTA(半紙!$B$11:$B$310)+COUNTA(条幅!$B$11:$B$310),INDEX(条幅!$D$11:$D$310,276-COUNTA(半紙!$B$11:$B$310)),IF(276&lt;=COUNTA(半紙!$B$11:$B$310)+COUNTA(条幅!$B$11:$B$310)+COUNTA(条幅4分の1!$B$11:$B$310),INDEX(条幅4分の1!$D$11:$D$310,276-COUNTA(半紙!$B$11:$B$310)-COUNTA(条幅!$B$11:$B$310)),""))))</f>
        <v/>
      </c>
      <c r="E281" s="38" t="str">
        <f>IF(IF(276&lt;=COUNTA(半紙!$B$11:$B$310),INDEX(半紙!$E$11:$E$310,276),IF(276&lt;=COUNTA(半紙!$B$11:$B$310)+COUNTA(条幅!$B$11:$B$310),INDEX(条幅!$E$11:$E$310,276-COUNTA(半紙!$B$11:$B$310)),IF(276&lt;=COUNTA(半紙!$B$11:$B$310)+COUNTA(条幅!$B$11:$B$310)+COUNTA(条幅4分の1!$B$11:$B$310),INDEX(条幅4分の1!$E$11:$E$310,276-COUNTA(半紙!$B$11:$B$310)-COUNTA(条幅!$B$11:$B$310)),"")))=0,"",IF(276&lt;=COUNTA(半紙!$B$11:$B$310),INDEX(半紙!$E$11:$E$310,276),IF(276&lt;=COUNTA(半紙!$B$11:$B$310)+COUNTA(条幅!$B$11:$B$310),INDEX(条幅!$E$11:$E$310,276-COUNTA(半紙!$B$11:$B$310)),IF(276&lt;=COUNTA(半紙!$B$11:$B$310)+COUNTA(条幅!$B$11:$B$310)+COUNTA(条幅4分の1!$B$11:$B$310),INDEX(条幅4分の1!$E$11:$E$310,276-COUNTA(半紙!$B$11:$B$310)-COUNTA(条幅!$B$11:$B$310)),""))))</f>
        <v/>
      </c>
      <c r="F281" s="38" t="str">
        <f>IF(IF(276&lt;=COUNTA(半紙!$B$11:$B$310),INDEX(半紙!$F$11:$F$310,276),IF(276&lt;=COUNTA(半紙!$B$11:$B$310)+COUNTA(条幅!$B$11:$B$310),INDEX(条幅!$F$11:$F$310,276-COUNTA(半紙!$B$11:$B$310)),IF(276&lt;=COUNTA(半紙!$B$11:$B$310)+COUNTA(条幅!$B$11:$B$310)+COUNTA(条幅4分の1!$B$11:$B$310),INDEX(条幅4分の1!$F$11:$F$310,276-COUNTA(半紙!$B$11:$B$310)-COUNTA(条幅!$B$11:$B$310)),"")))=0,"",IF(276&lt;=COUNTA(半紙!$B$11:$B$310),INDEX(半紙!$F$11:$F$310,276),IF(276&lt;=COUNTA(半紙!$B$11:$B$310)+COUNTA(条幅!$B$11:$B$310),INDEX(条幅!$F$11:$F$310,276-COUNTA(半紙!$B$11:$B$310)),IF(276&lt;=COUNTA(半紙!$B$11:$B$310)+COUNTA(条幅!$B$11:$B$310)+COUNTA(条幅4分の1!$B$11:$B$310),INDEX(条幅4分の1!$F$11:$F$310,276-COUNTA(半紙!$B$11:$B$310)-COUNTA(条幅!$B$11:$B$310)),""))))</f>
        <v/>
      </c>
      <c r="G281" s="38" t="str">
        <f>IF(IF(276&lt;=COUNTA(半紙!$B$11:$B$310),INDEX(半紙!$G$11:$G$310,276),IF(276&lt;=COUNTA(半紙!$B$11:$B$310)+COUNTA(条幅!$B$11:$B$310),INDEX(条幅!$G$11:$G$310,276-COUNTA(半紙!$B$11:$B$310)),IF(276&lt;=COUNTA(半紙!$B$11:$B$310)+COUNTA(条幅!$B$11:$B$310)+COUNTA(条幅4分の1!$B$11:$B$310),INDEX(条幅4分の1!$G$11:$G$310,276-COUNTA(半紙!$B$11:$B$310)-COUNTA(条幅!$B$11:$B$310)),"")))=0,"",IF(276&lt;=COUNTA(半紙!$B$11:$B$310),INDEX(半紙!$G$11:$G$310,276),IF(276&lt;=COUNTA(半紙!$B$11:$B$310)+COUNTA(条幅!$B$11:$B$310),INDEX(条幅!$G$11:$G$310,276-COUNTA(半紙!$B$11:$B$310)),IF(276&lt;=COUNTA(半紙!$B$11:$B$310)+COUNTA(条幅!$B$11:$B$310)+COUNTA(条幅4分の1!$B$11:$B$310),INDEX(条幅4分の1!$G$11:$G$310,276-COUNTA(半紙!$B$11:$B$310)-COUNTA(条幅!$B$11:$B$310)),""))))</f>
        <v/>
      </c>
      <c r="H281" s="38" t="str">
        <f>IF(IF(276&lt;=COUNTA(半紙!$B$11:$B$310),INDEX(半紙!$H$11:$H$310,276),IF(276&lt;=COUNTA(半紙!$B$11:$B$310)+COUNTA(条幅!$B$11:$B$310),INDEX(条幅!$H$11:$H$310,276-COUNTA(半紙!$B$11:$B$310)),IF(276&lt;=COUNTA(半紙!$B$11:$B$310)+COUNTA(条幅!$B$11:$B$310)+COUNTA(条幅4分の1!$B$11:$B$310),INDEX(条幅4分の1!$H$11:$H$310,276-COUNTA(半紙!$B$11:$B$310)-COUNTA(条幅!$B$11:$B$310)),"")))=0,"",IF(276&lt;=COUNTA(半紙!$B$11:$B$310),INDEX(半紙!$H$11:$H$310,276),IF(276&lt;=COUNTA(半紙!$B$11:$B$310)+COUNTA(条幅!$B$11:$B$310),INDEX(条幅!$H$11:$H$310,276-COUNTA(半紙!$B$11:$B$310)),IF(276&lt;=COUNTA(半紙!$B$11:$B$310)+COUNTA(条幅!$B$11:$B$310)+COUNTA(条幅4分の1!$B$11:$B$310),INDEX(条幅4分の1!$H$11:$H$310,276-COUNTA(半紙!$B$11:$B$310)-COUNTA(条幅!$B$11:$B$310)),""))))</f>
        <v/>
      </c>
      <c r="I281" s="38" t="str">
        <f>IF(IF(276&lt;=COUNTA(半紙!$B$11:$B$310),INDEX(半紙!$I$11:$I$310,276),IF(276&lt;=COUNTA(半紙!$B$11:$B$310)+COUNTA(条幅!$B$11:$B$310),INDEX(条幅!$I$11:$I$310,276-COUNTA(半紙!$B$11:$B$310)),IF(276&lt;=COUNTA(半紙!$B$11:$B$310)+COUNTA(条幅!$B$11:$B$310)+COUNTA(条幅4分の1!$B$11:$B$310),INDEX(条幅4分の1!$I$11:$I$310,276-COUNTA(半紙!$B$11:$B$310)-COUNTA(条幅!$B$11:$B$310)),"")))=0,"",IF(276&lt;=COUNTA(半紙!$B$11:$B$310),INDEX(半紙!$I$11:$I$310,276),IF(276&lt;=COUNTA(半紙!$B$11:$B$310)+COUNTA(条幅!$B$11:$B$310),INDEX(条幅!$I$11:$I$310,276-COUNTA(半紙!$B$11:$B$310)),IF(276&lt;=COUNTA(半紙!$B$11:$B$310)+COUNTA(条幅!$B$11:$B$310)+COUNTA(条幅4分の1!$B$11:$B$310),INDEX(条幅4分の1!$I$11:$I$310,276-COUNTA(半紙!$B$11:$B$310)-COUNTA(条幅!$B$11:$B$310)),""))))</f>
        <v/>
      </c>
      <c r="J281" s="38" t="str">
        <f>IF(IF(276&lt;=COUNTA(半紙!$B$11:$B$310),INDEX(半紙!$J$11:$J$310,276),IF(276&lt;=COUNTA(半紙!$B$11:$B$310)+COUNTA(条幅!$B$11:$B$310),INDEX(条幅!$J$11:$J$310,276-COUNTA(半紙!$B$11:$B$310)),IF(276&lt;=COUNTA(半紙!$B$11:$B$310)+COUNTA(条幅!$B$11:$B$310)+COUNTA(条幅4分の1!$B$11:$B$310),INDEX(条幅4分の1!$J$11:$J$310,276-COUNTA(半紙!$B$11:$B$310)-COUNTA(条幅!$B$11:$B$310)),"")))=0,"",IF(276&lt;=COUNTA(半紙!$B$11:$B$310),INDEX(半紙!$J$11:$J$310,276),IF(276&lt;=COUNTA(半紙!$B$11:$B$310)+COUNTA(条幅!$B$11:$B$310),INDEX(条幅!$J$11:$J$310,276-COUNTA(半紙!$B$11:$B$310)),IF(276&lt;=COUNTA(半紙!$B$11:$B$310)+COUNTA(条幅!$B$11:$B$310)+COUNTA(条幅4分の1!$B$11:$B$310),INDEX(条幅4分の1!$J$11:$J$310,276-COUNTA(半紙!$B$11:$B$310)-COUNTA(条幅!$B$11:$B$310)),""))))</f>
        <v/>
      </c>
      <c r="K281" s="38" t="str">
        <f>IF(IF(276&lt;=COUNTA(半紙!$B$11:$B$310),INDEX(半紙!$K$11:$K$310,276),IF(276&lt;=COUNTA(半紙!$B$11:$B$310)+COUNTA(条幅!$B$11:$B$310),INDEX(条幅!$K$11:$K$310,276-COUNTA(半紙!$B$11:$B$310)),IF(276&lt;=COUNTA(半紙!$B$11:$B$310)+COUNTA(条幅!$B$11:$B$310)+COUNTA(条幅4分の1!$B$11:$B$310),INDEX(条幅4分の1!$K$11:$K$310,276-COUNTA(半紙!$B$11:$B$310)-COUNTA(条幅!$B$11:$B$310)),"")))=0,"",IF(276&lt;=COUNTA(半紙!$B$11:$B$310),INDEX(半紙!$K$11:$K$310,276),IF(276&lt;=COUNTA(半紙!$B$11:$B$310)+COUNTA(条幅!$B$11:$B$310),INDEX(条幅!$K$11:$K$310,276-COUNTA(半紙!$B$11:$B$310)),IF(276&lt;=COUNTA(半紙!$B$11:$B$310)+COUNTA(条幅!$B$11:$B$310)+COUNTA(条幅4分の1!$B$11:$B$310),INDEX(条幅4分の1!$K$11:$K$310,276-COUNTA(半紙!$B$11:$B$310)-COUNTA(条幅!$B$11:$B$310)),""))))</f>
        <v/>
      </c>
      <c r="L281" s="48" t="str">
        <f>IF($B281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276))</f>
        <v/>
      </c>
    </row>
    <row r="282" spans="1:12" ht="15" customHeight="1">
      <c r="A282" s="37" t="str">
        <f>IF(277&lt;=COUNTA(半紙!$B$11:$B$310),"半紙",IF(277&lt;=COUNTA(半紙!$B$11:$B$310)+COUNTA(条幅!$B$11:$B$310),"条幅(半切)",IF(277&lt;=COUNTA(半紙!$B$11:$B$310)+COUNTA(条幅!$B$11:$B$310)+COUNTA(条幅4分の1!$B$11:$B$310),"条幅(1/4)","")))</f>
        <v/>
      </c>
      <c r="B282" s="38" t="str">
        <f>IF(IF(277&lt;=COUNTA(半紙!$B$11:$B$310),INDEX(半紙!$B$11:$B$310,277),IF(277&lt;=COUNTA(半紙!$B$11:$B$310)+COUNTA(条幅!$B$11:$B$310),INDEX(条幅!$B$11:$B$310,277-COUNTA(半紙!$B$11:$B$310)),IF(277&lt;=COUNTA(半紙!$B$11:$B$310)+COUNTA(条幅!$B$11:$B$310)+COUNTA(条幅4分の1!$B$11:$B$310),INDEX(条幅4分の1!$B$11:$B$310,277-COUNTA(半紙!$B$11:$B$310)-COUNTA(条幅!$B$11:$B$310)),"")))=0,"",IF(277&lt;=COUNTA(半紙!$B$11:$B$310),INDEX(半紙!$B$11:$B$310,277),IF(277&lt;=COUNTA(半紙!$B$11:$B$310)+COUNTA(条幅!$B$11:$B$310),INDEX(条幅!$B$11:$B$310,277-COUNTA(半紙!$B$11:$B$310)),IF(277&lt;=COUNTA(半紙!$B$11:$B$310)+COUNTA(条幅!$B$11:$B$310)+COUNTA(条幅4分の1!$B$11:$B$310),INDEX(条幅4分の1!$B$11:$B$310,277-COUNTA(半紙!$B$11:$B$310)-COUNTA(条幅!$B$11:$B$310)),""))))</f>
        <v/>
      </c>
      <c r="C282" s="38" t="str">
        <f>IF(IF(277&lt;=COUNTA(半紙!$B$11:$B$310),INDEX(半紙!$C$11:$C$310,277),IF(277&lt;=COUNTA(半紙!$B$11:$B$310)+COUNTA(条幅!$B$11:$B$310),INDEX(条幅!$C$11:$C$310,277-COUNTA(半紙!$B$11:$B$310)),IF(277&lt;=COUNTA(半紙!$B$11:$B$310)+COUNTA(条幅!$B$11:$B$310)+COUNTA(条幅4分の1!$B$11:$B$310),INDEX(条幅4分の1!$C$11:$C$310,277-COUNTA(半紙!$B$11:$B$310)-COUNTA(条幅!$B$11:$B$310)),"")))=0,"",IF(277&lt;=COUNTA(半紙!$B$11:$B$310),INDEX(半紙!$C$11:$C$310,277),IF(277&lt;=COUNTA(半紙!$B$11:$B$310)+COUNTA(条幅!$B$11:$B$310),INDEX(条幅!$C$11:$C$310,277-COUNTA(半紙!$B$11:$B$310)),IF(277&lt;=COUNTA(半紙!$B$11:$B$310)+COUNTA(条幅!$B$11:$B$310)+COUNTA(条幅4分の1!$B$11:$B$310),INDEX(条幅4分の1!$C$11:$C$310,277-COUNTA(半紙!$B$11:$B$310)-COUNTA(条幅!$B$11:$B$310)),""))))</f>
        <v/>
      </c>
      <c r="D282" s="38" t="str">
        <f>IF(IF(277&lt;=COUNTA(半紙!$B$11:$B$310),INDEX(半紙!$D$11:$D$310,277),IF(277&lt;=COUNTA(半紙!$B$11:$B$310)+COUNTA(条幅!$B$11:$B$310),INDEX(条幅!$D$11:$D$310,277-COUNTA(半紙!$B$11:$B$310)),IF(277&lt;=COUNTA(半紙!$B$11:$B$310)+COUNTA(条幅!$B$11:$B$310)+COUNTA(条幅4分の1!$B$11:$B$310),INDEX(条幅4分の1!$D$11:$D$310,277-COUNTA(半紙!$B$11:$B$310)-COUNTA(条幅!$B$11:$B$310)),"")))=0,"",IF(277&lt;=COUNTA(半紙!$B$11:$B$310),INDEX(半紙!$D$11:$D$310,277),IF(277&lt;=COUNTA(半紙!$B$11:$B$310)+COUNTA(条幅!$B$11:$B$310),INDEX(条幅!$D$11:$D$310,277-COUNTA(半紙!$B$11:$B$310)),IF(277&lt;=COUNTA(半紙!$B$11:$B$310)+COUNTA(条幅!$B$11:$B$310)+COUNTA(条幅4分の1!$B$11:$B$310),INDEX(条幅4分の1!$D$11:$D$310,277-COUNTA(半紙!$B$11:$B$310)-COUNTA(条幅!$B$11:$B$310)),""))))</f>
        <v/>
      </c>
      <c r="E282" s="38" t="str">
        <f>IF(IF(277&lt;=COUNTA(半紙!$B$11:$B$310),INDEX(半紙!$E$11:$E$310,277),IF(277&lt;=COUNTA(半紙!$B$11:$B$310)+COUNTA(条幅!$B$11:$B$310),INDEX(条幅!$E$11:$E$310,277-COUNTA(半紙!$B$11:$B$310)),IF(277&lt;=COUNTA(半紙!$B$11:$B$310)+COUNTA(条幅!$B$11:$B$310)+COUNTA(条幅4分の1!$B$11:$B$310),INDEX(条幅4分の1!$E$11:$E$310,277-COUNTA(半紙!$B$11:$B$310)-COUNTA(条幅!$B$11:$B$310)),"")))=0,"",IF(277&lt;=COUNTA(半紙!$B$11:$B$310),INDEX(半紙!$E$11:$E$310,277),IF(277&lt;=COUNTA(半紙!$B$11:$B$310)+COUNTA(条幅!$B$11:$B$310),INDEX(条幅!$E$11:$E$310,277-COUNTA(半紙!$B$11:$B$310)),IF(277&lt;=COUNTA(半紙!$B$11:$B$310)+COUNTA(条幅!$B$11:$B$310)+COUNTA(条幅4分の1!$B$11:$B$310),INDEX(条幅4分の1!$E$11:$E$310,277-COUNTA(半紙!$B$11:$B$310)-COUNTA(条幅!$B$11:$B$310)),""))))</f>
        <v/>
      </c>
      <c r="F282" s="38" t="str">
        <f>IF(IF(277&lt;=COUNTA(半紙!$B$11:$B$310),INDEX(半紙!$F$11:$F$310,277),IF(277&lt;=COUNTA(半紙!$B$11:$B$310)+COUNTA(条幅!$B$11:$B$310),INDEX(条幅!$F$11:$F$310,277-COUNTA(半紙!$B$11:$B$310)),IF(277&lt;=COUNTA(半紙!$B$11:$B$310)+COUNTA(条幅!$B$11:$B$310)+COUNTA(条幅4分の1!$B$11:$B$310),INDEX(条幅4分の1!$F$11:$F$310,277-COUNTA(半紙!$B$11:$B$310)-COUNTA(条幅!$B$11:$B$310)),"")))=0,"",IF(277&lt;=COUNTA(半紙!$B$11:$B$310),INDEX(半紙!$F$11:$F$310,277),IF(277&lt;=COUNTA(半紙!$B$11:$B$310)+COUNTA(条幅!$B$11:$B$310),INDEX(条幅!$F$11:$F$310,277-COUNTA(半紙!$B$11:$B$310)),IF(277&lt;=COUNTA(半紙!$B$11:$B$310)+COUNTA(条幅!$B$11:$B$310)+COUNTA(条幅4分の1!$B$11:$B$310),INDEX(条幅4分の1!$F$11:$F$310,277-COUNTA(半紙!$B$11:$B$310)-COUNTA(条幅!$B$11:$B$310)),""))))</f>
        <v/>
      </c>
      <c r="G282" s="38" t="str">
        <f>IF(IF(277&lt;=COUNTA(半紙!$B$11:$B$310),INDEX(半紙!$G$11:$G$310,277),IF(277&lt;=COUNTA(半紙!$B$11:$B$310)+COUNTA(条幅!$B$11:$B$310),INDEX(条幅!$G$11:$G$310,277-COUNTA(半紙!$B$11:$B$310)),IF(277&lt;=COUNTA(半紙!$B$11:$B$310)+COUNTA(条幅!$B$11:$B$310)+COUNTA(条幅4分の1!$B$11:$B$310),INDEX(条幅4分の1!$G$11:$G$310,277-COUNTA(半紙!$B$11:$B$310)-COUNTA(条幅!$B$11:$B$310)),"")))=0,"",IF(277&lt;=COUNTA(半紙!$B$11:$B$310),INDEX(半紙!$G$11:$G$310,277),IF(277&lt;=COUNTA(半紙!$B$11:$B$310)+COUNTA(条幅!$B$11:$B$310),INDEX(条幅!$G$11:$G$310,277-COUNTA(半紙!$B$11:$B$310)),IF(277&lt;=COUNTA(半紙!$B$11:$B$310)+COUNTA(条幅!$B$11:$B$310)+COUNTA(条幅4分の1!$B$11:$B$310),INDEX(条幅4分の1!$G$11:$G$310,277-COUNTA(半紙!$B$11:$B$310)-COUNTA(条幅!$B$11:$B$310)),""))))</f>
        <v/>
      </c>
      <c r="H282" s="38" t="str">
        <f>IF(IF(277&lt;=COUNTA(半紙!$B$11:$B$310),INDEX(半紙!$H$11:$H$310,277),IF(277&lt;=COUNTA(半紙!$B$11:$B$310)+COUNTA(条幅!$B$11:$B$310),INDEX(条幅!$H$11:$H$310,277-COUNTA(半紙!$B$11:$B$310)),IF(277&lt;=COUNTA(半紙!$B$11:$B$310)+COUNTA(条幅!$B$11:$B$310)+COUNTA(条幅4分の1!$B$11:$B$310),INDEX(条幅4分の1!$H$11:$H$310,277-COUNTA(半紙!$B$11:$B$310)-COUNTA(条幅!$B$11:$B$310)),"")))=0,"",IF(277&lt;=COUNTA(半紙!$B$11:$B$310),INDEX(半紙!$H$11:$H$310,277),IF(277&lt;=COUNTA(半紙!$B$11:$B$310)+COUNTA(条幅!$B$11:$B$310),INDEX(条幅!$H$11:$H$310,277-COUNTA(半紙!$B$11:$B$310)),IF(277&lt;=COUNTA(半紙!$B$11:$B$310)+COUNTA(条幅!$B$11:$B$310)+COUNTA(条幅4分の1!$B$11:$B$310),INDEX(条幅4分の1!$H$11:$H$310,277-COUNTA(半紙!$B$11:$B$310)-COUNTA(条幅!$B$11:$B$310)),""))))</f>
        <v/>
      </c>
      <c r="I282" s="38" t="str">
        <f>IF(IF(277&lt;=COUNTA(半紙!$B$11:$B$310),INDEX(半紙!$I$11:$I$310,277),IF(277&lt;=COUNTA(半紙!$B$11:$B$310)+COUNTA(条幅!$B$11:$B$310),INDEX(条幅!$I$11:$I$310,277-COUNTA(半紙!$B$11:$B$310)),IF(277&lt;=COUNTA(半紙!$B$11:$B$310)+COUNTA(条幅!$B$11:$B$310)+COUNTA(条幅4分の1!$B$11:$B$310),INDEX(条幅4分の1!$I$11:$I$310,277-COUNTA(半紙!$B$11:$B$310)-COUNTA(条幅!$B$11:$B$310)),"")))=0,"",IF(277&lt;=COUNTA(半紙!$B$11:$B$310),INDEX(半紙!$I$11:$I$310,277),IF(277&lt;=COUNTA(半紙!$B$11:$B$310)+COUNTA(条幅!$B$11:$B$310),INDEX(条幅!$I$11:$I$310,277-COUNTA(半紙!$B$11:$B$310)),IF(277&lt;=COUNTA(半紙!$B$11:$B$310)+COUNTA(条幅!$B$11:$B$310)+COUNTA(条幅4分の1!$B$11:$B$310),INDEX(条幅4分の1!$I$11:$I$310,277-COUNTA(半紙!$B$11:$B$310)-COUNTA(条幅!$B$11:$B$310)),""))))</f>
        <v/>
      </c>
      <c r="J282" s="38" t="str">
        <f>IF(IF(277&lt;=COUNTA(半紙!$B$11:$B$310),INDEX(半紙!$J$11:$J$310,277),IF(277&lt;=COUNTA(半紙!$B$11:$B$310)+COUNTA(条幅!$B$11:$B$310),INDEX(条幅!$J$11:$J$310,277-COUNTA(半紙!$B$11:$B$310)),IF(277&lt;=COUNTA(半紙!$B$11:$B$310)+COUNTA(条幅!$B$11:$B$310)+COUNTA(条幅4分の1!$B$11:$B$310),INDEX(条幅4分の1!$J$11:$J$310,277-COUNTA(半紙!$B$11:$B$310)-COUNTA(条幅!$B$11:$B$310)),"")))=0,"",IF(277&lt;=COUNTA(半紙!$B$11:$B$310),INDEX(半紙!$J$11:$J$310,277),IF(277&lt;=COUNTA(半紙!$B$11:$B$310)+COUNTA(条幅!$B$11:$B$310),INDEX(条幅!$J$11:$J$310,277-COUNTA(半紙!$B$11:$B$310)),IF(277&lt;=COUNTA(半紙!$B$11:$B$310)+COUNTA(条幅!$B$11:$B$310)+COUNTA(条幅4分の1!$B$11:$B$310),INDEX(条幅4分の1!$J$11:$J$310,277-COUNTA(半紙!$B$11:$B$310)-COUNTA(条幅!$B$11:$B$310)),""))))</f>
        <v/>
      </c>
      <c r="K282" s="38" t="str">
        <f>IF(IF(277&lt;=COUNTA(半紙!$B$11:$B$310),INDEX(半紙!$K$11:$K$310,277),IF(277&lt;=COUNTA(半紙!$B$11:$B$310)+COUNTA(条幅!$B$11:$B$310),INDEX(条幅!$K$11:$K$310,277-COUNTA(半紙!$B$11:$B$310)),IF(277&lt;=COUNTA(半紙!$B$11:$B$310)+COUNTA(条幅!$B$11:$B$310)+COUNTA(条幅4分の1!$B$11:$B$310),INDEX(条幅4分の1!$K$11:$K$310,277-COUNTA(半紙!$B$11:$B$310)-COUNTA(条幅!$B$11:$B$310)),"")))=0,"",IF(277&lt;=COUNTA(半紙!$B$11:$B$310),INDEX(半紙!$K$11:$K$310,277),IF(277&lt;=COUNTA(半紙!$B$11:$B$310)+COUNTA(条幅!$B$11:$B$310),INDEX(条幅!$K$11:$K$310,277-COUNTA(半紙!$B$11:$B$310)),IF(277&lt;=COUNTA(半紙!$B$11:$B$310)+COUNTA(条幅!$B$11:$B$310)+COUNTA(条幅4分の1!$B$11:$B$310),INDEX(条幅4分の1!$K$11:$K$310,277-COUNTA(半紙!$B$11:$B$310)-COUNTA(条幅!$B$11:$B$310)),""))))</f>
        <v/>
      </c>
      <c r="L282" s="48" t="str">
        <f>IF($B282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277))</f>
        <v/>
      </c>
    </row>
    <row r="283" spans="1:12" ht="15" customHeight="1">
      <c r="A283" s="37" t="str">
        <f>IF(278&lt;=COUNTA(半紙!$B$11:$B$310),"半紙",IF(278&lt;=COUNTA(半紙!$B$11:$B$310)+COUNTA(条幅!$B$11:$B$310),"条幅(半切)",IF(278&lt;=COUNTA(半紙!$B$11:$B$310)+COUNTA(条幅!$B$11:$B$310)+COUNTA(条幅4分の1!$B$11:$B$310),"条幅(1/4)","")))</f>
        <v/>
      </c>
      <c r="B283" s="38" t="str">
        <f>IF(IF(278&lt;=COUNTA(半紙!$B$11:$B$310),INDEX(半紙!$B$11:$B$310,278),IF(278&lt;=COUNTA(半紙!$B$11:$B$310)+COUNTA(条幅!$B$11:$B$310),INDEX(条幅!$B$11:$B$310,278-COUNTA(半紙!$B$11:$B$310)),IF(278&lt;=COUNTA(半紙!$B$11:$B$310)+COUNTA(条幅!$B$11:$B$310)+COUNTA(条幅4分の1!$B$11:$B$310),INDEX(条幅4分の1!$B$11:$B$310,278-COUNTA(半紙!$B$11:$B$310)-COUNTA(条幅!$B$11:$B$310)),"")))=0,"",IF(278&lt;=COUNTA(半紙!$B$11:$B$310),INDEX(半紙!$B$11:$B$310,278),IF(278&lt;=COUNTA(半紙!$B$11:$B$310)+COUNTA(条幅!$B$11:$B$310),INDEX(条幅!$B$11:$B$310,278-COUNTA(半紙!$B$11:$B$310)),IF(278&lt;=COUNTA(半紙!$B$11:$B$310)+COUNTA(条幅!$B$11:$B$310)+COUNTA(条幅4分の1!$B$11:$B$310),INDEX(条幅4分の1!$B$11:$B$310,278-COUNTA(半紙!$B$11:$B$310)-COUNTA(条幅!$B$11:$B$310)),""))))</f>
        <v/>
      </c>
      <c r="C283" s="38" t="str">
        <f>IF(IF(278&lt;=COUNTA(半紙!$B$11:$B$310),INDEX(半紙!$C$11:$C$310,278),IF(278&lt;=COUNTA(半紙!$B$11:$B$310)+COUNTA(条幅!$B$11:$B$310),INDEX(条幅!$C$11:$C$310,278-COUNTA(半紙!$B$11:$B$310)),IF(278&lt;=COUNTA(半紙!$B$11:$B$310)+COUNTA(条幅!$B$11:$B$310)+COUNTA(条幅4分の1!$B$11:$B$310),INDEX(条幅4分の1!$C$11:$C$310,278-COUNTA(半紙!$B$11:$B$310)-COUNTA(条幅!$B$11:$B$310)),"")))=0,"",IF(278&lt;=COUNTA(半紙!$B$11:$B$310),INDEX(半紙!$C$11:$C$310,278),IF(278&lt;=COUNTA(半紙!$B$11:$B$310)+COUNTA(条幅!$B$11:$B$310),INDEX(条幅!$C$11:$C$310,278-COUNTA(半紙!$B$11:$B$310)),IF(278&lt;=COUNTA(半紙!$B$11:$B$310)+COUNTA(条幅!$B$11:$B$310)+COUNTA(条幅4分の1!$B$11:$B$310),INDEX(条幅4分の1!$C$11:$C$310,278-COUNTA(半紙!$B$11:$B$310)-COUNTA(条幅!$B$11:$B$310)),""))))</f>
        <v/>
      </c>
      <c r="D283" s="38" t="str">
        <f>IF(IF(278&lt;=COUNTA(半紙!$B$11:$B$310),INDEX(半紙!$D$11:$D$310,278),IF(278&lt;=COUNTA(半紙!$B$11:$B$310)+COUNTA(条幅!$B$11:$B$310),INDEX(条幅!$D$11:$D$310,278-COUNTA(半紙!$B$11:$B$310)),IF(278&lt;=COUNTA(半紙!$B$11:$B$310)+COUNTA(条幅!$B$11:$B$310)+COUNTA(条幅4分の1!$B$11:$B$310),INDEX(条幅4分の1!$D$11:$D$310,278-COUNTA(半紙!$B$11:$B$310)-COUNTA(条幅!$B$11:$B$310)),"")))=0,"",IF(278&lt;=COUNTA(半紙!$B$11:$B$310),INDEX(半紙!$D$11:$D$310,278),IF(278&lt;=COUNTA(半紙!$B$11:$B$310)+COUNTA(条幅!$B$11:$B$310),INDEX(条幅!$D$11:$D$310,278-COUNTA(半紙!$B$11:$B$310)),IF(278&lt;=COUNTA(半紙!$B$11:$B$310)+COUNTA(条幅!$B$11:$B$310)+COUNTA(条幅4分の1!$B$11:$B$310),INDEX(条幅4分の1!$D$11:$D$310,278-COUNTA(半紙!$B$11:$B$310)-COUNTA(条幅!$B$11:$B$310)),""))))</f>
        <v/>
      </c>
      <c r="E283" s="38" t="str">
        <f>IF(IF(278&lt;=COUNTA(半紙!$B$11:$B$310),INDEX(半紙!$E$11:$E$310,278),IF(278&lt;=COUNTA(半紙!$B$11:$B$310)+COUNTA(条幅!$B$11:$B$310),INDEX(条幅!$E$11:$E$310,278-COUNTA(半紙!$B$11:$B$310)),IF(278&lt;=COUNTA(半紙!$B$11:$B$310)+COUNTA(条幅!$B$11:$B$310)+COUNTA(条幅4分の1!$B$11:$B$310),INDEX(条幅4分の1!$E$11:$E$310,278-COUNTA(半紙!$B$11:$B$310)-COUNTA(条幅!$B$11:$B$310)),"")))=0,"",IF(278&lt;=COUNTA(半紙!$B$11:$B$310),INDEX(半紙!$E$11:$E$310,278),IF(278&lt;=COUNTA(半紙!$B$11:$B$310)+COUNTA(条幅!$B$11:$B$310),INDEX(条幅!$E$11:$E$310,278-COUNTA(半紙!$B$11:$B$310)),IF(278&lt;=COUNTA(半紙!$B$11:$B$310)+COUNTA(条幅!$B$11:$B$310)+COUNTA(条幅4分の1!$B$11:$B$310),INDEX(条幅4分の1!$E$11:$E$310,278-COUNTA(半紙!$B$11:$B$310)-COUNTA(条幅!$B$11:$B$310)),""))))</f>
        <v/>
      </c>
      <c r="F283" s="38" t="str">
        <f>IF(IF(278&lt;=COUNTA(半紙!$B$11:$B$310),INDEX(半紙!$F$11:$F$310,278),IF(278&lt;=COUNTA(半紙!$B$11:$B$310)+COUNTA(条幅!$B$11:$B$310),INDEX(条幅!$F$11:$F$310,278-COUNTA(半紙!$B$11:$B$310)),IF(278&lt;=COUNTA(半紙!$B$11:$B$310)+COUNTA(条幅!$B$11:$B$310)+COUNTA(条幅4分の1!$B$11:$B$310),INDEX(条幅4分の1!$F$11:$F$310,278-COUNTA(半紙!$B$11:$B$310)-COUNTA(条幅!$B$11:$B$310)),"")))=0,"",IF(278&lt;=COUNTA(半紙!$B$11:$B$310),INDEX(半紙!$F$11:$F$310,278),IF(278&lt;=COUNTA(半紙!$B$11:$B$310)+COUNTA(条幅!$B$11:$B$310),INDEX(条幅!$F$11:$F$310,278-COUNTA(半紙!$B$11:$B$310)),IF(278&lt;=COUNTA(半紙!$B$11:$B$310)+COUNTA(条幅!$B$11:$B$310)+COUNTA(条幅4分の1!$B$11:$B$310),INDEX(条幅4分の1!$F$11:$F$310,278-COUNTA(半紙!$B$11:$B$310)-COUNTA(条幅!$B$11:$B$310)),""))))</f>
        <v/>
      </c>
      <c r="G283" s="38" t="str">
        <f>IF(IF(278&lt;=COUNTA(半紙!$B$11:$B$310),INDEX(半紙!$G$11:$G$310,278),IF(278&lt;=COUNTA(半紙!$B$11:$B$310)+COUNTA(条幅!$B$11:$B$310),INDEX(条幅!$G$11:$G$310,278-COUNTA(半紙!$B$11:$B$310)),IF(278&lt;=COUNTA(半紙!$B$11:$B$310)+COUNTA(条幅!$B$11:$B$310)+COUNTA(条幅4分の1!$B$11:$B$310),INDEX(条幅4分の1!$G$11:$G$310,278-COUNTA(半紙!$B$11:$B$310)-COUNTA(条幅!$B$11:$B$310)),"")))=0,"",IF(278&lt;=COUNTA(半紙!$B$11:$B$310),INDEX(半紙!$G$11:$G$310,278),IF(278&lt;=COUNTA(半紙!$B$11:$B$310)+COUNTA(条幅!$B$11:$B$310),INDEX(条幅!$G$11:$G$310,278-COUNTA(半紙!$B$11:$B$310)),IF(278&lt;=COUNTA(半紙!$B$11:$B$310)+COUNTA(条幅!$B$11:$B$310)+COUNTA(条幅4分の1!$B$11:$B$310),INDEX(条幅4分の1!$G$11:$G$310,278-COUNTA(半紙!$B$11:$B$310)-COUNTA(条幅!$B$11:$B$310)),""))))</f>
        <v/>
      </c>
      <c r="H283" s="38" t="str">
        <f>IF(IF(278&lt;=COUNTA(半紙!$B$11:$B$310),INDEX(半紙!$H$11:$H$310,278),IF(278&lt;=COUNTA(半紙!$B$11:$B$310)+COUNTA(条幅!$B$11:$B$310),INDEX(条幅!$H$11:$H$310,278-COUNTA(半紙!$B$11:$B$310)),IF(278&lt;=COUNTA(半紙!$B$11:$B$310)+COUNTA(条幅!$B$11:$B$310)+COUNTA(条幅4分の1!$B$11:$B$310),INDEX(条幅4分の1!$H$11:$H$310,278-COUNTA(半紙!$B$11:$B$310)-COUNTA(条幅!$B$11:$B$310)),"")))=0,"",IF(278&lt;=COUNTA(半紙!$B$11:$B$310),INDEX(半紙!$H$11:$H$310,278),IF(278&lt;=COUNTA(半紙!$B$11:$B$310)+COUNTA(条幅!$B$11:$B$310),INDEX(条幅!$H$11:$H$310,278-COUNTA(半紙!$B$11:$B$310)),IF(278&lt;=COUNTA(半紙!$B$11:$B$310)+COUNTA(条幅!$B$11:$B$310)+COUNTA(条幅4分の1!$B$11:$B$310),INDEX(条幅4分の1!$H$11:$H$310,278-COUNTA(半紙!$B$11:$B$310)-COUNTA(条幅!$B$11:$B$310)),""))))</f>
        <v/>
      </c>
      <c r="I283" s="38" t="str">
        <f>IF(IF(278&lt;=COUNTA(半紙!$B$11:$B$310),INDEX(半紙!$I$11:$I$310,278),IF(278&lt;=COUNTA(半紙!$B$11:$B$310)+COUNTA(条幅!$B$11:$B$310),INDEX(条幅!$I$11:$I$310,278-COUNTA(半紙!$B$11:$B$310)),IF(278&lt;=COUNTA(半紙!$B$11:$B$310)+COUNTA(条幅!$B$11:$B$310)+COUNTA(条幅4分の1!$B$11:$B$310),INDEX(条幅4分の1!$I$11:$I$310,278-COUNTA(半紙!$B$11:$B$310)-COUNTA(条幅!$B$11:$B$310)),"")))=0,"",IF(278&lt;=COUNTA(半紙!$B$11:$B$310),INDEX(半紙!$I$11:$I$310,278),IF(278&lt;=COUNTA(半紙!$B$11:$B$310)+COUNTA(条幅!$B$11:$B$310),INDEX(条幅!$I$11:$I$310,278-COUNTA(半紙!$B$11:$B$310)),IF(278&lt;=COUNTA(半紙!$B$11:$B$310)+COUNTA(条幅!$B$11:$B$310)+COUNTA(条幅4分の1!$B$11:$B$310),INDEX(条幅4分の1!$I$11:$I$310,278-COUNTA(半紙!$B$11:$B$310)-COUNTA(条幅!$B$11:$B$310)),""))))</f>
        <v/>
      </c>
      <c r="J283" s="38" t="str">
        <f>IF(IF(278&lt;=COUNTA(半紙!$B$11:$B$310),INDEX(半紙!$J$11:$J$310,278),IF(278&lt;=COUNTA(半紙!$B$11:$B$310)+COUNTA(条幅!$B$11:$B$310),INDEX(条幅!$J$11:$J$310,278-COUNTA(半紙!$B$11:$B$310)),IF(278&lt;=COUNTA(半紙!$B$11:$B$310)+COUNTA(条幅!$B$11:$B$310)+COUNTA(条幅4分の1!$B$11:$B$310),INDEX(条幅4分の1!$J$11:$J$310,278-COUNTA(半紙!$B$11:$B$310)-COUNTA(条幅!$B$11:$B$310)),"")))=0,"",IF(278&lt;=COUNTA(半紙!$B$11:$B$310),INDEX(半紙!$J$11:$J$310,278),IF(278&lt;=COUNTA(半紙!$B$11:$B$310)+COUNTA(条幅!$B$11:$B$310),INDEX(条幅!$J$11:$J$310,278-COUNTA(半紙!$B$11:$B$310)),IF(278&lt;=COUNTA(半紙!$B$11:$B$310)+COUNTA(条幅!$B$11:$B$310)+COUNTA(条幅4分の1!$B$11:$B$310),INDEX(条幅4分の1!$J$11:$J$310,278-COUNTA(半紙!$B$11:$B$310)-COUNTA(条幅!$B$11:$B$310)),""))))</f>
        <v/>
      </c>
      <c r="K283" s="38" t="str">
        <f>IF(IF(278&lt;=COUNTA(半紙!$B$11:$B$310),INDEX(半紙!$K$11:$K$310,278),IF(278&lt;=COUNTA(半紙!$B$11:$B$310)+COUNTA(条幅!$B$11:$B$310),INDEX(条幅!$K$11:$K$310,278-COUNTA(半紙!$B$11:$B$310)),IF(278&lt;=COUNTA(半紙!$B$11:$B$310)+COUNTA(条幅!$B$11:$B$310)+COUNTA(条幅4分の1!$B$11:$B$310),INDEX(条幅4分の1!$K$11:$K$310,278-COUNTA(半紙!$B$11:$B$310)-COUNTA(条幅!$B$11:$B$310)),"")))=0,"",IF(278&lt;=COUNTA(半紙!$B$11:$B$310),INDEX(半紙!$K$11:$K$310,278),IF(278&lt;=COUNTA(半紙!$B$11:$B$310)+COUNTA(条幅!$B$11:$B$310),INDEX(条幅!$K$11:$K$310,278-COUNTA(半紙!$B$11:$B$310)),IF(278&lt;=COUNTA(半紙!$B$11:$B$310)+COUNTA(条幅!$B$11:$B$310)+COUNTA(条幅4分の1!$B$11:$B$310),INDEX(条幅4分の1!$K$11:$K$310,278-COUNTA(半紙!$B$11:$B$310)-COUNTA(条幅!$B$11:$B$310)),""))))</f>
        <v/>
      </c>
      <c r="L283" s="48" t="str">
        <f>IF($B283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278))</f>
        <v/>
      </c>
    </row>
    <row r="284" spans="1:12" ht="15" customHeight="1">
      <c r="A284" s="37" t="str">
        <f>IF(279&lt;=COUNTA(半紙!$B$11:$B$310),"半紙",IF(279&lt;=COUNTA(半紙!$B$11:$B$310)+COUNTA(条幅!$B$11:$B$310),"条幅(半切)",IF(279&lt;=COUNTA(半紙!$B$11:$B$310)+COUNTA(条幅!$B$11:$B$310)+COUNTA(条幅4分の1!$B$11:$B$310),"条幅(1/4)","")))</f>
        <v/>
      </c>
      <c r="B284" s="38" t="str">
        <f>IF(IF(279&lt;=COUNTA(半紙!$B$11:$B$310),INDEX(半紙!$B$11:$B$310,279),IF(279&lt;=COUNTA(半紙!$B$11:$B$310)+COUNTA(条幅!$B$11:$B$310),INDEX(条幅!$B$11:$B$310,279-COUNTA(半紙!$B$11:$B$310)),IF(279&lt;=COUNTA(半紙!$B$11:$B$310)+COUNTA(条幅!$B$11:$B$310)+COUNTA(条幅4分の1!$B$11:$B$310),INDEX(条幅4分の1!$B$11:$B$310,279-COUNTA(半紙!$B$11:$B$310)-COUNTA(条幅!$B$11:$B$310)),"")))=0,"",IF(279&lt;=COUNTA(半紙!$B$11:$B$310),INDEX(半紙!$B$11:$B$310,279),IF(279&lt;=COUNTA(半紙!$B$11:$B$310)+COUNTA(条幅!$B$11:$B$310),INDEX(条幅!$B$11:$B$310,279-COUNTA(半紙!$B$11:$B$310)),IF(279&lt;=COUNTA(半紙!$B$11:$B$310)+COUNTA(条幅!$B$11:$B$310)+COUNTA(条幅4分の1!$B$11:$B$310),INDEX(条幅4分の1!$B$11:$B$310,279-COUNTA(半紙!$B$11:$B$310)-COUNTA(条幅!$B$11:$B$310)),""))))</f>
        <v/>
      </c>
      <c r="C284" s="38" t="str">
        <f>IF(IF(279&lt;=COUNTA(半紙!$B$11:$B$310),INDEX(半紙!$C$11:$C$310,279),IF(279&lt;=COUNTA(半紙!$B$11:$B$310)+COUNTA(条幅!$B$11:$B$310),INDEX(条幅!$C$11:$C$310,279-COUNTA(半紙!$B$11:$B$310)),IF(279&lt;=COUNTA(半紙!$B$11:$B$310)+COUNTA(条幅!$B$11:$B$310)+COUNTA(条幅4分の1!$B$11:$B$310),INDEX(条幅4分の1!$C$11:$C$310,279-COUNTA(半紙!$B$11:$B$310)-COUNTA(条幅!$B$11:$B$310)),"")))=0,"",IF(279&lt;=COUNTA(半紙!$B$11:$B$310),INDEX(半紙!$C$11:$C$310,279),IF(279&lt;=COUNTA(半紙!$B$11:$B$310)+COUNTA(条幅!$B$11:$B$310),INDEX(条幅!$C$11:$C$310,279-COUNTA(半紙!$B$11:$B$310)),IF(279&lt;=COUNTA(半紙!$B$11:$B$310)+COUNTA(条幅!$B$11:$B$310)+COUNTA(条幅4分の1!$B$11:$B$310),INDEX(条幅4分の1!$C$11:$C$310,279-COUNTA(半紙!$B$11:$B$310)-COUNTA(条幅!$B$11:$B$310)),""))))</f>
        <v/>
      </c>
      <c r="D284" s="38" t="str">
        <f>IF(IF(279&lt;=COUNTA(半紙!$B$11:$B$310),INDEX(半紙!$D$11:$D$310,279),IF(279&lt;=COUNTA(半紙!$B$11:$B$310)+COUNTA(条幅!$B$11:$B$310),INDEX(条幅!$D$11:$D$310,279-COUNTA(半紙!$B$11:$B$310)),IF(279&lt;=COUNTA(半紙!$B$11:$B$310)+COUNTA(条幅!$B$11:$B$310)+COUNTA(条幅4分の1!$B$11:$B$310),INDEX(条幅4分の1!$D$11:$D$310,279-COUNTA(半紙!$B$11:$B$310)-COUNTA(条幅!$B$11:$B$310)),"")))=0,"",IF(279&lt;=COUNTA(半紙!$B$11:$B$310),INDEX(半紙!$D$11:$D$310,279),IF(279&lt;=COUNTA(半紙!$B$11:$B$310)+COUNTA(条幅!$B$11:$B$310),INDEX(条幅!$D$11:$D$310,279-COUNTA(半紙!$B$11:$B$310)),IF(279&lt;=COUNTA(半紙!$B$11:$B$310)+COUNTA(条幅!$B$11:$B$310)+COUNTA(条幅4分の1!$B$11:$B$310),INDEX(条幅4分の1!$D$11:$D$310,279-COUNTA(半紙!$B$11:$B$310)-COUNTA(条幅!$B$11:$B$310)),""))))</f>
        <v/>
      </c>
      <c r="E284" s="38" t="str">
        <f>IF(IF(279&lt;=COUNTA(半紙!$B$11:$B$310),INDEX(半紙!$E$11:$E$310,279),IF(279&lt;=COUNTA(半紙!$B$11:$B$310)+COUNTA(条幅!$B$11:$B$310),INDEX(条幅!$E$11:$E$310,279-COUNTA(半紙!$B$11:$B$310)),IF(279&lt;=COUNTA(半紙!$B$11:$B$310)+COUNTA(条幅!$B$11:$B$310)+COUNTA(条幅4分の1!$B$11:$B$310),INDEX(条幅4分の1!$E$11:$E$310,279-COUNTA(半紙!$B$11:$B$310)-COUNTA(条幅!$B$11:$B$310)),"")))=0,"",IF(279&lt;=COUNTA(半紙!$B$11:$B$310),INDEX(半紙!$E$11:$E$310,279),IF(279&lt;=COUNTA(半紙!$B$11:$B$310)+COUNTA(条幅!$B$11:$B$310),INDEX(条幅!$E$11:$E$310,279-COUNTA(半紙!$B$11:$B$310)),IF(279&lt;=COUNTA(半紙!$B$11:$B$310)+COUNTA(条幅!$B$11:$B$310)+COUNTA(条幅4分の1!$B$11:$B$310),INDEX(条幅4分の1!$E$11:$E$310,279-COUNTA(半紙!$B$11:$B$310)-COUNTA(条幅!$B$11:$B$310)),""))))</f>
        <v/>
      </c>
      <c r="F284" s="38" t="str">
        <f>IF(IF(279&lt;=COUNTA(半紙!$B$11:$B$310),INDEX(半紙!$F$11:$F$310,279),IF(279&lt;=COUNTA(半紙!$B$11:$B$310)+COUNTA(条幅!$B$11:$B$310),INDEX(条幅!$F$11:$F$310,279-COUNTA(半紙!$B$11:$B$310)),IF(279&lt;=COUNTA(半紙!$B$11:$B$310)+COUNTA(条幅!$B$11:$B$310)+COUNTA(条幅4分の1!$B$11:$B$310),INDEX(条幅4分の1!$F$11:$F$310,279-COUNTA(半紙!$B$11:$B$310)-COUNTA(条幅!$B$11:$B$310)),"")))=0,"",IF(279&lt;=COUNTA(半紙!$B$11:$B$310),INDEX(半紙!$F$11:$F$310,279),IF(279&lt;=COUNTA(半紙!$B$11:$B$310)+COUNTA(条幅!$B$11:$B$310),INDEX(条幅!$F$11:$F$310,279-COUNTA(半紙!$B$11:$B$310)),IF(279&lt;=COUNTA(半紙!$B$11:$B$310)+COUNTA(条幅!$B$11:$B$310)+COUNTA(条幅4分の1!$B$11:$B$310),INDEX(条幅4分の1!$F$11:$F$310,279-COUNTA(半紙!$B$11:$B$310)-COUNTA(条幅!$B$11:$B$310)),""))))</f>
        <v/>
      </c>
      <c r="G284" s="38" t="str">
        <f>IF(IF(279&lt;=COUNTA(半紙!$B$11:$B$310),INDEX(半紙!$G$11:$G$310,279),IF(279&lt;=COUNTA(半紙!$B$11:$B$310)+COUNTA(条幅!$B$11:$B$310),INDEX(条幅!$G$11:$G$310,279-COUNTA(半紙!$B$11:$B$310)),IF(279&lt;=COUNTA(半紙!$B$11:$B$310)+COUNTA(条幅!$B$11:$B$310)+COUNTA(条幅4分の1!$B$11:$B$310),INDEX(条幅4分の1!$G$11:$G$310,279-COUNTA(半紙!$B$11:$B$310)-COUNTA(条幅!$B$11:$B$310)),"")))=0,"",IF(279&lt;=COUNTA(半紙!$B$11:$B$310),INDEX(半紙!$G$11:$G$310,279),IF(279&lt;=COUNTA(半紙!$B$11:$B$310)+COUNTA(条幅!$B$11:$B$310),INDEX(条幅!$G$11:$G$310,279-COUNTA(半紙!$B$11:$B$310)),IF(279&lt;=COUNTA(半紙!$B$11:$B$310)+COUNTA(条幅!$B$11:$B$310)+COUNTA(条幅4分の1!$B$11:$B$310),INDEX(条幅4分の1!$G$11:$G$310,279-COUNTA(半紙!$B$11:$B$310)-COUNTA(条幅!$B$11:$B$310)),""))))</f>
        <v/>
      </c>
      <c r="H284" s="38" t="str">
        <f>IF(IF(279&lt;=COUNTA(半紙!$B$11:$B$310),INDEX(半紙!$H$11:$H$310,279),IF(279&lt;=COUNTA(半紙!$B$11:$B$310)+COUNTA(条幅!$B$11:$B$310),INDEX(条幅!$H$11:$H$310,279-COUNTA(半紙!$B$11:$B$310)),IF(279&lt;=COUNTA(半紙!$B$11:$B$310)+COUNTA(条幅!$B$11:$B$310)+COUNTA(条幅4分の1!$B$11:$B$310),INDEX(条幅4分の1!$H$11:$H$310,279-COUNTA(半紙!$B$11:$B$310)-COUNTA(条幅!$B$11:$B$310)),"")))=0,"",IF(279&lt;=COUNTA(半紙!$B$11:$B$310),INDEX(半紙!$H$11:$H$310,279),IF(279&lt;=COUNTA(半紙!$B$11:$B$310)+COUNTA(条幅!$B$11:$B$310),INDEX(条幅!$H$11:$H$310,279-COUNTA(半紙!$B$11:$B$310)),IF(279&lt;=COUNTA(半紙!$B$11:$B$310)+COUNTA(条幅!$B$11:$B$310)+COUNTA(条幅4分の1!$B$11:$B$310),INDEX(条幅4分の1!$H$11:$H$310,279-COUNTA(半紙!$B$11:$B$310)-COUNTA(条幅!$B$11:$B$310)),""))))</f>
        <v/>
      </c>
      <c r="I284" s="38" t="str">
        <f>IF(IF(279&lt;=COUNTA(半紙!$B$11:$B$310),INDEX(半紙!$I$11:$I$310,279),IF(279&lt;=COUNTA(半紙!$B$11:$B$310)+COUNTA(条幅!$B$11:$B$310),INDEX(条幅!$I$11:$I$310,279-COUNTA(半紙!$B$11:$B$310)),IF(279&lt;=COUNTA(半紙!$B$11:$B$310)+COUNTA(条幅!$B$11:$B$310)+COUNTA(条幅4分の1!$B$11:$B$310),INDEX(条幅4分の1!$I$11:$I$310,279-COUNTA(半紙!$B$11:$B$310)-COUNTA(条幅!$B$11:$B$310)),"")))=0,"",IF(279&lt;=COUNTA(半紙!$B$11:$B$310),INDEX(半紙!$I$11:$I$310,279),IF(279&lt;=COUNTA(半紙!$B$11:$B$310)+COUNTA(条幅!$B$11:$B$310),INDEX(条幅!$I$11:$I$310,279-COUNTA(半紙!$B$11:$B$310)),IF(279&lt;=COUNTA(半紙!$B$11:$B$310)+COUNTA(条幅!$B$11:$B$310)+COUNTA(条幅4分の1!$B$11:$B$310),INDEX(条幅4分の1!$I$11:$I$310,279-COUNTA(半紙!$B$11:$B$310)-COUNTA(条幅!$B$11:$B$310)),""))))</f>
        <v/>
      </c>
      <c r="J284" s="38" t="str">
        <f>IF(IF(279&lt;=COUNTA(半紙!$B$11:$B$310),INDEX(半紙!$J$11:$J$310,279),IF(279&lt;=COUNTA(半紙!$B$11:$B$310)+COUNTA(条幅!$B$11:$B$310),INDEX(条幅!$J$11:$J$310,279-COUNTA(半紙!$B$11:$B$310)),IF(279&lt;=COUNTA(半紙!$B$11:$B$310)+COUNTA(条幅!$B$11:$B$310)+COUNTA(条幅4分の1!$B$11:$B$310),INDEX(条幅4分の1!$J$11:$J$310,279-COUNTA(半紙!$B$11:$B$310)-COUNTA(条幅!$B$11:$B$310)),"")))=0,"",IF(279&lt;=COUNTA(半紙!$B$11:$B$310),INDEX(半紙!$J$11:$J$310,279),IF(279&lt;=COUNTA(半紙!$B$11:$B$310)+COUNTA(条幅!$B$11:$B$310),INDEX(条幅!$J$11:$J$310,279-COUNTA(半紙!$B$11:$B$310)),IF(279&lt;=COUNTA(半紙!$B$11:$B$310)+COUNTA(条幅!$B$11:$B$310)+COUNTA(条幅4分の1!$B$11:$B$310),INDEX(条幅4分の1!$J$11:$J$310,279-COUNTA(半紙!$B$11:$B$310)-COUNTA(条幅!$B$11:$B$310)),""))))</f>
        <v/>
      </c>
      <c r="K284" s="38" t="str">
        <f>IF(IF(279&lt;=COUNTA(半紙!$B$11:$B$310),INDEX(半紙!$K$11:$K$310,279),IF(279&lt;=COUNTA(半紙!$B$11:$B$310)+COUNTA(条幅!$B$11:$B$310),INDEX(条幅!$K$11:$K$310,279-COUNTA(半紙!$B$11:$B$310)),IF(279&lt;=COUNTA(半紙!$B$11:$B$310)+COUNTA(条幅!$B$11:$B$310)+COUNTA(条幅4分の1!$B$11:$B$310),INDEX(条幅4分の1!$K$11:$K$310,279-COUNTA(半紙!$B$11:$B$310)-COUNTA(条幅!$B$11:$B$310)),"")))=0,"",IF(279&lt;=COUNTA(半紙!$B$11:$B$310),INDEX(半紙!$K$11:$K$310,279),IF(279&lt;=COUNTA(半紙!$B$11:$B$310)+COUNTA(条幅!$B$11:$B$310),INDEX(条幅!$K$11:$K$310,279-COUNTA(半紙!$B$11:$B$310)),IF(279&lt;=COUNTA(半紙!$B$11:$B$310)+COUNTA(条幅!$B$11:$B$310)+COUNTA(条幅4分の1!$B$11:$B$310),INDEX(条幅4分の1!$K$11:$K$310,279-COUNTA(半紙!$B$11:$B$310)-COUNTA(条幅!$B$11:$B$310)),""))))</f>
        <v/>
      </c>
      <c r="L284" s="48" t="str">
        <f>IF($B284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279))</f>
        <v/>
      </c>
    </row>
    <row r="285" spans="1:12" ht="15" customHeight="1">
      <c r="A285" s="37" t="str">
        <f>IF(280&lt;=COUNTA(半紙!$B$11:$B$310),"半紙",IF(280&lt;=COUNTA(半紙!$B$11:$B$310)+COUNTA(条幅!$B$11:$B$310),"条幅(半切)",IF(280&lt;=COUNTA(半紙!$B$11:$B$310)+COUNTA(条幅!$B$11:$B$310)+COUNTA(条幅4分の1!$B$11:$B$310),"条幅(1/4)","")))</f>
        <v/>
      </c>
      <c r="B285" s="38" t="str">
        <f>IF(IF(280&lt;=COUNTA(半紙!$B$11:$B$310),INDEX(半紙!$B$11:$B$310,280),IF(280&lt;=COUNTA(半紙!$B$11:$B$310)+COUNTA(条幅!$B$11:$B$310),INDEX(条幅!$B$11:$B$310,280-COUNTA(半紙!$B$11:$B$310)),IF(280&lt;=COUNTA(半紙!$B$11:$B$310)+COUNTA(条幅!$B$11:$B$310)+COUNTA(条幅4分の1!$B$11:$B$310),INDEX(条幅4分の1!$B$11:$B$310,280-COUNTA(半紙!$B$11:$B$310)-COUNTA(条幅!$B$11:$B$310)),"")))=0,"",IF(280&lt;=COUNTA(半紙!$B$11:$B$310),INDEX(半紙!$B$11:$B$310,280),IF(280&lt;=COUNTA(半紙!$B$11:$B$310)+COUNTA(条幅!$B$11:$B$310),INDEX(条幅!$B$11:$B$310,280-COUNTA(半紙!$B$11:$B$310)),IF(280&lt;=COUNTA(半紙!$B$11:$B$310)+COUNTA(条幅!$B$11:$B$310)+COUNTA(条幅4分の1!$B$11:$B$310),INDEX(条幅4分の1!$B$11:$B$310,280-COUNTA(半紙!$B$11:$B$310)-COUNTA(条幅!$B$11:$B$310)),""))))</f>
        <v/>
      </c>
      <c r="C285" s="38" t="str">
        <f>IF(IF(280&lt;=COUNTA(半紙!$B$11:$B$310),INDEX(半紙!$C$11:$C$310,280),IF(280&lt;=COUNTA(半紙!$B$11:$B$310)+COUNTA(条幅!$B$11:$B$310),INDEX(条幅!$C$11:$C$310,280-COUNTA(半紙!$B$11:$B$310)),IF(280&lt;=COUNTA(半紙!$B$11:$B$310)+COUNTA(条幅!$B$11:$B$310)+COUNTA(条幅4分の1!$B$11:$B$310),INDEX(条幅4分の1!$C$11:$C$310,280-COUNTA(半紙!$B$11:$B$310)-COUNTA(条幅!$B$11:$B$310)),"")))=0,"",IF(280&lt;=COUNTA(半紙!$B$11:$B$310),INDEX(半紙!$C$11:$C$310,280),IF(280&lt;=COUNTA(半紙!$B$11:$B$310)+COUNTA(条幅!$B$11:$B$310),INDEX(条幅!$C$11:$C$310,280-COUNTA(半紙!$B$11:$B$310)),IF(280&lt;=COUNTA(半紙!$B$11:$B$310)+COUNTA(条幅!$B$11:$B$310)+COUNTA(条幅4分の1!$B$11:$B$310),INDEX(条幅4分の1!$C$11:$C$310,280-COUNTA(半紙!$B$11:$B$310)-COUNTA(条幅!$B$11:$B$310)),""))))</f>
        <v/>
      </c>
      <c r="D285" s="38" t="str">
        <f>IF(IF(280&lt;=COUNTA(半紙!$B$11:$B$310),INDEX(半紙!$D$11:$D$310,280),IF(280&lt;=COUNTA(半紙!$B$11:$B$310)+COUNTA(条幅!$B$11:$B$310),INDEX(条幅!$D$11:$D$310,280-COUNTA(半紙!$B$11:$B$310)),IF(280&lt;=COUNTA(半紙!$B$11:$B$310)+COUNTA(条幅!$B$11:$B$310)+COUNTA(条幅4分の1!$B$11:$B$310),INDEX(条幅4分の1!$D$11:$D$310,280-COUNTA(半紙!$B$11:$B$310)-COUNTA(条幅!$B$11:$B$310)),"")))=0,"",IF(280&lt;=COUNTA(半紙!$B$11:$B$310),INDEX(半紙!$D$11:$D$310,280),IF(280&lt;=COUNTA(半紙!$B$11:$B$310)+COUNTA(条幅!$B$11:$B$310),INDEX(条幅!$D$11:$D$310,280-COUNTA(半紙!$B$11:$B$310)),IF(280&lt;=COUNTA(半紙!$B$11:$B$310)+COUNTA(条幅!$B$11:$B$310)+COUNTA(条幅4分の1!$B$11:$B$310),INDEX(条幅4分の1!$D$11:$D$310,280-COUNTA(半紙!$B$11:$B$310)-COUNTA(条幅!$B$11:$B$310)),""))))</f>
        <v/>
      </c>
      <c r="E285" s="38" t="str">
        <f>IF(IF(280&lt;=COUNTA(半紙!$B$11:$B$310),INDEX(半紙!$E$11:$E$310,280),IF(280&lt;=COUNTA(半紙!$B$11:$B$310)+COUNTA(条幅!$B$11:$B$310),INDEX(条幅!$E$11:$E$310,280-COUNTA(半紙!$B$11:$B$310)),IF(280&lt;=COUNTA(半紙!$B$11:$B$310)+COUNTA(条幅!$B$11:$B$310)+COUNTA(条幅4分の1!$B$11:$B$310),INDEX(条幅4分の1!$E$11:$E$310,280-COUNTA(半紙!$B$11:$B$310)-COUNTA(条幅!$B$11:$B$310)),"")))=0,"",IF(280&lt;=COUNTA(半紙!$B$11:$B$310),INDEX(半紙!$E$11:$E$310,280),IF(280&lt;=COUNTA(半紙!$B$11:$B$310)+COUNTA(条幅!$B$11:$B$310),INDEX(条幅!$E$11:$E$310,280-COUNTA(半紙!$B$11:$B$310)),IF(280&lt;=COUNTA(半紙!$B$11:$B$310)+COUNTA(条幅!$B$11:$B$310)+COUNTA(条幅4分の1!$B$11:$B$310),INDEX(条幅4分の1!$E$11:$E$310,280-COUNTA(半紙!$B$11:$B$310)-COUNTA(条幅!$B$11:$B$310)),""))))</f>
        <v/>
      </c>
      <c r="F285" s="38" t="str">
        <f>IF(IF(280&lt;=COUNTA(半紙!$B$11:$B$310),INDEX(半紙!$F$11:$F$310,280),IF(280&lt;=COUNTA(半紙!$B$11:$B$310)+COUNTA(条幅!$B$11:$B$310),INDEX(条幅!$F$11:$F$310,280-COUNTA(半紙!$B$11:$B$310)),IF(280&lt;=COUNTA(半紙!$B$11:$B$310)+COUNTA(条幅!$B$11:$B$310)+COUNTA(条幅4分の1!$B$11:$B$310),INDEX(条幅4分の1!$F$11:$F$310,280-COUNTA(半紙!$B$11:$B$310)-COUNTA(条幅!$B$11:$B$310)),"")))=0,"",IF(280&lt;=COUNTA(半紙!$B$11:$B$310),INDEX(半紙!$F$11:$F$310,280),IF(280&lt;=COUNTA(半紙!$B$11:$B$310)+COUNTA(条幅!$B$11:$B$310),INDEX(条幅!$F$11:$F$310,280-COUNTA(半紙!$B$11:$B$310)),IF(280&lt;=COUNTA(半紙!$B$11:$B$310)+COUNTA(条幅!$B$11:$B$310)+COUNTA(条幅4分の1!$B$11:$B$310),INDEX(条幅4分の1!$F$11:$F$310,280-COUNTA(半紙!$B$11:$B$310)-COUNTA(条幅!$B$11:$B$310)),""))))</f>
        <v/>
      </c>
      <c r="G285" s="38" t="str">
        <f>IF(IF(280&lt;=COUNTA(半紙!$B$11:$B$310),INDEX(半紙!$G$11:$G$310,280),IF(280&lt;=COUNTA(半紙!$B$11:$B$310)+COUNTA(条幅!$B$11:$B$310),INDEX(条幅!$G$11:$G$310,280-COUNTA(半紙!$B$11:$B$310)),IF(280&lt;=COUNTA(半紙!$B$11:$B$310)+COUNTA(条幅!$B$11:$B$310)+COUNTA(条幅4分の1!$B$11:$B$310),INDEX(条幅4分の1!$G$11:$G$310,280-COUNTA(半紙!$B$11:$B$310)-COUNTA(条幅!$B$11:$B$310)),"")))=0,"",IF(280&lt;=COUNTA(半紙!$B$11:$B$310),INDEX(半紙!$G$11:$G$310,280),IF(280&lt;=COUNTA(半紙!$B$11:$B$310)+COUNTA(条幅!$B$11:$B$310),INDEX(条幅!$G$11:$G$310,280-COUNTA(半紙!$B$11:$B$310)),IF(280&lt;=COUNTA(半紙!$B$11:$B$310)+COUNTA(条幅!$B$11:$B$310)+COUNTA(条幅4分の1!$B$11:$B$310),INDEX(条幅4分の1!$G$11:$G$310,280-COUNTA(半紙!$B$11:$B$310)-COUNTA(条幅!$B$11:$B$310)),""))))</f>
        <v/>
      </c>
      <c r="H285" s="38" t="str">
        <f>IF(IF(280&lt;=COUNTA(半紙!$B$11:$B$310),INDEX(半紙!$H$11:$H$310,280),IF(280&lt;=COUNTA(半紙!$B$11:$B$310)+COUNTA(条幅!$B$11:$B$310),INDEX(条幅!$H$11:$H$310,280-COUNTA(半紙!$B$11:$B$310)),IF(280&lt;=COUNTA(半紙!$B$11:$B$310)+COUNTA(条幅!$B$11:$B$310)+COUNTA(条幅4分の1!$B$11:$B$310),INDEX(条幅4分の1!$H$11:$H$310,280-COUNTA(半紙!$B$11:$B$310)-COUNTA(条幅!$B$11:$B$310)),"")))=0,"",IF(280&lt;=COUNTA(半紙!$B$11:$B$310),INDEX(半紙!$H$11:$H$310,280),IF(280&lt;=COUNTA(半紙!$B$11:$B$310)+COUNTA(条幅!$B$11:$B$310),INDEX(条幅!$H$11:$H$310,280-COUNTA(半紙!$B$11:$B$310)),IF(280&lt;=COUNTA(半紙!$B$11:$B$310)+COUNTA(条幅!$B$11:$B$310)+COUNTA(条幅4分の1!$B$11:$B$310),INDEX(条幅4分の1!$H$11:$H$310,280-COUNTA(半紙!$B$11:$B$310)-COUNTA(条幅!$B$11:$B$310)),""))))</f>
        <v/>
      </c>
      <c r="I285" s="38" t="str">
        <f>IF(IF(280&lt;=COUNTA(半紙!$B$11:$B$310),INDEX(半紙!$I$11:$I$310,280),IF(280&lt;=COUNTA(半紙!$B$11:$B$310)+COUNTA(条幅!$B$11:$B$310),INDEX(条幅!$I$11:$I$310,280-COUNTA(半紙!$B$11:$B$310)),IF(280&lt;=COUNTA(半紙!$B$11:$B$310)+COUNTA(条幅!$B$11:$B$310)+COUNTA(条幅4分の1!$B$11:$B$310),INDEX(条幅4分の1!$I$11:$I$310,280-COUNTA(半紙!$B$11:$B$310)-COUNTA(条幅!$B$11:$B$310)),"")))=0,"",IF(280&lt;=COUNTA(半紙!$B$11:$B$310),INDEX(半紙!$I$11:$I$310,280),IF(280&lt;=COUNTA(半紙!$B$11:$B$310)+COUNTA(条幅!$B$11:$B$310),INDEX(条幅!$I$11:$I$310,280-COUNTA(半紙!$B$11:$B$310)),IF(280&lt;=COUNTA(半紙!$B$11:$B$310)+COUNTA(条幅!$B$11:$B$310)+COUNTA(条幅4分の1!$B$11:$B$310),INDEX(条幅4分の1!$I$11:$I$310,280-COUNTA(半紙!$B$11:$B$310)-COUNTA(条幅!$B$11:$B$310)),""))))</f>
        <v/>
      </c>
      <c r="J285" s="38" t="str">
        <f>IF(IF(280&lt;=COUNTA(半紙!$B$11:$B$310),INDEX(半紙!$J$11:$J$310,280),IF(280&lt;=COUNTA(半紙!$B$11:$B$310)+COUNTA(条幅!$B$11:$B$310),INDEX(条幅!$J$11:$J$310,280-COUNTA(半紙!$B$11:$B$310)),IF(280&lt;=COUNTA(半紙!$B$11:$B$310)+COUNTA(条幅!$B$11:$B$310)+COUNTA(条幅4分の1!$B$11:$B$310),INDEX(条幅4分の1!$J$11:$J$310,280-COUNTA(半紙!$B$11:$B$310)-COUNTA(条幅!$B$11:$B$310)),"")))=0,"",IF(280&lt;=COUNTA(半紙!$B$11:$B$310),INDEX(半紙!$J$11:$J$310,280),IF(280&lt;=COUNTA(半紙!$B$11:$B$310)+COUNTA(条幅!$B$11:$B$310),INDEX(条幅!$J$11:$J$310,280-COUNTA(半紙!$B$11:$B$310)),IF(280&lt;=COUNTA(半紙!$B$11:$B$310)+COUNTA(条幅!$B$11:$B$310)+COUNTA(条幅4分の1!$B$11:$B$310),INDEX(条幅4分の1!$J$11:$J$310,280-COUNTA(半紙!$B$11:$B$310)-COUNTA(条幅!$B$11:$B$310)),""))))</f>
        <v/>
      </c>
      <c r="K285" s="38" t="str">
        <f>IF(IF(280&lt;=COUNTA(半紙!$B$11:$B$310),INDEX(半紙!$K$11:$K$310,280),IF(280&lt;=COUNTA(半紙!$B$11:$B$310)+COUNTA(条幅!$B$11:$B$310),INDEX(条幅!$K$11:$K$310,280-COUNTA(半紙!$B$11:$B$310)),IF(280&lt;=COUNTA(半紙!$B$11:$B$310)+COUNTA(条幅!$B$11:$B$310)+COUNTA(条幅4分の1!$B$11:$B$310),INDEX(条幅4分の1!$K$11:$K$310,280-COUNTA(半紙!$B$11:$B$310)-COUNTA(条幅!$B$11:$B$310)),"")))=0,"",IF(280&lt;=COUNTA(半紙!$B$11:$B$310),INDEX(半紙!$K$11:$K$310,280),IF(280&lt;=COUNTA(半紙!$B$11:$B$310)+COUNTA(条幅!$B$11:$B$310),INDEX(条幅!$K$11:$K$310,280-COUNTA(半紙!$B$11:$B$310)),IF(280&lt;=COUNTA(半紙!$B$11:$B$310)+COUNTA(条幅!$B$11:$B$310)+COUNTA(条幅4分の1!$B$11:$B$310),INDEX(条幅4分の1!$K$11:$K$310,280-COUNTA(半紙!$B$11:$B$310)-COUNTA(条幅!$B$11:$B$310)),""))))</f>
        <v/>
      </c>
      <c r="L285" s="48" t="str">
        <f>IF($B285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280))</f>
        <v/>
      </c>
    </row>
    <row r="286" spans="1:12" ht="15" customHeight="1">
      <c r="A286" s="37" t="str">
        <f>IF(281&lt;=COUNTA(半紙!$B$11:$B$310),"半紙",IF(281&lt;=COUNTA(半紙!$B$11:$B$310)+COUNTA(条幅!$B$11:$B$310),"条幅(半切)",IF(281&lt;=COUNTA(半紙!$B$11:$B$310)+COUNTA(条幅!$B$11:$B$310)+COUNTA(条幅4分の1!$B$11:$B$310),"条幅(1/4)","")))</f>
        <v/>
      </c>
      <c r="B286" s="38" t="str">
        <f>IF(IF(281&lt;=COUNTA(半紙!$B$11:$B$310),INDEX(半紙!$B$11:$B$310,281),IF(281&lt;=COUNTA(半紙!$B$11:$B$310)+COUNTA(条幅!$B$11:$B$310),INDEX(条幅!$B$11:$B$310,281-COUNTA(半紙!$B$11:$B$310)),IF(281&lt;=COUNTA(半紙!$B$11:$B$310)+COUNTA(条幅!$B$11:$B$310)+COUNTA(条幅4分の1!$B$11:$B$310),INDEX(条幅4分の1!$B$11:$B$310,281-COUNTA(半紙!$B$11:$B$310)-COUNTA(条幅!$B$11:$B$310)),"")))=0,"",IF(281&lt;=COUNTA(半紙!$B$11:$B$310),INDEX(半紙!$B$11:$B$310,281),IF(281&lt;=COUNTA(半紙!$B$11:$B$310)+COUNTA(条幅!$B$11:$B$310),INDEX(条幅!$B$11:$B$310,281-COUNTA(半紙!$B$11:$B$310)),IF(281&lt;=COUNTA(半紙!$B$11:$B$310)+COUNTA(条幅!$B$11:$B$310)+COUNTA(条幅4分の1!$B$11:$B$310),INDEX(条幅4分の1!$B$11:$B$310,281-COUNTA(半紙!$B$11:$B$310)-COUNTA(条幅!$B$11:$B$310)),""))))</f>
        <v/>
      </c>
      <c r="C286" s="38" t="str">
        <f>IF(IF(281&lt;=COUNTA(半紙!$B$11:$B$310),INDEX(半紙!$C$11:$C$310,281),IF(281&lt;=COUNTA(半紙!$B$11:$B$310)+COUNTA(条幅!$B$11:$B$310),INDEX(条幅!$C$11:$C$310,281-COUNTA(半紙!$B$11:$B$310)),IF(281&lt;=COUNTA(半紙!$B$11:$B$310)+COUNTA(条幅!$B$11:$B$310)+COUNTA(条幅4分の1!$B$11:$B$310),INDEX(条幅4分の1!$C$11:$C$310,281-COUNTA(半紙!$B$11:$B$310)-COUNTA(条幅!$B$11:$B$310)),"")))=0,"",IF(281&lt;=COUNTA(半紙!$B$11:$B$310),INDEX(半紙!$C$11:$C$310,281),IF(281&lt;=COUNTA(半紙!$B$11:$B$310)+COUNTA(条幅!$B$11:$B$310),INDEX(条幅!$C$11:$C$310,281-COUNTA(半紙!$B$11:$B$310)),IF(281&lt;=COUNTA(半紙!$B$11:$B$310)+COUNTA(条幅!$B$11:$B$310)+COUNTA(条幅4分の1!$B$11:$B$310),INDEX(条幅4分の1!$C$11:$C$310,281-COUNTA(半紙!$B$11:$B$310)-COUNTA(条幅!$B$11:$B$310)),""))))</f>
        <v/>
      </c>
      <c r="D286" s="38" t="str">
        <f>IF(IF(281&lt;=COUNTA(半紙!$B$11:$B$310),INDEX(半紙!$D$11:$D$310,281),IF(281&lt;=COUNTA(半紙!$B$11:$B$310)+COUNTA(条幅!$B$11:$B$310),INDEX(条幅!$D$11:$D$310,281-COUNTA(半紙!$B$11:$B$310)),IF(281&lt;=COUNTA(半紙!$B$11:$B$310)+COUNTA(条幅!$B$11:$B$310)+COUNTA(条幅4分の1!$B$11:$B$310),INDEX(条幅4分の1!$D$11:$D$310,281-COUNTA(半紙!$B$11:$B$310)-COUNTA(条幅!$B$11:$B$310)),"")))=0,"",IF(281&lt;=COUNTA(半紙!$B$11:$B$310),INDEX(半紙!$D$11:$D$310,281),IF(281&lt;=COUNTA(半紙!$B$11:$B$310)+COUNTA(条幅!$B$11:$B$310),INDEX(条幅!$D$11:$D$310,281-COUNTA(半紙!$B$11:$B$310)),IF(281&lt;=COUNTA(半紙!$B$11:$B$310)+COUNTA(条幅!$B$11:$B$310)+COUNTA(条幅4分の1!$B$11:$B$310),INDEX(条幅4分の1!$D$11:$D$310,281-COUNTA(半紙!$B$11:$B$310)-COUNTA(条幅!$B$11:$B$310)),""))))</f>
        <v/>
      </c>
      <c r="E286" s="38" t="str">
        <f>IF(IF(281&lt;=COUNTA(半紙!$B$11:$B$310),INDEX(半紙!$E$11:$E$310,281),IF(281&lt;=COUNTA(半紙!$B$11:$B$310)+COUNTA(条幅!$B$11:$B$310),INDEX(条幅!$E$11:$E$310,281-COUNTA(半紙!$B$11:$B$310)),IF(281&lt;=COUNTA(半紙!$B$11:$B$310)+COUNTA(条幅!$B$11:$B$310)+COUNTA(条幅4分の1!$B$11:$B$310),INDEX(条幅4分の1!$E$11:$E$310,281-COUNTA(半紙!$B$11:$B$310)-COUNTA(条幅!$B$11:$B$310)),"")))=0,"",IF(281&lt;=COUNTA(半紙!$B$11:$B$310),INDEX(半紙!$E$11:$E$310,281),IF(281&lt;=COUNTA(半紙!$B$11:$B$310)+COUNTA(条幅!$B$11:$B$310),INDEX(条幅!$E$11:$E$310,281-COUNTA(半紙!$B$11:$B$310)),IF(281&lt;=COUNTA(半紙!$B$11:$B$310)+COUNTA(条幅!$B$11:$B$310)+COUNTA(条幅4分の1!$B$11:$B$310),INDEX(条幅4分の1!$E$11:$E$310,281-COUNTA(半紙!$B$11:$B$310)-COUNTA(条幅!$B$11:$B$310)),""))))</f>
        <v/>
      </c>
      <c r="F286" s="38" t="str">
        <f>IF(IF(281&lt;=COUNTA(半紙!$B$11:$B$310),INDEX(半紙!$F$11:$F$310,281),IF(281&lt;=COUNTA(半紙!$B$11:$B$310)+COUNTA(条幅!$B$11:$B$310),INDEX(条幅!$F$11:$F$310,281-COUNTA(半紙!$B$11:$B$310)),IF(281&lt;=COUNTA(半紙!$B$11:$B$310)+COUNTA(条幅!$B$11:$B$310)+COUNTA(条幅4分の1!$B$11:$B$310),INDEX(条幅4分の1!$F$11:$F$310,281-COUNTA(半紙!$B$11:$B$310)-COUNTA(条幅!$B$11:$B$310)),"")))=0,"",IF(281&lt;=COUNTA(半紙!$B$11:$B$310),INDEX(半紙!$F$11:$F$310,281),IF(281&lt;=COUNTA(半紙!$B$11:$B$310)+COUNTA(条幅!$B$11:$B$310),INDEX(条幅!$F$11:$F$310,281-COUNTA(半紙!$B$11:$B$310)),IF(281&lt;=COUNTA(半紙!$B$11:$B$310)+COUNTA(条幅!$B$11:$B$310)+COUNTA(条幅4分の1!$B$11:$B$310),INDEX(条幅4分の1!$F$11:$F$310,281-COUNTA(半紙!$B$11:$B$310)-COUNTA(条幅!$B$11:$B$310)),""))))</f>
        <v/>
      </c>
      <c r="G286" s="38" t="str">
        <f>IF(IF(281&lt;=COUNTA(半紙!$B$11:$B$310),INDEX(半紙!$G$11:$G$310,281),IF(281&lt;=COUNTA(半紙!$B$11:$B$310)+COUNTA(条幅!$B$11:$B$310),INDEX(条幅!$G$11:$G$310,281-COUNTA(半紙!$B$11:$B$310)),IF(281&lt;=COUNTA(半紙!$B$11:$B$310)+COUNTA(条幅!$B$11:$B$310)+COUNTA(条幅4分の1!$B$11:$B$310),INDEX(条幅4分の1!$G$11:$G$310,281-COUNTA(半紙!$B$11:$B$310)-COUNTA(条幅!$B$11:$B$310)),"")))=0,"",IF(281&lt;=COUNTA(半紙!$B$11:$B$310),INDEX(半紙!$G$11:$G$310,281),IF(281&lt;=COUNTA(半紙!$B$11:$B$310)+COUNTA(条幅!$B$11:$B$310),INDEX(条幅!$G$11:$G$310,281-COUNTA(半紙!$B$11:$B$310)),IF(281&lt;=COUNTA(半紙!$B$11:$B$310)+COUNTA(条幅!$B$11:$B$310)+COUNTA(条幅4分の1!$B$11:$B$310),INDEX(条幅4分の1!$G$11:$G$310,281-COUNTA(半紙!$B$11:$B$310)-COUNTA(条幅!$B$11:$B$310)),""))))</f>
        <v/>
      </c>
      <c r="H286" s="38" t="str">
        <f>IF(IF(281&lt;=COUNTA(半紙!$B$11:$B$310),INDEX(半紙!$H$11:$H$310,281),IF(281&lt;=COUNTA(半紙!$B$11:$B$310)+COUNTA(条幅!$B$11:$B$310),INDEX(条幅!$H$11:$H$310,281-COUNTA(半紙!$B$11:$B$310)),IF(281&lt;=COUNTA(半紙!$B$11:$B$310)+COUNTA(条幅!$B$11:$B$310)+COUNTA(条幅4分の1!$B$11:$B$310),INDEX(条幅4分の1!$H$11:$H$310,281-COUNTA(半紙!$B$11:$B$310)-COUNTA(条幅!$B$11:$B$310)),"")))=0,"",IF(281&lt;=COUNTA(半紙!$B$11:$B$310),INDEX(半紙!$H$11:$H$310,281),IF(281&lt;=COUNTA(半紙!$B$11:$B$310)+COUNTA(条幅!$B$11:$B$310),INDEX(条幅!$H$11:$H$310,281-COUNTA(半紙!$B$11:$B$310)),IF(281&lt;=COUNTA(半紙!$B$11:$B$310)+COUNTA(条幅!$B$11:$B$310)+COUNTA(条幅4分の1!$B$11:$B$310),INDEX(条幅4分の1!$H$11:$H$310,281-COUNTA(半紙!$B$11:$B$310)-COUNTA(条幅!$B$11:$B$310)),""))))</f>
        <v/>
      </c>
      <c r="I286" s="38" t="str">
        <f>IF(IF(281&lt;=COUNTA(半紙!$B$11:$B$310),INDEX(半紙!$I$11:$I$310,281),IF(281&lt;=COUNTA(半紙!$B$11:$B$310)+COUNTA(条幅!$B$11:$B$310),INDEX(条幅!$I$11:$I$310,281-COUNTA(半紙!$B$11:$B$310)),IF(281&lt;=COUNTA(半紙!$B$11:$B$310)+COUNTA(条幅!$B$11:$B$310)+COUNTA(条幅4分の1!$B$11:$B$310),INDEX(条幅4分の1!$I$11:$I$310,281-COUNTA(半紙!$B$11:$B$310)-COUNTA(条幅!$B$11:$B$310)),"")))=0,"",IF(281&lt;=COUNTA(半紙!$B$11:$B$310),INDEX(半紙!$I$11:$I$310,281),IF(281&lt;=COUNTA(半紙!$B$11:$B$310)+COUNTA(条幅!$B$11:$B$310),INDEX(条幅!$I$11:$I$310,281-COUNTA(半紙!$B$11:$B$310)),IF(281&lt;=COUNTA(半紙!$B$11:$B$310)+COUNTA(条幅!$B$11:$B$310)+COUNTA(条幅4分の1!$B$11:$B$310),INDEX(条幅4分の1!$I$11:$I$310,281-COUNTA(半紙!$B$11:$B$310)-COUNTA(条幅!$B$11:$B$310)),""))))</f>
        <v/>
      </c>
      <c r="J286" s="38" t="str">
        <f>IF(IF(281&lt;=COUNTA(半紙!$B$11:$B$310),INDEX(半紙!$J$11:$J$310,281),IF(281&lt;=COUNTA(半紙!$B$11:$B$310)+COUNTA(条幅!$B$11:$B$310),INDEX(条幅!$J$11:$J$310,281-COUNTA(半紙!$B$11:$B$310)),IF(281&lt;=COUNTA(半紙!$B$11:$B$310)+COUNTA(条幅!$B$11:$B$310)+COUNTA(条幅4分の1!$B$11:$B$310),INDEX(条幅4分の1!$J$11:$J$310,281-COUNTA(半紙!$B$11:$B$310)-COUNTA(条幅!$B$11:$B$310)),"")))=0,"",IF(281&lt;=COUNTA(半紙!$B$11:$B$310),INDEX(半紙!$J$11:$J$310,281),IF(281&lt;=COUNTA(半紙!$B$11:$B$310)+COUNTA(条幅!$B$11:$B$310),INDEX(条幅!$J$11:$J$310,281-COUNTA(半紙!$B$11:$B$310)),IF(281&lt;=COUNTA(半紙!$B$11:$B$310)+COUNTA(条幅!$B$11:$B$310)+COUNTA(条幅4分の1!$B$11:$B$310),INDEX(条幅4分の1!$J$11:$J$310,281-COUNTA(半紙!$B$11:$B$310)-COUNTA(条幅!$B$11:$B$310)),""))))</f>
        <v/>
      </c>
      <c r="K286" s="38" t="str">
        <f>IF(IF(281&lt;=COUNTA(半紙!$B$11:$B$310),INDEX(半紙!$K$11:$K$310,281),IF(281&lt;=COUNTA(半紙!$B$11:$B$310)+COUNTA(条幅!$B$11:$B$310),INDEX(条幅!$K$11:$K$310,281-COUNTA(半紙!$B$11:$B$310)),IF(281&lt;=COUNTA(半紙!$B$11:$B$310)+COUNTA(条幅!$B$11:$B$310)+COUNTA(条幅4分の1!$B$11:$B$310),INDEX(条幅4分の1!$K$11:$K$310,281-COUNTA(半紙!$B$11:$B$310)-COUNTA(条幅!$B$11:$B$310)),"")))=0,"",IF(281&lt;=COUNTA(半紙!$B$11:$B$310),INDEX(半紙!$K$11:$K$310,281),IF(281&lt;=COUNTA(半紙!$B$11:$B$310)+COUNTA(条幅!$B$11:$B$310),INDEX(条幅!$K$11:$K$310,281-COUNTA(半紙!$B$11:$B$310)),IF(281&lt;=COUNTA(半紙!$B$11:$B$310)+COUNTA(条幅!$B$11:$B$310)+COUNTA(条幅4分の1!$B$11:$B$310),INDEX(条幅4分の1!$K$11:$K$310,281-COUNTA(半紙!$B$11:$B$310)-COUNTA(条幅!$B$11:$B$310)),""))))</f>
        <v/>
      </c>
      <c r="L286" s="48" t="str">
        <f>IF($B286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281))</f>
        <v/>
      </c>
    </row>
    <row r="287" spans="1:12" ht="15" customHeight="1">
      <c r="A287" s="37" t="str">
        <f>IF(282&lt;=COUNTA(半紙!$B$11:$B$310),"半紙",IF(282&lt;=COUNTA(半紙!$B$11:$B$310)+COUNTA(条幅!$B$11:$B$310),"条幅(半切)",IF(282&lt;=COUNTA(半紙!$B$11:$B$310)+COUNTA(条幅!$B$11:$B$310)+COUNTA(条幅4分の1!$B$11:$B$310),"条幅(1/4)","")))</f>
        <v/>
      </c>
      <c r="B287" s="38" t="str">
        <f>IF(IF(282&lt;=COUNTA(半紙!$B$11:$B$310),INDEX(半紙!$B$11:$B$310,282),IF(282&lt;=COUNTA(半紙!$B$11:$B$310)+COUNTA(条幅!$B$11:$B$310),INDEX(条幅!$B$11:$B$310,282-COUNTA(半紙!$B$11:$B$310)),IF(282&lt;=COUNTA(半紙!$B$11:$B$310)+COUNTA(条幅!$B$11:$B$310)+COUNTA(条幅4分の1!$B$11:$B$310),INDEX(条幅4分の1!$B$11:$B$310,282-COUNTA(半紙!$B$11:$B$310)-COUNTA(条幅!$B$11:$B$310)),"")))=0,"",IF(282&lt;=COUNTA(半紙!$B$11:$B$310),INDEX(半紙!$B$11:$B$310,282),IF(282&lt;=COUNTA(半紙!$B$11:$B$310)+COUNTA(条幅!$B$11:$B$310),INDEX(条幅!$B$11:$B$310,282-COUNTA(半紙!$B$11:$B$310)),IF(282&lt;=COUNTA(半紙!$B$11:$B$310)+COUNTA(条幅!$B$11:$B$310)+COUNTA(条幅4分の1!$B$11:$B$310),INDEX(条幅4分の1!$B$11:$B$310,282-COUNTA(半紙!$B$11:$B$310)-COUNTA(条幅!$B$11:$B$310)),""))))</f>
        <v/>
      </c>
      <c r="C287" s="38" t="str">
        <f>IF(IF(282&lt;=COUNTA(半紙!$B$11:$B$310),INDEX(半紙!$C$11:$C$310,282),IF(282&lt;=COUNTA(半紙!$B$11:$B$310)+COUNTA(条幅!$B$11:$B$310),INDEX(条幅!$C$11:$C$310,282-COUNTA(半紙!$B$11:$B$310)),IF(282&lt;=COUNTA(半紙!$B$11:$B$310)+COUNTA(条幅!$B$11:$B$310)+COUNTA(条幅4分の1!$B$11:$B$310),INDEX(条幅4分の1!$C$11:$C$310,282-COUNTA(半紙!$B$11:$B$310)-COUNTA(条幅!$B$11:$B$310)),"")))=0,"",IF(282&lt;=COUNTA(半紙!$B$11:$B$310),INDEX(半紙!$C$11:$C$310,282),IF(282&lt;=COUNTA(半紙!$B$11:$B$310)+COUNTA(条幅!$B$11:$B$310),INDEX(条幅!$C$11:$C$310,282-COUNTA(半紙!$B$11:$B$310)),IF(282&lt;=COUNTA(半紙!$B$11:$B$310)+COUNTA(条幅!$B$11:$B$310)+COUNTA(条幅4分の1!$B$11:$B$310),INDEX(条幅4分の1!$C$11:$C$310,282-COUNTA(半紙!$B$11:$B$310)-COUNTA(条幅!$B$11:$B$310)),""))))</f>
        <v/>
      </c>
      <c r="D287" s="38" t="str">
        <f>IF(IF(282&lt;=COUNTA(半紙!$B$11:$B$310),INDEX(半紙!$D$11:$D$310,282),IF(282&lt;=COUNTA(半紙!$B$11:$B$310)+COUNTA(条幅!$B$11:$B$310),INDEX(条幅!$D$11:$D$310,282-COUNTA(半紙!$B$11:$B$310)),IF(282&lt;=COUNTA(半紙!$B$11:$B$310)+COUNTA(条幅!$B$11:$B$310)+COUNTA(条幅4分の1!$B$11:$B$310),INDEX(条幅4分の1!$D$11:$D$310,282-COUNTA(半紙!$B$11:$B$310)-COUNTA(条幅!$B$11:$B$310)),"")))=0,"",IF(282&lt;=COUNTA(半紙!$B$11:$B$310),INDEX(半紙!$D$11:$D$310,282),IF(282&lt;=COUNTA(半紙!$B$11:$B$310)+COUNTA(条幅!$B$11:$B$310),INDEX(条幅!$D$11:$D$310,282-COUNTA(半紙!$B$11:$B$310)),IF(282&lt;=COUNTA(半紙!$B$11:$B$310)+COUNTA(条幅!$B$11:$B$310)+COUNTA(条幅4分の1!$B$11:$B$310),INDEX(条幅4分の1!$D$11:$D$310,282-COUNTA(半紙!$B$11:$B$310)-COUNTA(条幅!$B$11:$B$310)),""))))</f>
        <v/>
      </c>
      <c r="E287" s="38" t="str">
        <f>IF(IF(282&lt;=COUNTA(半紙!$B$11:$B$310),INDEX(半紙!$E$11:$E$310,282),IF(282&lt;=COUNTA(半紙!$B$11:$B$310)+COUNTA(条幅!$B$11:$B$310),INDEX(条幅!$E$11:$E$310,282-COUNTA(半紙!$B$11:$B$310)),IF(282&lt;=COUNTA(半紙!$B$11:$B$310)+COUNTA(条幅!$B$11:$B$310)+COUNTA(条幅4分の1!$B$11:$B$310),INDEX(条幅4分の1!$E$11:$E$310,282-COUNTA(半紙!$B$11:$B$310)-COUNTA(条幅!$B$11:$B$310)),"")))=0,"",IF(282&lt;=COUNTA(半紙!$B$11:$B$310),INDEX(半紙!$E$11:$E$310,282),IF(282&lt;=COUNTA(半紙!$B$11:$B$310)+COUNTA(条幅!$B$11:$B$310),INDEX(条幅!$E$11:$E$310,282-COUNTA(半紙!$B$11:$B$310)),IF(282&lt;=COUNTA(半紙!$B$11:$B$310)+COUNTA(条幅!$B$11:$B$310)+COUNTA(条幅4分の1!$B$11:$B$310),INDEX(条幅4分の1!$E$11:$E$310,282-COUNTA(半紙!$B$11:$B$310)-COUNTA(条幅!$B$11:$B$310)),""))))</f>
        <v/>
      </c>
      <c r="F287" s="38" t="str">
        <f>IF(IF(282&lt;=COUNTA(半紙!$B$11:$B$310),INDEX(半紙!$F$11:$F$310,282),IF(282&lt;=COUNTA(半紙!$B$11:$B$310)+COUNTA(条幅!$B$11:$B$310),INDEX(条幅!$F$11:$F$310,282-COUNTA(半紙!$B$11:$B$310)),IF(282&lt;=COUNTA(半紙!$B$11:$B$310)+COUNTA(条幅!$B$11:$B$310)+COUNTA(条幅4分の1!$B$11:$B$310),INDEX(条幅4分の1!$F$11:$F$310,282-COUNTA(半紙!$B$11:$B$310)-COUNTA(条幅!$B$11:$B$310)),"")))=0,"",IF(282&lt;=COUNTA(半紙!$B$11:$B$310),INDEX(半紙!$F$11:$F$310,282),IF(282&lt;=COUNTA(半紙!$B$11:$B$310)+COUNTA(条幅!$B$11:$B$310),INDEX(条幅!$F$11:$F$310,282-COUNTA(半紙!$B$11:$B$310)),IF(282&lt;=COUNTA(半紙!$B$11:$B$310)+COUNTA(条幅!$B$11:$B$310)+COUNTA(条幅4分の1!$B$11:$B$310),INDEX(条幅4分の1!$F$11:$F$310,282-COUNTA(半紙!$B$11:$B$310)-COUNTA(条幅!$B$11:$B$310)),""))))</f>
        <v/>
      </c>
      <c r="G287" s="38" t="str">
        <f>IF(IF(282&lt;=COUNTA(半紙!$B$11:$B$310),INDEX(半紙!$G$11:$G$310,282),IF(282&lt;=COUNTA(半紙!$B$11:$B$310)+COUNTA(条幅!$B$11:$B$310),INDEX(条幅!$G$11:$G$310,282-COUNTA(半紙!$B$11:$B$310)),IF(282&lt;=COUNTA(半紙!$B$11:$B$310)+COUNTA(条幅!$B$11:$B$310)+COUNTA(条幅4分の1!$B$11:$B$310),INDEX(条幅4分の1!$G$11:$G$310,282-COUNTA(半紙!$B$11:$B$310)-COUNTA(条幅!$B$11:$B$310)),"")))=0,"",IF(282&lt;=COUNTA(半紙!$B$11:$B$310),INDEX(半紙!$G$11:$G$310,282),IF(282&lt;=COUNTA(半紙!$B$11:$B$310)+COUNTA(条幅!$B$11:$B$310),INDEX(条幅!$G$11:$G$310,282-COUNTA(半紙!$B$11:$B$310)),IF(282&lt;=COUNTA(半紙!$B$11:$B$310)+COUNTA(条幅!$B$11:$B$310)+COUNTA(条幅4分の1!$B$11:$B$310),INDEX(条幅4分の1!$G$11:$G$310,282-COUNTA(半紙!$B$11:$B$310)-COUNTA(条幅!$B$11:$B$310)),""))))</f>
        <v/>
      </c>
      <c r="H287" s="38" t="str">
        <f>IF(IF(282&lt;=COUNTA(半紙!$B$11:$B$310),INDEX(半紙!$H$11:$H$310,282),IF(282&lt;=COUNTA(半紙!$B$11:$B$310)+COUNTA(条幅!$B$11:$B$310),INDEX(条幅!$H$11:$H$310,282-COUNTA(半紙!$B$11:$B$310)),IF(282&lt;=COUNTA(半紙!$B$11:$B$310)+COUNTA(条幅!$B$11:$B$310)+COUNTA(条幅4分の1!$B$11:$B$310),INDEX(条幅4分の1!$H$11:$H$310,282-COUNTA(半紙!$B$11:$B$310)-COUNTA(条幅!$B$11:$B$310)),"")))=0,"",IF(282&lt;=COUNTA(半紙!$B$11:$B$310),INDEX(半紙!$H$11:$H$310,282),IF(282&lt;=COUNTA(半紙!$B$11:$B$310)+COUNTA(条幅!$B$11:$B$310),INDEX(条幅!$H$11:$H$310,282-COUNTA(半紙!$B$11:$B$310)),IF(282&lt;=COUNTA(半紙!$B$11:$B$310)+COUNTA(条幅!$B$11:$B$310)+COUNTA(条幅4分の1!$B$11:$B$310),INDEX(条幅4分の1!$H$11:$H$310,282-COUNTA(半紙!$B$11:$B$310)-COUNTA(条幅!$B$11:$B$310)),""))))</f>
        <v/>
      </c>
      <c r="I287" s="38" t="str">
        <f>IF(IF(282&lt;=COUNTA(半紙!$B$11:$B$310),INDEX(半紙!$I$11:$I$310,282),IF(282&lt;=COUNTA(半紙!$B$11:$B$310)+COUNTA(条幅!$B$11:$B$310),INDEX(条幅!$I$11:$I$310,282-COUNTA(半紙!$B$11:$B$310)),IF(282&lt;=COUNTA(半紙!$B$11:$B$310)+COUNTA(条幅!$B$11:$B$310)+COUNTA(条幅4分の1!$B$11:$B$310),INDEX(条幅4分の1!$I$11:$I$310,282-COUNTA(半紙!$B$11:$B$310)-COUNTA(条幅!$B$11:$B$310)),"")))=0,"",IF(282&lt;=COUNTA(半紙!$B$11:$B$310),INDEX(半紙!$I$11:$I$310,282),IF(282&lt;=COUNTA(半紙!$B$11:$B$310)+COUNTA(条幅!$B$11:$B$310),INDEX(条幅!$I$11:$I$310,282-COUNTA(半紙!$B$11:$B$310)),IF(282&lt;=COUNTA(半紙!$B$11:$B$310)+COUNTA(条幅!$B$11:$B$310)+COUNTA(条幅4分の1!$B$11:$B$310),INDEX(条幅4分の1!$I$11:$I$310,282-COUNTA(半紙!$B$11:$B$310)-COUNTA(条幅!$B$11:$B$310)),""))))</f>
        <v/>
      </c>
      <c r="J287" s="38" t="str">
        <f>IF(IF(282&lt;=COUNTA(半紙!$B$11:$B$310),INDEX(半紙!$J$11:$J$310,282),IF(282&lt;=COUNTA(半紙!$B$11:$B$310)+COUNTA(条幅!$B$11:$B$310),INDEX(条幅!$J$11:$J$310,282-COUNTA(半紙!$B$11:$B$310)),IF(282&lt;=COUNTA(半紙!$B$11:$B$310)+COUNTA(条幅!$B$11:$B$310)+COUNTA(条幅4分の1!$B$11:$B$310),INDEX(条幅4分の1!$J$11:$J$310,282-COUNTA(半紙!$B$11:$B$310)-COUNTA(条幅!$B$11:$B$310)),"")))=0,"",IF(282&lt;=COUNTA(半紙!$B$11:$B$310),INDEX(半紙!$J$11:$J$310,282),IF(282&lt;=COUNTA(半紙!$B$11:$B$310)+COUNTA(条幅!$B$11:$B$310),INDEX(条幅!$J$11:$J$310,282-COUNTA(半紙!$B$11:$B$310)),IF(282&lt;=COUNTA(半紙!$B$11:$B$310)+COUNTA(条幅!$B$11:$B$310)+COUNTA(条幅4分の1!$B$11:$B$310),INDEX(条幅4分の1!$J$11:$J$310,282-COUNTA(半紙!$B$11:$B$310)-COUNTA(条幅!$B$11:$B$310)),""))))</f>
        <v/>
      </c>
      <c r="K287" s="38" t="str">
        <f>IF(IF(282&lt;=COUNTA(半紙!$B$11:$B$310),INDEX(半紙!$K$11:$K$310,282),IF(282&lt;=COUNTA(半紙!$B$11:$B$310)+COUNTA(条幅!$B$11:$B$310),INDEX(条幅!$K$11:$K$310,282-COUNTA(半紙!$B$11:$B$310)),IF(282&lt;=COUNTA(半紙!$B$11:$B$310)+COUNTA(条幅!$B$11:$B$310)+COUNTA(条幅4分の1!$B$11:$B$310),INDEX(条幅4分の1!$K$11:$K$310,282-COUNTA(半紙!$B$11:$B$310)-COUNTA(条幅!$B$11:$B$310)),"")))=0,"",IF(282&lt;=COUNTA(半紙!$B$11:$B$310),INDEX(半紙!$K$11:$K$310,282),IF(282&lt;=COUNTA(半紙!$B$11:$B$310)+COUNTA(条幅!$B$11:$B$310),INDEX(条幅!$K$11:$K$310,282-COUNTA(半紙!$B$11:$B$310)),IF(282&lt;=COUNTA(半紙!$B$11:$B$310)+COUNTA(条幅!$B$11:$B$310)+COUNTA(条幅4分の1!$B$11:$B$310),INDEX(条幅4分の1!$K$11:$K$310,282-COUNTA(半紙!$B$11:$B$310)-COUNTA(条幅!$B$11:$B$310)),""))))</f>
        <v/>
      </c>
      <c r="L287" s="48" t="str">
        <f>IF($B287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282))</f>
        <v/>
      </c>
    </row>
    <row r="288" spans="1:12" ht="15" customHeight="1">
      <c r="A288" s="37" t="str">
        <f>IF(283&lt;=COUNTA(半紙!$B$11:$B$310),"半紙",IF(283&lt;=COUNTA(半紙!$B$11:$B$310)+COUNTA(条幅!$B$11:$B$310),"条幅(半切)",IF(283&lt;=COUNTA(半紙!$B$11:$B$310)+COUNTA(条幅!$B$11:$B$310)+COUNTA(条幅4分の1!$B$11:$B$310),"条幅(1/4)","")))</f>
        <v/>
      </c>
      <c r="B288" s="38" t="str">
        <f>IF(IF(283&lt;=COUNTA(半紙!$B$11:$B$310),INDEX(半紙!$B$11:$B$310,283),IF(283&lt;=COUNTA(半紙!$B$11:$B$310)+COUNTA(条幅!$B$11:$B$310),INDEX(条幅!$B$11:$B$310,283-COUNTA(半紙!$B$11:$B$310)),IF(283&lt;=COUNTA(半紙!$B$11:$B$310)+COUNTA(条幅!$B$11:$B$310)+COUNTA(条幅4分の1!$B$11:$B$310),INDEX(条幅4分の1!$B$11:$B$310,283-COUNTA(半紙!$B$11:$B$310)-COUNTA(条幅!$B$11:$B$310)),"")))=0,"",IF(283&lt;=COUNTA(半紙!$B$11:$B$310),INDEX(半紙!$B$11:$B$310,283),IF(283&lt;=COUNTA(半紙!$B$11:$B$310)+COUNTA(条幅!$B$11:$B$310),INDEX(条幅!$B$11:$B$310,283-COUNTA(半紙!$B$11:$B$310)),IF(283&lt;=COUNTA(半紙!$B$11:$B$310)+COUNTA(条幅!$B$11:$B$310)+COUNTA(条幅4分の1!$B$11:$B$310),INDEX(条幅4分の1!$B$11:$B$310,283-COUNTA(半紙!$B$11:$B$310)-COUNTA(条幅!$B$11:$B$310)),""))))</f>
        <v/>
      </c>
      <c r="C288" s="38" t="str">
        <f>IF(IF(283&lt;=COUNTA(半紙!$B$11:$B$310),INDEX(半紙!$C$11:$C$310,283),IF(283&lt;=COUNTA(半紙!$B$11:$B$310)+COUNTA(条幅!$B$11:$B$310),INDEX(条幅!$C$11:$C$310,283-COUNTA(半紙!$B$11:$B$310)),IF(283&lt;=COUNTA(半紙!$B$11:$B$310)+COUNTA(条幅!$B$11:$B$310)+COUNTA(条幅4分の1!$B$11:$B$310),INDEX(条幅4分の1!$C$11:$C$310,283-COUNTA(半紙!$B$11:$B$310)-COUNTA(条幅!$B$11:$B$310)),"")))=0,"",IF(283&lt;=COUNTA(半紙!$B$11:$B$310),INDEX(半紙!$C$11:$C$310,283),IF(283&lt;=COUNTA(半紙!$B$11:$B$310)+COUNTA(条幅!$B$11:$B$310),INDEX(条幅!$C$11:$C$310,283-COUNTA(半紙!$B$11:$B$310)),IF(283&lt;=COUNTA(半紙!$B$11:$B$310)+COUNTA(条幅!$B$11:$B$310)+COUNTA(条幅4分の1!$B$11:$B$310),INDEX(条幅4分の1!$C$11:$C$310,283-COUNTA(半紙!$B$11:$B$310)-COUNTA(条幅!$B$11:$B$310)),""))))</f>
        <v/>
      </c>
      <c r="D288" s="38" t="str">
        <f>IF(IF(283&lt;=COUNTA(半紙!$B$11:$B$310),INDEX(半紙!$D$11:$D$310,283),IF(283&lt;=COUNTA(半紙!$B$11:$B$310)+COUNTA(条幅!$B$11:$B$310),INDEX(条幅!$D$11:$D$310,283-COUNTA(半紙!$B$11:$B$310)),IF(283&lt;=COUNTA(半紙!$B$11:$B$310)+COUNTA(条幅!$B$11:$B$310)+COUNTA(条幅4分の1!$B$11:$B$310),INDEX(条幅4分の1!$D$11:$D$310,283-COUNTA(半紙!$B$11:$B$310)-COUNTA(条幅!$B$11:$B$310)),"")))=0,"",IF(283&lt;=COUNTA(半紙!$B$11:$B$310),INDEX(半紙!$D$11:$D$310,283),IF(283&lt;=COUNTA(半紙!$B$11:$B$310)+COUNTA(条幅!$B$11:$B$310),INDEX(条幅!$D$11:$D$310,283-COUNTA(半紙!$B$11:$B$310)),IF(283&lt;=COUNTA(半紙!$B$11:$B$310)+COUNTA(条幅!$B$11:$B$310)+COUNTA(条幅4分の1!$B$11:$B$310),INDEX(条幅4分の1!$D$11:$D$310,283-COUNTA(半紙!$B$11:$B$310)-COUNTA(条幅!$B$11:$B$310)),""))))</f>
        <v/>
      </c>
      <c r="E288" s="38" t="str">
        <f>IF(IF(283&lt;=COUNTA(半紙!$B$11:$B$310),INDEX(半紙!$E$11:$E$310,283),IF(283&lt;=COUNTA(半紙!$B$11:$B$310)+COUNTA(条幅!$B$11:$B$310),INDEX(条幅!$E$11:$E$310,283-COUNTA(半紙!$B$11:$B$310)),IF(283&lt;=COUNTA(半紙!$B$11:$B$310)+COUNTA(条幅!$B$11:$B$310)+COUNTA(条幅4分の1!$B$11:$B$310),INDEX(条幅4分の1!$E$11:$E$310,283-COUNTA(半紙!$B$11:$B$310)-COUNTA(条幅!$B$11:$B$310)),"")))=0,"",IF(283&lt;=COUNTA(半紙!$B$11:$B$310),INDEX(半紙!$E$11:$E$310,283),IF(283&lt;=COUNTA(半紙!$B$11:$B$310)+COUNTA(条幅!$B$11:$B$310),INDEX(条幅!$E$11:$E$310,283-COUNTA(半紙!$B$11:$B$310)),IF(283&lt;=COUNTA(半紙!$B$11:$B$310)+COUNTA(条幅!$B$11:$B$310)+COUNTA(条幅4分の1!$B$11:$B$310),INDEX(条幅4分の1!$E$11:$E$310,283-COUNTA(半紙!$B$11:$B$310)-COUNTA(条幅!$B$11:$B$310)),""))))</f>
        <v/>
      </c>
      <c r="F288" s="38" t="str">
        <f>IF(IF(283&lt;=COUNTA(半紙!$B$11:$B$310),INDEX(半紙!$F$11:$F$310,283),IF(283&lt;=COUNTA(半紙!$B$11:$B$310)+COUNTA(条幅!$B$11:$B$310),INDEX(条幅!$F$11:$F$310,283-COUNTA(半紙!$B$11:$B$310)),IF(283&lt;=COUNTA(半紙!$B$11:$B$310)+COUNTA(条幅!$B$11:$B$310)+COUNTA(条幅4分の1!$B$11:$B$310),INDEX(条幅4分の1!$F$11:$F$310,283-COUNTA(半紙!$B$11:$B$310)-COUNTA(条幅!$B$11:$B$310)),"")))=0,"",IF(283&lt;=COUNTA(半紙!$B$11:$B$310),INDEX(半紙!$F$11:$F$310,283),IF(283&lt;=COUNTA(半紙!$B$11:$B$310)+COUNTA(条幅!$B$11:$B$310),INDEX(条幅!$F$11:$F$310,283-COUNTA(半紙!$B$11:$B$310)),IF(283&lt;=COUNTA(半紙!$B$11:$B$310)+COUNTA(条幅!$B$11:$B$310)+COUNTA(条幅4分の1!$B$11:$B$310),INDEX(条幅4分の1!$F$11:$F$310,283-COUNTA(半紙!$B$11:$B$310)-COUNTA(条幅!$B$11:$B$310)),""))))</f>
        <v/>
      </c>
      <c r="G288" s="38" t="str">
        <f>IF(IF(283&lt;=COUNTA(半紙!$B$11:$B$310),INDEX(半紙!$G$11:$G$310,283),IF(283&lt;=COUNTA(半紙!$B$11:$B$310)+COUNTA(条幅!$B$11:$B$310),INDEX(条幅!$G$11:$G$310,283-COUNTA(半紙!$B$11:$B$310)),IF(283&lt;=COUNTA(半紙!$B$11:$B$310)+COUNTA(条幅!$B$11:$B$310)+COUNTA(条幅4分の1!$B$11:$B$310),INDEX(条幅4分の1!$G$11:$G$310,283-COUNTA(半紙!$B$11:$B$310)-COUNTA(条幅!$B$11:$B$310)),"")))=0,"",IF(283&lt;=COUNTA(半紙!$B$11:$B$310),INDEX(半紙!$G$11:$G$310,283),IF(283&lt;=COUNTA(半紙!$B$11:$B$310)+COUNTA(条幅!$B$11:$B$310),INDEX(条幅!$G$11:$G$310,283-COUNTA(半紙!$B$11:$B$310)),IF(283&lt;=COUNTA(半紙!$B$11:$B$310)+COUNTA(条幅!$B$11:$B$310)+COUNTA(条幅4分の1!$B$11:$B$310),INDEX(条幅4分の1!$G$11:$G$310,283-COUNTA(半紙!$B$11:$B$310)-COUNTA(条幅!$B$11:$B$310)),""))))</f>
        <v/>
      </c>
      <c r="H288" s="38" t="str">
        <f>IF(IF(283&lt;=COUNTA(半紙!$B$11:$B$310),INDEX(半紙!$H$11:$H$310,283),IF(283&lt;=COUNTA(半紙!$B$11:$B$310)+COUNTA(条幅!$B$11:$B$310),INDEX(条幅!$H$11:$H$310,283-COUNTA(半紙!$B$11:$B$310)),IF(283&lt;=COUNTA(半紙!$B$11:$B$310)+COUNTA(条幅!$B$11:$B$310)+COUNTA(条幅4分の1!$B$11:$B$310),INDEX(条幅4分の1!$H$11:$H$310,283-COUNTA(半紙!$B$11:$B$310)-COUNTA(条幅!$B$11:$B$310)),"")))=0,"",IF(283&lt;=COUNTA(半紙!$B$11:$B$310),INDEX(半紙!$H$11:$H$310,283),IF(283&lt;=COUNTA(半紙!$B$11:$B$310)+COUNTA(条幅!$B$11:$B$310),INDEX(条幅!$H$11:$H$310,283-COUNTA(半紙!$B$11:$B$310)),IF(283&lt;=COUNTA(半紙!$B$11:$B$310)+COUNTA(条幅!$B$11:$B$310)+COUNTA(条幅4分の1!$B$11:$B$310),INDEX(条幅4分の1!$H$11:$H$310,283-COUNTA(半紙!$B$11:$B$310)-COUNTA(条幅!$B$11:$B$310)),""))))</f>
        <v/>
      </c>
      <c r="I288" s="38" t="str">
        <f>IF(IF(283&lt;=COUNTA(半紙!$B$11:$B$310),INDEX(半紙!$I$11:$I$310,283),IF(283&lt;=COUNTA(半紙!$B$11:$B$310)+COUNTA(条幅!$B$11:$B$310),INDEX(条幅!$I$11:$I$310,283-COUNTA(半紙!$B$11:$B$310)),IF(283&lt;=COUNTA(半紙!$B$11:$B$310)+COUNTA(条幅!$B$11:$B$310)+COUNTA(条幅4分の1!$B$11:$B$310),INDEX(条幅4分の1!$I$11:$I$310,283-COUNTA(半紙!$B$11:$B$310)-COUNTA(条幅!$B$11:$B$310)),"")))=0,"",IF(283&lt;=COUNTA(半紙!$B$11:$B$310),INDEX(半紙!$I$11:$I$310,283),IF(283&lt;=COUNTA(半紙!$B$11:$B$310)+COUNTA(条幅!$B$11:$B$310),INDEX(条幅!$I$11:$I$310,283-COUNTA(半紙!$B$11:$B$310)),IF(283&lt;=COUNTA(半紙!$B$11:$B$310)+COUNTA(条幅!$B$11:$B$310)+COUNTA(条幅4分の1!$B$11:$B$310),INDEX(条幅4分の1!$I$11:$I$310,283-COUNTA(半紙!$B$11:$B$310)-COUNTA(条幅!$B$11:$B$310)),""))))</f>
        <v/>
      </c>
      <c r="J288" s="38" t="str">
        <f>IF(IF(283&lt;=COUNTA(半紙!$B$11:$B$310),INDEX(半紙!$J$11:$J$310,283),IF(283&lt;=COUNTA(半紙!$B$11:$B$310)+COUNTA(条幅!$B$11:$B$310),INDEX(条幅!$J$11:$J$310,283-COUNTA(半紙!$B$11:$B$310)),IF(283&lt;=COUNTA(半紙!$B$11:$B$310)+COUNTA(条幅!$B$11:$B$310)+COUNTA(条幅4分の1!$B$11:$B$310),INDEX(条幅4分の1!$J$11:$J$310,283-COUNTA(半紙!$B$11:$B$310)-COUNTA(条幅!$B$11:$B$310)),"")))=0,"",IF(283&lt;=COUNTA(半紙!$B$11:$B$310),INDEX(半紙!$J$11:$J$310,283),IF(283&lt;=COUNTA(半紙!$B$11:$B$310)+COUNTA(条幅!$B$11:$B$310),INDEX(条幅!$J$11:$J$310,283-COUNTA(半紙!$B$11:$B$310)),IF(283&lt;=COUNTA(半紙!$B$11:$B$310)+COUNTA(条幅!$B$11:$B$310)+COUNTA(条幅4分の1!$B$11:$B$310),INDEX(条幅4分の1!$J$11:$J$310,283-COUNTA(半紙!$B$11:$B$310)-COUNTA(条幅!$B$11:$B$310)),""))))</f>
        <v/>
      </c>
      <c r="K288" s="38" t="str">
        <f>IF(IF(283&lt;=COUNTA(半紙!$B$11:$B$310),INDEX(半紙!$K$11:$K$310,283),IF(283&lt;=COUNTA(半紙!$B$11:$B$310)+COUNTA(条幅!$B$11:$B$310),INDEX(条幅!$K$11:$K$310,283-COUNTA(半紙!$B$11:$B$310)),IF(283&lt;=COUNTA(半紙!$B$11:$B$310)+COUNTA(条幅!$B$11:$B$310)+COUNTA(条幅4分の1!$B$11:$B$310),INDEX(条幅4分の1!$K$11:$K$310,283-COUNTA(半紙!$B$11:$B$310)-COUNTA(条幅!$B$11:$B$310)),"")))=0,"",IF(283&lt;=COUNTA(半紙!$B$11:$B$310),INDEX(半紙!$K$11:$K$310,283),IF(283&lt;=COUNTA(半紙!$B$11:$B$310)+COUNTA(条幅!$B$11:$B$310),INDEX(条幅!$K$11:$K$310,283-COUNTA(半紙!$B$11:$B$310)),IF(283&lt;=COUNTA(半紙!$B$11:$B$310)+COUNTA(条幅!$B$11:$B$310)+COUNTA(条幅4分の1!$B$11:$B$310),INDEX(条幅4分の1!$K$11:$K$310,283-COUNTA(半紙!$B$11:$B$310)-COUNTA(条幅!$B$11:$B$310)),""))))</f>
        <v/>
      </c>
      <c r="L288" s="48" t="str">
        <f>IF($B288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283))</f>
        <v/>
      </c>
    </row>
    <row r="289" spans="1:12" ht="15" customHeight="1">
      <c r="A289" s="37" t="str">
        <f>IF(284&lt;=COUNTA(半紙!$B$11:$B$310),"半紙",IF(284&lt;=COUNTA(半紙!$B$11:$B$310)+COUNTA(条幅!$B$11:$B$310),"条幅(半切)",IF(284&lt;=COUNTA(半紙!$B$11:$B$310)+COUNTA(条幅!$B$11:$B$310)+COUNTA(条幅4分の1!$B$11:$B$310),"条幅(1/4)","")))</f>
        <v/>
      </c>
      <c r="B289" s="38" t="str">
        <f>IF(IF(284&lt;=COUNTA(半紙!$B$11:$B$310),INDEX(半紙!$B$11:$B$310,284),IF(284&lt;=COUNTA(半紙!$B$11:$B$310)+COUNTA(条幅!$B$11:$B$310),INDEX(条幅!$B$11:$B$310,284-COUNTA(半紙!$B$11:$B$310)),IF(284&lt;=COUNTA(半紙!$B$11:$B$310)+COUNTA(条幅!$B$11:$B$310)+COUNTA(条幅4分の1!$B$11:$B$310),INDEX(条幅4分の1!$B$11:$B$310,284-COUNTA(半紙!$B$11:$B$310)-COUNTA(条幅!$B$11:$B$310)),"")))=0,"",IF(284&lt;=COUNTA(半紙!$B$11:$B$310),INDEX(半紙!$B$11:$B$310,284),IF(284&lt;=COUNTA(半紙!$B$11:$B$310)+COUNTA(条幅!$B$11:$B$310),INDEX(条幅!$B$11:$B$310,284-COUNTA(半紙!$B$11:$B$310)),IF(284&lt;=COUNTA(半紙!$B$11:$B$310)+COUNTA(条幅!$B$11:$B$310)+COUNTA(条幅4分の1!$B$11:$B$310),INDEX(条幅4分の1!$B$11:$B$310,284-COUNTA(半紙!$B$11:$B$310)-COUNTA(条幅!$B$11:$B$310)),""))))</f>
        <v/>
      </c>
      <c r="C289" s="38" t="str">
        <f>IF(IF(284&lt;=COUNTA(半紙!$B$11:$B$310),INDEX(半紙!$C$11:$C$310,284),IF(284&lt;=COUNTA(半紙!$B$11:$B$310)+COUNTA(条幅!$B$11:$B$310),INDEX(条幅!$C$11:$C$310,284-COUNTA(半紙!$B$11:$B$310)),IF(284&lt;=COUNTA(半紙!$B$11:$B$310)+COUNTA(条幅!$B$11:$B$310)+COUNTA(条幅4分の1!$B$11:$B$310),INDEX(条幅4分の1!$C$11:$C$310,284-COUNTA(半紙!$B$11:$B$310)-COUNTA(条幅!$B$11:$B$310)),"")))=0,"",IF(284&lt;=COUNTA(半紙!$B$11:$B$310),INDEX(半紙!$C$11:$C$310,284),IF(284&lt;=COUNTA(半紙!$B$11:$B$310)+COUNTA(条幅!$B$11:$B$310),INDEX(条幅!$C$11:$C$310,284-COUNTA(半紙!$B$11:$B$310)),IF(284&lt;=COUNTA(半紙!$B$11:$B$310)+COUNTA(条幅!$B$11:$B$310)+COUNTA(条幅4分の1!$B$11:$B$310),INDEX(条幅4分の1!$C$11:$C$310,284-COUNTA(半紙!$B$11:$B$310)-COUNTA(条幅!$B$11:$B$310)),""))))</f>
        <v/>
      </c>
      <c r="D289" s="38" t="str">
        <f>IF(IF(284&lt;=COUNTA(半紙!$B$11:$B$310),INDEX(半紙!$D$11:$D$310,284),IF(284&lt;=COUNTA(半紙!$B$11:$B$310)+COUNTA(条幅!$B$11:$B$310),INDEX(条幅!$D$11:$D$310,284-COUNTA(半紙!$B$11:$B$310)),IF(284&lt;=COUNTA(半紙!$B$11:$B$310)+COUNTA(条幅!$B$11:$B$310)+COUNTA(条幅4分の1!$B$11:$B$310),INDEX(条幅4分の1!$D$11:$D$310,284-COUNTA(半紙!$B$11:$B$310)-COUNTA(条幅!$B$11:$B$310)),"")))=0,"",IF(284&lt;=COUNTA(半紙!$B$11:$B$310),INDEX(半紙!$D$11:$D$310,284),IF(284&lt;=COUNTA(半紙!$B$11:$B$310)+COUNTA(条幅!$B$11:$B$310),INDEX(条幅!$D$11:$D$310,284-COUNTA(半紙!$B$11:$B$310)),IF(284&lt;=COUNTA(半紙!$B$11:$B$310)+COUNTA(条幅!$B$11:$B$310)+COUNTA(条幅4分の1!$B$11:$B$310),INDEX(条幅4分の1!$D$11:$D$310,284-COUNTA(半紙!$B$11:$B$310)-COUNTA(条幅!$B$11:$B$310)),""))))</f>
        <v/>
      </c>
      <c r="E289" s="38" t="str">
        <f>IF(IF(284&lt;=COUNTA(半紙!$B$11:$B$310),INDEX(半紙!$E$11:$E$310,284),IF(284&lt;=COUNTA(半紙!$B$11:$B$310)+COUNTA(条幅!$B$11:$B$310),INDEX(条幅!$E$11:$E$310,284-COUNTA(半紙!$B$11:$B$310)),IF(284&lt;=COUNTA(半紙!$B$11:$B$310)+COUNTA(条幅!$B$11:$B$310)+COUNTA(条幅4分の1!$B$11:$B$310),INDEX(条幅4分の1!$E$11:$E$310,284-COUNTA(半紙!$B$11:$B$310)-COUNTA(条幅!$B$11:$B$310)),"")))=0,"",IF(284&lt;=COUNTA(半紙!$B$11:$B$310),INDEX(半紙!$E$11:$E$310,284),IF(284&lt;=COUNTA(半紙!$B$11:$B$310)+COUNTA(条幅!$B$11:$B$310),INDEX(条幅!$E$11:$E$310,284-COUNTA(半紙!$B$11:$B$310)),IF(284&lt;=COUNTA(半紙!$B$11:$B$310)+COUNTA(条幅!$B$11:$B$310)+COUNTA(条幅4分の1!$B$11:$B$310),INDEX(条幅4分の1!$E$11:$E$310,284-COUNTA(半紙!$B$11:$B$310)-COUNTA(条幅!$B$11:$B$310)),""))))</f>
        <v/>
      </c>
      <c r="F289" s="38" t="str">
        <f>IF(IF(284&lt;=COUNTA(半紙!$B$11:$B$310),INDEX(半紙!$F$11:$F$310,284),IF(284&lt;=COUNTA(半紙!$B$11:$B$310)+COUNTA(条幅!$B$11:$B$310),INDEX(条幅!$F$11:$F$310,284-COUNTA(半紙!$B$11:$B$310)),IF(284&lt;=COUNTA(半紙!$B$11:$B$310)+COUNTA(条幅!$B$11:$B$310)+COUNTA(条幅4分の1!$B$11:$B$310),INDEX(条幅4分の1!$F$11:$F$310,284-COUNTA(半紙!$B$11:$B$310)-COUNTA(条幅!$B$11:$B$310)),"")))=0,"",IF(284&lt;=COUNTA(半紙!$B$11:$B$310),INDEX(半紙!$F$11:$F$310,284),IF(284&lt;=COUNTA(半紙!$B$11:$B$310)+COUNTA(条幅!$B$11:$B$310),INDEX(条幅!$F$11:$F$310,284-COUNTA(半紙!$B$11:$B$310)),IF(284&lt;=COUNTA(半紙!$B$11:$B$310)+COUNTA(条幅!$B$11:$B$310)+COUNTA(条幅4分の1!$B$11:$B$310),INDEX(条幅4分の1!$F$11:$F$310,284-COUNTA(半紙!$B$11:$B$310)-COUNTA(条幅!$B$11:$B$310)),""))))</f>
        <v/>
      </c>
      <c r="G289" s="38" t="str">
        <f>IF(IF(284&lt;=COUNTA(半紙!$B$11:$B$310),INDEX(半紙!$G$11:$G$310,284),IF(284&lt;=COUNTA(半紙!$B$11:$B$310)+COUNTA(条幅!$B$11:$B$310),INDEX(条幅!$G$11:$G$310,284-COUNTA(半紙!$B$11:$B$310)),IF(284&lt;=COUNTA(半紙!$B$11:$B$310)+COUNTA(条幅!$B$11:$B$310)+COUNTA(条幅4分の1!$B$11:$B$310),INDEX(条幅4分の1!$G$11:$G$310,284-COUNTA(半紙!$B$11:$B$310)-COUNTA(条幅!$B$11:$B$310)),"")))=0,"",IF(284&lt;=COUNTA(半紙!$B$11:$B$310),INDEX(半紙!$G$11:$G$310,284),IF(284&lt;=COUNTA(半紙!$B$11:$B$310)+COUNTA(条幅!$B$11:$B$310),INDEX(条幅!$G$11:$G$310,284-COUNTA(半紙!$B$11:$B$310)),IF(284&lt;=COUNTA(半紙!$B$11:$B$310)+COUNTA(条幅!$B$11:$B$310)+COUNTA(条幅4分の1!$B$11:$B$310),INDEX(条幅4分の1!$G$11:$G$310,284-COUNTA(半紙!$B$11:$B$310)-COUNTA(条幅!$B$11:$B$310)),""))))</f>
        <v/>
      </c>
      <c r="H289" s="38" t="str">
        <f>IF(IF(284&lt;=COUNTA(半紙!$B$11:$B$310),INDEX(半紙!$H$11:$H$310,284),IF(284&lt;=COUNTA(半紙!$B$11:$B$310)+COUNTA(条幅!$B$11:$B$310),INDEX(条幅!$H$11:$H$310,284-COUNTA(半紙!$B$11:$B$310)),IF(284&lt;=COUNTA(半紙!$B$11:$B$310)+COUNTA(条幅!$B$11:$B$310)+COUNTA(条幅4分の1!$B$11:$B$310),INDEX(条幅4分の1!$H$11:$H$310,284-COUNTA(半紙!$B$11:$B$310)-COUNTA(条幅!$B$11:$B$310)),"")))=0,"",IF(284&lt;=COUNTA(半紙!$B$11:$B$310),INDEX(半紙!$H$11:$H$310,284),IF(284&lt;=COUNTA(半紙!$B$11:$B$310)+COUNTA(条幅!$B$11:$B$310),INDEX(条幅!$H$11:$H$310,284-COUNTA(半紙!$B$11:$B$310)),IF(284&lt;=COUNTA(半紙!$B$11:$B$310)+COUNTA(条幅!$B$11:$B$310)+COUNTA(条幅4分の1!$B$11:$B$310),INDEX(条幅4分の1!$H$11:$H$310,284-COUNTA(半紙!$B$11:$B$310)-COUNTA(条幅!$B$11:$B$310)),""))))</f>
        <v/>
      </c>
      <c r="I289" s="38" t="str">
        <f>IF(IF(284&lt;=COUNTA(半紙!$B$11:$B$310),INDEX(半紙!$I$11:$I$310,284),IF(284&lt;=COUNTA(半紙!$B$11:$B$310)+COUNTA(条幅!$B$11:$B$310),INDEX(条幅!$I$11:$I$310,284-COUNTA(半紙!$B$11:$B$310)),IF(284&lt;=COUNTA(半紙!$B$11:$B$310)+COUNTA(条幅!$B$11:$B$310)+COUNTA(条幅4分の1!$B$11:$B$310),INDEX(条幅4分の1!$I$11:$I$310,284-COUNTA(半紙!$B$11:$B$310)-COUNTA(条幅!$B$11:$B$310)),"")))=0,"",IF(284&lt;=COUNTA(半紙!$B$11:$B$310),INDEX(半紙!$I$11:$I$310,284),IF(284&lt;=COUNTA(半紙!$B$11:$B$310)+COUNTA(条幅!$B$11:$B$310),INDEX(条幅!$I$11:$I$310,284-COUNTA(半紙!$B$11:$B$310)),IF(284&lt;=COUNTA(半紙!$B$11:$B$310)+COUNTA(条幅!$B$11:$B$310)+COUNTA(条幅4分の1!$B$11:$B$310),INDEX(条幅4分の1!$I$11:$I$310,284-COUNTA(半紙!$B$11:$B$310)-COUNTA(条幅!$B$11:$B$310)),""))))</f>
        <v/>
      </c>
      <c r="J289" s="38" t="str">
        <f>IF(IF(284&lt;=COUNTA(半紙!$B$11:$B$310),INDEX(半紙!$J$11:$J$310,284),IF(284&lt;=COUNTA(半紙!$B$11:$B$310)+COUNTA(条幅!$B$11:$B$310),INDEX(条幅!$J$11:$J$310,284-COUNTA(半紙!$B$11:$B$310)),IF(284&lt;=COUNTA(半紙!$B$11:$B$310)+COUNTA(条幅!$B$11:$B$310)+COUNTA(条幅4分の1!$B$11:$B$310),INDEX(条幅4分の1!$J$11:$J$310,284-COUNTA(半紙!$B$11:$B$310)-COUNTA(条幅!$B$11:$B$310)),"")))=0,"",IF(284&lt;=COUNTA(半紙!$B$11:$B$310),INDEX(半紙!$J$11:$J$310,284),IF(284&lt;=COUNTA(半紙!$B$11:$B$310)+COUNTA(条幅!$B$11:$B$310),INDEX(条幅!$J$11:$J$310,284-COUNTA(半紙!$B$11:$B$310)),IF(284&lt;=COUNTA(半紙!$B$11:$B$310)+COUNTA(条幅!$B$11:$B$310)+COUNTA(条幅4分の1!$B$11:$B$310),INDEX(条幅4分の1!$J$11:$J$310,284-COUNTA(半紙!$B$11:$B$310)-COUNTA(条幅!$B$11:$B$310)),""))))</f>
        <v/>
      </c>
      <c r="K289" s="38" t="str">
        <f>IF(IF(284&lt;=COUNTA(半紙!$B$11:$B$310),INDEX(半紙!$K$11:$K$310,284),IF(284&lt;=COUNTA(半紙!$B$11:$B$310)+COUNTA(条幅!$B$11:$B$310),INDEX(条幅!$K$11:$K$310,284-COUNTA(半紙!$B$11:$B$310)),IF(284&lt;=COUNTA(半紙!$B$11:$B$310)+COUNTA(条幅!$B$11:$B$310)+COUNTA(条幅4分の1!$B$11:$B$310),INDEX(条幅4分の1!$K$11:$K$310,284-COUNTA(半紙!$B$11:$B$310)-COUNTA(条幅!$B$11:$B$310)),"")))=0,"",IF(284&lt;=COUNTA(半紙!$B$11:$B$310),INDEX(半紙!$K$11:$K$310,284),IF(284&lt;=COUNTA(半紙!$B$11:$B$310)+COUNTA(条幅!$B$11:$B$310),INDEX(条幅!$K$11:$K$310,284-COUNTA(半紙!$B$11:$B$310)),IF(284&lt;=COUNTA(半紙!$B$11:$B$310)+COUNTA(条幅!$B$11:$B$310)+COUNTA(条幅4分の1!$B$11:$B$310),INDEX(条幅4分の1!$K$11:$K$310,284-COUNTA(半紙!$B$11:$B$310)-COUNTA(条幅!$B$11:$B$310)),""))))</f>
        <v/>
      </c>
      <c r="L289" s="48" t="str">
        <f>IF($B289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284))</f>
        <v/>
      </c>
    </row>
    <row r="290" spans="1:12" ht="15" customHeight="1">
      <c r="A290" s="37" t="str">
        <f>IF(285&lt;=COUNTA(半紙!$B$11:$B$310),"半紙",IF(285&lt;=COUNTA(半紙!$B$11:$B$310)+COUNTA(条幅!$B$11:$B$310),"条幅(半切)",IF(285&lt;=COUNTA(半紙!$B$11:$B$310)+COUNTA(条幅!$B$11:$B$310)+COUNTA(条幅4分の1!$B$11:$B$310),"条幅(1/4)","")))</f>
        <v/>
      </c>
      <c r="B290" s="38" t="str">
        <f>IF(IF(285&lt;=COUNTA(半紙!$B$11:$B$310),INDEX(半紙!$B$11:$B$310,285),IF(285&lt;=COUNTA(半紙!$B$11:$B$310)+COUNTA(条幅!$B$11:$B$310),INDEX(条幅!$B$11:$B$310,285-COUNTA(半紙!$B$11:$B$310)),IF(285&lt;=COUNTA(半紙!$B$11:$B$310)+COUNTA(条幅!$B$11:$B$310)+COUNTA(条幅4分の1!$B$11:$B$310),INDEX(条幅4分の1!$B$11:$B$310,285-COUNTA(半紙!$B$11:$B$310)-COUNTA(条幅!$B$11:$B$310)),"")))=0,"",IF(285&lt;=COUNTA(半紙!$B$11:$B$310),INDEX(半紙!$B$11:$B$310,285),IF(285&lt;=COUNTA(半紙!$B$11:$B$310)+COUNTA(条幅!$B$11:$B$310),INDEX(条幅!$B$11:$B$310,285-COUNTA(半紙!$B$11:$B$310)),IF(285&lt;=COUNTA(半紙!$B$11:$B$310)+COUNTA(条幅!$B$11:$B$310)+COUNTA(条幅4分の1!$B$11:$B$310),INDEX(条幅4分の1!$B$11:$B$310,285-COUNTA(半紙!$B$11:$B$310)-COUNTA(条幅!$B$11:$B$310)),""))))</f>
        <v/>
      </c>
      <c r="C290" s="38" t="str">
        <f>IF(IF(285&lt;=COUNTA(半紙!$B$11:$B$310),INDEX(半紙!$C$11:$C$310,285),IF(285&lt;=COUNTA(半紙!$B$11:$B$310)+COUNTA(条幅!$B$11:$B$310),INDEX(条幅!$C$11:$C$310,285-COUNTA(半紙!$B$11:$B$310)),IF(285&lt;=COUNTA(半紙!$B$11:$B$310)+COUNTA(条幅!$B$11:$B$310)+COUNTA(条幅4分の1!$B$11:$B$310),INDEX(条幅4分の1!$C$11:$C$310,285-COUNTA(半紙!$B$11:$B$310)-COUNTA(条幅!$B$11:$B$310)),"")))=0,"",IF(285&lt;=COUNTA(半紙!$B$11:$B$310),INDEX(半紙!$C$11:$C$310,285),IF(285&lt;=COUNTA(半紙!$B$11:$B$310)+COUNTA(条幅!$B$11:$B$310),INDEX(条幅!$C$11:$C$310,285-COUNTA(半紙!$B$11:$B$310)),IF(285&lt;=COUNTA(半紙!$B$11:$B$310)+COUNTA(条幅!$B$11:$B$310)+COUNTA(条幅4分の1!$B$11:$B$310),INDEX(条幅4分の1!$C$11:$C$310,285-COUNTA(半紙!$B$11:$B$310)-COUNTA(条幅!$B$11:$B$310)),""))))</f>
        <v/>
      </c>
      <c r="D290" s="38" t="str">
        <f>IF(IF(285&lt;=COUNTA(半紙!$B$11:$B$310),INDEX(半紙!$D$11:$D$310,285),IF(285&lt;=COUNTA(半紙!$B$11:$B$310)+COUNTA(条幅!$B$11:$B$310),INDEX(条幅!$D$11:$D$310,285-COUNTA(半紙!$B$11:$B$310)),IF(285&lt;=COUNTA(半紙!$B$11:$B$310)+COUNTA(条幅!$B$11:$B$310)+COUNTA(条幅4分の1!$B$11:$B$310),INDEX(条幅4分の1!$D$11:$D$310,285-COUNTA(半紙!$B$11:$B$310)-COUNTA(条幅!$B$11:$B$310)),"")))=0,"",IF(285&lt;=COUNTA(半紙!$B$11:$B$310),INDEX(半紙!$D$11:$D$310,285),IF(285&lt;=COUNTA(半紙!$B$11:$B$310)+COUNTA(条幅!$B$11:$B$310),INDEX(条幅!$D$11:$D$310,285-COUNTA(半紙!$B$11:$B$310)),IF(285&lt;=COUNTA(半紙!$B$11:$B$310)+COUNTA(条幅!$B$11:$B$310)+COUNTA(条幅4分の1!$B$11:$B$310),INDEX(条幅4分の1!$D$11:$D$310,285-COUNTA(半紙!$B$11:$B$310)-COUNTA(条幅!$B$11:$B$310)),""))))</f>
        <v/>
      </c>
      <c r="E290" s="38" t="str">
        <f>IF(IF(285&lt;=COUNTA(半紙!$B$11:$B$310),INDEX(半紙!$E$11:$E$310,285),IF(285&lt;=COUNTA(半紙!$B$11:$B$310)+COUNTA(条幅!$B$11:$B$310),INDEX(条幅!$E$11:$E$310,285-COUNTA(半紙!$B$11:$B$310)),IF(285&lt;=COUNTA(半紙!$B$11:$B$310)+COUNTA(条幅!$B$11:$B$310)+COUNTA(条幅4分の1!$B$11:$B$310),INDEX(条幅4分の1!$E$11:$E$310,285-COUNTA(半紙!$B$11:$B$310)-COUNTA(条幅!$B$11:$B$310)),"")))=0,"",IF(285&lt;=COUNTA(半紙!$B$11:$B$310),INDEX(半紙!$E$11:$E$310,285),IF(285&lt;=COUNTA(半紙!$B$11:$B$310)+COUNTA(条幅!$B$11:$B$310),INDEX(条幅!$E$11:$E$310,285-COUNTA(半紙!$B$11:$B$310)),IF(285&lt;=COUNTA(半紙!$B$11:$B$310)+COUNTA(条幅!$B$11:$B$310)+COUNTA(条幅4分の1!$B$11:$B$310),INDEX(条幅4分の1!$E$11:$E$310,285-COUNTA(半紙!$B$11:$B$310)-COUNTA(条幅!$B$11:$B$310)),""))))</f>
        <v/>
      </c>
      <c r="F290" s="38" t="str">
        <f>IF(IF(285&lt;=COUNTA(半紙!$B$11:$B$310),INDEX(半紙!$F$11:$F$310,285),IF(285&lt;=COUNTA(半紙!$B$11:$B$310)+COUNTA(条幅!$B$11:$B$310),INDEX(条幅!$F$11:$F$310,285-COUNTA(半紙!$B$11:$B$310)),IF(285&lt;=COUNTA(半紙!$B$11:$B$310)+COUNTA(条幅!$B$11:$B$310)+COUNTA(条幅4分の1!$B$11:$B$310),INDEX(条幅4分の1!$F$11:$F$310,285-COUNTA(半紙!$B$11:$B$310)-COUNTA(条幅!$B$11:$B$310)),"")))=0,"",IF(285&lt;=COUNTA(半紙!$B$11:$B$310),INDEX(半紙!$F$11:$F$310,285),IF(285&lt;=COUNTA(半紙!$B$11:$B$310)+COUNTA(条幅!$B$11:$B$310),INDEX(条幅!$F$11:$F$310,285-COUNTA(半紙!$B$11:$B$310)),IF(285&lt;=COUNTA(半紙!$B$11:$B$310)+COUNTA(条幅!$B$11:$B$310)+COUNTA(条幅4分の1!$B$11:$B$310),INDEX(条幅4分の1!$F$11:$F$310,285-COUNTA(半紙!$B$11:$B$310)-COUNTA(条幅!$B$11:$B$310)),""))))</f>
        <v/>
      </c>
      <c r="G290" s="38" t="str">
        <f>IF(IF(285&lt;=COUNTA(半紙!$B$11:$B$310),INDEX(半紙!$G$11:$G$310,285),IF(285&lt;=COUNTA(半紙!$B$11:$B$310)+COUNTA(条幅!$B$11:$B$310),INDEX(条幅!$G$11:$G$310,285-COUNTA(半紙!$B$11:$B$310)),IF(285&lt;=COUNTA(半紙!$B$11:$B$310)+COUNTA(条幅!$B$11:$B$310)+COUNTA(条幅4分の1!$B$11:$B$310),INDEX(条幅4分の1!$G$11:$G$310,285-COUNTA(半紙!$B$11:$B$310)-COUNTA(条幅!$B$11:$B$310)),"")))=0,"",IF(285&lt;=COUNTA(半紙!$B$11:$B$310),INDEX(半紙!$G$11:$G$310,285),IF(285&lt;=COUNTA(半紙!$B$11:$B$310)+COUNTA(条幅!$B$11:$B$310),INDEX(条幅!$G$11:$G$310,285-COUNTA(半紙!$B$11:$B$310)),IF(285&lt;=COUNTA(半紙!$B$11:$B$310)+COUNTA(条幅!$B$11:$B$310)+COUNTA(条幅4分の1!$B$11:$B$310),INDEX(条幅4分の1!$G$11:$G$310,285-COUNTA(半紙!$B$11:$B$310)-COUNTA(条幅!$B$11:$B$310)),""))))</f>
        <v/>
      </c>
      <c r="H290" s="38" t="str">
        <f>IF(IF(285&lt;=COUNTA(半紙!$B$11:$B$310),INDEX(半紙!$H$11:$H$310,285),IF(285&lt;=COUNTA(半紙!$B$11:$B$310)+COUNTA(条幅!$B$11:$B$310),INDEX(条幅!$H$11:$H$310,285-COUNTA(半紙!$B$11:$B$310)),IF(285&lt;=COUNTA(半紙!$B$11:$B$310)+COUNTA(条幅!$B$11:$B$310)+COUNTA(条幅4分の1!$B$11:$B$310),INDEX(条幅4分の1!$H$11:$H$310,285-COUNTA(半紙!$B$11:$B$310)-COUNTA(条幅!$B$11:$B$310)),"")))=0,"",IF(285&lt;=COUNTA(半紙!$B$11:$B$310),INDEX(半紙!$H$11:$H$310,285),IF(285&lt;=COUNTA(半紙!$B$11:$B$310)+COUNTA(条幅!$B$11:$B$310),INDEX(条幅!$H$11:$H$310,285-COUNTA(半紙!$B$11:$B$310)),IF(285&lt;=COUNTA(半紙!$B$11:$B$310)+COUNTA(条幅!$B$11:$B$310)+COUNTA(条幅4分の1!$B$11:$B$310),INDEX(条幅4分の1!$H$11:$H$310,285-COUNTA(半紙!$B$11:$B$310)-COUNTA(条幅!$B$11:$B$310)),""))))</f>
        <v/>
      </c>
      <c r="I290" s="38" t="str">
        <f>IF(IF(285&lt;=COUNTA(半紙!$B$11:$B$310),INDEX(半紙!$I$11:$I$310,285),IF(285&lt;=COUNTA(半紙!$B$11:$B$310)+COUNTA(条幅!$B$11:$B$310),INDEX(条幅!$I$11:$I$310,285-COUNTA(半紙!$B$11:$B$310)),IF(285&lt;=COUNTA(半紙!$B$11:$B$310)+COUNTA(条幅!$B$11:$B$310)+COUNTA(条幅4分の1!$B$11:$B$310),INDEX(条幅4分の1!$I$11:$I$310,285-COUNTA(半紙!$B$11:$B$310)-COUNTA(条幅!$B$11:$B$310)),"")))=0,"",IF(285&lt;=COUNTA(半紙!$B$11:$B$310),INDEX(半紙!$I$11:$I$310,285),IF(285&lt;=COUNTA(半紙!$B$11:$B$310)+COUNTA(条幅!$B$11:$B$310),INDEX(条幅!$I$11:$I$310,285-COUNTA(半紙!$B$11:$B$310)),IF(285&lt;=COUNTA(半紙!$B$11:$B$310)+COUNTA(条幅!$B$11:$B$310)+COUNTA(条幅4分の1!$B$11:$B$310),INDEX(条幅4分の1!$I$11:$I$310,285-COUNTA(半紙!$B$11:$B$310)-COUNTA(条幅!$B$11:$B$310)),""))))</f>
        <v/>
      </c>
      <c r="J290" s="38" t="str">
        <f>IF(IF(285&lt;=COUNTA(半紙!$B$11:$B$310),INDEX(半紙!$J$11:$J$310,285),IF(285&lt;=COUNTA(半紙!$B$11:$B$310)+COUNTA(条幅!$B$11:$B$310),INDEX(条幅!$J$11:$J$310,285-COUNTA(半紙!$B$11:$B$310)),IF(285&lt;=COUNTA(半紙!$B$11:$B$310)+COUNTA(条幅!$B$11:$B$310)+COUNTA(条幅4分の1!$B$11:$B$310),INDEX(条幅4分の1!$J$11:$J$310,285-COUNTA(半紙!$B$11:$B$310)-COUNTA(条幅!$B$11:$B$310)),"")))=0,"",IF(285&lt;=COUNTA(半紙!$B$11:$B$310),INDEX(半紙!$J$11:$J$310,285),IF(285&lt;=COUNTA(半紙!$B$11:$B$310)+COUNTA(条幅!$B$11:$B$310),INDEX(条幅!$J$11:$J$310,285-COUNTA(半紙!$B$11:$B$310)),IF(285&lt;=COUNTA(半紙!$B$11:$B$310)+COUNTA(条幅!$B$11:$B$310)+COUNTA(条幅4分の1!$B$11:$B$310),INDEX(条幅4分の1!$J$11:$J$310,285-COUNTA(半紙!$B$11:$B$310)-COUNTA(条幅!$B$11:$B$310)),""))))</f>
        <v/>
      </c>
      <c r="K290" s="38" t="str">
        <f>IF(IF(285&lt;=COUNTA(半紙!$B$11:$B$310),INDEX(半紙!$K$11:$K$310,285),IF(285&lt;=COUNTA(半紙!$B$11:$B$310)+COUNTA(条幅!$B$11:$B$310),INDEX(条幅!$K$11:$K$310,285-COUNTA(半紙!$B$11:$B$310)),IF(285&lt;=COUNTA(半紙!$B$11:$B$310)+COUNTA(条幅!$B$11:$B$310)+COUNTA(条幅4分の1!$B$11:$B$310),INDEX(条幅4分の1!$K$11:$K$310,285-COUNTA(半紙!$B$11:$B$310)-COUNTA(条幅!$B$11:$B$310)),"")))=0,"",IF(285&lt;=COUNTA(半紙!$B$11:$B$310),INDEX(半紙!$K$11:$K$310,285),IF(285&lt;=COUNTA(半紙!$B$11:$B$310)+COUNTA(条幅!$B$11:$B$310),INDEX(条幅!$K$11:$K$310,285-COUNTA(半紙!$B$11:$B$310)),IF(285&lt;=COUNTA(半紙!$B$11:$B$310)+COUNTA(条幅!$B$11:$B$310)+COUNTA(条幅4分の1!$B$11:$B$310),INDEX(条幅4分の1!$K$11:$K$310,285-COUNTA(半紙!$B$11:$B$310)-COUNTA(条幅!$B$11:$B$310)),""))))</f>
        <v/>
      </c>
      <c r="L290" s="48" t="str">
        <f>IF($B290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285))</f>
        <v/>
      </c>
    </row>
    <row r="291" spans="1:12" ht="15" customHeight="1">
      <c r="A291" s="37" t="str">
        <f>IF(286&lt;=COUNTA(半紙!$B$11:$B$310),"半紙",IF(286&lt;=COUNTA(半紙!$B$11:$B$310)+COUNTA(条幅!$B$11:$B$310),"条幅(半切)",IF(286&lt;=COUNTA(半紙!$B$11:$B$310)+COUNTA(条幅!$B$11:$B$310)+COUNTA(条幅4分の1!$B$11:$B$310),"条幅(1/4)","")))</f>
        <v/>
      </c>
      <c r="B291" s="38" t="str">
        <f>IF(IF(286&lt;=COUNTA(半紙!$B$11:$B$310),INDEX(半紙!$B$11:$B$310,286),IF(286&lt;=COUNTA(半紙!$B$11:$B$310)+COUNTA(条幅!$B$11:$B$310),INDEX(条幅!$B$11:$B$310,286-COUNTA(半紙!$B$11:$B$310)),IF(286&lt;=COUNTA(半紙!$B$11:$B$310)+COUNTA(条幅!$B$11:$B$310)+COUNTA(条幅4分の1!$B$11:$B$310),INDEX(条幅4分の1!$B$11:$B$310,286-COUNTA(半紙!$B$11:$B$310)-COUNTA(条幅!$B$11:$B$310)),"")))=0,"",IF(286&lt;=COUNTA(半紙!$B$11:$B$310),INDEX(半紙!$B$11:$B$310,286),IF(286&lt;=COUNTA(半紙!$B$11:$B$310)+COUNTA(条幅!$B$11:$B$310),INDEX(条幅!$B$11:$B$310,286-COUNTA(半紙!$B$11:$B$310)),IF(286&lt;=COUNTA(半紙!$B$11:$B$310)+COUNTA(条幅!$B$11:$B$310)+COUNTA(条幅4分の1!$B$11:$B$310),INDEX(条幅4分の1!$B$11:$B$310,286-COUNTA(半紙!$B$11:$B$310)-COUNTA(条幅!$B$11:$B$310)),""))))</f>
        <v/>
      </c>
      <c r="C291" s="38" t="str">
        <f>IF(IF(286&lt;=COUNTA(半紙!$B$11:$B$310),INDEX(半紙!$C$11:$C$310,286),IF(286&lt;=COUNTA(半紙!$B$11:$B$310)+COUNTA(条幅!$B$11:$B$310),INDEX(条幅!$C$11:$C$310,286-COUNTA(半紙!$B$11:$B$310)),IF(286&lt;=COUNTA(半紙!$B$11:$B$310)+COUNTA(条幅!$B$11:$B$310)+COUNTA(条幅4分の1!$B$11:$B$310),INDEX(条幅4分の1!$C$11:$C$310,286-COUNTA(半紙!$B$11:$B$310)-COUNTA(条幅!$B$11:$B$310)),"")))=0,"",IF(286&lt;=COUNTA(半紙!$B$11:$B$310),INDEX(半紙!$C$11:$C$310,286),IF(286&lt;=COUNTA(半紙!$B$11:$B$310)+COUNTA(条幅!$B$11:$B$310),INDEX(条幅!$C$11:$C$310,286-COUNTA(半紙!$B$11:$B$310)),IF(286&lt;=COUNTA(半紙!$B$11:$B$310)+COUNTA(条幅!$B$11:$B$310)+COUNTA(条幅4分の1!$B$11:$B$310),INDEX(条幅4分の1!$C$11:$C$310,286-COUNTA(半紙!$B$11:$B$310)-COUNTA(条幅!$B$11:$B$310)),""))))</f>
        <v/>
      </c>
      <c r="D291" s="38" t="str">
        <f>IF(IF(286&lt;=COUNTA(半紙!$B$11:$B$310),INDEX(半紙!$D$11:$D$310,286),IF(286&lt;=COUNTA(半紙!$B$11:$B$310)+COUNTA(条幅!$B$11:$B$310),INDEX(条幅!$D$11:$D$310,286-COUNTA(半紙!$B$11:$B$310)),IF(286&lt;=COUNTA(半紙!$B$11:$B$310)+COUNTA(条幅!$B$11:$B$310)+COUNTA(条幅4分の1!$B$11:$B$310),INDEX(条幅4分の1!$D$11:$D$310,286-COUNTA(半紙!$B$11:$B$310)-COUNTA(条幅!$B$11:$B$310)),"")))=0,"",IF(286&lt;=COUNTA(半紙!$B$11:$B$310),INDEX(半紙!$D$11:$D$310,286),IF(286&lt;=COUNTA(半紙!$B$11:$B$310)+COUNTA(条幅!$B$11:$B$310),INDEX(条幅!$D$11:$D$310,286-COUNTA(半紙!$B$11:$B$310)),IF(286&lt;=COUNTA(半紙!$B$11:$B$310)+COUNTA(条幅!$B$11:$B$310)+COUNTA(条幅4分の1!$B$11:$B$310),INDEX(条幅4分の1!$D$11:$D$310,286-COUNTA(半紙!$B$11:$B$310)-COUNTA(条幅!$B$11:$B$310)),""))))</f>
        <v/>
      </c>
      <c r="E291" s="38" t="str">
        <f>IF(IF(286&lt;=COUNTA(半紙!$B$11:$B$310),INDEX(半紙!$E$11:$E$310,286),IF(286&lt;=COUNTA(半紙!$B$11:$B$310)+COUNTA(条幅!$B$11:$B$310),INDEX(条幅!$E$11:$E$310,286-COUNTA(半紙!$B$11:$B$310)),IF(286&lt;=COUNTA(半紙!$B$11:$B$310)+COUNTA(条幅!$B$11:$B$310)+COUNTA(条幅4分の1!$B$11:$B$310),INDEX(条幅4分の1!$E$11:$E$310,286-COUNTA(半紙!$B$11:$B$310)-COUNTA(条幅!$B$11:$B$310)),"")))=0,"",IF(286&lt;=COUNTA(半紙!$B$11:$B$310),INDEX(半紙!$E$11:$E$310,286),IF(286&lt;=COUNTA(半紙!$B$11:$B$310)+COUNTA(条幅!$B$11:$B$310),INDEX(条幅!$E$11:$E$310,286-COUNTA(半紙!$B$11:$B$310)),IF(286&lt;=COUNTA(半紙!$B$11:$B$310)+COUNTA(条幅!$B$11:$B$310)+COUNTA(条幅4分の1!$B$11:$B$310),INDEX(条幅4分の1!$E$11:$E$310,286-COUNTA(半紙!$B$11:$B$310)-COUNTA(条幅!$B$11:$B$310)),""))))</f>
        <v/>
      </c>
      <c r="F291" s="38" t="str">
        <f>IF(IF(286&lt;=COUNTA(半紙!$B$11:$B$310),INDEX(半紙!$F$11:$F$310,286),IF(286&lt;=COUNTA(半紙!$B$11:$B$310)+COUNTA(条幅!$B$11:$B$310),INDEX(条幅!$F$11:$F$310,286-COUNTA(半紙!$B$11:$B$310)),IF(286&lt;=COUNTA(半紙!$B$11:$B$310)+COUNTA(条幅!$B$11:$B$310)+COUNTA(条幅4分の1!$B$11:$B$310),INDEX(条幅4分の1!$F$11:$F$310,286-COUNTA(半紙!$B$11:$B$310)-COUNTA(条幅!$B$11:$B$310)),"")))=0,"",IF(286&lt;=COUNTA(半紙!$B$11:$B$310),INDEX(半紙!$F$11:$F$310,286),IF(286&lt;=COUNTA(半紙!$B$11:$B$310)+COUNTA(条幅!$B$11:$B$310),INDEX(条幅!$F$11:$F$310,286-COUNTA(半紙!$B$11:$B$310)),IF(286&lt;=COUNTA(半紙!$B$11:$B$310)+COUNTA(条幅!$B$11:$B$310)+COUNTA(条幅4分の1!$B$11:$B$310),INDEX(条幅4分の1!$F$11:$F$310,286-COUNTA(半紙!$B$11:$B$310)-COUNTA(条幅!$B$11:$B$310)),""))))</f>
        <v/>
      </c>
      <c r="G291" s="38" t="str">
        <f>IF(IF(286&lt;=COUNTA(半紙!$B$11:$B$310),INDEX(半紙!$G$11:$G$310,286),IF(286&lt;=COUNTA(半紙!$B$11:$B$310)+COUNTA(条幅!$B$11:$B$310),INDEX(条幅!$G$11:$G$310,286-COUNTA(半紙!$B$11:$B$310)),IF(286&lt;=COUNTA(半紙!$B$11:$B$310)+COUNTA(条幅!$B$11:$B$310)+COUNTA(条幅4分の1!$B$11:$B$310),INDEX(条幅4分の1!$G$11:$G$310,286-COUNTA(半紙!$B$11:$B$310)-COUNTA(条幅!$B$11:$B$310)),"")))=0,"",IF(286&lt;=COUNTA(半紙!$B$11:$B$310),INDEX(半紙!$G$11:$G$310,286),IF(286&lt;=COUNTA(半紙!$B$11:$B$310)+COUNTA(条幅!$B$11:$B$310),INDEX(条幅!$G$11:$G$310,286-COUNTA(半紙!$B$11:$B$310)),IF(286&lt;=COUNTA(半紙!$B$11:$B$310)+COUNTA(条幅!$B$11:$B$310)+COUNTA(条幅4分の1!$B$11:$B$310),INDEX(条幅4分の1!$G$11:$G$310,286-COUNTA(半紙!$B$11:$B$310)-COUNTA(条幅!$B$11:$B$310)),""))))</f>
        <v/>
      </c>
      <c r="H291" s="38" t="str">
        <f>IF(IF(286&lt;=COUNTA(半紙!$B$11:$B$310),INDEX(半紙!$H$11:$H$310,286),IF(286&lt;=COUNTA(半紙!$B$11:$B$310)+COUNTA(条幅!$B$11:$B$310),INDEX(条幅!$H$11:$H$310,286-COUNTA(半紙!$B$11:$B$310)),IF(286&lt;=COUNTA(半紙!$B$11:$B$310)+COUNTA(条幅!$B$11:$B$310)+COUNTA(条幅4分の1!$B$11:$B$310),INDEX(条幅4分の1!$H$11:$H$310,286-COUNTA(半紙!$B$11:$B$310)-COUNTA(条幅!$B$11:$B$310)),"")))=0,"",IF(286&lt;=COUNTA(半紙!$B$11:$B$310),INDEX(半紙!$H$11:$H$310,286),IF(286&lt;=COUNTA(半紙!$B$11:$B$310)+COUNTA(条幅!$B$11:$B$310),INDEX(条幅!$H$11:$H$310,286-COUNTA(半紙!$B$11:$B$310)),IF(286&lt;=COUNTA(半紙!$B$11:$B$310)+COUNTA(条幅!$B$11:$B$310)+COUNTA(条幅4分の1!$B$11:$B$310),INDEX(条幅4分の1!$H$11:$H$310,286-COUNTA(半紙!$B$11:$B$310)-COUNTA(条幅!$B$11:$B$310)),""))))</f>
        <v/>
      </c>
      <c r="I291" s="38" t="str">
        <f>IF(IF(286&lt;=COUNTA(半紙!$B$11:$B$310),INDEX(半紙!$I$11:$I$310,286),IF(286&lt;=COUNTA(半紙!$B$11:$B$310)+COUNTA(条幅!$B$11:$B$310),INDEX(条幅!$I$11:$I$310,286-COUNTA(半紙!$B$11:$B$310)),IF(286&lt;=COUNTA(半紙!$B$11:$B$310)+COUNTA(条幅!$B$11:$B$310)+COUNTA(条幅4分の1!$B$11:$B$310),INDEX(条幅4分の1!$I$11:$I$310,286-COUNTA(半紙!$B$11:$B$310)-COUNTA(条幅!$B$11:$B$310)),"")))=0,"",IF(286&lt;=COUNTA(半紙!$B$11:$B$310),INDEX(半紙!$I$11:$I$310,286),IF(286&lt;=COUNTA(半紙!$B$11:$B$310)+COUNTA(条幅!$B$11:$B$310),INDEX(条幅!$I$11:$I$310,286-COUNTA(半紙!$B$11:$B$310)),IF(286&lt;=COUNTA(半紙!$B$11:$B$310)+COUNTA(条幅!$B$11:$B$310)+COUNTA(条幅4分の1!$B$11:$B$310),INDEX(条幅4分の1!$I$11:$I$310,286-COUNTA(半紙!$B$11:$B$310)-COUNTA(条幅!$B$11:$B$310)),""))))</f>
        <v/>
      </c>
      <c r="J291" s="38" t="str">
        <f>IF(IF(286&lt;=COUNTA(半紙!$B$11:$B$310),INDEX(半紙!$J$11:$J$310,286),IF(286&lt;=COUNTA(半紙!$B$11:$B$310)+COUNTA(条幅!$B$11:$B$310),INDEX(条幅!$J$11:$J$310,286-COUNTA(半紙!$B$11:$B$310)),IF(286&lt;=COUNTA(半紙!$B$11:$B$310)+COUNTA(条幅!$B$11:$B$310)+COUNTA(条幅4分の1!$B$11:$B$310),INDEX(条幅4分の1!$J$11:$J$310,286-COUNTA(半紙!$B$11:$B$310)-COUNTA(条幅!$B$11:$B$310)),"")))=0,"",IF(286&lt;=COUNTA(半紙!$B$11:$B$310),INDEX(半紙!$J$11:$J$310,286),IF(286&lt;=COUNTA(半紙!$B$11:$B$310)+COUNTA(条幅!$B$11:$B$310),INDEX(条幅!$J$11:$J$310,286-COUNTA(半紙!$B$11:$B$310)),IF(286&lt;=COUNTA(半紙!$B$11:$B$310)+COUNTA(条幅!$B$11:$B$310)+COUNTA(条幅4分の1!$B$11:$B$310),INDEX(条幅4分の1!$J$11:$J$310,286-COUNTA(半紙!$B$11:$B$310)-COUNTA(条幅!$B$11:$B$310)),""))))</f>
        <v/>
      </c>
      <c r="K291" s="38" t="str">
        <f>IF(IF(286&lt;=COUNTA(半紙!$B$11:$B$310),INDEX(半紙!$K$11:$K$310,286),IF(286&lt;=COUNTA(半紙!$B$11:$B$310)+COUNTA(条幅!$B$11:$B$310),INDEX(条幅!$K$11:$K$310,286-COUNTA(半紙!$B$11:$B$310)),IF(286&lt;=COUNTA(半紙!$B$11:$B$310)+COUNTA(条幅!$B$11:$B$310)+COUNTA(条幅4分の1!$B$11:$B$310),INDEX(条幅4分の1!$K$11:$K$310,286-COUNTA(半紙!$B$11:$B$310)-COUNTA(条幅!$B$11:$B$310)),"")))=0,"",IF(286&lt;=COUNTA(半紙!$B$11:$B$310),INDEX(半紙!$K$11:$K$310,286),IF(286&lt;=COUNTA(半紙!$B$11:$B$310)+COUNTA(条幅!$B$11:$B$310),INDEX(条幅!$K$11:$K$310,286-COUNTA(半紙!$B$11:$B$310)),IF(286&lt;=COUNTA(半紙!$B$11:$B$310)+COUNTA(条幅!$B$11:$B$310)+COUNTA(条幅4分の1!$B$11:$B$310),INDEX(条幅4分の1!$K$11:$K$310,286-COUNTA(半紙!$B$11:$B$310)-COUNTA(条幅!$B$11:$B$310)),""))))</f>
        <v/>
      </c>
      <c r="L291" s="48" t="str">
        <f>IF($B291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286))</f>
        <v/>
      </c>
    </row>
    <row r="292" spans="1:12" ht="15" customHeight="1">
      <c r="A292" s="37" t="str">
        <f>IF(287&lt;=COUNTA(半紙!$B$11:$B$310),"半紙",IF(287&lt;=COUNTA(半紙!$B$11:$B$310)+COUNTA(条幅!$B$11:$B$310),"条幅(半切)",IF(287&lt;=COUNTA(半紙!$B$11:$B$310)+COUNTA(条幅!$B$11:$B$310)+COUNTA(条幅4分の1!$B$11:$B$310),"条幅(1/4)","")))</f>
        <v/>
      </c>
      <c r="B292" s="38" t="str">
        <f>IF(IF(287&lt;=COUNTA(半紙!$B$11:$B$310),INDEX(半紙!$B$11:$B$310,287),IF(287&lt;=COUNTA(半紙!$B$11:$B$310)+COUNTA(条幅!$B$11:$B$310),INDEX(条幅!$B$11:$B$310,287-COUNTA(半紙!$B$11:$B$310)),IF(287&lt;=COUNTA(半紙!$B$11:$B$310)+COUNTA(条幅!$B$11:$B$310)+COUNTA(条幅4分の1!$B$11:$B$310),INDEX(条幅4分の1!$B$11:$B$310,287-COUNTA(半紙!$B$11:$B$310)-COUNTA(条幅!$B$11:$B$310)),"")))=0,"",IF(287&lt;=COUNTA(半紙!$B$11:$B$310),INDEX(半紙!$B$11:$B$310,287),IF(287&lt;=COUNTA(半紙!$B$11:$B$310)+COUNTA(条幅!$B$11:$B$310),INDEX(条幅!$B$11:$B$310,287-COUNTA(半紙!$B$11:$B$310)),IF(287&lt;=COUNTA(半紙!$B$11:$B$310)+COUNTA(条幅!$B$11:$B$310)+COUNTA(条幅4分の1!$B$11:$B$310),INDEX(条幅4分の1!$B$11:$B$310,287-COUNTA(半紙!$B$11:$B$310)-COUNTA(条幅!$B$11:$B$310)),""))))</f>
        <v/>
      </c>
      <c r="C292" s="38" t="str">
        <f>IF(IF(287&lt;=COUNTA(半紙!$B$11:$B$310),INDEX(半紙!$C$11:$C$310,287),IF(287&lt;=COUNTA(半紙!$B$11:$B$310)+COUNTA(条幅!$B$11:$B$310),INDEX(条幅!$C$11:$C$310,287-COUNTA(半紙!$B$11:$B$310)),IF(287&lt;=COUNTA(半紙!$B$11:$B$310)+COUNTA(条幅!$B$11:$B$310)+COUNTA(条幅4分の1!$B$11:$B$310),INDEX(条幅4分の1!$C$11:$C$310,287-COUNTA(半紙!$B$11:$B$310)-COUNTA(条幅!$B$11:$B$310)),"")))=0,"",IF(287&lt;=COUNTA(半紙!$B$11:$B$310),INDEX(半紙!$C$11:$C$310,287),IF(287&lt;=COUNTA(半紙!$B$11:$B$310)+COUNTA(条幅!$B$11:$B$310),INDEX(条幅!$C$11:$C$310,287-COUNTA(半紙!$B$11:$B$310)),IF(287&lt;=COUNTA(半紙!$B$11:$B$310)+COUNTA(条幅!$B$11:$B$310)+COUNTA(条幅4分の1!$B$11:$B$310),INDEX(条幅4分の1!$C$11:$C$310,287-COUNTA(半紙!$B$11:$B$310)-COUNTA(条幅!$B$11:$B$310)),""))))</f>
        <v/>
      </c>
      <c r="D292" s="38" t="str">
        <f>IF(IF(287&lt;=COUNTA(半紙!$B$11:$B$310),INDEX(半紙!$D$11:$D$310,287),IF(287&lt;=COUNTA(半紙!$B$11:$B$310)+COUNTA(条幅!$B$11:$B$310),INDEX(条幅!$D$11:$D$310,287-COUNTA(半紙!$B$11:$B$310)),IF(287&lt;=COUNTA(半紙!$B$11:$B$310)+COUNTA(条幅!$B$11:$B$310)+COUNTA(条幅4分の1!$B$11:$B$310),INDEX(条幅4分の1!$D$11:$D$310,287-COUNTA(半紙!$B$11:$B$310)-COUNTA(条幅!$B$11:$B$310)),"")))=0,"",IF(287&lt;=COUNTA(半紙!$B$11:$B$310),INDEX(半紙!$D$11:$D$310,287),IF(287&lt;=COUNTA(半紙!$B$11:$B$310)+COUNTA(条幅!$B$11:$B$310),INDEX(条幅!$D$11:$D$310,287-COUNTA(半紙!$B$11:$B$310)),IF(287&lt;=COUNTA(半紙!$B$11:$B$310)+COUNTA(条幅!$B$11:$B$310)+COUNTA(条幅4分の1!$B$11:$B$310),INDEX(条幅4分の1!$D$11:$D$310,287-COUNTA(半紙!$B$11:$B$310)-COUNTA(条幅!$B$11:$B$310)),""))))</f>
        <v/>
      </c>
      <c r="E292" s="38" t="str">
        <f>IF(IF(287&lt;=COUNTA(半紙!$B$11:$B$310),INDEX(半紙!$E$11:$E$310,287),IF(287&lt;=COUNTA(半紙!$B$11:$B$310)+COUNTA(条幅!$B$11:$B$310),INDEX(条幅!$E$11:$E$310,287-COUNTA(半紙!$B$11:$B$310)),IF(287&lt;=COUNTA(半紙!$B$11:$B$310)+COUNTA(条幅!$B$11:$B$310)+COUNTA(条幅4分の1!$B$11:$B$310),INDEX(条幅4分の1!$E$11:$E$310,287-COUNTA(半紙!$B$11:$B$310)-COUNTA(条幅!$B$11:$B$310)),"")))=0,"",IF(287&lt;=COUNTA(半紙!$B$11:$B$310),INDEX(半紙!$E$11:$E$310,287),IF(287&lt;=COUNTA(半紙!$B$11:$B$310)+COUNTA(条幅!$B$11:$B$310),INDEX(条幅!$E$11:$E$310,287-COUNTA(半紙!$B$11:$B$310)),IF(287&lt;=COUNTA(半紙!$B$11:$B$310)+COUNTA(条幅!$B$11:$B$310)+COUNTA(条幅4分の1!$B$11:$B$310),INDEX(条幅4分の1!$E$11:$E$310,287-COUNTA(半紙!$B$11:$B$310)-COUNTA(条幅!$B$11:$B$310)),""))))</f>
        <v/>
      </c>
      <c r="F292" s="38" t="str">
        <f>IF(IF(287&lt;=COUNTA(半紙!$B$11:$B$310),INDEX(半紙!$F$11:$F$310,287),IF(287&lt;=COUNTA(半紙!$B$11:$B$310)+COUNTA(条幅!$B$11:$B$310),INDEX(条幅!$F$11:$F$310,287-COUNTA(半紙!$B$11:$B$310)),IF(287&lt;=COUNTA(半紙!$B$11:$B$310)+COUNTA(条幅!$B$11:$B$310)+COUNTA(条幅4分の1!$B$11:$B$310),INDEX(条幅4分の1!$F$11:$F$310,287-COUNTA(半紙!$B$11:$B$310)-COUNTA(条幅!$B$11:$B$310)),"")))=0,"",IF(287&lt;=COUNTA(半紙!$B$11:$B$310),INDEX(半紙!$F$11:$F$310,287),IF(287&lt;=COUNTA(半紙!$B$11:$B$310)+COUNTA(条幅!$B$11:$B$310),INDEX(条幅!$F$11:$F$310,287-COUNTA(半紙!$B$11:$B$310)),IF(287&lt;=COUNTA(半紙!$B$11:$B$310)+COUNTA(条幅!$B$11:$B$310)+COUNTA(条幅4分の1!$B$11:$B$310),INDEX(条幅4分の1!$F$11:$F$310,287-COUNTA(半紙!$B$11:$B$310)-COUNTA(条幅!$B$11:$B$310)),""))))</f>
        <v/>
      </c>
      <c r="G292" s="38" t="str">
        <f>IF(IF(287&lt;=COUNTA(半紙!$B$11:$B$310),INDEX(半紙!$G$11:$G$310,287),IF(287&lt;=COUNTA(半紙!$B$11:$B$310)+COUNTA(条幅!$B$11:$B$310),INDEX(条幅!$G$11:$G$310,287-COUNTA(半紙!$B$11:$B$310)),IF(287&lt;=COUNTA(半紙!$B$11:$B$310)+COUNTA(条幅!$B$11:$B$310)+COUNTA(条幅4分の1!$B$11:$B$310),INDEX(条幅4分の1!$G$11:$G$310,287-COUNTA(半紙!$B$11:$B$310)-COUNTA(条幅!$B$11:$B$310)),"")))=0,"",IF(287&lt;=COUNTA(半紙!$B$11:$B$310),INDEX(半紙!$G$11:$G$310,287),IF(287&lt;=COUNTA(半紙!$B$11:$B$310)+COUNTA(条幅!$B$11:$B$310),INDEX(条幅!$G$11:$G$310,287-COUNTA(半紙!$B$11:$B$310)),IF(287&lt;=COUNTA(半紙!$B$11:$B$310)+COUNTA(条幅!$B$11:$B$310)+COUNTA(条幅4分の1!$B$11:$B$310),INDEX(条幅4分の1!$G$11:$G$310,287-COUNTA(半紙!$B$11:$B$310)-COUNTA(条幅!$B$11:$B$310)),""))))</f>
        <v/>
      </c>
      <c r="H292" s="38" t="str">
        <f>IF(IF(287&lt;=COUNTA(半紙!$B$11:$B$310),INDEX(半紙!$H$11:$H$310,287),IF(287&lt;=COUNTA(半紙!$B$11:$B$310)+COUNTA(条幅!$B$11:$B$310),INDEX(条幅!$H$11:$H$310,287-COUNTA(半紙!$B$11:$B$310)),IF(287&lt;=COUNTA(半紙!$B$11:$B$310)+COUNTA(条幅!$B$11:$B$310)+COUNTA(条幅4分の1!$B$11:$B$310),INDEX(条幅4分の1!$H$11:$H$310,287-COUNTA(半紙!$B$11:$B$310)-COUNTA(条幅!$B$11:$B$310)),"")))=0,"",IF(287&lt;=COUNTA(半紙!$B$11:$B$310),INDEX(半紙!$H$11:$H$310,287),IF(287&lt;=COUNTA(半紙!$B$11:$B$310)+COUNTA(条幅!$B$11:$B$310),INDEX(条幅!$H$11:$H$310,287-COUNTA(半紙!$B$11:$B$310)),IF(287&lt;=COUNTA(半紙!$B$11:$B$310)+COUNTA(条幅!$B$11:$B$310)+COUNTA(条幅4分の1!$B$11:$B$310),INDEX(条幅4分の1!$H$11:$H$310,287-COUNTA(半紙!$B$11:$B$310)-COUNTA(条幅!$B$11:$B$310)),""))))</f>
        <v/>
      </c>
      <c r="I292" s="38" t="str">
        <f>IF(IF(287&lt;=COUNTA(半紙!$B$11:$B$310),INDEX(半紙!$I$11:$I$310,287),IF(287&lt;=COUNTA(半紙!$B$11:$B$310)+COUNTA(条幅!$B$11:$B$310),INDEX(条幅!$I$11:$I$310,287-COUNTA(半紙!$B$11:$B$310)),IF(287&lt;=COUNTA(半紙!$B$11:$B$310)+COUNTA(条幅!$B$11:$B$310)+COUNTA(条幅4分の1!$B$11:$B$310),INDEX(条幅4分の1!$I$11:$I$310,287-COUNTA(半紙!$B$11:$B$310)-COUNTA(条幅!$B$11:$B$310)),"")))=0,"",IF(287&lt;=COUNTA(半紙!$B$11:$B$310),INDEX(半紙!$I$11:$I$310,287),IF(287&lt;=COUNTA(半紙!$B$11:$B$310)+COUNTA(条幅!$B$11:$B$310),INDEX(条幅!$I$11:$I$310,287-COUNTA(半紙!$B$11:$B$310)),IF(287&lt;=COUNTA(半紙!$B$11:$B$310)+COUNTA(条幅!$B$11:$B$310)+COUNTA(条幅4分の1!$B$11:$B$310),INDEX(条幅4分の1!$I$11:$I$310,287-COUNTA(半紙!$B$11:$B$310)-COUNTA(条幅!$B$11:$B$310)),""))))</f>
        <v/>
      </c>
      <c r="J292" s="38" t="str">
        <f>IF(IF(287&lt;=COUNTA(半紙!$B$11:$B$310),INDEX(半紙!$J$11:$J$310,287),IF(287&lt;=COUNTA(半紙!$B$11:$B$310)+COUNTA(条幅!$B$11:$B$310),INDEX(条幅!$J$11:$J$310,287-COUNTA(半紙!$B$11:$B$310)),IF(287&lt;=COUNTA(半紙!$B$11:$B$310)+COUNTA(条幅!$B$11:$B$310)+COUNTA(条幅4分の1!$B$11:$B$310),INDEX(条幅4分の1!$J$11:$J$310,287-COUNTA(半紙!$B$11:$B$310)-COUNTA(条幅!$B$11:$B$310)),"")))=0,"",IF(287&lt;=COUNTA(半紙!$B$11:$B$310),INDEX(半紙!$J$11:$J$310,287),IF(287&lt;=COUNTA(半紙!$B$11:$B$310)+COUNTA(条幅!$B$11:$B$310),INDEX(条幅!$J$11:$J$310,287-COUNTA(半紙!$B$11:$B$310)),IF(287&lt;=COUNTA(半紙!$B$11:$B$310)+COUNTA(条幅!$B$11:$B$310)+COUNTA(条幅4分の1!$B$11:$B$310),INDEX(条幅4分の1!$J$11:$J$310,287-COUNTA(半紙!$B$11:$B$310)-COUNTA(条幅!$B$11:$B$310)),""))))</f>
        <v/>
      </c>
      <c r="K292" s="38" t="str">
        <f>IF(IF(287&lt;=COUNTA(半紙!$B$11:$B$310),INDEX(半紙!$K$11:$K$310,287),IF(287&lt;=COUNTA(半紙!$B$11:$B$310)+COUNTA(条幅!$B$11:$B$310),INDEX(条幅!$K$11:$K$310,287-COUNTA(半紙!$B$11:$B$310)),IF(287&lt;=COUNTA(半紙!$B$11:$B$310)+COUNTA(条幅!$B$11:$B$310)+COUNTA(条幅4分の1!$B$11:$B$310),INDEX(条幅4分の1!$K$11:$K$310,287-COUNTA(半紙!$B$11:$B$310)-COUNTA(条幅!$B$11:$B$310)),"")))=0,"",IF(287&lt;=COUNTA(半紙!$B$11:$B$310),INDEX(半紙!$K$11:$K$310,287),IF(287&lt;=COUNTA(半紙!$B$11:$B$310)+COUNTA(条幅!$B$11:$B$310),INDEX(条幅!$K$11:$K$310,287-COUNTA(半紙!$B$11:$B$310)),IF(287&lt;=COUNTA(半紙!$B$11:$B$310)+COUNTA(条幅!$B$11:$B$310)+COUNTA(条幅4分の1!$B$11:$B$310),INDEX(条幅4分の1!$K$11:$K$310,287-COUNTA(半紙!$B$11:$B$310)-COUNTA(条幅!$B$11:$B$310)),""))))</f>
        <v/>
      </c>
      <c r="L292" s="48" t="str">
        <f>IF($B292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287))</f>
        <v/>
      </c>
    </row>
    <row r="293" spans="1:12" ht="15" customHeight="1">
      <c r="A293" s="37" t="str">
        <f>IF(288&lt;=COUNTA(半紙!$B$11:$B$310),"半紙",IF(288&lt;=COUNTA(半紙!$B$11:$B$310)+COUNTA(条幅!$B$11:$B$310),"条幅(半切)",IF(288&lt;=COUNTA(半紙!$B$11:$B$310)+COUNTA(条幅!$B$11:$B$310)+COUNTA(条幅4分の1!$B$11:$B$310),"条幅(1/4)","")))</f>
        <v/>
      </c>
      <c r="B293" s="38" t="str">
        <f>IF(IF(288&lt;=COUNTA(半紙!$B$11:$B$310),INDEX(半紙!$B$11:$B$310,288),IF(288&lt;=COUNTA(半紙!$B$11:$B$310)+COUNTA(条幅!$B$11:$B$310),INDEX(条幅!$B$11:$B$310,288-COUNTA(半紙!$B$11:$B$310)),IF(288&lt;=COUNTA(半紙!$B$11:$B$310)+COUNTA(条幅!$B$11:$B$310)+COUNTA(条幅4分の1!$B$11:$B$310),INDEX(条幅4分の1!$B$11:$B$310,288-COUNTA(半紙!$B$11:$B$310)-COUNTA(条幅!$B$11:$B$310)),"")))=0,"",IF(288&lt;=COUNTA(半紙!$B$11:$B$310),INDEX(半紙!$B$11:$B$310,288),IF(288&lt;=COUNTA(半紙!$B$11:$B$310)+COUNTA(条幅!$B$11:$B$310),INDEX(条幅!$B$11:$B$310,288-COUNTA(半紙!$B$11:$B$310)),IF(288&lt;=COUNTA(半紙!$B$11:$B$310)+COUNTA(条幅!$B$11:$B$310)+COUNTA(条幅4分の1!$B$11:$B$310),INDEX(条幅4分の1!$B$11:$B$310,288-COUNTA(半紙!$B$11:$B$310)-COUNTA(条幅!$B$11:$B$310)),""))))</f>
        <v/>
      </c>
      <c r="C293" s="38" t="str">
        <f>IF(IF(288&lt;=COUNTA(半紙!$B$11:$B$310),INDEX(半紙!$C$11:$C$310,288),IF(288&lt;=COUNTA(半紙!$B$11:$B$310)+COUNTA(条幅!$B$11:$B$310),INDEX(条幅!$C$11:$C$310,288-COUNTA(半紙!$B$11:$B$310)),IF(288&lt;=COUNTA(半紙!$B$11:$B$310)+COUNTA(条幅!$B$11:$B$310)+COUNTA(条幅4分の1!$B$11:$B$310),INDEX(条幅4分の1!$C$11:$C$310,288-COUNTA(半紙!$B$11:$B$310)-COUNTA(条幅!$B$11:$B$310)),"")))=0,"",IF(288&lt;=COUNTA(半紙!$B$11:$B$310),INDEX(半紙!$C$11:$C$310,288),IF(288&lt;=COUNTA(半紙!$B$11:$B$310)+COUNTA(条幅!$B$11:$B$310),INDEX(条幅!$C$11:$C$310,288-COUNTA(半紙!$B$11:$B$310)),IF(288&lt;=COUNTA(半紙!$B$11:$B$310)+COUNTA(条幅!$B$11:$B$310)+COUNTA(条幅4分の1!$B$11:$B$310),INDEX(条幅4分の1!$C$11:$C$310,288-COUNTA(半紙!$B$11:$B$310)-COUNTA(条幅!$B$11:$B$310)),""))))</f>
        <v/>
      </c>
      <c r="D293" s="38" t="str">
        <f>IF(IF(288&lt;=COUNTA(半紙!$B$11:$B$310),INDEX(半紙!$D$11:$D$310,288),IF(288&lt;=COUNTA(半紙!$B$11:$B$310)+COUNTA(条幅!$B$11:$B$310),INDEX(条幅!$D$11:$D$310,288-COUNTA(半紙!$B$11:$B$310)),IF(288&lt;=COUNTA(半紙!$B$11:$B$310)+COUNTA(条幅!$B$11:$B$310)+COUNTA(条幅4分の1!$B$11:$B$310),INDEX(条幅4分の1!$D$11:$D$310,288-COUNTA(半紙!$B$11:$B$310)-COUNTA(条幅!$B$11:$B$310)),"")))=0,"",IF(288&lt;=COUNTA(半紙!$B$11:$B$310),INDEX(半紙!$D$11:$D$310,288),IF(288&lt;=COUNTA(半紙!$B$11:$B$310)+COUNTA(条幅!$B$11:$B$310),INDEX(条幅!$D$11:$D$310,288-COUNTA(半紙!$B$11:$B$310)),IF(288&lt;=COUNTA(半紙!$B$11:$B$310)+COUNTA(条幅!$B$11:$B$310)+COUNTA(条幅4分の1!$B$11:$B$310),INDEX(条幅4分の1!$D$11:$D$310,288-COUNTA(半紙!$B$11:$B$310)-COUNTA(条幅!$B$11:$B$310)),""))))</f>
        <v/>
      </c>
      <c r="E293" s="38" t="str">
        <f>IF(IF(288&lt;=COUNTA(半紙!$B$11:$B$310),INDEX(半紙!$E$11:$E$310,288),IF(288&lt;=COUNTA(半紙!$B$11:$B$310)+COUNTA(条幅!$B$11:$B$310),INDEX(条幅!$E$11:$E$310,288-COUNTA(半紙!$B$11:$B$310)),IF(288&lt;=COUNTA(半紙!$B$11:$B$310)+COUNTA(条幅!$B$11:$B$310)+COUNTA(条幅4分の1!$B$11:$B$310),INDEX(条幅4分の1!$E$11:$E$310,288-COUNTA(半紙!$B$11:$B$310)-COUNTA(条幅!$B$11:$B$310)),"")))=0,"",IF(288&lt;=COUNTA(半紙!$B$11:$B$310),INDEX(半紙!$E$11:$E$310,288),IF(288&lt;=COUNTA(半紙!$B$11:$B$310)+COUNTA(条幅!$B$11:$B$310),INDEX(条幅!$E$11:$E$310,288-COUNTA(半紙!$B$11:$B$310)),IF(288&lt;=COUNTA(半紙!$B$11:$B$310)+COUNTA(条幅!$B$11:$B$310)+COUNTA(条幅4分の1!$B$11:$B$310),INDEX(条幅4分の1!$E$11:$E$310,288-COUNTA(半紙!$B$11:$B$310)-COUNTA(条幅!$B$11:$B$310)),""))))</f>
        <v/>
      </c>
      <c r="F293" s="38" t="str">
        <f>IF(IF(288&lt;=COUNTA(半紙!$B$11:$B$310),INDEX(半紙!$F$11:$F$310,288),IF(288&lt;=COUNTA(半紙!$B$11:$B$310)+COUNTA(条幅!$B$11:$B$310),INDEX(条幅!$F$11:$F$310,288-COUNTA(半紙!$B$11:$B$310)),IF(288&lt;=COUNTA(半紙!$B$11:$B$310)+COUNTA(条幅!$B$11:$B$310)+COUNTA(条幅4分の1!$B$11:$B$310),INDEX(条幅4分の1!$F$11:$F$310,288-COUNTA(半紙!$B$11:$B$310)-COUNTA(条幅!$B$11:$B$310)),"")))=0,"",IF(288&lt;=COUNTA(半紙!$B$11:$B$310),INDEX(半紙!$F$11:$F$310,288),IF(288&lt;=COUNTA(半紙!$B$11:$B$310)+COUNTA(条幅!$B$11:$B$310),INDEX(条幅!$F$11:$F$310,288-COUNTA(半紙!$B$11:$B$310)),IF(288&lt;=COUNTA(半紙!$B$11:$B$310)+COUNTA(条幅!$B$11:$B$310)+COUNTA(条幅4分の1!$B$11:$B$310),INDEX(条幅4分の1!$F$11:$F$310,288-COUNTA(半紙!$B$11:$B$310)-COUNTA(条幅!$B$11:$B$310)),""))))</f>
        <v/>
      </c>
      <c r="G293" s="38" t="str">
        <f>IF(IF(288&lt;=COUNTA(半紙!$B$11:$B$310),INDEX(半紙!$G$11:$G$310,288),IF(288&lt;=COUNTA(半紙!$B$11:$B$310)+COUNTA(条幅!$B$11:$B$310),INDEX(条幅!$G$11:$G$310,288-COUNTA(半紙!$B$11:$B$310)),IF(288&lt;=COUNTA(半紙!$B$11:$B$310)+COUNTA(条幅!$B$11:$B$310)+COUNTA(条幅4分の1!$B$11:$B$310),INDEX(条幅4分の1!$G$11:$G$310,288-COUNTA(半紙!$B$11:$B$310)-COUNTA(条幅!$B$11:$B$310)),"")))=0,"",IF(288&lt;=COUNTA(半紙!$B$11:$B$310),INDEX(半紙!$G$11:$G$310,288),IF(288&lt;=COUNTA(半紙!$B$11:$B$310)+COUNTA(条幅!$B$11:$B$310),INDEX(条幅!$G$11:$G$310,288-COUNTA(半紙!$B$11:$B$310)),IF(288&lt;=COUNTA(半紙!$B$11:$B$310)+COUNTA(条幅!$B$11:$B$310)+COUNTA(条幅4分の1!$B$11:$B$310),INDEX(条幅4分の1!$G$11:$G$310,288-COUNTA(半紙!$B$11:$B$310)-COUNTA(条幅!$B$11:$B$310)),""))))</f>
        <v/>
      </c>
      <c r="H293" s="38" t="str">
        <f>IF(IF(288&lt;=COUNTA(半紙!$B$11:$B$310),INDEX(半紙!$H$11:$H$310,288),IF(288&lt;=COUNTA(半紙!$B$11:$B$310)+COUNTA(条幅!$B$11:$B$310),INDEX(条幅!$H$11:$H$310,288-COUNTA(半紙!$B$11:$B$310)),IF(288&lt;=COUNTA(半紙!$B$11:$B$310)+COUNTA(条幅!$B$11:$B$310)+COUNTA(条幅4分の1!$B$11:$B$310),INDEX(条幅4分の1!$H$11:$H$310,288-COUNTA(半紙!$B$11:$B$310)-COUNTA(条幅!$B$11:$B$310)),"")))=0,"",IF(288&lt;=COUNTA(半紙!$B$11:$B$310),INDEX(半紙!$H$11:$H$310,288),IF(288&lt;=COUNTA(半紙!$B$11:$B$310)+COUNTA(条幅!$B$11:$B$310),INDEX(条幅!$H$11:$H$310,288-COUNTA(半紙!$B$11:$B$310)),IF(288&lt;=COUNTA(半紙!$B$11:$B$310)+COUNTA(条幅!$B$11:$B$310)+COUNTA(条幅4分の1!$B$11:$B$310),INDEX(条幅4分の1!$H$11:$H$310,288-COUNTA(半紙!$B$11:$B$310)-COUNTA(条幅!$B$11:$B$310)),""))))</f>
        <v/>
      </c>
      <c r="I293" s="38" t="str">
        <f>IF(IF(288&lt;=COUNTA(半紙!$B$11:$B$310),INDEX(半紙!$I$11:$I$310,288),IF(288&lt;=COUNTA(半紙!$B$11:$B$310)+COUNTA(条幅!$B$11:$B$310),INDEX(条幅!$I$11:$I$310,288-COUNTA(半紙!$B$11:$B$310)),IF(288&lt;=COUNTA(半紙!$B$11:$B$310)+COUNTA(条幅!$B$11:$B$310)+COUNTA(条幅4分の1!$B$11:$B$310),INDEX(条幅4分の1!$I$11:$I$310,288-COUNTA(半紙!$B$11:$B$310)-COUNTA(条幅!$B$11:$B$310)),"")))=0,"",IF(288&lt;=COUNTA(半紙!$B$11:$B$310),INDEX(半紙!$I$11:$I$310,288),IF(288&lt;=COUNTA(半紙!$B$11:$B$310)+COUNTA(条幅!$B$11:$B$310),INDEX(条幅!$I$11:$I$310,288-COUNTA(半紙!$B$11:$B$310)),IF(288&lt;=COUNTA(半紙!$B$11:$B$310)+COUNTA(条幅!$B$11:$B$310)+COUNTA(条幅4分の1!$B$11:$B$310),INDEX(条幅4分の1!$I$11:$I$310,288-COUNTA(半紙!$B$11:$B$310)-COUNTA(条幅!$B$11:$B$310)),""))))</f>
        <v/>
      </c>
      <c r="J293" s="38" t="str">
        <f>IF(IF(288&lt;=COUNTA(半紙!$B$11:$B$310),INDEX(半紙!$J$11:$J$310,288),IF(288&lt;=COUNTA(半紙!$B$11:$B$310)+COUNTA(条幅!$B$11:$B$310),INDEX(条幅!$J$11:$J$310,288-COUNTA(半紙!$B$11:$B$310)),IF(288&lt;=COUNTA(半紙!$B$11:$B$310)+COUNTA(条幅!$B$11:$B$310)+COUNTA(条幅4分の1!$B$11:$B$310),INDEX(条幅4分の1!$J$11:$J$310,288-COUNTA(半紙!$B$11:$B$310)-COUNTA(条幅!$B$11:$B$310)),"")))=0,"",IF(288&lt;=COUNTA(半紙!$B$11:$B$310),INDEX(半紙!$J$11:$J$310,288),IF(288&lt;=COUNTA(半紙!$B$11:$B$310)+COUNTA(条幅!$B$11:$B$310),INDEX(条幅!$J$11:$J$310,288-COUNTA(半紙!$B$11:$B$310)),IF(288&lt;=COUNTA(半紙!$B$11:$B$310)+COUNTA(条幅!$B$11:$B$310)+COUNTA(条幅4分の1!$B$11:$B$310),INDEX(条幅4分の1!$J$11:$J$310,288-COUNTA(半紙!$B$11:$B$310)-COUNTA(条幅!$B$11:$B$310)),""))))</f>
        <v/>
      </c>
      <c r="K293" s="38" t="str">
        <f>IF(IF(288&lt;=COUNTA(半紙!$B$11:$B$310),INDEX(半紙!$K$11:$K$310,288),IF(288&lt;=COUNTA(半紙!$B$11:$B$310)+COUNTA(条幅!$B$11:$B$310),INDEX(条幅!$K$11:$K$310,288-COUNTA(半紙!$B$11:$B$310)),IF(288&lt;=COUNTA(半紙!$B$11:$B$310)+COUNTA(条幅!$B$11:$B$310)+COUNTA(条幅4分の1!$B$11:$B$310),INDEX(条幅4分の1!$K$11:$K$310,288-COUNTA(半紙!$B$11:$B$310)-COUNTA(条幅!$B$11:$B$310)),"")))=0,"",IF(288&lt;=COUNTA(半紙!$B$11:$B$310),INDEX(半紙!$K$11:$K$310,288),IF(288&lt;=COUNTA(半紙!$B$11:$B$310)+COUNTA(条幅!$B$11:$B$310),INDEX(条幅!$K$11:$K$310,288-COUNTA(半紙!$B$11:$B$310)),IF(288&lt;=COUNTA(半紙!$B$11:$B$310)+COUNTA(条幅!$B$11:$B$310)+COUNTA(条幅4分の1!$B$11:$B$310),INDEX(条幅4分の1!$K$11:$K$310,288-COUNTA(半紙!$B$11:$B$310)-COUNTA(条幅!$B$11:$B$310)),""))))</f>
        <v/>
      </c>
      <c r="L293" s="48" t="str">
        <f>IF($B293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288))</f>
        <v/>
      </c>
    </row>
    <row r="294" spans="1:12" ht="15" customHeight="1">
      <c r="A294" s="37" t="str">
        <f>IF(289&lt;=COUNTA(半紙!$B$11:$B$310),"半紙",IF(289&lt;=COUNTA(半紙!$B$11:$B$310)+COUNTA(条幅!$B$11:$B$310),"条幅(半切)",IF(289&lt;=COUNTA(半紙!$B$11:$B$310)+COUNTA(条幅!$B$11:$B$310)+COUNTA(条幅4分の1!$B$11:$B$310),"条幅(1/4)","")))</f>
        <v/>
      </c>
      <c r="B294" s="38" t="str">
        <f>IF(IF(289&lt;=COUNTA(半紙!$B$11:$B$310),INDEX(半紙!$B$11:$B$310,289),IF(289&lt;=COUNTA(半紙!$B$11:$B$310)+COUNTA(条幅!$B$11:$B$310),INDEX(条幅!$B$11:$B$310,289-COUNTA(半紙!$B$11:$B$310)),IF(289&lt;=COUNTA(半紙!$B$11:$B$310)+COUNTA(条幅!$B$11:$B$310)+COUNTA(条幅4分の1!$B$11:$B$310),INDEX(条幅4分の1!$B$11:$B$310,289-COUNTA(半紙!$B$11:$B$310)-COUNTA(条幅!$B$11:$B$310)),"")))=0,"",IF(289&lt;=COUNTA(半紙!$B$11:$B$310),INDEX(半紙!$B$11:$B$310,289),IF(289&lt;=COUNTA(半紙!$B$11:$B$310)+COUNTA(条幅!$B$11:$B$310),INDEX(条幅!$B$11:$B$310,289-COUNTA(半紙!$B$11:$B$310)),IF(289&lt;=COUNTA(半紙!$B$11:$B$310)+COUNTA(条幅!$B$11:$B$310)+COUNTA(条幅4分の1!$B$11:$B$310),INDEX(条幅4分の1!$B$11:$B$310,289-COUNTA(半紙!$B$11:$B$310)-COUNTA(条幅!$B$11:$B$310)),""))))</f>
        <v/>
      </c>
      <c r="C294" s="38" t="str">
        <f>IF(IF(289&lt;=COUNTA(半紙!$B$11:$B$310),INDEX(半紙!$C$11:$C$310,289),IF(289&lt;=COUNTA(半紙!$B$11:$B$310)+COUNTA(条幅!$B$11:$B$310),INDEX(条幅!$C$11:$C$310,289-COUNTA(半紙!$B$11:$B$310)),IF(289&lt;=COUNTA(半紙!$B$11:$B$310)+COUNTA(条幅!$B$11:$B$310)+COUNTA(条幅4分の1!$B$11:$B$310),INDEX(条幅4分の1!$C$11:$C$310,289-COUNTA(半紙!$B$11:$B$310)-COUNTA(条幅!$B$11:$B$310)),"")))=0,"",IF(289&lt;=COUNTA(半紙!$B$11:$B$310),INDEX(半紙!$C$11:$C$310,289),IF(289&lt;=COUNTA(半紙!$B$11:$B$310)+COUNTA(条幅!$B$11:$B$310),INDEX(条幅!$C$11:$C$310,289-COUNTA(半紙!$B$11:$B$310)),IF(289&lt;=COUNTA(半紙!$B$11:$B$310)+COUNTA(条幅!$B$11:$B$310)+COUNTA(条幅4分の1!$B$11:$B$310),INDEX(条幅4分の1!$C$11:$C$310,289-COUNTA(半紙!$B$11:$B$310)-COUNTA(条幅!$B$11:$B$310)),""))))</f>
        <v/>
      </c>
      <c r="D294" s="38" t="str">
        <f>IF(IF(289&lt;=COUNTA(半紙!$B$11:$B$310),INDEX(半紙!$D$11:$D$310,289),IF(289&lt;=COUNTA(半紙!$B$11:$B$310)+COUNTA(条幅!$B$11:$B$310),INDEX(条幅!$D$11:$D$310,289-COUNTA(半紙!$B$11:$B$310)),IF(289&lt;=COUNTA(半紙!$B$11:$B$310)+COUNTA(条幅!$B$11:$B$310)+COUNTA(条幅4分の1!$B$11:$B$310),INDEX(条幅4分の1!$D$11:$D$310,289-COUNTA(半紙!$B$11:$B$310)-COUNTA(条幅!$B$11:$B$310)),"")))=0,"",IF(289&lt;=COUNTA(半紙!$B$11:$B$310),INDEX(半紙!$D$11:$D$310,289),IF(289&lt;=COUNTA(半紙!$B$11:$B$310)+COUNTA(条幅!$B$11:$B$310),INDEX(条幅!$D$11:$D$310,289-COUNTA(半紙!$B$11:$B$310)),IF(289&lt;=COUNTA(半紙!$B$11:$B$310)+COUNTA(条幅!$B$11:$B$310)+COUNTA(条幅4分の1!$B$11:$B$310),INDEX(条幅4分の1!$D$11:$D$310,289-COUNTA(半紙!$B$11:$B$310)-COUNTA(条幅!$B$11:$B$310)),""))))</f>
        <v/>
      </c>
      <c r="E294" s="38" t="str">
        <f>IF(IF(289&lt;=COUNTA(半紙!$B$11:$B$310),INDEX(半紙!$E$11:$E$310,289),IF(289&lt;=COUNTA(半紙!$B$11:$B$310)+COUNTA(条幅!$B$11:$B$310),INDEX(条幅!$E$11:$E$310,289-COUNTA(半紙!$B$11:$B$310)),IF(289&lt;=COUNTA(半紙!$B$11:$B$310)+COUNTA(条幅!$B$11:$B$310)+COUNTA(条幅4分の1!$B$11:$B$310),INDEX(条幅4分の1!$E$11:$E$310,289-COUNTA(半紙!$B$11:$B$310)-COUNTA(条幅!$B$11:$B$310)),"")))=0,"",IF(289&lt;=COUNTA(半紙!$B$11:$B$310),INDEX(半紙!$E$11:$E$310,289),IF(289&lt;=COUNTA(半紙!$B$11:$B$310)+COUNTA(条幅!$B$11:$B$310),INDEX(条幅!$E$11:$E$310,289-COUNTA(半紙!$B$11:$B$310)),IF(289&lt;=COUNTA(半紙!$B$11:$B$310)+COUNTA(条幅!$B$11:$B$310)+COUNTA(条幅4分の1!$B$11:$B$310),INDEX(条幅4分の1!$E$11:$E$310,289-COUNTA(半紙!$B$11:$B$310)-COUNTA(条幅!$B$11:$B$310)),""))))</f>
        <v/>
      </c>
      <c r="F294" s="38" t="str">
        <f>IF(IF(289&lt;=COUNTA(半紙!$B$11:$B$310),INDEX(半紙!$F$11:$F$310,289),IF(289&lt;=COUNTA(半紙!$B$11:$B$310)+COUNTA(条幅!$B$11:$B$310),INDEX(条幅!$F$11:$F$310,289-COUNTA(半紙!$B$11:$B$310)),IF(289&lt;=COUNTA(半紙!$B$11:$B$310)+COUNTA(条幅!$B$11:$B$310)+COUNTA(条幅4分の1!$B$11:$B$310),INDEX(条幅4分の1!$F$11:$F$310,289-COUNTA(半紙!$B$11:$B$310)-COUNTA(条幅!$B$11:$B$310)),"")))=0,"",IF(289&lt;=COUNTA(半紙!$B$11:$B$310),INDEX(半紙!$F$11:$F$310,289),IF(289&lt;=COUNTA(半紙!$B$11:$B$310)+COUNTA(条幅!$B$11:$B$310),INDEX(条幅!$F$11:$F$310,289-COUNTA(半紙!$B$11:$B$310)),IF(289&lt;=COUNTA(半紙!$B$11:$B$310)+COUNTA(条幅!$B$11:$B$310)+COUNTA(条幅4分の1!$B$11:$B$310),INDEX(条幅4分の1!$F$11:$F$310,289-COUNTA(半紙!$B$11:$B$310)-COUNTA(条幅!$B$11:$B$310)),""))))</f>
        <v/>
      </c>
      <c r="G294" s="38" t="str">
        <f>IF(IF(289&lt;=COUNTA(半紙!$B$11:$B$310),INDEX(半紙!$G$11:$G$310,289),IF(289&lt;=COUNTA(半紙!$B$11:$B$310)+COUNTA(条幅!$B$11:$B$310),INDEX(条幅!$G$11:$G$310,289-COUNTA(半紙!$B$11:$B$310)),IF(289&lt;=COUNTA(半紙!$B$11:$B$310)+COUNTA(条幅!$B$11:$B$310)+COUNTA(条幅4分の1!$B$11:$B$310),INDEX(条幅4分の1!$G$11:$G$310,289-COUNTA(半紙!$B$11:$B$310)-COUNTA(条幅!$B$11:$B$310)),"")))=0,"",IF(289&lt;=COUNTA(半紙!$B$11:$B$310),INDEX(半紙!$G$11:$G$310,289),IF(289&lt;=COUNTA(半紙!$B$11:$B$310)+COUNTA(条幅!$B$11:$B$310),INDEX(条幅!$G$11:$G$310,289-COUNTA(半紙!$B$11:$B$310)),IF(289&lt;=COUNTA(半紙!$B$11:$B$310)+COUNTA(条幅!$B$11:$B$310)+COUNTA(条幅4分の1!$B$11:$B$310),INDEX(条幅4分の1!$G$11:$G$310,289-COUNTA(半紙!$B$11:$B$310)-COUNTA(条幅!$B$11:$B$310)),""))))</f>
        <v/>
      </c>
      <c r="H294" s="38" t="str">
        <f>IF(IF(289&lt;=COUNTA(半紙!$B$11:$B$310),INDEX(半紙!$H$11:$H$310,289),IF(289&lt;=COUNTA(半紙!$B$11:$B$310)+COUNTA(条幅!$B$11:$B$310),INDEX(条幅!$H$11:$H$310,289-COUNTA(半紙!$B$11:$B$310)),IF(289&lt;=COUNTA(半紙!$B$11:$B$310)+COUNTA(条幅!$B$11:$B$310)+COUNTA(条幅4分の1!$B$11:$B$310),INDEX(条幅4分の1!$H$11:$H$310,289-COUNTA(半紙!$B$11:$B$310)-COUNTA(条幅!$B$11:$B$310)),"")))=0,"",IF(289&lt;=COUNTA(半紙!$B$11:$B$310),INDEX(半紙!$H$11:$H$310,289),IF(289&lt;=COUNTA(半紙!$B$11:$B$310)+COUNTA(条幅!$B$11:$B$310),INDEX(条幅!$H$11:$H$310,289-COUNTA(半紙!$B$11:$B$310)),IF(289&lt;=COUNTA(半紙!$B$11:$B$310)+COUNTA(条幅!$B$11:$B$310)+COUNTA(条幅4分の1!$B$11:$B$310),INDEX(条幅4分の1!$H$11:$H$310,289-COUNTA(半紙!$B$11:$B$310)-COUNTA(条幅!$B$11:$B$310)),""))))</f>
        <v/>
      </c>
      <c r="I294" s="38" t="str">
        <f>IF(IF(289&lt;=COUNTA(半紙!$B$11:$B$310),INDEX(半紙!$I$11:$I$310,289),IF(289&lt;=COUNTA(半紙!$B$11:$B$310)+COUNTA(条幅!$B$11:$B$310),INDEX(条幅!$I$11:$I$310,289-COUNTA(半紙!$B$11:$B$310)),IF(289&lt;=COUNTA(半紙!$B$11:$B$310)+COUNTA(条幅!$B$11:$B$310)+COUNTA(条幅4分の1!$B$11:$B$310),INDEX(条幅4分の1!$I$11:$I$310,289-COUNTA(半紙!$B$11:$B$310)-COUNTA(条幅!$B$11:$B$310)),"")))=0,"",IF(289&lt;=COUNTA(半紙!$B$11:$B$310),INDEX(半紙!$I$11:$I$310,289),IF(289&lt;=COUNTA(半紙!$B$11:$B$310)+COUNTA(条幅!$B$11:$B$310),INDEX(条幅!$I$11:$I$310,289-COUNTA(半紙!$B$11:$B$310)),IF(289&lt;=COUNTA(半紙!$B$11:$B$310)+COUNTA(条幅!$B$11:$B$310)+COUNTA(条幅4分の1!$B$11:$B$310),INDEX(条幅4分の1!$I$11:$I$310,289-COUNTA(半紙!$B$11:$B$310)-COUNTA(条幅!$B$11:$B$310)),""))))</f>
        <v/>
      </c>
      <c r="J294" s="38" t="str">
        <f>IF(IF(289&lt;=COUNTA(半紙!$B$11:$B$310),INDEX(半紙!$J$11:$J$310,289),IF(289&lt;=COUNTA(半紙!$B$11:$B$310)+COUNTA(条幅!$B$11:$B$310),INDEX(条幅!$J$11:$J$310,289-COUNTA(半紙!$B$11:$B$310)),IF(289&lt;=COUNTA(半紙!$B$11:$B$310)+COUNTA(条幅!$B$11:$B$310)+COUNTA(条幅4分の1!$B$11:$B$310),INDEX(条幅4分の1!$J$11:$J$310,289-COUNTA(半紙!$B$11:$B$310)-COUNTA(条幅!$B$11:$B$310)),"")))=0,"",IF(289&lt;=COUNTA(半紙!$B$11:$B$310),INDEX(半紙!$J$11:$J$310,289),IF(289&lt;=COUNTA(半紙!$B$11:$B$310)+COUNTA(条幅!$B$11:$B$310),INDEX(条幅!$J$11:$J$310,289-COUNTA(半紙!$B$11:$B$310)),IF(289&lt;=COUNTA(半紙!$B$11:$B$310)+COUNTA(条幅!$B$11:$B$310)+COUNTA(条幅4分の1!$B$11:$B$310),INDEX(条幅4分の1!$J$11:$J$310,289-COUNTA(半紙!$B$11:$B$310)-COUNTA(条幅!$B$11:$B$310)),""))))</f>
        <v/>
      </c>
      <c r="K294" s="38" t="str">
        <f>IF(IF(289&lt;=COUNTA(半紙!$B$11:$B$310),INDEX(半紙!$K$11:$K$310,289),IF(289&lt;=COUNTA(半紙!$B$11:$B$310)+COUNTA(条幅!$B$11:$B$310),INDEX(条幅!$K$11:$K$310,289-COUNTA(半紙!$B$11:$B$310)),IF(289&lt;=COUNTA(半紙!$B$11:$B$310)+COUNTA(条幅!$B$11:$B$310)+COUNTA(条幅4分の1!$B$11:$B$310),INDEX(条幅4分の1!$K$11:$K$310,289-COUNTA(半紙!$B$11:$B$310)-COUNTA(条幅!$B$11:$B$310)),"")))=0,"",IF(289&lt;=COUNTA(半紙!$B$11:$B$310),INDEX(半紙!$K$11:$K$310,289),IF(289&lt;=COUNTA(半紙!$B$11:$B$310)+COUNTA(条幅!$B$11:$B$310),INDEX(条幅!$K$11:$K$310,289-COUNTA(半紙!$B$11:$B$310)),IF(289&lt;=COUNTA(半紙!$B$11:$B$310)+COUNTA(条幅!$B$11:$B$310)+COUNTA(条幅4分の1!$B$11:$B$310),INDEX(条幅4分の1!$K$11:$K$310,289-COUNTA(半紙!$B$11:$B$310)-COUNTA(条幅!$B$11:$B$310)),""))))</f>
        <v/>
      </c>
      <c r="L294" s="48" t="str">
        <f>IF($B294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289))</f>
        <v/>
      </c>
    </row>
    <row r="295" spans="1:12" ht="15" customHeight="1">
      <c r="A295" s="37" t="str">
        <f>IF(290&lt;=COUNTA(半紙!$B$11:$B$310),"半紙",IF(290&lt;=COUNTA(半紙!$B$11:$B$310)+COUNTA(条幅!$B$11:$B$310),"条幅(半切)",IF(290&lt;=COUNTA(半紙!$B$11:$B$310)+COUNTA(条幅!$B$11:$B$310)+COUNTA(条幅4分の1!$B$11:$B$310),"条幅(1/4)","")))</f>
        <v/>
      </c>
      <c r="B295" s="38" t="str">
        <f>IF(IF(290&lt;=COUNTA(半紙!$B$11:$B$310),INDEX(半紙!$B$11:$B$310,290),IF(290&lt;=COUNTA(半紙!$B$11:$B$310)+COUNTA(条幅!$B$11:$B$310),INDEX(条幅!$B$11:$B$310,290-COUNTA(半紙!$B$11:$B$310)),IF(290&lt;=COUNTA(半紙!$B$11:$B$310)+COUNTA(条幅!$B$11:$B$310)+COUNTA(条幅4分の1!$B$11:$B$310),INDEX(条幅4分の1!$B$11:$B$310,290-COUNTA(半紙!$B$11:$B$310)-COUNTA(条幅!$B$11:$B$310)),"")))=0,"",IF(290&lt;=COUNTA(半紙!$B$11:$B$310),INDEX(半紙!$B$11:$B$310,290),IF(290&lt;=COUNTA(半紙!$B$11:$B$310)+COUNTA(条幅!$B$11:$B$310),INDEX(条幅!$B$11:$B$310,290-COUNTA(半紙!$B$11:$B$310)),IF(290&lt;=COUNTA(半紙!$B$11:$B$310)+COUNTA(条幅!$B$11:$B$310)+COUNTA(条幅4分の1!$B$11:$B$310),INDEX(条幅4分の1!$B$11:$B$310,290-COUNTA(半紙!$B$11:$B$310)-COUNTA(条幅!$B$11:$B$310)),""))))</f>
        <v/>
      </c>
      <c r="C295" s="38" t="str">
        <f>IF(IF(290&lt;=COUNTA(半紙!$B$11:$B$310),INDEX(半紙!$C$11:$C$310,290),IF(290&lt;=COUNTA(半紙!$B$11:$B$310)+COUNTA(条幅!$B$11:$B$310),INDEX(条幅!$C$11:$C$310,290-COUNTA(半紙!$B$11:$B$310)),IF(290&lt;=COUNTA(半紙!$B$11:$B$310)+COUNTA(条幅!$B$11:$B$310)+COUNTA(条幅4分の1!$B$11:$B$310),INDEX(条幅4分の1!$C$11:$C$310,290-COUNTA(半紙!$B$11:$B$310)-COUNTA(条幅!$B$11:$B$310)),"")))=0,"",IF(290&lt;=COUNTA(半紙!$B$11:$B$310),INDEX(半紙!$C$11:$C$310,290),IF(290&lt;=COUNTA(半紙!$B$11:$B$310)+COUNTA(条幅!$B$11:$B$310),INDEX(条幅!$C$11:$C$310,290-COUNTA(半紙!$B$11:$B$310)),IF(290&lt;=COUNTA(半紙!$B$11:$B$310)+COUNTA(条幅!$B$11:$B$310)+COUNTA(条幅4分の1!$B$11:$B$310),INDEX(条幅4分の1!$C$11:$C$310,290-COUNTA(半紙!$B$11:$B$310)-COUNTA(条幅!$B$11:$B$310)),""))))</f>
        <v/>
      </c>
      <c r="D295" s="38" t="str">
        <f>IF(IF(290&lt;=COUNTA(半紙!$B$11:$B$310),INDEX(半紙!$D$11:$D$310,290),IF(290&lt;=COUNTA(半紙!$B$11:$B$310)+COUNTA(条幅!$B$11:$B$310),INDEX(条幅!$D$11:$D$310,290-COUNTA(半紙!$B$11:$B$310)),IF(290&lt;=COUNTA(半紙!$B$11:$B$310)+COUNTA(条幅!$B$11:$B$310)+COUNTA(条幅4分の1!$B$11:$B$310),INDEX(条幅4分の1!$D$11:$D$310,290-COUNTA(半紙!$B$11:$B$310)-COUNTA(条幅!$B$11:$B$310)),"")))=0,"",IF(290&lt;=COUNTA(半紙!$B$11:$B$310),INDEX(半紙!$D$11:$D$310,290),IF(290&lt;=COUNTA(半紙!$B$11:$B$310)+COUNTA(条幅!$B$11:$B$310),INDEX(条幅!$D$11:$D$310,290-COUNTA(半紙!$B$11:$B$310)),IF(290&lt;=COUNTA(半紙!$B$11:$B$310)+COUNTA(条幅!$B$11:$B$310)+COUNTA(条幅4分の1!$B$11:$B$310),INDEX(条幅4分の1!$D$11:$D$310,290-COUNTA(半紙!$B$11:$B$310)-COUNTA(条幅!$B$11:$B$310)),""))))</f>
        <v/>
      </c>
      <c r="E295" s="38" t="str">
        <f>IF(IF(290&lt;=COUNTA(半紙!$B$11:$B$310),INDEX(半紙!$E$11:$E$310,290),IF(290&lt;=COUNTA(半紙!$B$11:$B$310)+COUNTA(条幅!$B$11:$B$310),INDEX(条幅!$E$11:$E$310,290-COUNTA(半紙!$B$11:$B$310)),IF(290&lt;=COUNTA(半紙!$B$11:$B$310)+COUNTA(条幅!$B$11:$B$310)+COUNTA(条幅4分の1!$B$11:$B$310),INDEX(条幅4分の1!$E$11:$E$310,290-COUNTA(半紙!$B$11:$B$310)-COUNTA(条幅!$B$11:$B$310)),"")))=0,"",IF(290&lt;=COUNTA(半紙!$B$11:$B$310),INDEX(半紙!$E$11:$E$310,290),IF(290&lt;=COUNTA(半紙!$B$11:$B$310)+COUNTA(条幅!$B$11:$B$310),INDEX(条幅!$E$11:$E$310,290-COUNTA(半紙!$B$11:$B$310)),IF(290&lt;=COUNTA(半紙!$B$11:$B$310)+COUNTA(条幅!$B$11:$B$310)+COUNTA(条幅4分の1!$B$11:$B$310),INDEX(条幅4分の1!$E$11:$E$310,290-COUNTA(半紙!$B$11:$B$310)-COUNTA(条幅!$B$11:$B$310)),""))))</f>
        <v/>
      </c>
      <c r="F295" s="38" t="str">
        <f>IF(IF(290&lt;=COUNTA(半紙!$B$11:$B$310),INDEX(半紙!$F$11:$F$310,290),IF(290&lt;=COUNTA(半紙!$B$11:$B$310)+COUNTA(条幅!$B$11:$B$310),INDEX(条幅!$F$11:$F$310,290-COUNTA(半紙!$B$11:$B$310)),IF(290&lt;=COUNTA(半紙!$B$11:$B$310)+COUNTA(条幅!$B$11:$B$310)+COUNTA(条幅4分の1!$B$11:$B$310),INDEX(条幅4分の1!$F$11:$F$310,290-COUNTA(半紙!$B$11:$B$310)-COUNTA(条幅!$B$11:$B$310)),"")))=0,"",IF(290&lt;=COUNTA(半紙!$B$11:$B$310),INDEX(半紙!$F$11:$F$310,290),IF(290&lt;=COUNTA(半紙!$B$11:$B$310)+COUNTA(条幅!$B$11:$B$310),INDEX(条幅!$F$11:$F$310,290-COUNTA(半紙!$B$11:$B$310)),IF(290&lt;=COUNTA(半紙!$B$11:$B$310)+COUNTA(条幅!$B$11:$B$310)+COUNTA(条幅4分の1!$B$11:$B$310),INDEX(条幅4分の1!$F$11:$F$310,290-COUNTA(半紙!$B$11:$B$310)-COUNTA(条幅!$B$11:$B$310)),""))))</f>
        <v/>
      </c>
      <c r="G295" s="38" t="str">
        <f>IF(IF(290&lt;=COUNTA(半紙!$B$11:$B$310),INDEX(半紙!$G$11:$G$310,290),IF(290&lt;=COUNTA(半紙!$B$11:$B$310)+COUNTA(条幅!$B$11:$B$310),INDEX(条幅!$G$11:$G$310,290-COUNTA(半紙!$B$11:$B$310)),IF(290&lt;=COUNTA(半紙!$B$11:$B$310)+COUNTA(条幅!$B$11:$B$310)+COUNTA(条幅4分の1!$B$11:$B$310),INDEX(条幅4分の1!$G$11:$G$310,290-COUNTA(半紙!$B$11:$B$310)-COUNTA(条幅!$B$11:$B$310)),"")))=0,"",IF(290&lt;=COUNTA(半紙!$B$11:$B$310),INDEX(半紙!$G$11:$G$310,290),IF(290&lt;=COUNTA(半紙!$B$11:$B$310)+COUNTA(条幅!$B$11:$B$310),INDEX(条幅!$G$11:$G$310,290-COUNTA(半紙!$B$11:$B$310)),IF(290&lt;=COUNTA(半紙!$B$11:$B$310)+COUNTA(条幅!$B$11:$B$310)+COUNTA(条幅4分の1!$B$11:$B$310),INDEX(条幅4分の1!$G$11:$G$310,290-COUNTA(半紙!$B$11:$B$310)-COUNTA(条幅!$B$11:$B$310)),""))))</f>
        <v/>
      </c>
      <c r="H295" s="38" t="str">
        <f>IF(IF(290&lt;=COUNTA(半紙!$B$11:$B$310),INDEX(半紙!$H$11:$H$310,290),IF(290&lt;=COUNTA(半紙!$B$11:$B$310)+COUNTA(条幅!$B$11:$B$310),INDEX(条幅!$H$11:$H$310,290-COUNTA(半紙!$B$11:$B$310)),IF(290&lt;=COUNTA(半紙!$B$11:$B$310)+COUNTA(条幅!$B$11:$B$310)+COUNTA(条幅4分の1!$B$11:$B$310),INDEX(条幅4分の1!$H$11:$H$310,290-COUNTA(半紙!$B$11:$B$310)-COUNTA(条幅!$B$11:$B$310)),"")))=0,"",IF(290&lt;=COUNTA(半紙!$B$11:$B$310),INDEX(半紙!$H$11:$H$310,290),IF(290&lt;=COUNTA(半紙!$B$11:$B$310)+COUNTA(条幅!$B$11:$B$310),INDEX(条幅!$H$11:$H$310,290-COUNTA(半紙!$B$11:$B$310)),IF(290&lt;=COUNTA(半紙!$B$11:$B$310)+COUNTA(条幅!$B$11:$B$310)+COUNTA(条幅4分の1!$B$11:$B$310),INDEX(条幅4分の1!$H$11:$H$310,290-COUNTA(半紙!$B$11:$B$310)-COUNTA(条幅!$B$11:$B$310)),""))))</f>
        <v/>
      </c>
      <c r="I295" s="38" t="str">
        <f>IF(IF(290&lt;=COUNTA(半紙!$B$11:$B$310),INDEX(半紙!$I$11:$I$310,290),IF(290&lt;=COUNTA(半紙!$B$11:$B$310)+COUNTA(条幅!$B$11:$B$310),INDEX(条幅!$I$11:$I$310,290-COUNTA(半紙!$B$11:$B$310)),IF(290&lt;=COUNTA(半紙!$B$11:$B$310)+COUNTA(条幅!$B$11:$B$310)+COUNTA(条幅4分の1!$B$11:$B$310),INDEX(条幅4分の1!$I$11:$I$310,290-COUNTA(半紙!$B$11:$B$310)-COUNTA(条幅!$B$11:$B$310)),"")))=0,"",IF(290&lt;=COUNTA(半紙!$B$11:$B$310),INDEX(半紙!$I$11:$I$310,290),IF(290&lt;=COUNTA(半紙!$B$11:$B$310)+COUNTA(条幅!$B$11:$B$310),INDEX(条幅!$I$11:$I$310,290-COUNTA(半紙!$B$11:$B$310)),IF(290&lt;=COUNTA(半紙!$B$11:$B$310)+COUNTA(条幅!$B$11:$B$310)+COUNTA(条幅4分の1!$B$11:$B$310),INDEX(条幅4分の1!$I$11:$I$310,290-COUNTA(半紙!$B$11:$B$310)-COUNTA(条幅!$B$11:$B$310)),""))))</f>
        <v/>
      </c>
      <c r="J295" s="38" t="str">
        <f>IF(IF(290&lt;=COUNTA(半紙!$B$11:$B$310),INDEX(半紙!$J$11:$J$310,290),IF(290&lt;=COUNTA(半紙!$B$11:$B$310)+COUNTA(条幅!$B$11:$B$310),INDEX(条幅!$J$11:$J$310,290-COUNTA(半紙!$B$11:$B$310)),IF(290&lt;=COUNTA(半紙!$B$11:$B$310)+COUNTA(条幅!$B$11:$B$310)+COUNTA(条幅4分の1!$B$11:$B$310),INDEX(条幅4分の1!$J$11:$J$310,290-COUNTA(半紙!$B$11:$B$310)-COUNTA(条幅!$B$11:$B$310)),"")))=0,"",IF(290&lt;=COUNTA(半紙!$B$11:$B$310),INDEX(半紙!$J$11:$J$310,290),IF(290&lt;=COUNTA(半紙!$B$11:$B$310)+COUNTA(条幅!$B$11:$B$310),INDEX(条幅!$J$11:$J$310,290-COUNTA(半紙!$B$11:$B$310)),IF(290&lt;=COUNTA(半紙!$B$11:$B$310)+COUNTA(条幅!$B$11:$B$310)+COUNTA(条幅4分の1!$B$11:$B$310),INDEX(条幅4分の1!$J$11:$J$310,290-COUNTA(半紙!$B$11:$B$310)-COUNTA(条幅!$B$11:$B$310)),""))))</f>
        <v/>
      </c>
      <c r="K295" s="38" t="str">
        <f>IF(IF(290&lt;=COUNTA(半紙!$B$11:$B$310),INDEX(半紙!$K$11:$K$310,290),IF(290&lt;=COUNTA(半紙!$B$11:$B$310)+COUNTA(条幅!$B$11:$B$310),INDEX(条幅!$K$11:$K$310,290-COUNTA(半紙!$B$11:$B$310)),IF(290&lt;=COUNTA(半紙!$B$11:$B$310)+COUNTA(条幅!$B$11:$B$310)+COUNTA(条幅4分の1!$B$11:$B$310),INDEX(条幅4分の1!$K$11:$K$310,290-COUNTA(半紙!$B$11:$B$310)-COUNTA(条幅!$B$11:$B$310)),"")))=0,"",IF(290&lt;=COUNTA(半紙!$B$11:$B$310),INDEX(半紙!$K$11:$K$310,290),IF(290&lt;=COUNTA(半紙!$B$11:$B$310)+COUNTA(条幅!$B$11:$B$310),INDEX(条幅!$K$11:$K$310,290-COUNTA(半紙!$B$11:$B$310)),IF(290&lt;=COUNTA(半紙!$B$11:$B$310)+COUNTA(条幅!$B$11:$B$310)+COUNTA(条幅4分の1!$B$11:$B$310),INDEX(条幅4分の1!$K$11:$K$310,290-COUNTA(半紙!$B$11:$B$310)-COUNTA(条幅!$B$11:$B$310)),""))))</f>
        <v/>
      </c>
      <c r="L295" s="48" t="str">
        <f>IF($B295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290))</f>
        <v/>
      </c>
    </row>
    <row r="296" spans="1:12" ht="15" customHeight="1">
      <c r="A296" s="37" t="str">
        <f>IF(291&lt;=COUNTA(半紙!$B$11:$B$310),"半紙",IF(291&lt;=COUNTA(半紙!$B$11:$B$310)+COUNTA(条幅!$B$11:$B$310),"条幅(半切)",IF(291&lt;=COUNTA(半紙!$B$11:$B$310)+COUNTA(条幅!$B$11:$B$310)+COUNTA(条幅4分の1!$B$11:$B$310),"条幅(1/4)","")))</f>
        <v/>
      </c>
      <c r="B296" s="38" t="str">
        <f>IF(IF(291&lt;=COUNTA(半紙!$B$11:$B$310),INDEX(半紙!$B$11:$B$310,291),IF(291&lt;=COUNTA(半紙!$B$11:$B$310)+COUNTA(条幅!$B$11:$B$310),INDEX(条幅!$B$11:$B$310,291-COUNTA(半紙!$B$11:$B$310)),IF(291&lt;=COUNTA(半紙!$B$11:$B$310)+COUNTA(条幅!$B$11:$B$310)+COUNTA(条幅4分の1!$B$11:$B$310),INDEX(条幅4分の1!$B$11:$B$310,291-COUNTA(半紙!$B$11:$B$310)-COUNTA(条幅!$B$11:$B$310)),"")))=0,"",IF(291&lt;=COUNTA(半紙!$B$11:$B$310),INDEX(半紙!$B$11:$B$310,291),IF(291&lt;=COUNTA(半紙!$B$11:$B$310)+COUNTA(条幅!$B$11:$B$310),INDEX(条幅!$B$11:$B$310,291-COUNTA(半紙!$B$11:$B$310)),IF(291&lt;=COUNTA(半紙!$B$11:$B$310)+COUNTA(条幅!$B$11:$B$310)+COUNTA(条幅4分の1!$B$11:$B$310),INDEX(条幅4分の1!$B$11:$B$310,291-COUNTA(半紙!$B$11:$B$310)-COUNTA(条幅!$B$11:$B$310)),""))))</f>
        <v/>
      </c>
      <c r="C296" s="38" t="str">
        <f>IF(IF(291&lt;=COUNTA(半紙!$B$11:$B$310),INDEX(半紙!$C$11:$C$310,291),IF(291&lt;=COUNTA(半紙!$B$11:$B$310)+COUNTA(条幅!$B$11:$B$310),INDEX(条幅!$C$11:$C$310,291-COUNTA(半紙!$B$11:$B$310)),IF(291&lt;=COUNTA(半紙!$B$11:$B$310)+COUNTA(条幅!$B$11:$B$310)+COUNTA(条幅4分の1!$B$11:$B$310),INDEX(条幅4分の1!$C$11:$C$310,291-COUNTA(半紙!$B$11:$B$310)-COUNTA(条幅!$B$11:$B$310)),"")))=0,"",IF(291&lt;=COUNTA(半紙!$B$11:$B$310),INDEX(半紙!$C$11:$C$310,291),IF(291&lt;=COUNTA(半紙!$B$11:$B$310)+COUNTA(条幅!$B$11:$B$310),INDEX(条幅!$C$11:$C$310,291-COUNTA(半紙!$B$11:$B$310)),IF(291&lt;=COUNTA(半紙!$B$11:$B$310)+COUNTA(条幅!$B$11:$B$310)+COUNTA(条幅4分の1!$B$11:$B$310),INDEX(条幅4分の1!$C$11:$C$310,291-COUNTA(半紙!$B$11:$B$310)-COUNTA(条幅!$B$11:$B$310)),""))))</f>
        <v/>
      </c>
      <c r="D296" s="38" t="str">
        <f>IF(IF(291&lt;=COUNTA(半紙!$B$11:$B$310),INDEX(半紙!$D$11:$D$310,291),IF(291&lt;=COUNTA(半紙!$B$11:$B$310)+COUNTA(条幅!$B$11:$B$310),INDEX(条幅!$D$11:$D$310,291-COUNTA(半紙!$B$11:$B$310)),IF(291&lt;=COUNTA(半紙!$B$11:$B$310)+COUNTA(条幅!$B$11:$B$310)+COUNTA(条幅4分の1!$B$11:$B$310),INDEX(条幅4分の1!$D$11:$D$310,291-COUNTA(半紙!$B$11:$B$310)-COUNTA(条幅!$B$11:$B$310)),"")))=0,"",IF(291&lt;=COUNTA(半紙!$B$11:$B$310),INDEX(半紙!$D$11:$D$310,291),IF(291&lt;=COUNTA(半紙!$B$11:$B$310)+COUNTA(条幅!$B$11:$B$310),INDEX(条幅!$D$11:$D$310,291-COUNTA(半紙!$B$11:$B$310)),IF(291&lt;=COUNTA(半紙!$B$11:$B$310)+COUNTA(条幅!$B$11:$B$310)+COUNTA(条幅4分の1!$B$11:$B$310),INDEX(条幅4分の1!$D$11:$D$310,291-COUNTA(半紙!$B$11:$B$310)-COUNTA(条幅!$B$11:$B$310)),""))))</f>
        <v/>
      </c>
      <c r="E296" s="38" t="str">
        <f>IF(IF(291&lt;=COUNTA(半紙!$B$11:$B$310),INDEX(半紙!$E$11:$E$310,291),IF(291&lt;=COUNTA(半紙!$B$11:$B$310)+COUNTA(条幅!$B$11:$B$310),INDEX(条幅!$E$11:$E$310,291-COUNTA(半紙!$B$11:$B$310)),IF(291&lt;=COUNTA(半紙!$B$11:$B$310)+COUNTA(条幅!$B$11:$B$310)+COUNTA(条幅4分の1!$B$11:$B$310),INDEX(条幅4分の1!$E$11:$E$310,291-COUNTA(半紙!$B$11:$B$310)-COUNTA(条幅!$B$11:$B$310)),"")))=0,"",IF(291&lt;=COUNTA(半紙!$B$11:$B$310),INDEX(半紙!$E$11:$E$310,291),IF(291&lt;=COUNTA(半紙!$B$11:$B$310)+COUNTA(条幅!$B$11:$B$310),INDEX(条幅!$E$11:$E$310,291-COUNTA(半紙!$B$11:$B$310)),IF(291&lt;=COUNTA(半紙!$B$11:$B$310)+COUNTA(条幅!$B$11:$B$310)+COUNTA(条幅4分の1!$B$11:$B$310),INDEX(条幅4分の1!$E$11:$E$310,291-COUNTA(半紙!$B$11:$B$310)-COUNTA(条幅!$B$11:$B$310)),""))))</f>
        <v/>
      </c>
      <c r="F296" s="38" t="str">
        <f>IF(IF(291&lt;=COUNTA(半紙!$B$11:$B$310),INDEX(半紙!$F$11:$F$310,291),IF(291&lt;=COUNTA(半紙!$B$11:$B$310)+COUNTA(条幅!$B$11:$B$310),INDEX(条幅!$F$11:$F$310,291-COUNTA(半紙!$B$11:$B$310)),IF(291&lt;=COUNTA(半紙!$B$11:$B$310)+COUNTA(条幅!$B$11:$B$310)+COUNTA(条幅4分の1!$B$11:$B$310),INDEX(条幅4分の1!$F$11:$F$310,291-COUNTA(半紙!$B$11:$B$310)-COUNTA(条幅!$B$11:$B$310)),"")))=0,"",IF(291&lt;=COUNTA(半紙!$B$11:$B$310),INDEX(半紙!$F$11:$F$310,291),IF(291&lt;=COUNTA(半紙!$B$11:$B$310)+COUNTA(条幅!$B$11:$B$310),INDEX(条幅!$F$11:$F$310,291-COUNTA(半紙!$B$11:$B$310)),IF(291&lt;=COUNTA(半紙!$B$11:$B$310)+COUNTA(条幅!$B$11:$B$310)+COUNTA(条幅4分の1!$B$11:$B$310),INDEX(条幅4分の1!$F$11:$F$310,291-COUNTA(半紙!$B$11:$B$310)-COUNTA(条幅!$B$11:$B$310)),""))))</f>
        <v/>
      </c>
      <c r="G296" s="38" t="str">
        <f>IF(IF(291&lt;=COUNTA(半紙!$B$11:$B$310),INDEX(半紙!$G$11:$G$310,291),IF(291&lt;=COUNTA(半紙!$B$11:$B$310)+COUNTA(条幅!$B$11:$B$310),INDEX(条幅!$G$11:$G$310,291-COUNTA(半紙!$B$11:$B$310)),IF(291&lt;=COUNTA(半紙!$B$11:$B$310)+COUNTA(条幅!$B$11:$B$310)+COUNTA(条幅4分の1!$B$11:$B$310),INDEX(条幅4分の1!$G$11:$G$310,291-COUNTA(半紙!$B$11:$B$310)-COUNTA(条幅!$B$11:$B$310)),"")))=0,"",IF(291&lt;=COUNTA(半紙!$B$11:$B$310),INDEX(半紙!$G$11:$G$310,291),IF(291&lt;=COUNTA(半紙!$B$11:$B$310)+COUNTA(条幅!$B$11:$B$310),INDEX(条幅!$G$11:$G$310,291-COUNTA(半紙!$B$11:$B$310)),IF(291&lt;=COUNTA(半紙!$B$11:$B$310)+COUNTA(条幅!$B$11:$B$310)+COUNTA(条幅4分の1!$B$11:$B$310),INDEX(条幅4分の1!$G$11:$G$310,291-COUNTA(半紙!$B$11:$B$310)-COUNTA(条幅!$B$11:$B$310)),""))))</f>
        <v/>
      </c>
      <c r="H296" s="38" t="str">
        <f>IF(IF(291&lt;=COUNTA(半紙!$B$11:$B$310),INDEX(半紙!$H$11:$H$310,291),IF(291&lt;=COUNTA(半紙!$B$11:$B$310)+COUNTA(条幅!$B$11:$B$310),INDEX(条幅!$H$11:$H$310,291-COUNTA(半紙!$B$11:$B$310)),IF(291&lt;=COUNTA(半紙!$B$11:$B$310)+COUNTA(条幅!$B$11:$B$310)+COUNTA(条幅4分の1!$B$11:$B$310),INDEX(条幅4分の1!$H$11:$H$310,291-COUNTA(半紙!$B$11:$B$310)-COUNTA(条幅!$B$11:$B$310)),"")))=0,"",IF(291&lt;=COUNTA(半紙!$B$11:$B$310),INDEX(半紙!$H$11:$H$310,291),IF(291&lt;=COUNTA(半紙!$B$11:$B$310)+COUNTA(条幅!$B$11:$B$310),INDEX(条幅!$H$11:$H$310,291-COUNTA(半紙!$B$11:$B$310)),IF(291&lt;=COUNTA(半紙!$B$11:$B$310)+COUNTA(条幅!$B$11:$B$310)+COUNTA(条幅4分の1!$B$11:$B$310),INDEX(条幅4分の1!$H$11:$H$310,291-COUNTA(半紙!$B$11:$B$310)-COUNTA(条幅!$B$11:$B$310)),""))))</f>
        <v/>
      </c>
      <c r="I296" s="38" t="str">
        <f>IF(IF(291&lt;=COUNTA(半紙!$B$11:$B$310),INDEX(半紙!$I$11:$I$310,291),IF(291&lt;=COUNTA(半紙!$B$11:$B$310)+COUNTA(条幅!$B$11:$B$310),INDEX(条幅!$I$11:$I$310,291-COUNTA(半紙!$B$11:$B$310)),IF(291&lt;=COUNTA(半紙!$B$11:$B$310)+COUNTA(条幅!$B$11:$B$310)+COUNTA(条幅4分の1!$B$11:$B$310),INDEX(条幅4分の1!$I$11:$I$310,291-COUNTA(半紙!$B$11:$B$310)-COUNTA(条幅!$B$11:$B$310)),"")))=0,"",IF(291&lt;=COUNTA(半紙!$B$11:$B$310),INDEX(半紙!$I$11:$I$310,291),IF(291&lt;=COUNTA(半紙!$B$11:$B$310)+COUNTA(条幅!$B$11:$B$310),INDEX(条幅!$I$11:$I$310,291-COUNTA(半紙!$B$11:$B$310)),IF(291&lt;=COUNTA(半紙!$B$11:$B$310)+COUNTA(条幅!$B$11:$B$310)+COUNTA(条幅4分の1!$B$11:$B$310),INDEX(条幅4分の1!$I$11:$I$310,291-COUNTA(半紙!$B$11:$B$310)-COUNTA(条幅!$B$11:$B$310)),""))))</f>
        <v/>
      </c>
      <c r="J296" s="38" t="str">
        <f>IF(IF(291&lt;=COUNTA(半紙!$B$11:$B$310),INDEX(半紙!$J$11:$J$310,291),IF(291&lt;=COUNTA(半紙!$B$11:$B$310)+COUNTA(条幅!$B$11:$B$310),INDEX(条幅!$J$11:$J$310,291-COUNTA(半紙!$B$11:$B$310)),IF(291&lt;=COUNTA(半紙!$B$11:$B$310)+COUNTA(条幅!$B$11:$B$310)+COUNTA(条幅4分の1!$B$11:$B$310),INDEX(条幅4分の1!$J$11:$J$310,291-COUNTA(半紙!$B$11:$B$310)-COUNTA(条幅!$B$11:$B$310)),"")))=0,"",IF(291&lt;=COUNTA(半紙!$B$11:$B$310),INDEX(半紙!$J$11:$J$310,291),IF(291&lt;=COUNTA(半紙!$B$11:$B$310)+COUNTA(条幅!$B$11:$B$310),INDEX(条幅!$J$11:$J$310,291-COUNTA(半紙!$B$11:$B$310)),IF(291&lt;=COUNTA(半紙!$B$11:$B$310)+COUNTA(条幅!$B$11:$B$310)+COUNTA(条幅4分の1!$B$11:$B$310),INDEX(条幅4分の1!$J$11:$J$310,291-COUNTA(半紙!$B$11:$B$310)-COUNTA(条幅!$B$11:$B$310)),""))))</f>
        <v/>
      </c>
      <c r="K296" s="38" t="str">
        <f>IF(IF(291&lt;=COUNTA(半紙!$B$11:$B$310),INDEX(半紙!$K$11:$K$310,291),IF(291&lt;=COUNTA(半紙!$B$11:$B$310)+COUNTA(条幅!$B$11:$B$310),INDEX(条幅!$K$11:$K$310,291-COUNTA(半紙!$B$11:$B$310)),IF(291&lt;=COUNTA(半紙!$B$11:$B$310)+COUNTA(条幅!$B$11:$B$310)+COUNTA(条幅4分の1!$B$11:$B$310),INDEX(条幅4分の1!$K$11:$K$310,291-COUNTA(半紙!$B$11:$B$310)-COUNTA(条幅!$B$11:$B$310)),"")))=0,"",IF(291&lt;=COUNTA(半紙!$B$11:$B$310),INDEX(半紙!$K$11:$K$310,291),IF(291&lt;=COUNTA(半紙!$B$11:$B$310)+COUNTA(条幅!$B$11:$B$310),INDEX(条幅!$K$11:$K$310,291-COUNTA(半紙!$B$11:$B$310)),IF(291&lt;=COUNTA(半紙!$B$11:$B$310)+COUNTA(条幅!$B$11:$B$310)+COUNTA(条幅4分の1!$B$11:$B$310),INDEX(条幅4分の1!$K$11:$K$310,291-COUNTA(半紙!$B$11:$B$310)-COUNTA(条幅!$B$11:$B$310)),""))))</f>
        <v/>
      </c>
      <c r="L296" s="48" t="str">
        <f>IF($B296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291))</f>
        <v/>
      </c>
    </row>
    <row r="297" spans="1:12" ht="15" customHeight="1">
      <c r="A297" s="37" t="str">
        <f>IF(292&lt;=COUNTA(半紙!$B$11:$B$310),"半紙",IF(292&lt;=COUNTA(半紙!$B$11:$B$310)+COUNTA(条幅!$B$11:$B$310),"条幅(半切)",IF(292&lt;=COUNTA(半紙!$B$11:$B$310)+COUNTA(条幅!$B$11:$B$310)+COUNTA(条幅4分の1!$B$11:$B$310),"条幅(1/4)","")))</f>
        <v/>
      </c>
      <c r="B297" s="38" t="str">
        <f>IF(IF(292&lt;=COUNTA(半紙!$B$11:$B$310),INDEX(半紙!$B$11:$B$310,292),IF(292&lt;=COUNTA(半紙!$B$11:$B$310)+COUNTA(条幅!$B$11:$B$310),INDEX(条幅!$B$11:$B$310,292-COUNTA(半紙!$B$11:$B$310)),IF(292&lt;=COUNTA(半紙!$B$11:$B$310)+COUNTA(条幅!$B$11:$B$310)+COUNTA(条幅4分の1!$B$11:$B$310),INDEX(条幅4分の1!$B$11:$B$310,292-COUNTA(半紙!$B$11:$B$310)-COUNTA(条幅!$B$11:$B$310)),"")))=0,"",IF(292&lt;=COUNTA(半紙!$B$11:$B$310),INDEX(半紙!$B$11:$B$310,292),IF(292&lt;=COUNTA(半紙!$B$11:$B$310)+COUNTA(条幅!$B$11:$B$310),INDEX(条幅!$B$11:$B$310,292-COUNTA(半紙!$B$11:$B$310)),IF(292&lt;=COUNTA(半紙!$B$11:$B$310)+COUNTA(条幅!$B$11:$B$310)+COUNTA(条幅4分の1!$B$11:$B$310),INDEX(条幅4分の1!$B$11:$B$310,292-COUNTA(半紙!$B$11:$B$310)-COUNTA(条幅!$B$11:$B$310)),""))))</f>
        <v/>
      </c>
      <c r="C297" s="38" t="str">
        <f>IF(IF(292&lt;=COUNTA(半紙!$B$11:$B$310),INDEX(半紙!$C$11:$C$310,292),IF(292&lt;=COUNTA(半紙!$B$11:$B$310)+COUNTA(条幅!$B$11:$B$310),INDEX(条幅!$C$11:$C$310,292-COUNTA(半紙!$B$11:$B$310)),IF(292&lt;=COUNTA(半紙!$B$11:$B$310)+COUNTA(条幅!$B$11:$B$310)+COUNTA(条幅4分の1!$B$11:$B$310),INDEX(条幅4分の1!$C$11:$C$310,292-COUNTA(半紙!$B$11:$B$310)-COUNTA(条幅!$B$11:$B$310)),"")))=0,"",IF(292&lt;=COUNTA(半紙!$B$11:$B$310),INDEX(半紙!$C$11:$C$310,292),IF(292&lt;=COUNTA(半紙!$B$11:$B$310)+COUNTA(条幅!$B$11:$B$310),INDEX(条幅!$C$11:$C$310,292-COUNTA(半紙!$B$11:$B$310)),IF(292&lt;=COUNTA(半紙!$B$11:$B$310)+COUNTA(条幅!$B$11:$B$310)+COUNTA(条幅4分の1!$B$11:$B$310),INDEX(条幅4分の1!$C$11:$C$310,292-COUNTA(半紙!$B$11:$B$310)-COUNTA(条幅!$B$11:$B$310)),""))))</f>
        <v/>
      </c>
      <c r="D297" s="38" t="str">
        <f>IF(IF(292&lt;=COUNTA(半紙!$B$11:$B$310),INDEX(半紙!$D$11:$D$310,292),IF(292&lt;=COUNTA(半紙!$B$11:$B$310)+COUNTA(条幅!$B$11:$B$310),INDEX(条幅!$D$11:$D$310,292-COUNTA(半紙!$B$11:$B$310)),IF(292&lt;=COUNTA(半紙!$B$11:$B$310)+COUNTA(条幅!$B$11:$B$310)+COUNTA(条幅4分の1!$B$11:$B$310),INDEX(条幅4分の1!$D$11:$D$310,292-COUNTA(半紙!$B$11:$B$310)-COUNTA(条幅!$B$11:$B$310)),"")))=0,"",IF(292&lt;=COUNTA(半紙!$B$11:$B$310),INDEX(半紙!$D$11:$D$310,292),IF(292&lt;=COUNTA(半紙!$B$11:$B$310)+COUNTA(条幅!$B$11:$B$310),INDEX(条幅!$D$11:$D$310,292-COUNTA(半紙!$B$11:$B$310)),IF(292&lt;=COUNTA(半紙!$B$11:$B$310)+COUNTA(条幅!$B$11:$B$310)+COUNTA(条幅4分の1!$B$11:$B$310),INDEX(条幅4分の1!$D$11:$D$310,292-COUNTA(半紙!$B$11:$B$310)-COUNTA(条幅!$B$11:$B$310)),""))))</f>
        <v/>
      </c>
      <c r="E297" s="38" t="str">
        <f>IF(IF(292&lt;=COUNTA(半紙!$B$11:$B$310),INDEX(半紙!$E$11:$E$310,292),IF(292&lt;=COUNTA(半紙!$B$11:$B$310)+COUNTA(条幅!$B$11:$B$310),INDEX(条幅!$E$11:$E$310,292-COUNTA(半紙!$B$11:$B$310)),IF(292&lt;=COUNTA(半紙!$B$11:$B$310)+COUNTA(条幅!$B$11:$B$310)+COUNTA(条幅4分の1!$B$11:$B$310),INDEX(条幅4分の1!$E$11:$E$310,292-COUNTA(半紙!$B$11:$B$310)-COUNTA(条幅!$B$11:$B$310)),"")))=0,"",IF(292&lt;=COUNTA(半紙!$B$11:$B$310),INDEX(半紙!$E$11:$E$310,292),IF(292&lt;=COUNTA(半紙!$B$11:$B$310)+COUNTA(条幅!$B$11:$B$310),INDEX(条幅!$E$11:$E$310,292-COUNTA(半紙!$B$11:$B$310)),IF(292&lt;=COUNTA(半紙!$B$11:$B$310)+COUNTA(条幅!$B$11:$B$310)+COUNTA(条幅4分の1!$B$11:$B$310),INDEX(条幅4分の1!$E$11:$E$310,292-COUNTA(半紙!$B$11:$B$310)-COUNTA(条幅!$B$11:$B$310)),""))))</f>
        <v/>
      </c>
      <c r="F297" s="38" t="str">
        <f>IF(IF(292&lt;=COUNTA(半紙!$B$11:$B$310),INDEX(半紙!$F$11:$F$310,292),IF(292&lt;=COUNTA(半紙!$B$11:$B$310)+COUNTA(条幅!$B$11:$B$310),INDEX(条幅!$F$11:$F$310,292-COUNTA(半紙!$B$11:$B$310)),IF(292&lt;=COUNTA(半紙!$B$11:$B$310)+COUNTA(条幅!$B$11:$B$310)+COUNTA(条幅4分の1!$B$11:$B$310),INDEX(条幅4分の1!$F$11:$F$310,292-COUNTA(半紙!$B$11:$B$310)-COUNTA(条幅!$B$11:$B$310)),"")))=0,"",IF(292&lt;=COUNTA(半紙!$B$11:$B$310),INDEX(半紙!$F$11:$F$310,292),IF(292&lt;=COUNTA(半紙!$B$11:$B$310)+COUNTA(条幅!$B$11:$B$310),INDEX(条幅!$F$11:$F$310,292-COUNTA(半紙!$B$11:$B$310)),IF(292&lt;=COUNTA(半紙!$B$11:$B$310)+COUNTA(条幅!$B$11:$B$310)+COUNTA(条幅4分の1!$B$11:$B$310),INDEX(条幅4分の1!$F$11:$F$310,292-COUNTA(半紙!$B$11:$B$310)-COUNTA(条幅!$B$11:$B$310)),""))))</f>
        <v/>
      </c>
      <c r="G297" s="38" t="str">
        <f>IF(IF(292&lt;=COUNTA(半紙!$B$11:$B$310),INDEX(半紙!$G$11:$G$310,292),IF(292&lt;=COUNTA(半紙!$B$11:$B$310)+COUNTA(条幅!$B$11:$B$310),INDEX(条幅!$G$11:$G$310,292-COUNTA(半紙!$B$11:$B$310)),IF(292&lt;=COUNTA(半紙!$B$11:$B$310)+COUNTA(条幅!$B$11:$B$310)+COUNTA(条幅4分の1!$B$11:$B$310),INDEX(条幅4分の1!$G$11:$G$310,292-COUNTA(半紙!$B$11:$B$310)-COUNTA(条幅!$B$11:$B$310)),"")))=0,"",IF(292&lt;=COUNTA(半紙!$B$11:$B$310),INDEX(半紙!$G$11:$G$310,292),IF(292&lt;=COUNTA(半紙!$B$11:$B$310)+COUNTA(条幅!$B$11:$B$310),INDEX(条幅!$G$11:$G$310,292-COUNTA(半紙!$B$11:$B$310)),IF(292&lt;=COUNTA(半紙!$B$11:$B$310)+COUNTA(条幅!$B$11:$B$310)+COUNTA(条幅4分の1!$B$11:$B$310),INDEX(条幅4分の1!$G$11:$G$310,292-COUNTA(半紙!$B$11:$B$310)-COUNTA(条幅!$B$11:$B$310)),""))))</f>
        <v/>
      </c>
      <c r="H297" s="38" t="str">
        <f>IF(IF(292&lt;=COUNTA(半紙!$B$11:$B$310),INDEX(半紙!$H$11:$H$310,292),IF(292&lt;=COUNTA(半紙!$B$11:$B$310)+COUNTA(条幅!$B$11:$B$310),INDEX(条幅!$H$11:$H$310,292-COUNTA(半紙!$B$11:$B$310)),IF(292&lt;=COUNTA(半紙!$B$11:$B$310)+COUNTA(条幅!$B$11:$B$310)+COUNTA(条幅4分の1!$B$11:$B$310),INDEX(条幅4分の1!$H$11:$H$310,292-COUNTA(半紙!$B$11:$B$310)-COUNTA(条幅!$B$11:$B$310)),"")))=0,"",IF(292&lt;=COUNTA(半紙!$B$11:$B$310),INDEX(半紙!$H$11:$H$310,292),IF(292&lt;=COUNTA(半紙!$B$11:$B$310)+COUNTA(条幅!$B$11:$B$310),INDEX(条幅!$H$11:$H$310,292-COUNTA(半紙!$B$11:$B$310)),IF(292&lt;=COUNTA(半紙!$B$11:$B$310)+COUNTA(条幅!$B$11:$B$310)+COUNTA(条幅4分の1!$B$11:$B$310),INDEX(条幅4分の1!$H$11:$H$310,292-COUNTA(半紙!$B$11:$B$310)-COUNTA(条幅!$B$11:$B$310)),""))))</f>
        <v/>
      </c>
      <c r="I297" s="38" t="str">
        <f>IF(IF(292&lt;=COUNTA(半紙!$B$11:$B$310),INDEX(半紙!$I$11:$I$310,292),IF(292&lt;=COUNTA(半紙!$B$11:$B$310)+COUNTA(条幅!$B$11:$B$310),INDEX(条幅!$I$11:$I$310,292-COUNTA(半紙!$B$11:$B$310)),IF(292&lt;=COUNTA(半紙!$B$11:$B$310)+COUNTA(条幅!$B$11:$B$310)+COUNTA(条幅4分の1!$B$11:$B$310),INDEX(条幅4分の1!$I$11:$I$310,292-COUNTA(半紙!$B$11:$B$310)-COUNTA(条幅!$B$11:$B$310)),"")))=0,"",IF(292&lt;=COUNTA(半紙!$B$11:$B$310),INDEX(半紙!$I$11:$I$310,292),IF(292&lt;=COUNTA(半紙!$B$11:$B$310)+COUNTA(条幅!$B$11:$B$310),INDEX(条幅!$I$11:$I$310,292-COUNTA(半紙!$B$11:$B$310)),IF(292&lt;=COUNTA(半紙!$B$11:$B$310)+COUNTA(条幅!$B$11:$B$310)+COUNTA(条幅4分の1!$B$11:$B$310),INDEX(条幅4分の1!$I$11:$I$310,292-COUNTA(半紙!$B$11:$B$310)-COUNTA(条幅!$B$11:$B$310)),""))))</f>
        <v/>
      </c>
      <c r="J297" s="38" t="str">
        <f>IF(IF(292&lt;=COUNTA(半紙!$B$11:$B$310),INDEX(半紙!$J$11:$J$310,292),IF(292&lt;=COUNTA(半紙!$B$11:$B$310)+COUNTA(条幅!$B$11:$B$310),INDEX(条幅!$J$11:$J$310,292-COUNTA(半紙!$B$11:$B$310)),IF(292&lt;=COUNTA(半紙!$B$11:$B$310)+COUNTA(条幅!$B$11:$B$310)+COUNTA(条幅4分の1!$B$11:$B$310),INDEX(条幅4分の1!$J$11:$J$310,292-COUNTA(半紙!$B$11:$B$310)-COUNTA(条幅!$B$11:$B$310)),"")))=0,"",IF(292&lt;=COUNTA(半紙!$B$11:$B$310),INDEX(半紙!$J$11:$J$310,292),IF(292&lt;=COUNTA(半紙!$B$11:$B$310)+COUNTA(条幅!$B$11:$B$310),INDEX(条幅!$J$11:$J$310,292-COUNTA(半紙!$B$11:$B$310)),IF(292&lt;=COUNTA(半紙!$B$11:$B$310)+COUNTA(条幅!$B$11:$B$310)+COUNTA(条幅4分の1!$B$11:$B$310),INDEX(条幅4分の1!$J$11:$J$310,292-COUNTA(半紙!$B$11:$B$310)-COUNTA(条幅!$B$11:$B$310)),""))))</f>
        <v/>
      </c>
      <c r="K297" s="38" t="str">
        <f>IF(IF(292&lt;=COUNTA(半紙!$B$11:$B$310),INDEX(半紙!$K$11:$K$310,292),IF(292&lt;=COUNTA(半紙!$B$11:$B$310)+COUNTA(条幅!$B$11:$B$310),INDEX(条幅!$K$11:$K$310,292-COUNTA(半紙!$B$11:$B$310)),IF(292&lt;=COUNTA(半紙!$B$11:$B$310)+COUNTA(条幅!$B$11:$B$310)+COUNTA(条幅4分の1!$B$11:$B$310),INDEX(条幅4分の1!$K$11:$K$310,292-COUNTA(半紙!$B$11:$B$310)-COUNTA(条幅!$B$11:$B$310)),"")))=0,"",IF(292&lt;=COUNTA(半紙!$B$11:$B$310),INDEX(半紙!$K$11:$K$310,292),IF(292&lt;=COUNTA(半紙!$B$11:$B$310)+COUNTA(条幅!$B$11:$B$310),INDEX(条幅!$K$11:$K$310,292-COUNTA(半紙!$B$11:$B$310)),IF(292&lt;=COUNTA(半紙!$B$11:$B$310)+COUNTA(条幅!$B$11:$B$310)+COUNTA(条幅4分の1!$B$11:$B$310),INDEX(条幅4分の1!$K$11:$K$310,292-COUNTA(半紙!$B$11:$B$310)-COUNTA(条幅!$B$11:$B$310)),""))))</f>
        <v/>
      </c>
      <c r="L297" s="48" t="str">
        <f>IF($B297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292))</f>
        <v/>
      </c>
    </row>
    <row r="298" spans="1:12" ht="15" customHeight="1">
      <c r="A298" s="37" t="str">
        <f>IF(293&lt;=COUNTA(半紙!$B$11:$B$310),"半紙",IF(293&lt;=COUNTA(半紙!$B$11:$B$310)+COUNTA(条幅!$B$11:$B$310),"条幅(半切)",IF(293&lt;=COUNTA(半紙!$B$11:$B$310)+COUNTA(条幅!$B$11:$B$310)+COUNTA(条幅4分の1!$B$11:$B$310),"条幅(1/4)","")))</f>
        <v/>
      </c>
      <c r="B298" s="38" t="str">
        <f>IF(IF(293&lt;=COUNTA(半紙!$B$11:$B$310),INDEX(半紙!$B$11:$B$310,293),IF(293&lt;=COUNTA(半紙!$B$11:$B$310)+COUNTA(条幅!$B$11:$B$310),INDEX(条幅!$B$11:$B$310,293-COUNTA(半紙!$B$11:$B$310)),IF(293&lt;=COUNTA(半紙!$B$11:$B$310)+COUNTA(条幅!$B$11:$B$310)+COUNTA(条幅4分の1!$B$11:$B$310),INDEX(条幅4分の1!$B$11:$B$310,293-COUNTA(半紙!$B$11:$B$310)-COUNTA(条幅!$B$11:$B$310)),"")))=0,"",IF(293&lt;=COUNTA(半紙!$B$11:$B$310),INDEX(半紙!$B$11:$B$310,293),IF(293&lt;=COUNTA(半紙!$B$11:$B$310)+COUNTA(条幅!$B$11:$B$310),INDEX(条幅!$B$11:$B$310,293-COUNTA(半紙!$B$11:$B$310)),IF(293&lt;=COUNTA(半紙!$B$11:$B$310)+COUNTA(条幅!$B$11:$B$310)+COUNTA(条幅4分の1!$B$11:$B$310),INDEX(条幅4分の1!$B$11:$B$310,293-COUNTA(半紙!$B$11:$B$310)-COUNTA(条幅!$B$11:$B$310)),""))))</f>
        <v/>
      </c>
      <c r="C298" s="38" t="str">
        <f>IF(IF(293&lt;=COUNTA(半紙!$B$11:$B$310),INDEX(半紙!$C$11:$C$310,293),IF(293&lt;=COUNTA(半紙!$B$11:$B$310)+COUNTA(条幅!$B$11:$B$310),INDEX(条幅!$C$11:$C$310,293-COUNTA(半紙!$B$11:$B$310)),IF(293&lt;=COUNTA(半紙!$B$11:$B$310)+COUNTA(条幅!$B$11:$B$310)+COUNTA(条幅4分の1!$B$11:$B$310),INDEX(条幅4分の1!$C$11:$C$310,293-COUNTA(半紙!$B$11:$B$310)-COUNTA(条幅!$B$11:$B$310)),"")))=0,"",IF(293&lt;=COUNTA(半紙!$B$11:$B$310),INDEX(半紙!$C$11:$C$310,293),IF(293&lt;=COUNTA(半紙!$B$11:$B$310)+COUNTA(条幅!$B$11:$B$310),INDEX(条幅!$C$11:$C$310,293-COUNTA(半紙!$B$11:$B$310)),IF(293&lt;=COUNTA(半紙!$B$11:$B$310)+COUNTA(条幅!$B$11:$B$310)+COUNTA(条幅4分の1!$B$11:$B$310),INDEX(条幅4分の1!$C$11:$C$310,293-COUNTA(半紙!$B$11:$B$310)-COUNTA(条幅!$B$11:$B$310)),""))))</f>
        <v/>
      </c>
      <c r="D298" s="38" t="str">
        <f>IF(IF(293&lt;=COUNTA(半紙!$B$11:$B$310),INDEX(半紙!$D$11:$D$310,293),IF(293&lt;=COUNTA(半紙!$B$11:$B$310)+COUNTA(条幅!$B$11:$B$310),INDEX(条幅!$D$11:$D$310,293-COUNTA(半紙!$B$11:$B$310)),IF(293&lt;=COUNTA(半紙!$B$11:$B$310)+COUNTA(条幅!$B$11:$B$310)+COUNTA(条幅4分の1!$B$11:$B$310),INDEX(条幅4分の1!$D$11:$D$310,293-COUNTA(半紙!$B$11:$B$310)-COUNTA(条幅!$B$11:$B$310)),"")))=0,"",IF(293&lt;=COUNTA(半紙!$B$11:$B$310),INDEX(半紙!$D$11:$D$310,293),IF(293&lt;=COUNTA(半紙!$B$11:$B$310)+COUNTA(条幅!$B$11:$B$310),INDEX(条幅!$D$11:$D$310,293-COUNTA(半紙!$B$11:$B$310)),IF(293&lt;=COUNTA(半紙!$B$11:$B$310)+COUNTA(条幅!$B$11:$B$310)+COUNTA(条幅4分の1!$B$11:$B$310),INDEX(条幅4分の1!$D$11:$D$310,293-COUNTA(半紙!$B$11:$B$310)-COUNTA(条幅!$B$11:$B$310)),""))))</f>
        <v/>
      </c>
      <c r="E298" s="38" t="str">
        <f>IF(IF(293&lt;=COUNTA(半紙!$B$11:$B$310),INDEX(半紙!$E$11:$E$310,293),IF(293&lt;=COUNTA(半紙!$B$11:$B$310)+COUNTA(条幅!$B$11:$B$310),INDEX(条幅!$E$11:$E$310,293-COUNTA(半紙!$B$11:$B$310)),IF(293&lt;=COUNTA(半紙!$B$11:$B$310)+COUNTA(条幅!$B$11:$B$310)+COUNTA(条幅4分の1!$B$11:$B$310),INDEX(条幅4分の1!$E$11:$E$310,293-COUNTA(半紙!$B$11:$B$310)-COUNTA(条幅!$B$11:$B$310)),"")))=0,"",IF(293&lt;=COUNTA(半紙!$B$11:$B$310),INDEX(半紙!$E$11:$E$310,293),IF(293&lt;=COUNTA(半紙!$B$11:$B$310)+COUNTA(条幅!$B$11:$B$310),INDEX(条幅!$E$11:$E$310,293-COUNTA(半紙!$B$11:$B$310)),IF(293&lt;=COUNTA(半紙!$B$11:$B$310)+COUNTA(条幅!$B$11:$B$310)+COUNTA(条幅4分の1!$B$11:$B$310),INDEX(条幅4分の1!$E$11:$E$310,293-COUNTA(半紙!$B$11:$B$310)-COUNTA(条幅!$B$11:$B$310)),""))))</f>
        <v/>
      </c>
      <c r="F298" s="38" t="str">
        <f>IF(IF(293&lt;=COUNTA(半紙!$B$11:$B$310),INDEX(半紙!$F$11:$F$310,293),IF(293&lt;=COUNTA(半紙!$B$11:$B$310)+COUNTA(条幅!$B$11:$B$310),INDEX(条幅!$F$11:$F$310,293-COUNTA(半紙!$B$11:$B$310)),IF(293&lt;=COUNTA(半紙!$B$11:$B$310)+COUNTA(条幅!$B$11:$B$310)+COUNTA(条幅4分の1!$B$11:$B$310),INDEX(条幅4分の1!$F$11:$F$310,293-COUNTA(半紙!$B$11:$B$310)-COUNTA(条幅!$B$11:$B$310)),"")))=0,"",IF(293&lt;=COUNTA(半紙!$B$11:$B$310),INDEX(半紙!$F$11:$F$310,293),IF(293&lt;=COUNTA(半紙!$B$11:$B$310)+COUNTA(条幅!$B$11:$B$310),INDEX(条幅!$F$11:$F$310,293-COUNTA(半紙!$B$11:$B$310)),IF(293&lt;=COUNTA(半紙!$B$11:$B$310)+COUNTA(条幅!$B$11:$B$310)+COUNTA(条幅4分の1!$B$11:$B$310),INDEX(条幅4分の1!$F$11:$F$310,293-COUNTA(半紙!$B$11:$B$310)-COUNTA(条幅!$B$11:$B$310)),""))))</f>
        <v/>
      </c>
      <c r="G298" s="38" t="str">
        <f>IF(IF(293&lt;=COUNTA(半紙!$B$11:$B$310),INDEX(半紙!$G$11:$G$310,293),IF(293&lt;=COUNTA(半紙!$B$11:$B$310)+COUNTA(条幅!$B$11:$B$310),INDEX(条幅!$G$11:$G$310,293-COUNTA(半紙!$B$11:$B$310)),IF(293&lt;=COUNTA(半紙!$B$11:$B$310)+COUNTA(条幅!$B$11:$B$310)+COUNTA(条幅4分の1!$B$11:$B$310),INDEX(条幅4分の1!$G$11:$G$310,293-COUNTA(半紙!$B$11:$B$310)-COUNTA(条幅!$B$11:$B$310)),"")))=0,"",IF(293&lt;=COUNTA(半紙!$B$11:$B$310),INDEX(半紙!$G$11:$G$310,293),IF(293&lt;=COUNTA(半紙!$B$11:$B$310)+COUNTA(条幅!$B$11:$B$310),INDEX(条幅!$G$11:$G$310,293-COUNTA(半紙!$B$11:$B$310)),IF(293&lt;=COUNTA(半紙!$B$11:$B$310)+COUNTA(条幅!$B$11:$B$310)+COUNTA(条幅4分の1!$B$11:$B$310),INDEX(条幅4分の1!$G$11:$G$310,293-COUNTA(半紙!$B$11:$B$310)-COUNTA(条幅!$B$11:$B$310)),""))))</f>
        <v/>
      </c>
      <c r="H298" s="38" t="str">
        <f>IF(IF(293&lt;=COUNTA(半紙!$B$11:$B$310),INDEX(半紙!$H$11:$H$310,293),IF(293&lt;=COUNTA(半紙!$B$11:$B$310)+COUNTA(条幅!$B$11:$B$310),INDEX(条幅!$H$11:$H$310,293-COUNTA(半紙!$B$11:$B$310)),IF(293&lt;=COUNTA(半紙!$B$11:$B$310)+COUNTA(条幅!$B$11:$B$310)+COUNTA(条幅4分の1!$B$11:$B$310),INDEX(条幅4分の1!$H$11:$H$310,293-COUNTA(半紙!$B$11:$B$310)-COUNTA(条幅!$B$11:$B$310)),"")))=0,"",IF(293&lt;=COUNTA(半紙!$B$11:$B$310),INDEX(半紙!$H$11:$H$310,293),IF(293&lt;=COUNTA(半紙!$B$11:$B$310)+COUNTA(条幅!$B$11:$B$310),INDEX(条幅!$H$11:$H$310,293-COUNTA(半紙!$B$11:$B$310)),IF(293&lt;=COUNTA(半紙!$B$11:$B$310)+COUNTA(条幅!$B$11:$B$310)+COUNTA(条幅4分の1!$B$11:$B$310),INDEX(条幅4分の1!$H$11:$H$310,293-COUNTA(半紙!$B$11:$B$310)-COUNTA(条幅!$B$11:$B$310)),""))))</f>
        <v/>
      </c>
      <c r="I298" s="38" t="str">
        <f>IF(IF(293&lt;=COUNTA(半紙!$B$11:$B$310),INDEX(半紙!$I$11:$I$310,293),IF(293&lt;=COUNTA(半紙!$B$11:$B$310)+COUNTA(条幅!$B$11:$B$310),INDEX(条幅!$I$11:$I$310,293-COUNTA(半紙!$B$11:$B$310)),IF(293&lt;=COUNTA(半紙!$B$11:$B$310)+COUNTA(条幅!$B$11:$B$310)+COUNTA(条幅4分の1!$B$11:$B$310),INDEX(条幅4分の1!$I$11:$I$310,293-COUNTA(半紙!$B$11:$B$310)-COUNTA(条幅!$B$11:$B$310)),"")))=0,"",IF(293&lt;=COUNTA(半紙!$B$11:$B$310),INDEX(半紙!$I$11:$I$310,293),IF(293&lt;=COUNTA(半紙!$B$11:$B$310)+COUNTA(条幅!$B$11:$B$310),INDEX(条幅!$I$11:$I$310,293-COUNTA(半紙!$B$11:$B$310)),IF(293&lt;=COUNTA(半紙!$B$11:$B$310)+COUNTA(条幅!$B$11:$B$310)+COUNTA(条幅4分の1!$B$11:$B$310),INDEX(条幅4分の1!$I$11:$I$310,293-COUNTA(半紙!$B$11:$B$310)-COUNTA(条幅!$B$11:$B$310)),""))))</f>
        <v/>
      </c>
      <c r="J298" s="38" t="str">
        <f>IF(IF(293&lt;=COUNTA(半紙!$B$11:$B$310),INDEX(半紙!$J$11:$J$310,293),IF(293&lt;=COUNTA(半紙!$B$11:$B$310)+COUNTA(条幅!$B$11:$B$310),INDEX(条幅!$J$11:$J$310,293-COUNTA(半紙!$B$11:$B$310)),IF(293&lt;=COUNTA(半紙!$B$11:$B$310)+COUNTA(条幅!$B$11:$B$310)+COUNTA(条幅4分の1!$B$11:$B$310),INDEX(条幅4分の1!$J$11:$J$310,293-COUNTA(半紙!$B$11:$B$310)-COUNTA(条幅!$B$11:$B$310)),"")))=0,"",IF(293&lt;=COUNTA(半紙!$B$11:$B$310),INDEX(半紙!$J$11:$J$310,293),IF(293&lt;=COUNTA(半紙!$B$11:$B$310)+COUNTA(条幅!$B$11:$B$310),INDEX(条幅!$J$11:$J$310,293-COUNTA(半紙!$B$11:$B$310)),IF(293&lt;=COUNTA(半紙!$B$11:$B$310)+COUNTA(条幅!$B$11:$B$310)+COUNTA(条幅4分の1!$B$11:$B$310),INDEX(条幅4分の1!$J$11:$J$310,293-COUNTA(半紙!$B$11:$B$310)-COUNTA(条幅!$B$11:$B$310)),""))))</f>
        <v/>
      </c>
      <c r="K298" s="38" t="str">
        <f>IF(IF(293&lt;=COUNTA(半紙!$B$11:$B$310),INDEX(半紙!$K$11:$K$310,293),IF(293&lt;=COUNTA(半紙!$B$11:$B$310)+COUNTA(条幅!$B$11:$B$310),INDEX(条幅!$K$11:$K$310,293-COUNTA(半紙!$B$11:$B$310)),IF(293&lt;=COUNTA(半紙!$B$11:$B$310)+COUNTA(条幅!$B$11:$B$310)+COUNTA(条幅4分の1!$B$11:$B$310),INDEX(条幅4分の1!$K$11:$K$310,293-COUNTA(半紙!$B$11:$B$310)-COUNTA(条幅!$B$11:$B$310)),"")))=0,"",IF(293&lt;=COUNTA(半紙!$B$11:$B$310),INDEX(半紙!$K$11:$K$310,293),IF(293&lt;=COUNTA(半紙!$B$11:$B$310)+COUNTA(条幅!$B$11:$B$310),INDEX(条幅!$K$11:$K$310,293-COUNTA(半紙!$B$11:$B$310)),IF(293&lt;=COUNTA(半紙!$B$11:$B$310)+COUNTA(条幅!$B$11:$B$310)+COUNTA(条幅4分の1!$B$11:$B$310),INDEX(条幅4分の1!$K$11:$K$310,293-COUNTA(半紙!$B$11:$B$310)-COUNTA(条幅!$B$11:$B$310)),""))))</f>
        <v/>
      </c>
      <c r="L298" s="48" t="str">
        <f>IF($B298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293))</f>
        <v/>
      </c>
    </row>
    <row r="299" spans="1:12" ht="15" customHeight="1">
      <c r="A299" s="37" t="str">
        <f>IF(294&lt;=COUNTA(半紙!$B$11:$B$310),"半紙",IF(294&lt;=COUNTA(半紙!$B$11:$B$310)+COUNTA(条幅!$B$11:$B$310),"条幅(半切)",IF(294&lt;=COUNTA(半紙!$B$11:$B$310)+COUNTA(条幅!$B$11:$B$310)+COUNTA(条幅4分の1!$B$11:$B$310),"条幅(1/4)","")))</f>
        <v/>
      </c>
      <c r="B299" s="38" t="str">
        <f>IF(IF(294&lt;=COUNTA(半紙!$B$11:$B$310),INDEX(半紙!$B$11:$B$310,294),IF(294&lt;=COUNTA(半紙!$B$11:$B$310)+COUNTA(条幅!$B$11:$B$310),INDEX(条幅!$B$11:$B$310,294-COUNTA(半紙!$B$11:$B$310)),IF(294&lt;=COUNTA(半紙!$B$11:$B$310)+COUNTA(条幅!$B$11:$B$310)+COUNTA(条幅4分の1!$B$11:$B$310),INDEX(条幅4分の1!$B$11:$B$310,294-COUNTA(半紙!$B$11:$B$310)-COUNTA(条幅!$B$11:$B$310)),"")))=0,"",IF(294&lt;=COUNTA(半紙!$B$11:$B$310),INDEX(半紙!$B$11:$B$310,294),IF(294&lt;=COUNTA(半紙!$B$11:$B$310)+COUNTA(条幅!$B$11:$B$310),INDEX(条幅!$B$11:$B$310,294-COUNTA(半紙!$B$11:$B$310)),IF(294&lt;=COUNTA(半紙!$B$11:$B$310)+COUNTA(条幅!$B$11:$B$310)+COUNTA(条幅4分の1!$B$11:$B$310),INDEX(条幅4分の1!$B$11:$B$310,294-COUNTA(半紙!$B$11:$B$310)-COUNTA(条幅!$B$11:$B$310)),""))))</f>
        <v/>
      </c>
      <c r="C299" s="38" t="str">
        <f>IF(IF(294&lt;=COUNTA(半紙!$B$11:$B$310),INDEX(半紙!$C$11:$C$310,294),IF(294&lt;=COUNTA(半紙!$B$11:$B$310)+COUNTA(条幅!$B$11:$B$310),INDEX(条幅!$C$11:$C$310,294-COUNTA(半紙!$B$11:$B$310)),IF(294&lt;=COUNTA(半紙!$B$11:$B$310)+COUNTA(条幅!$B$11:$B$310)+COUNTA(条幅4分の1!$B$11:$B$310),INDEX(条幅4分の1!$C$11:$C$310,294-COUNTA(半紙!$B$11:$B$310)-COUNTA(条幅!$B$11:$B$310)),"")))=0,"",IF(294&lt;=COUNTA(半紙!$B$11:$B$310),INDEX(半紙!$C$11:$C$310,294),IF(294&lt;=COUNTA(半紙!$B$11:$B$310)+COUNTA(条幅!$B$11:$B$310),INDEX(条幅!$C$11:$C$310,294-COUNTA(半紙!$B$11:$B$310)),IF(294&lt;=COUNTA(半紙!$B$11:$B$310)+COUNTA(条幅!$B$11:$B$310)+COUNTA(条幅4分の1!$B$11:$B$310),INDEX(条幅4分の1!$C$11:$C$310,294-COUNTA(半紙!$B$11:$B$310)-COUNTA(条幅!$B$11:$B$310)),""))))</f>
        <v/>
      </c>
      <c r="D299" s="38" t="str">
        <f>IF(IF(294&lt;=COUNTA(半紙!$B$11:$B$310),INDEX(半紙!$D$11:$D$310,294),IF(294&lt;=COUNTA(半紙!$B$11:$B$310)+COUNTA(条幅!$B$11:$B$310),INDEX(条幅!$D$11:$D$310,294-COUNTA(半紙!$B$11:$B$310)),IF(294&lt;=COUNTA(半紙!$B$11:$B$310)+COUNTA(条幅!$B$11:$B$310)+COUNTA(条幅4分の1!$B$11:$B$310),INDEX(条幅4分の1!$D$11:$D$310,294-COUNTA(半紙!$B$11:$B$310)-COUNTA(条幅!$B$11:$B$310)),"")))=0,"",IF(294&lt;=COUNTA(半紙!$B$11:$B$310),INDEX(半紙!$D$11:$D$310,294),IF(294&lt;=COUNTA(半紙!$B$11:$B$310)+COUNTA(条幅!$B$11:$B$310),INDEX(条幅!$D$11:$D$310,294-COUNTA(半紙!$B$11:$B$310)),IF(294&lt;=COUNTA(半紙!$B$11:$B$310)+COUNTA(条幅!$B$11:$B$310)+COUNTA(条幅4分の1!$B$11:$B$310),INDEX(条幅4分の1!$D$11:$D$310,294-COUNTA(半紙!$B$11:$B$310)-COUNTA(条幅!$B$11:$B$310)),""))))</f>
        <v/>
      </c>
      <c r="E299" s="38" t="str">
        <f>IF(IF(294&lt;=COUNTA(半紙!$B$11:$B$310),INDEX(半紙!$E$11:$E$310,294),IF(294&lt;=COUNTA(半紙!$B$11:$B$310)+COUNTA(条幅!$B$11:$B$310),INDEX(条幅!$E$11:$E$310,294-COUNTA(半紙!$B$11:$B$310)),IF(294&lt;=COUNTA(半紙!$B$11:$B$310)+COUNTA(条幅!$B$11:$B$310)+COUNTA(条幅4分の1!$B$11:$B$310),INDEX(条幅4分の1!$E$11:$E$310,294-COUNTA(半紙!$B$11:$B$310)-COUNTA(条幅!$B$11:$B$310)),"")))=0,"",IF(294&lt;=COUNTA(半紙!$B$11:$B$310),INDEX(半紙!$E$11:$E$310,294),IF(294&lt;=COUNTA(半紙!$B$11:$B$310)+COUNTA(条幅!$B$11:$B$310),INDEX(条幅!$E$11:$E$310,294-COUNTA(半紙!$B$11:$B$310)),IF(294&lt;=COUNTA(半紙!$B$11:$B$310)+COUNTA(条幅!$B$11:$B$310)+COUNTA(条幅4分の1!$B$11:$B$310),INDEX(条幅4分の1!$E$11:$E$310,294-COUNTA(半紙!$B$11:$B$310)-COUNTA(条幅!$B$11:$B$310)),""))))</f>
        <v/>
      </c>
      <c r="F299" s="38" t="str">
        <f>IF(IF(294&lt;=COUNTA(半紙!$B$11:$B$310),INDEX(半紙!$F$11:$F$310,294),IF(294&lt;=COUNTA(半紙!$B$11:$B$310)+COUNTA(条幅!$B$11:$B$310),INDEX(条幅!$F$11:$F$310,294-COUNTA(半紙!$B$11:$B$310)),IF(294&lt;=COUNTA(半紙!$B$11:$B$310)+COUNTA(条幅!$B$11:$B$310)+COUNTA(条幅4分の1!$B$11:$B$310),INDEX(条幅4分の1!$F$11:$F$310,294-COUNTA(半紙!$B$11:$B$310)-COUNTA(条幅!$B$11:$B$310)),"")))=0,"",IF(294&lt;=COUNTA(半紙!$B$11:$B$310),INDEX(半紙!$F$11:$F$310,294),IF(294&lt;=COUNTA(半紙!$B$11:$B$310)+COUNTA(条幅!$B$11:$B$310),INDEX(条幅!$F$11:$F$310,294-COUNTA(半紙!$B$11:$B$310)),IF(294&lt;=COUNTA(半紙!$B$11:$B$310)+COUNTA(条幅!$B$11:$B$310)+COUNTA(条幅4分の1!$B$11:$B$310),INDEX(条幅4分の1!$F$11:$F$310,294-COUNTA(半紙!$B$11:$B$310)-COUNTA(条幅!$B$11:$B$310)),""))))</f>
        <v/>
      </c>
      <c r="G299" s="38" t="str">
        <f>IF(IF(294&lt;=COUNTA(半紙!$B$11:$B$310),INDEX(半紙!$G$11:$G$310,294),IF(294&lt;=COUNTA(半紙!$B$11:$B$310)+COUNTA(条幅!$B$11:$B$310),INDEX(条幅!$G$11:$G$310,294-COUNTA(半紙!$B$11:$B$310)),IF(294&lt;=COUNTA(半紙!$B$11:$B$310)+COUNTA(条幅!$B$11:$B$310)+COUNTA(条幅4分の1!$B$11:$B$310),INDEX(条幅4分の1!$G$11:$G$310,294-COUNTA(半紙!$B$11:$B$310)-COUNTA(条幅!$B$11:$B$310)),"")))=0,"",IF(294&lt;=COUNTA(半紙!$B$11:$B$310),INDEX(半紙!$G$11:$G$310,294),IF(294&lt;=COUNTA(半紙!$B$11:$B$310)+COUNTA(条幅!$B$11:$B$310),INDEX(条幅!$G$11:$G$310,294-COUNTA(半紙!$B$11:$B$310)),IF(294&lt;=COUNTA(半紙!$B$11:$B$310)+COUNTA(条幅!$B$11:$B$310)+COUNTA(条幅4分の1!$B$11:$B$310),INDEX(条幅4分の1!$G$11:$G$310,294-COUNTA(半紙!$B$11:$B$310)-COUNTA(条幅!$B$11:$B$310)),""))))</f>
        <v/>
      </c>
      <c r="H299" s="38" t="str">
        <f>IF(IF(294&lt;=COUNTA(半紙!$B$11:$B$310),INDEX(半紙!$H$11:$H$310,294),IF(294&lt;=COUNTA(半紙!$B$11:$B$310)+COUNTA(条幅!$B$11:$B$310),INDEX(条幅!$H$11:$H$310,294-COUNTA(半紙!$B$11:$B$310)),IF(294&lt;=COUNTA(半紙!$B$11:$B$310)+COUNTA(条幅!$B$11:$B$310)+COUNTA(条幅4分の1!$B$11:$B$310),INDEX(条幅4分の1!$H$11:$H$310,294-COUNTA(半紙!$B$11:$B$310)-COUNTA(条幅!$B$11:$B$310)),"")))=0,"",IF(294&lt;=COUNTA(半紙!$B$11:$B$310),INDEX(半紙!$H$11:$H$310,294),IF(294&lt;=COUNTA(半紙!$B$11:$B$310)+COUNTA(条幅!$B$11:$B$310),INDEX(条幅!$H$11:$H$310,294-COUNTA(半紙!$B$11:$B$310)),IF(294&lt;=COUNTA(半紙!$B$11:$B$310)+COUNTA(条幅!$B$11:$B$310)+COUNTA(条幅4分の1!$B$11:$B$310),INDEX(条幅4分の1!$H$11:$H$310,294-COUNTA(半紙!$B$11:$B$310)-COUNTA(条幅!$B$11:$B$310)),""))))</f>
        <v/>
      </c>
      <c r="I299" s="38" t="str">
        <f>IF(IF(294&lt;=COUNTA(半紙!$B$11:$B$310),INDEX(半紙!$I$11:$I$310,294),IF(294&lt;=COUNTA(半紙!$B$11:$B$310)+COUNTA(条幅!$B$11:$B$310),INDEX(条幅!$I$11:$I$310,294-COUNTA(半紙!$B$11:$B$310)),IF(294&lt;=COUNTA(半紙!$B$11:$B$310)+COUNTA(条幅!$B$11:$B$310)+COUNTA(条幅4分の1!$B$11:$B$310),INDEX(条幅4分の1!$I$11:$I$310,294-COUNTA(半紙!$B$11:$B$310)-COUNTA(条幅!$B$11:$B$310)),"")))=0,"",IF(294&lt;=COUNTA(半紙!$B$11:$B$310),INDEX(半紙!$I$11:$I$310,294),IF(294&lt;=COUNTA(半紙!$B$11:$B$310)+COUNTA(条幅!$B$11:$B$310),INDEX(条幅!$I$11:$I$310,294-COUNTA(半紙!$B$11:$B$310)),IF(294&lt;=COUNTA(半紙!$B$11:$B$310)+COUNTA(条幅!$B$11:$B$310)+COUNTA(条幅4分の1!$B$11:$B$310),INDEX(条幅4分の1!$I$11:$I$310,294-COUNTA(半紙!$B$11:$B$310)-COUNTA(条幅!$B$11:$B$310)),""))))</f>
        <v/>
      </c>
      <c r="J299" s="38" t="str">
        <f>IF(IF(294&lt;=COUNTA(半紙!$B$11:$B$310),INDEX(半紙!$J$11:$J$310,294),IF(294&lt;=COUNTA(半紙!$B$11:$B$310)+COUNTA(条幅!$B$11:$B$310),INDEX(条幅!$J$11:$J$310,294-COUNTA(半紙!$B$11:$B$310)),IF(294&lt;=COUNTA(半紙!$B$11:$B$310)+COUNTA(条幅!$B$11:$B$310)+COUNTA(条幅4分の1!$B$11:$B$310),INDEX(条幅4分の1!$J$11:$J$310,294-COUNTA(半紙!$B$11:$B$310)-COUNTA(条幅!$B$11:$B$310)),"")))=0,"",IF(294&lt;=COUNTA(半紙!$B$11:$B$310),INDEX(半紙!$J$11:$J$310,294),IF(294&lt;=COUNTA(半紙!$B$11:$B$310)+COUNTA(条幅!$B$11:$B$310),INDEX(条幅!$J$11:$J$310,294-COUNTA(半紙!$B$11:$B$310)),IF(294&lt;=COUNTA(半紙!$B$11:$B$310)+COUNTA(条幅!$B$11:$B$310)+COUNTA(条幅4分の1!$B$11:$B$310),INDEX(条幅4分の1!$J$11:$J$310,294-COUNTA(半紙!$B$11:$B$310)-COUNTA(条幅!$B$11:$B$310)),""))))</f>
        <v/>
      </c>
      <c r="K299" s="38" t="str">
        <f>IF(IF(294&lt;=COUNTA(半紙!$B$11:$B$310),INDEX(半紙!$K$11:$K$310,294),IF(294&lt;=COUNTA(半紙!$B$11:$B$310)+COUNTA(条幅!$B$11:$B$310),INDEX(条幅!$K$11:$K$310,294-COUNTA(半紙!$B$11:$B$310)),IF(294&lt;=COUNTA(半紙!$B$11:$B$310)+COUNTA(条幅!$B$11:$B$310)+COUNTA(条幅4分の1!$B$11:$B$310),INDEX(条幅4分の1!$K$11:$K$310,294-COUNTA(半紙!$B$11:$B$310)-COUNTA(条幅!$B$11:$B$310)),"")))=0,"",IF(294&lt;=COUNTA(半紙!$B$11:$B$310),INDEX(半紙!$K$11:$K$310,294),IF(294&lt;=COUNTA(半紙!$B$11:$B$310)+COUNTA(条幅!$B$11:$B$310),INDEX(条幅!$K$11:$K$310,294-COUNTA(半紙!$B$11:$B$310)),IF(294&lt;=COUNTA(半紙!$B$11:$B$310)+COUNTA(条幅!$B$11:$B$310)+COUNTA(条幅4分の1!$B$11:$B$310),INDEX(条幅4分の1!$K$11:$K$310,294-COUNTA(半紙!$B$11:$B$310)-COUNTA(条幅!$B$11:$B$310)),""))))</f>
        <v/>
      </c>
      <c r="L299" s="48" t="str">
        <f>IF($B299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294))</f>
        <v/>
      </c>
    </row>
    <row r="300" spans="1:12" ht="15" customHeight="1">
      <c r="A300" s="37" t="str">
        <f>IF(295&lt;=COUNTA(半紙!$B$11:$B$310),"半紙",IF(295&lt;=COUNTA(半紙!$B$11:$B$310)+COUNTA(条幅!$B$11:$B$310),"条幅(半切)",IF(295&lt;=COUNTA(半紙!$B$11:$B$310)+COUNTA(条幅!$B$11:$B$310)+COUNTA(条幅4分の1!$B$11:$B$310),"条幅(1/4)","")))</f>
        <v/>
      </c>
      <c r="B300" s="38" t="str">
        <f>IF(IF(295&lt;=COUNTA(半紙!$B$11:$B$310),INDEX(半紙!$B$11:$B$310,295),IF(295&lt;=COUNTA(半紙!$B$11:$B$310)+COUNTA(条幅!$B$11:$B$310),INDEX(条幅!$B$11:$B$310,295-COUNTA(半紙!$B$11:$B$310)),IF(295&lt;=COUNTA(半紙!$B$11:$B$310)+COUNTA(条幅!$B$11:$B$310)+COUNTA(条幅4分の1!$B$11:$B$310),INDEX(条幅4分の1!$B$11:$B$310,295-COUNTA(半紙!$B$11:$B$310)-COUNTA(条幅!$B$11:$B$310)),"")))=0,"",IF(295&lt;=COUNTA(半紙!$B$11:$B$310),INDEX(半紙!$B$11:$B$310,295),IF(295&lt;=COUNTA(半紙!$B$11:$B$310)+COUNTA(条幅!$B$11:$B$310),INDEX(条幅!$B$11:$B$310,295-COUNTA(半紙!$B$11:$B$310)),IF(295&lt;=COUNTA(半紙!$B$11:$B$310)+COUNTA(条幅!$B$11:$B$310)+COUNTA(条幅4分の1!$B$11:$B$310),INDEX(条幅4分の1!$B$11:$B$310,295-COUNTA(半紙!$B$11:$B$310)-COUNTA(条幅!$B$11:$B$310)),""))))</f>
        <v/>
      </c>
      <c r="C300" s="38" t="str">
        <f>IF(IF(295&lt;=COUNTA(半紙!$B$11:$B$310),INDEX(半紙!$C$11:$C$310,295),IF(295&lt;=COUNTA(半紙!$B$11:$B$310)+COUNTA(条幅!$B$11:$B$310),INDEX(条幅!$C$11:$C$310,295-COUNTA(半紙!$B$11:$B$310)),IF(295&lt;=COUNTA(半紙!$B$11:$B$310)+COUNTA(条幅!$B$11:$B$310)+COUNTA(条幅4分の1!$B$11:$B$310),INDEX(条幅4分の1!$C$11:$C$310,295-COUNTA(半紙!$B$11:$B$310)-COUNTA(条幅!$B$11:$B$310)),"")))=0,"",IF(295&lt;=COUNTA(半紙!$B$11:$B$310),INDEX(半紙!$C$11:$C$310,295),IF(295&lt;=COUNTA(半紙!$B$11:$B$310)+COUNTA(条幅!$B$11:$B$310),INDEX(条幅!$C$11:$C$310,295-COUNTA(半紙!$B$11:$B$310)),IF(295&lt;=COUNTA(半紙!$B$11:$B$310)+COUNTA(条幅!$B$11:$B$310)+COUNTA(条幅4分の1!$B$11:$B$310),INDEX(条幅4分の1!$C$11:$C$310,295-COUNTA(半紙!$B$11:$B$310)-COUNTA(条幅!$B$11:$B$310)),""))))</f>
        <v/>
      </c>
      <c r="D300" s="38" t="str">
        <f>IF(IF(295&lt;=COUNTA(半紙!$B$11:$B$310),INDEX(半紙!$D$11:$D$310,295),IF(295&lt;=COUNTA(半紙!$B$11:$B$310)+COUNTA(条幅!$B$11:$B$310),INDEX(条幅!$D$11:$D$310,295-COUNTA(半紙!$B$11:$B$310)),IF(295&lt;=COUNTA(半紙!$B$11:$B$310)+COUNTA(条幅!$B$11:$B$310)+COUNTA(条幅4分の1!$B$11:$B$310),INDEX(条幅4分の1!$D$11:$D$310,295-COUNTA(半紙!$B$11:$B$310)-COUNTA(条幅!$B$11:$B$310)),"")))=0,"",IF(295&lt;=COUNTA(半紙!$B$11:$B$310),INDEX(半紙!$D$11:$D$310,295),IF(295&lt;=COUNTA(半紙!$B$11:$B$310)+COUNTA(条幅!$B$11:$B$310),INDEX(条幅!$D$11:$D$310,295-COUNTA(半紙!$B$11:$B$310)),IF(295&lt;=COUNTA(半紙!$B$11:$B$310)+COUNTA(条幅!$B$11:$B$310)+COUNTA(条幅4分の1!$B$11:$B$310),INDEX(条幅4分の1!$D$11:$D$310,295-COUNTA(半紙!$B$11:$B$310)-COUNTA(条幅!$B$11:$B$310)),""))))</f>
        <v/>
      </c>
      <c r="E300" s="38" t="str">
        <f>IF(IF(295&lt;=COUNTA(半紙!$B$11:$B$310),INDEX(半紙!$E$11:$E$310,295),IF(295&lt;=COUNTA(半紙!$B$11:$B$310)+COUNTA(条幅!$B$11:$B$310),INDEX(条幅!$E$11:$E$310,295-COUNTA(半紙!$B$11:$B$310)),IF(295&lt;=COUNTA(半紙!$B$11:$B$310)+COUNTA(条幅!$B$11:$B$310)+COUNTA(条幅4分の1!$B$11:$B$310),INDEX(条幅4分の1!$E$11:$E$310,295-COUNTA(半紙!$B$11:$B$310)-COUNTA(条幅!$B$11:$B$310)),"")))=0,"",IF(295&lt;=COUNTA(半紙!$B$11:$B$310),INDEX(半紙!$E$11:$E$310,295),IF(295&lt;=COUNTA(半紙!$B$11:$B$310)+COUNTA(条幅!$B$11:$B$310),INDEX(条幅!$E$11:$E$310,295-COUNTA(半紙!$B$11:$B$310)),IF(295&lt;=COUNTA(半紙!$B$11:$B$310)+COUNTA(条幅!$B$11:$B$310)+COUNTA(条幅4分の1!$B$11:$B$310),INDEX(条幅4分の1!$E$11:$E$310,295-COUNTA(半紙!$B$11:$B$310)-COUNTA(条幅!$B$11:$B$310)),""))))</f>
        <v/>
      </c>
      <c r="F300" s="38" t="str">
        <f>IF(IF(295&lt;=COUNTA(半紙!$B$11:$B$310),INDEX(半紙!$F$11:$F$310,295),IF(295&lt;=COUNTA(半紙!$B$11:$B$310)+COUNTA(条幅!$B$11:$B$310),INDEX(条幅!$F$11:$F$310,295-COUNTA(半紙!$B$11:$B$310)),IF(295&lt;=COUNTA(半紙!$B$11:$B$310)+COUNTA(条幅!$B$11:$B$310)+COUNTA(条幅4分の1!$B$11:$B$310),INDEX(条幅4分の1!$F$11:$F$310,295-COUNTA(半紙!$B$11:$B$310)-COUNTA(条幅!$B$11:$B$310)),"")))=0,"",IF(295&lt;=COUNTA(半紙!$B$11:$B$310),INDEX(半紙!$F$11:$F$310,295),IF(295&lt;=COUNTA(半紙!$B$11:$B$310)+COUNTA(条幅!$B$11:$B$310),INDEX(条幅!$F$11:$F$310,295-COUNTA(半紙!$B$11:$B$310)),IF(295&lt;=COUNTA(半紙!$B$11:$B$310)+COUNTA(条幅!$B$11:$B$310)+COUNTA(条幅4分の1!$B$11:$B$310),INDEX(条幅4分の1!$F$11:$F$310,295-COUNTA(半紙!$B$11:$B$310)-COUNTA(条幅!$B$11:$B$310)),""))))</f>
        <v/>
      </c>
      <c r="G300" s="38" t="str">
        <f>IF(IF(295&lt;=COUNTA(半紙!$B$11:$B$310),INDEX(半紙!$G$11:$G$310,295),IF(295&lt;=COUNTA(半紙!$B$11:$B$310)+COUNTA(条幅!$B$11:$B$310),INDEX(条幅!$G$11:$G$310,295-COUNTA(半紙!$B$11:$B$310)),IF(295&lt;=COUNTA(半紙!$B$11:$B$310)+COUNTA(条幅!$B$11:$B$310)+COUNTA(条幅4分の1!$B$11:$B$310),INDEX(条幅4分の1!$G$11:$G$310,295-COUNTA(半紙!$B$11:$B$310)-COUNTA(条幅!$B$11:$B$310)),"")))=0,"",IF(295&lt;=COUNTA(半紙!$B$11:$B$310),INDEX(半紙!$G$11:$G$310,295),IF(295&lt;=COUNTA(半紙!$B$11:$B$310)+COUNTA(条幅!$B$11:$B$310),INDEX(条幅!$G$11:$G$310,295-COUNTA(半紙!$B$11:$B$310)),IF(295&lt;=COUNTA(半紙!$B$11:$B$310)+COUNTA(条幅!$B$11:$B$310)+COUNTA(条幅4分の1!$B$11:$B$310),INDEX(条幅4分の1!$G$11:$G$310,295-COUNTA(半紙!$B$11:$B$310)-COUNTA(条幅!$B$11:$B$310)),""))))</f>
        <v/>
      </c>
      <c r="H300" s="38" t="str">
        <f>IF(IF(295&lt;=COUNTA(半紙!$B$11:$B$310),INDEX(半紙!$H$11:$H$310,295),IF(295&lt;=COUNTA(半紙!$B$11:$B$310)+COUNTA(条幅!$B$11:$B$310),INDEX(条幅!$H$11:$H$310,295-COUNTA(半紙!$B$11:$B$310)),IF(295&lt;=COUNTA(半紙!$B$11:$B$310)+COUNTA(条幅!$B$11:$B$310)+COUNTA(条幅4分の1!$B$11:$B$310),INDEX(条幅4分の1!$H$11:$H$310,295-COUNTA(半紙!$B$11:$B$310)-COUNTA(条幅!$B$11:$B$310)),"")))=0,"",IF(295&lt;=COUNTA(半紙!$B$11:$B$310),INDEX(半紙!$H$11:$H$310,295),IF(295&lt;=COUNTA(半紙!$B$11:$B$310)+COUNTA(条幅!$B$11:$B$310),INDEX(条幅!$H$11:$H$310,295-COUNTA(半紙!$B$11:$B$310)),IF(295&lt;=COUNTA(半紙!$B$11:$B$310)+COUNTA(条幅!$B$11:$B$310)+COUNTA(条幅4分の1!$B$11:$B$310),INDEX(条幅4分の1!$H$11:$H$310,295-COUNTA(半紙!$B$11:$B$310)-COUNTA(条幅!$B$11:$B$310)),""))))</f>
        <v/>
      </c>
      <c r="I300" s="38" t="str">
        <f>IF(IF(295&lt;=COUNTA(半紙!$B$11:$B$310),INDEX(半紙!$I$11:$I$310,295),IF(295&lt;=COUNTA(半紙!$B$11:$B$310)+COUNTA(条幅!$B$11:$B$310),INDEX(条幅!$I$11:$I$310,295-COUNTA(半紙!$B$11:$B$310)),IF(295&lt;=COUNTA(半紙!$B$11:$B$310)+COUNTA(条幅!$B$11:$B$310)+COUNTA(条幅4分の1!$B$11:$B$310),INDEX(条幅4分の1!$I$11:$I$310,295-COUNTA(半紙!$B$11:$B$310)-COUNTA(条幅!$B$11:$B$310)),"")))=0,"",IF(295&lt;=COUNTA(半紙!$B$11:$B$310),INDEX(半紙!$I$11:$I$310,295),IF(295&lt;=COUNTA(半紙!$B$11:$B$310)+COUNTA(条幅!$B$11:$B$310),INDEX(条幅!$I$11:$I$310,295-COUNTA(半紙!$B$11:$B$310)),IF(295&lt;=COUNTA(半紙!$B$11:$B$310)+COUNTA(条幅!$B$11:$B$310)+COUNTA(条幅4分の1!$B$11:$B$310),INDEX(条幅4分の1!$I$11:$I$310,295-COUNTA(半紙!$B$11:$B$310)-COUNTA(条幅!$B$11:$B$310)),""))))</f>
        <v/>
      </c>
      <c r="J300" s="38" t="str">
        <f>IF(IF(295&lt;=COUNTA(半紙!$B$11:$B$310),INDEX(半紙!$J$11:$J$310,295),IF(295&lt;=COUNTA(半紙!$B$11:$B$310)+COUNTA(条幅!$B$11:$B$310),INDEX(条幅!$J$11:$J$310,295-COUNTA(半紙!$B$11:$B$310)),IF(295&lt;=COUNTA(半紙!$B$11:$B$310)+COUNTA(条幅!$B$11:$B$310)+COUNTA(条幅4分の1!$B$11:$B$310),INDEX(条幅4分の1!$J$11:$J$310,295-COUNTA(半紙!$B$11:$B$310)-COUNTA(条幅!$B$11:$B$310)),"")))=0,"",IF(295&lt;=COUNTA(半紙!$B$11:$B$310),INDEX(半紙!$J$11:$J$310,295),IF(295&lt;=COUNTA(半紙!$B$11:$B$310)+COUNTA(条幅!$B$11:$B$310),INDEX(条幅!$J$11:$J$310,295-COUNTA(半紙!$B$11:$B$310)),IF(295&lt;=COUNTA(半紙!$B$11:$B$310)+COUNTA(条幅!$B$11:$B$310)+COUNTA(条幅4分の1!$B$11:$B$310),INDEX(条幅4分の1!$J$11:$J$310,295-COUNTA(半紙!$B$11:$B$310)-COUNTA(条幅!$B$11:$B$310)),""))))</f>
        <v/>
      </c>
      <c r="K300" s="38" t="str">
        <f>IF(IF(295&lt;=COUNTA(半紙!$B$11:$B$310),INDEX(半紙!$K$11:$K$310,295),IF(295&lt;=COUNTA(半紙!$B$11:$B$310)+COUNTA(条幅!$B$11:$B$310),INDEX(条幅!$K$11:$K$310,295-COUNTA(半紙!$B$11:$B$310)),IF(295&lt;=COUNTA(半紙!$B$11:$B$310)+COUNTA(条幅!$B$11:$B$310)+COUNTA(条幅4分の1!$B$11:$B$310),INDEX(条幅4分の1!$K$11:$K$310,295-COUNTA(半紙!$B$11:$B$310)-COUNTA(条幅!$B$11:$B$310)),"")))=0,"",IF(295&lt;=COUNTA(半紙!$B$11:$B$310),INDEX(半紙!$K$11:$K$310,295),IF(295&lt;=COUNTA(半紙!$B$11:$B$310)+COUNTA(条幅!$B$11:$B$310),INDEX(条幅!$K$11:$K$310,295-COUNTA(半紙!$B$11:$B$310)),IF(295&lt;=COUNTA(半紙!$B$11:$B$310)+COUNTA(条幅!$B$11:$B$310)+COUNTA(条幅4分の1!$B$11:$B$310),INDEX(条幅4分の1!$K$11:$K$310,295-COUNTA(半紙!$B$11:$B$310)-COUNTA(条幅!$B$11:$B$310)),""))))</f>
        <v/>
      </c>
      <c r="L300" s="48" t="str">
        <f>IF($B300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295))</f>
        <v/>
      </c>
    </row>
    <row r="301" spans="1:12" ht="15" customHeight="1">
      <c r="A301" s="37" t="str">
        <f>IF(296&lt;=COUNTA(半紙!$B$11:$B$310),"半紙",IF(296&lt;=COUNTA(半紙!$B$11:$B$310)+COUNTA(条幅!$B$11:$B$310),"条幅(半切)",IF(296&lt;=COUNTA(半紙!$B$11:$B$310)+COUNTA(条幅!$B$11:$B$310)+COUNTA(条幅4分の1!$B$11:$B$310),"条幅(1/4)","")))</f>
        <v/>
      </c>
      <c r="B301" s="38" t="str">
        <f>IF(IF(296&lt;=COUNTA(半紙!$B$11:$B$310),INDEX(半紙!$B$11:$B$310,296),IF(296&lt;=COUNTA(半紙!$B$11:$B$310)+COUNTA(条幅!$B$11:$B$310),INDEX(条幅!$B$11:$B$310,296-COUNTA(半紙!$B$11:$B$310)),IF(296&lt;=COUNTA(半紙!$B$11:$B$310)+COUNTA(条幅!$B$11:$B$310)+COUNTA(条幅4分の1!$B$11:$B$310),INDEX(条幅4分の1!$B$11:$B$310,296-COUNTA(半紙!$B$11:$B$310)-COUNTA(条幅!$B$11:$B$310)),"")))=0,"",IF(296&lt;=COUNTA(半紙!$B$11:$B$310),INDEX(半紙!$B$11:$B$310,296),IF(296&lt;=COUNTA(半紙!$B$11:$B$310)+COUNTA(条幅!$B$11:$B$310),INDEX(条幅!$B$11:$B$310,296-COUNTA(半紙!$B$11:$B$310)),IF(296&lt;=COUNTA(半紙!$B$11:$B$310)+COUNTA(条幅!$B$11:$B$310)+COUNTA(条幅4分の1!$B$11:$B$310),INDEX(条幅4分の1!$B$11:$B$310,296-COUNTA(半紙!$B$11:$B$310)-COUNTA(条幅!$B$11:$B$310)),""))))</f>
        <v/>
      </c>
      <c r="C301" s="38" t="str">
        <f>IF(IF(296&lt;=COUNTA(半紙!$B$11:$B$310),INDEX(半紙!$C$11:$C$310,296),IF(296&lt;=COUNTA(半紙!$B$11:$B$310)+COUNTA(条幅!$B$11:$B$310),INDEX(条幅!$C$11:$C$310,296-COUNTA(半紙!$B$11:$B$310)),IF(296&lt;=COUNTA(半紙!$B$11:$B$310)+COUNTA(条幅!$B$11:$B$310)+COUNTA(条幅4分の1!$B$11:$B$310),INDEX(条幅4分の1!$C$11:$C$310,296-COUNTA(半紙!$B$11:$B$310)-COUNTA(条幅!$B$11:$B$310)),"")))=0,"",IF(296&lt;=COUNTA(半紙!$B$11:$B$310),INDEX(半紙!$C$11:$C$310,296),IF(296&lt;=COUNTA(半紙!$B$11:$B$310)+COUNTA(条幅!$B$11:$B$310),INDEX(条幅!$C$11:$C$310,296-COUNTA(半紙!$B$11:$B$310)),IF(296&lt;=COUNTA(半紙!$B$11:$B$310)+COUNTA(条幅!$B$11:$B$310)+COUNTA(条幅4分の1!$B$11:$B$310),INDEX(条幅4分の1!$C$11:$C$310,296-COUNTA(半紙!$B$11:$B$310)-COUNTA(条幅!$B$11:$B$310)),""))))</f>
        <v/>
      </c>
      <c r="D301" s="38" t="str">
        <f>IF(IF(296&lt;=COUNTA(半紙!$B$11:$B$310),INDEX(半紙!$D$11:$D$310,296),IF(296&lt;=COUNTA(半紙!$B$11:$B$310)+COUNTA(条幅!$B$11:$B$310),INDEX(条幅!$D$11:$D$310,296-COUNTA(半紙!$B$11:$B$310)),IF(296&lt;=COUNTA(半紙!$B$11:$B$310)+COUNTA(条幅!$B$11:$B$310)+COUNTA(条幅4分の1!$B$11:$B$310),INDEX(条幅4分の1!$D$11:$D$310,296-COUNTA(半紙!$B$11:$B$310)-COUNTA(条幅!$B$11:$B$310)),"")))=0,"",IF(296&lt;=COUNTA(半紙!$B$11:$B$310),INDEX(半紙!$D$11:$D$310,296),IF(296&lt;=COUNTA(半紙!$B$11:$B$310)+COUNTA(条幅!$B$11:$B$310),INDEX(条幅!$D$11:$D$310,296-COUNTA(半紙!$B$11:$B$310)),IF(296&lt;=COUNTA(半紙!$B$11:$B$310)+COUNTA(条幅!$B$11:$B$310)+COUNTA(条幅4分の1!$B$11:$B$310),INDEX(条幅4分の1!$D$11:$D$310,296-COUNTA(半紙!$B$11:$B$310)-COUNTA(条幅!$B$11:$B$310)),""))))</f>
        <v/>
      </c>
      <c r="E301" s="38" t="str">
        <f>IF(IF(296&lt;=COUNTA(半紙!$B$11:$B$310),INDEX(半紙!$E$11:$E$310,296),IF(296&lt;=COUNTA(半紙!$B$11:$B$310)+COUNTA(条幅!$B$11:$B$310),INDEX(条幅!$E$11:$E$310,296-COUNTA(半紙!$B$11:$B$310)),IF(296&lt;=COUNTA(半紙!$B$11:$B$310)+COUNTA(条幅!$B$11:$B$310)+COUNTA(条幅4分の1!$B$11:$B$310),INDEX(条幅4分の1!$E$11:$E$310,296-COUNTA(半紙!$B$11:$B$310)-COUNTA(条幅!$B$11:$B$310)),"")))=0,"",IF(296&lt;=COUNTA(半紙!$B$11:$B$310),INDEX(半紙!$E$11:$E$310,296),IF(296&lt;=COUNTA(半紙!$B$11:$B$310)+COUNTA(条幅!$B$11:$B$310),INDEX(条幅!$E$11:$E$310,296-COUNTA(半紙!$B$11:$B$310)),IF(296&lt;=COUNTA(半紙!$B$11:$B$310)+COUNTA(条幅!$B$11:$B$310)+COUNTA(条幅4分の1!$B$11:$B$310),INDEX(条幅4分の1!$E$11:$E$310,296-COUNTA(半紙!$B$11:$B$310)-COUNTA(条幅!$B$11:$B$310)),""))))</f>
        <v/>
      </c>
      <c r="F301" s="38" t="str">
        <f>IF(IF(296&lt;=COUNTA(半紙!$B$11:$B$310),INDEX(半紙!$F$11:$F$310,296),IF(296&lt;=COUNTA(半紙!$B$11:$B$310)+COUNTA(条幅!$B$11:$B$310),INDEX(条幅!$F$11:$F$310,296-COUNTA(半紙!$B$11:$B$310)),IF(296&lt;=COUNTA(半紙!$B$11:$B$310)+COUNTA(条幅!$B$11:$B$310)+COUNTA(条幅4分の1!$B$11:$B$310),INDEX(条幅4分の1!$F$11:$F$310,296-COUNTA(半紙!$B$11:$B$310)-COUNTA(条幅!$B$11:$B$310)),"")))=0,"",IF(296&lt;=COUNTA(半紙!$B$11:$B$310),INDEX(半紙!$F$11:$F$310,296),IF(296&lt;=COUNTA(半紙!$B$11:$B$310)+COUNTA(条幅!$B$11:$B$310),INDEX(条幅!$F$11:$F$310,296-COUNTA(半紙!$B$11:$B$310)),IF(296&lt;=COUNTA(半紙!$B$11:$B$310)+COUNTA(条幅!$B$11:$B$310)+COUNTA(条幅4分の1!$B$11:$B$310),INDEX(条幅4分の1!$F$11:$F$310,296-COUNTA(半紙!$B$11:$B$310)-COUNTA(条幅!$B$11:$B$310)),""))))</f>
        <v/>
      </c>
      <c r="G301" s="38" t="str">
        <f>IF(IF(296&lt;=COUNTA(半紙!$B$11:$B$310),INDEX(半紙!$G$11:$G$310,296),IF(296&lt;=COUNTA(半紙!$B$11:$B$310)+COUNTA(条幅!$B$11:$B$310),INDEX(条幅!$G$11:$G$310,296-COUNTA(半紙!$B$11:$B$310)),IF(296&lt;=COUNTA(半紙!$B$11:$B$310)+COUNTA(条幅!$B$11:$B$310)+COUNTA(条幅4分の1!$B$11:$B$310),INDEX(条幅4分の1!$G$11:$G$310,296-COUNTA(半紙!$B$11:$B$310)-COUNTA(条幅!$B$11:$B$310)),"")))=0,"",IF(296&lt;=COUNTA(半紙!$B$11:$B$310),INDEX(半紙!$G$11:$G$310,296),IF(296&lt;=COUNTA(半紙!$B$11:$B$310)+COUNTA(条幅!$B$11:$B$310),INDEX(条幅!$G$11:$G$310,296-COUNTA(半紙!$B$11:$B$310)),IF(296&lt;=COUNTA(半紙!$B$11:$B$310)+COUNTA(条幅!$B$11:$B$310)+COUNTA(条幅4分の1!$B$11:$B$310),INDEX(条幅4分の1!$G$11:$G$310,296-COUNTA(半紙!$B$11:$B$310)-COUNTA(条幅!$B$11:$B$310)),""))))</f>
        <v/>
      </c>
      <c r="H301" s="38" t="str">
        <f>IF(IF(296&lt;=COUNTA(半紙!$B$11:$B$310),INDEX(半紙!$H$11:$H$310,296),IF(296&lt;=COUNTA(半紙!$B$11:$B$310)+COUNTA(条幅!$B$11:$B$310),INDEX(条幅!$H$11:$H$310,296-COUNTA(半紙!$B$11:$B$310)),IF(296&lt;=COUNTA(半紙!$B$11:$B$310)+COUNTA(条幅!$B$11:$B$310)+COUNTA(条幅4分の1!$B$11:$B$310),INDEX(条幅4分の1!$H$11:$H$310,296-COUNTA(半紙!$B$11:$B$310)-COUNTA(条幅!$B$11:$B$310)),"")))=0,"",IF(296&lt;=COUNTA(半紙!$B$11:$B$310),INDEX(半紙!$H$11:$H$310,296),IF(296&lt;=COUNTA(半紙!$B$11:$B$310)+COUNTA(条幅!$B$11:$B$310),INDEX(条幅!$H$11:$H$310,296-COUNTA(半紙!$B$11:$B$310)),IF(296&lt;=COUNTA(半紙!$B$11:$B$310)+COUNTA(条幅!$B$11:$B$310)+COUNTA(条幅4分の1!$B$11:$B$310),INDEX(条幅4分の1!$H$11:$H$310,296-COUNTA(半紙!$B$11:$B$310)-COUNTA(条幅!$B$11:$B$310)),""))))</f>
        <v/>
      </c>
      <c r="I301" s="38" t="str">
        <f>IF(IF(296&lt;=COUNTA(半紙!$B$11:$B$310),INDEX(半紙!$I$11:$I$310,296),IF(296&lt;=COUNTA(半紙!$B$11:$B$310)+COUNTA(条幅!$B$11:$B$310),INDEX(条幅!$I$11:$I$310,296-COUNTA(半紙!$B$11:$B$310)),IF(296&lt;=COUNTA(半紙!$B$11:$B$310)+COUNTA(条幅!$B$11:$B$310)+COUNTA(条幅4分の1!$B$11:$B$310),INDEX(条幅4分の1!$I$11:$I$310,296-COUNTA(半紙!$B$11:$B$310)-COUNTA(条幅!$B$11:$B$310)),"")))=0,"",IF(296&lt;=COUNTA(半紙!$B$11:$B$310),INDEX(半紙!$I$11:$I$310,296),IF(296&lt;=COUNTA(半紙!$B$11:$B$310)+COUNTA(条幅!$B$11:$B$310),INDEX(条幅!$I$11:$I$310,296-COUNTA(半紙!$B$11:$B$310)),IF(296&lt;=COUNTA(半紙!$B$11:$B$310)+COUNTA(条幅!$B$11:$B$310)+COUNTA(条幅4分の1!$B$11:$B$310),INDEX(条幅4分の1!$I$11:$I$310,296-COUNTA(半紙!$B$11:$B$310)-COUNTA(条幅!$B$11:$B$310)),""))))</f>
        <v/>
      </c>
      <c r="J301" s="38" t="str">
        <f>IF(IF(296&lt;=COUNTA(半紙!$B$11:$B$310),INDEX(半紙!$J$11:$J$310,296),IF(296&lt;=COUNTA(半紙!$B$11:$B$310)+COUNTA(条幅!$B$11:$B$310),INDEX(条幅!$J$11:$J$310,296-COUNTA(半紙!$B$11:$B$310)),IF(296&lt;=COUNTA(半紙!$B$11:$B$310)+COUNTA(条幅!$B$11:$B$310)+COUNTA(条幅4分の1!$B$11:$B$310),INDEX(条幅4分の1!$J$11:$J$310,296-COUNTA(半紙!$B$11:$B$310)-COUNTA(条幅!$B$11:$B$310)),"")))=0,"",IF(296&lt;=COUNTA(半紙!$B$11:$B$310),INDEX(半紙!$J$11:$J$310,296),IF(296&lt;=COUNTA(半紙!$B$11:$B$310)+COUNTA(条幅!$B$11:$B$310),INDEX(条幅!$J$11:$J$310,296-COUNTA(半紙!$B$11:$B$310)),IF(296&lt;=COUNTA(半紙!$B$11:$B$310)+COUNTA(条幅!$B$11:$B$310)+COUNTA(条幅4分の1!$B$11:$B$310),INDEX(条幅4分の1!$J$11:$J$310,296-COUNTA(半紙!$B$11:$B$310)-COUNTA(条幅!$B$11:$B$310)),""))))</f>
        <v/>
      </c>
      <c r="K301" s="38" t="str">
        <f>IF(IF(296&lt;=COUNTA(半紙!$B$11:$B$310),INDEX(半紙!$K$11:$K$310,296),IF(296&lt;=COUNTA(半紙!$B$11:$B$310)+COUNTA(条幅!$B$11:$B$310),INDEX(条幅!$K$11:$K$310,296-COUNTA(半紙!$B$11:$B$310)),IF(296&lt;=COUNTA(半紙!$B$11:$B$310)+COUNTA(条幅!$B$11:$B$310)+COUNTA(条幅4分の1!$B$11:$B$310),INDEX(条幅4分の1!$K$11:$K$310,296-COUNTA(半紙!$B$11:$B$310)-COUNTA(条幅!$B$11:$B$310)),"")))=0,"",IF(296&lt;=COUNTA(半紙!$B$11:$B$310),INDEX(半紙!$K$11:$K$310,296),IF(296&lt;=COUNTA(半紙!$B$11:$B$310)+COUNTA(条幅!$B$11:$B$310),INDEX(条幅!$K$11:$K$310,296-COUNTA(半紙!$B$11:$B$310)),IF(296&lt;=COUNTA(半紙!$B$11:$B$310)+COUNTA(条幅!$B$11:$B$310)+COUNTA(条幅4分の1!$B$11:$B$310),INDEX(条幅4分の1!$K$11:$K$310,296-COUNTA(半紙!$B$11:$B$310)-COUNTA(条幅!$B$11:$B$310)),""))))</f>
        <v/>
      </c>
      <c r="L301" s="48" t="str">
        <f>IF($B301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296))</f>
        <v/>
      </c>
    </row>
    <row r="302" spans="1:12" ht="15" customHeight="1">
      <c r="A302" s="37" t="str">
        <f>IF(297&lt;=COUNTA(半紙!$B$11:$B$310),"半紙",IF(297&lt;=COUNTA(半紙!$B$11:$B$310)+COUNTA(条幅!$B$11:$B$310),"条幅(半切)",IF(297&lt;=COUNTA(半紙!$B$11:$B$310)+COUNTA(条幅!$B$11:$B$310)+COUNTA(条幅4分の1!$B$11:$B$310),"条幅(1/4)","")))</f>
        <v/>
      </c>
      <c r="B302" s="38" t="str">
        <f>IF(IF(297&lt;=COUNTA(半紙!$B$11:$B$310),INDEX(半紙!$B$11:$B$310,297),IF(297&lt;=COUNTA(半紙!$B$11:$B$310)+COUNTA(条幅!$B$11:$B$310),INDEX(条幅!$B$11:$B$310,297-COUNTA(半紙!$B$11:$B$310)),IF(297&lt;=COUNTA(半紙!$B$11:$B$310)+COUNTA(条幅!$B$11:$B$310)+COUNTA(条幅4分の1!$B$11:$B$310),INDEX(条幅4分の1!$B$11:$B$310,297-COUNTA(半紙!$B$11:$B$310)-COUNTA(条幅!$B$11:$B$310)),"")))=0,"",IF(297&lt;=COUNTA(半紙!$B$11:$B$310),INDEX(半紙!$B$11:$B$310,297),IF(297&lt;=COUNTA(半紙!$B$11:$B$310)+COUNTA(条幅!$B$11:$B$310),INDEX(条幅!$B$11:$B$310,297-COUNTA(半紙!$B$11:$B$310)),IF(297&lt;=COUNTA(半紙!$B$11:$B$310)+COUNTA(条幅!$B$11:$B$310)+COUNTA(条幅4分の1!$B$11:$B$310),INDEX(条幅4分の1!$B$11:$B$310,297-COUNTA(半紙!$B$11:$B$310)-COUNTA(条幅!$B$11:$B$310)),""))))</f>
        <v/>
      </c>
      <c r="C302" s="38" t="str">
        <f>IF(IF(297&lt;=COUNTA(半紙!$B$11:$B$310),INDEX(半紙!$C$11:$C$310,297),IF(297&lt;=COUNTA(半紙!$B$11:$B$310)+COUNTA(条幅!$B$11:$B$310),INDEX(条幅!$C$11:$C$310,297-COUNTA(半紙!$B$11:$B$310)),IF(297&lt;=COUNTA(半紙!$B$11:$B$310)+COUNTA(条幅!$B$11:$B$310)+COUNTA(条幅4分の1!$B$11:$B$310),INDEX(条幅4分の1!$C$11:$C$310,297-COUNTA(半紙!$B$11:$B$310)-COUNTA(条幅!$B$11:$B$310)),"")))=0,"",IF(297&lt;=COUNTA(半紙!$B$11:$B$310),INDEX(半紙!$C$11:$C$310,297),IF(297&lt;=COUNTA(半紙!$B$11:$B$310)+COUNTA(条幅!$B$11:$B$310),INDEX(条幅!$C$11:$C$310,297-COUNTA(半紙!$B$11:$B$310)),IF(297&lt;=COUNTA(半紙!$B$11:$B$310)+COUNTA(条幅!$B$11:$B$310)+COUNTA(条幅4分の1!$B$11:$B$310),INDEX(条幅4分の1!$C$11:$C$310,297-COUNTA(半紙!$B$11:$B$310)-COUNTA(条幅!$B$11:$B$310)),""))))</f>
        <v/>
      </c>
      <c r="D302" s="38" t="str">
        <f>IF(IF(297&lt;=COUNTA(半紙!$B$11:$B$310),INDEX(半紙!$D$11:$D$310,297),IF(297&lt;=COUNTA(半紙!$B$11:$B$310)+COUNTA(条幅!$B$11:$B$310),INDEX(条幅!$D$11:$D$310,297-COUNTA(半紙!$B$11:$B$310)),IF(297&lt;=COUNTA(半紙!$B$11:$B$310)+COUNTA(条幅!$B$11:$B$310)+COUNTA(条幅4分の1!$B$11:$B$310),INDEX(条幅4分の1!$D$11:$D$310,297-COUNTA(半紙!$B$11:$B$310)-COUNTA(条幅!$B$11:$B$310)),"")))=0,"",IF(297&lt;=COUNTA(半紙!$B$11:$B$310),INDEX(半紙!$D$11:$D$310,297),IF(297&lt;=COUNTA(半紙!$B$11:$B$310)+COUNTA(条幅!$B$11:$B$310),INDEX(条幅!$D$11:$D$310,297-COUNTA(半紙!$B$11:$B$310)),IF(297&lt;=COUNTA(半紙!$B$11:$B$310)+COUNTA(条幅!$B$11:$B$310)+COUNTA(条幅4分の1!$B$11:$B$310),INDEX(条幅4分の1!$D$11:$D$310,297-COUNTA(半紙!$B$11:$B$310)-COUNTA(条幅!$B$11:$B$310)),""))))</f>
        <v/>
      </c>
      <c r="E302" s="38" t="str">
        <f>IF(IF(297&lt;=COUNTA(半紙!$B$11:$B$310),INDEX(半紙!$E$11:$E$310,297),IF(297&lt;=COUNTA(半紙!$B$11:$B$310)+COUNTA(条幅!$B$11:$B$310),INDEX(条幅!$E$11:$E$310,297-COUNTA(半紙!$B$11:$B$310)),IF(297&lt;=COUNTA(半紙!$B$11:$B$310)+COUNTA(条幅!$B$11:$B$310)+COUNTA(条幅4分の1!$B$11:$B$310),INDEX(条幅4分の1!$E$11:$E$310,297-COUNTA(半紙!$B$11:$B$310)-COUNTA(条幅!$B$11:$B$310)),"")))=0,"",IF(297&lt;=COUNTA(半紙!$B$11:$B$310),INDEX(半紙!$E$11:$E$310,297),IF(297&lt;=COUNTA(半紙!$B$11:$B$310)+COUNTA(条幅!$B$11:$B$310),INDEX(条幅!$E$11:$E$310,297-COUNTA(半紙!$B$11:$B$310)),IF(297&lt;=COUNTA(半紙!$B$11:$B$310)+COUNTA(条幅!$B$11:$B$310)+COUNTA(条幅4分の1!$B$11:$B$310),INDEX(条幅4分の1!$E$11:$E$310,297-COUNTA(半紙!$B$11:$B$310)-COUNTA(条幅!$B$11:$B$310)),""))))</f>
        <v/>
      </c>
      <c r="F302" s="38" t="str">
        <f>IF(IF(297&lt;=COUNTA(半紙!$B$11:$B$310),INDEX(半紙!$F$11:$F$310,297),IF(297&lt;=COUNTA(半紙!$B$11:$B$310)+COUNTA(条幅!$B$11:$B$310),INDEX(条幅!$F$11:$F$310,297-COUNTA(半紙!$B$11:$B$310)),IF(297&lt;=COUNTA(半紙!$B$11:$B$310)+COUNTA(条幅!$B$11:$B$310)+COUNTA(条幅4分の1!$B$11:$B$310),INDEX(条幅4分の1!$F$11:$F$310,297-COUNTA(半紙!$B$11:$B$310)-COUNTA(条幅!$B$11:$B$310)),"")))=0,"",IF(297&lt;=COUNTA(半紙!$B$11:$B$310),INDEX(半紙!$F$11:$F$310,297),IF(297&lt;=COUNTA(半紙!$B$11:$B$310)+COUNTA(条幅!$B$11:$B$310),INDEX(条幅!$F$11:$F$310,297-COUNTA(半紙!$B$11:$B$310)),IF(297&lt;=COUNTA(半紙!$B$11:$B$310)+COUNTA(条幅!$B$11:$B$310)+COUNTA(条幅4分の1!$B$11:$B$310),INDEX(条幅4分の1!$F$11:$F$310,297-COUNTA(半紙!$B$11:$B$310)-COUNTA(条幅!$B$11:$B$310)),""))))</f>
        <v/>
      </c>
      <c r="G302" s="38" t="str">
        <f>IF(IF(297&lt;=COUNTA(半紙!$B$11:$B$310),INDEX(半紙!$G$11:$G$310,297),IF(297&lt;=COUNTA(半紙!$B$11:$B$310)+COUNTA(条幅!$B$11:$B$310),INDEX(条幅!$G$11:$G$310,297-COUNTA(半紙!$B$11:$B$310)),IF(297&lt;=COUNTA(半紙!$B$11:$B$310)+COUNTA(条幅!$B$11:$B$310)+COUNTA(条幅4分の1!$B$11:$B$310),INDEX(条幅4分の1!$G$11:$G$310,297-COUNTA(半紙!$B$11:$B$310)-COUNTA(条幅!$B$11:$B$310)),"")))=0,"",IF(297&lt;=COUNTA(半紙!$B$11:$B$310),INDEX(半紙!$G$11:$G$310,297),IF(297&lt;=COUNTA(半紙!$B$11:$B$310)+COUNTA(条幅!$B$11:$B$310),INDEX(条幅!$G$11:$G$310,297-COUNTA(半紙!$B$11:$B$310)),IF(297&lt;=COUNTA(半紙!$B$11:$B$310)+COUNTA(条幅!$B$11:$B$310)+COUNTA(条幅4分の1!$B$11:$B$310),INDEX(条幅4分の1!$G$11:$G$310,297-COUNTA(半紙!$B$11:$B$310)-COUNTA(条幅!$B$11:$B$310)),""))))</f>
        <v/>
      </c>
      <c r="H302" s="38" t="str">
        <f>IF(IF(297&lt;=COUNTA(半紙!$B$11:$B$310),INDEX(半紙!$H$11:$H$310,297),IF(297&lt;=COUNTA(半紙!$B$11:$B$310)+COUNTA(条幅!$B$11:$B$310),INDEX(条幅!$H$11:$H$310,297-COUNTA(半紙!$B$11:$B$310)),IF(297&lt;=COUNTA(半紙!$B$11:$B$310)+COUNTA(条幅!$B$11:$B$310)+COUNTA(条幅4分の1!$B$11:$B$310),INDEX(条幅4分の1!$H$11:$H$310,297-COUNTA(半紙!$B$11:$B$310)-COUNTA(条幅!$B$11:$B$310)),"")))=0,"",IF(297&lt;=COUNTA(半紙!$B$11:$B$310),INDEX(半紙!$H$11:$H$310,297),IF(297&lt;=COUNTA(半紙!$B$11:$B$310)+COUNTA(条幅!$B$11:$B$310),INDEX(条幅!$H$11:$H$310,297-COUNTA(半紙!$B$11:$B$310)),IF(297&lt;=COUNTA(半紙!$B$11:$B$310)+COUNTA(条幅!$B$11:$B$310)+COUNTA(条幅4分の1!$B$11:$B$310),INDEX(条幅4分の1!$H$11:$H$310,297-COUNTA(半紙!$B$11:$B$310)-COUNTA(条幅!$B$11:$B$310)),""))))</f>
        <v/>
      </c>
      <c r="I302" s="38" t="str">
        <f>IF(IF(297&lt;=COUNTA(半紙!$B$11:$B$310),INDEX(半紙!$I$11:$I$310,297),IF(297&lt;=COUNTA(半紙!$B$11:$B$310)+COUNTA(条幅!$B$11:$B$310),INDEX(条幅!$I$11:$I$310,297-COUNTA(半紙!$B$11:$B$310)),IF(297&lt;=COUNTA(半紙!$B$11:$B$310)+COUNTA(条幅!$B$11:$B$310)+COUNTA(条幅4分の1!$B$11:$B$310),INDEX(条幅4分の1!$I$11:$I$310,297-COUNTA(半紙!$B$11:$B$310)-COUNTA(条幅!$B$11:$B$310)),"")))=0,"",IF(297&lt;=COUNTA(半紙!$B$11:$B$310),INDEX(半紙!$I$11:$I$310,297),IF(297&lt;=COUNTA(半紙!$B$11:$B$310)+COUNTA(条幅!$B$11:$B$310),INDEX(条幅!$I$11:$I$310,297-COUNTA(半紙!$B$11:$B$310)),IF(297&lt;=COUNTA(半紙!$B$11:$B$310)+COUNTA(条幅!$B$11:$B$310)+COUNTA(条幅4分の1!$B$11:$B$310),INDEX(条幅4分の1!$I$11:$I$310,297-COUNTA(半紙!$B$11:$B$310)-COUNTA(条幅!$B$11:$B$310)),""))))</f>
        <v/>
      </c>
      <c r="J302" s="38" t="str">
        <f>IF(IF(297&lt;=COUNTA(半紙!$B$11:$B$310),INDEX(半紙!$J$11:$J$310,297),IF(297&lt;=COUNTA(半紙!$B$11:$B$310)+COUNTA(条幅!$B$11:$B$310),INDEX(条幅!$J$11:$J$310,297-COUNTA(半紙!$B$11:$B$310)),IF(297&lt;=COUNTA(半紙!$B$11:$B$310)+COUNTA(条幅!$B$11:$B$310)+COUNTA(条幅4分の1!$B$11:$B$310),INDEX(条幅4分の1!$J$11:$J$310,297-COUNTA(半紙!$B$11:$B$310)-COUNTA(条幅!$B$11:$B$310)),"")))=0,"",IF(297&lt;=COUNTA(半紙!$B$11:$B$310),INDEX(半紙!$J$11:$J$310,297),IF(297&lt;=COUNTA(半紙!$B$11:$B$310)+COUNTA(条幅!$B$11:$B$310),INDEX(条幅!$J$11:$J$310,297-COUNTA(半紙!$B$11:$B$310)),IF(297&lt;=COUNTA(半紙!$B$11:$B$310)+COUNTA(条幅!$B$11:$B$310)+COUNTA(条幅4分の1!$B$11:$B$310),INDEX(条幅4分の1!$J$11:$J$310,297-COUNTA(半紙!$B$11:$B$310)-COUNTA(条幅!$B$11:$B$310)),""))))</f>
        <v/>
      </c>
      <c r="K302" s="38" t="str">
        <f>IF(IF(297&lt;=COUNTA(半紙!$B$11:$B$310),INDEX(半紙!$K$11:$K$310,297),IF(297&lt;=COUNTA(半紙!$B$11:$B$310)+COUNTA(条幅!$B$11:$B$310),INDEX(条幅!$K$11:$K$310,297-COUNTA(半紙!$B$11:$B$310)),IF(297&lt;=COUNTA(半紙!$B$11:$B$310)+COUNTA(条幅!$B$11:$B$310)+COUNTA(条幅4分の1!$B$11:$B$310),INDEX(条幅4分の1!$K$11:$K$310,297-COUNTA(半紙!$B$11:$B$310)-COUNTA(条幅!$B$11:$B$310)),"")))=0,"",IF(297&lt;=COUNTA(半紙!$B$11:$B$310),INDEX(半紙!$K$11:$K$310,297),IF(297&lt;=COUNTA(半紙!$B$11:$B$310)+COUNTA(条幅!$B$11:$B$310),INDEX(条幅!$K$11:$K$310,297-COUNTA(半紙!$B$11:$B$310)),IF(297&lt;=COUNTA(半紙!$B$11:$B$310)+COUNTA(条幅!$B$11:$B$310)+COUNTA(条幅4分の1!$B$11:$B$310),INDEX(条幅4分の1!$K$11:$K$310,297-COUNTA(半紙!$B$11:$B$310)-COUNTA(条幅!$B$11:$B$310)),""))))</f>
        <v/>
      </c>
      <c r="L302" s="48" t="str">
        <f>IF($B302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297))</f>
        <v/>
      </c>
    </row>
    <row r="303" spans="1:12" ht="15" customHeight="1">
      <c r="A303" s="37" t="str">
        <f>IF(298&lt;=COUNTA(半紙!$B$11:$B$310),"半紙",IF(298&lt;=COUNTA(半紙!$B$11:$B$310)+COUNTA(条幅!$B$11:$B$310),"条幅(半切)",IF(298&lt;=COUNTA(半紙!$B$11:$B$310)+COUNTA(条幅!$B$11:$B$310)+COUNTA(条幅4分の1!$B$11:$B$310),"条幅(1/4)","")))</f>
        <v/>
      </c>
      <c r="B303" s="38" t="str">
        <f>IF(IF(298&lt;=COUNTA(半紙!$B$11:$B$310),INDEX(半紙!$B$11:$B$310,298),IF(298&lt;=COUNTA(半紙!$B$11:$B$310)+COUNTA(条幅!$B$11:$B$310),INDEX(条幅!$B$11:$B$310,298-COUNTA(半紙!$B$11:$B$310)),IF(298&lt;=COUNTA(半紙!$B$11:$B$310)+COUNTA(条幅!$B$11:$B$310)+COUNTA(条幅4分の1!$B$11:$B$310),INDEX(条幅4分の1!$B$11:$B$310,298-COUNTA(半紙!$B$11:$B$310)-COUNTA(条幅!$B$11:$B$310)),"")))=0,"",IF(298&lt;=COUNTA(半紙!$B$11:$B$310),INDEX(半紙!$B$11:$B$310,298),IF(298&lt;=COUNTA(半紙!$B$11:$B$310)+COUNTA(条幅!$B$11:$B$310),INDEX(条幅!$B$11:$B$310,298-COUNTA(半紙!$B$11:$B$310)),IF(298&lt;=COUNTA(半紙!$B$11:$B$310)+COUNTA(条幅!$B$11:$B$310)+COUNTA(条幅4分の1!$B$11:$B$310),INDEX(条幅4分の1!$B$11:$B$310,298-COUNTA(半紙!$B$11:$B$310)-COUNTA(条幅!$B$11:$B$310)),""))))</f>
        <v/>
      </c>
      <c r="C303" s="38" t="str">
        <f>IF(IF(298&lt;=COUNTA(半紙!$B$11:$B$310),INDEX(半紙!$C$11:$C$310,298),IF(298&lt;=COUNTA(半紙!$B$11:$B$310)+COUNTA(条幅!$B$11:$B$310),INDEX(条幅!$C$11:$C$310,298-COUNTA(半紙!$B$11:$B$310)),IF(298&lt;=COUNTA(半紙!$B$11:$B$310)+COUNTA(条幅!$B$11:$B$310)+COUNTA(条幅4分の1!$B$11:$B$310),INDEX(条幅4分の1!$C$11:$C$310,298-COUNTA(半紙!$B$11:$B$310)-COUNTA(条幅!$B$11:$B$310)),"")))=0,"",IF(298&lt;=COUNTA(半紙!$B$11:$B$310),INDEX(半紙!$C$11:$C$310,298),IF(298&lt;=COUNTA(半紙!$B$11:$B$310)+COUNTA(条幅!$B$11:$B$310),INDEX(条幅!$C$11:$C$310,298-COUNTA(半紙!$B$11:$B$310)),IF(298&lt;=COUNTA(半紙!$B$11:$B$310)+COUNTA(条幅!$B$11:$B$310)+COUNTA(条幅4分の1!$B$11:$B$310),INDEX(条幅4分の1!$C$11:$C$310,298-COUNTA(半紙!$B$11:$B$310)-COUNTA(条幅!$B$11:$B$310)),""))))</f>
        <v/>
      </c>
      <c r="D303" s="38" t="str">
        <f>IF(IF(298&lt;=COUNTA(半紙!$B$11:$B$310),INDEX(半紙!$D$11:$D$310,298),IF(298&lt;=COUNTA(半紙!$B$11:$B$310)+COUNTA(条幅!$B$11:$B$310),INDEX(条幅!$D$11:$D$310,298-COUNTA(半紙!$B$11:$B$310)),IF(298&lt;=COUNTA(半紙!$B$11:$B$310)+COUNTA(条幅!$B$11:$B$310)+COUNTA(条幅4分の1!$B$11:$B$310),INDEX(条幅4分の1!$D$11:$D$310,298-COUNTA(半紙!$B$11:$B$310)-COUNTA(条幅!$B$11:$B$310)),"")))=0,"",IF(298&lt;=COUNTA(半紙!$B$11:$B$310),INDEX(半紙!$D$11:$D$310,298),IF(298&lt;=COUNTA(半紙!$B$11:$B$310)+COUNTA(条幅!$B$11:$B$310),INDEX(条幅!$D$11:$D$310,298-COUNTA(半紙!$B$11:$B$310)),IF(298&lt;=COUNTA(半紙!$B$11:$B$310)+COUNTA(条幅!$B$11:$B$310)+COUNTA(条幅4分の1!$B$11:$B$310),INDEX(条幅4分の1!$D$11:$D$310,298-COUNTA(半紙!$B$11:$B$310)-COUNTA(条幅!$B$11:$B$310)),""))))</f>
        <v/>
      </c>
      <c r="E303" s="38" t="str">
        <f>IF(IF(298&lt;=COUNTA(半紙!$B$11:$B$310),INDEX(半紙!$E$11:$E$310,298),IF(298&lt;=COUNTA(半紙!$B$11:$B$310)+COUNTA(条幅!$B$11:$B$310),INDEX(条幅!$E$11:$E$310,298-COUNTA(半紙!$B$11:$B$310)),IF(298&lt;=COUNTA(半紙!$B$11:$B$310)+COUNTA(条幅!$B$11:$B$310)+COUNTA(条幅4分の1!$B$11:$B$310),INDEX(条幅4分の1!$E$11:$E$310,298-COUNTA(半紙!$B$11:$B$310)-COUNTA(条幅!$B$11:$B$310)),"")))=0,"",IF(298&lt;=COUNTA(半紙!$B$11:$B$310),INDEX(半紙!$E$11:$E$310,298),IF(298&lt;=COUNTA(半紙!$B$11:$B$310)+COUNTA(条幅!$B$11:$B$310),INDEX(条幅!$E$11:$E$310,298-COUNTA(半紙!$B$11:$B$310)),IF(298&lt;=COUNTA(半紙!$B$11:$B$310)+COUNTA(条幅!$B$11:$B$310)+COUNTA(条幅4分の1!$B$11:$B$310),INDEX(条幅4分の1!$E$11:$E$310,298-COUNTA(半紙!$B$11:$B$310)-COUNTA(条幅!$B$11:$B$310)),""))))</f>
        <v/>
      </c>
      <c r="F303" s="38" t="str">
        <f>IF(IF(298&lt;=COUNTA(半紙!$B$11:$B$310),INDEX(半紙!$F$11:$F$310,298),IF(298&lt;=COUNTA(半紙!$B$11:$B$310)+COUNTA(条幅!$B$11:$B$310),INDEX(条幅!$F$11:$F$310,298-COUNTA(半紙!$B$11:$B$310)),IF(298&lt;=COUNTA(半紙!$B$11:$B$310)+COUNTA(条幅!$B$11:$B$310)+COUNTA(条幅4分の1!$B$11:$B$310),INDEX(条幅4分の1!$F$11:$F$310,298-COUNTA(半紙!$B$11:$B$310)-COUNTA(条幅!$B$11:$B$310)),"")))=0,"",IF(298&lt;=COUNTA(半紙!$B$11:$B$310),INDEX(半紙!$F$11:$F$310,298),IF(298&lt;=COUNTA(半紙!$B$11:$B$310)+COUNTA(条幅!$B$11:$B$310),INDEX(条幅!$F$11:$F$310,298-COUNTA(半紙!$B$11:$B$310)),IF(298&lt;=COUNTA(半紙!$B$11:$B$310)+COUNTA(条幅!$B$11:$B$310)+COUNTA(条幅4分の1!$B$11:$B$310),INDEX(条幅4分の1!$F$11:$F$310,298-COUNTA(半紙!$B$11:$B$310)-COUNTA(条幅!$B$11:$B$310)),""))))</f>
        <v/>
      </c>
      <c r="G303" s="38" t="str">
        <f>IF(IF(298&lt;=COUNTA(半紙!$B$11:$B$310),INDEX(半紙!$G$11:$G$310,298),IF(298&lt;=COUNTA(半紙!$B$11:$B$310)+COUNTA(条幅!$B$11:$B$310),INDEX(条幅!$G$11:$G$310,298-COUNTA(半紙!$B$11:$B$310)),IF(298&lt;=COUNTA(半紙!$B$11:$B$310)+COUNTA(条幅!$B$11:$B$310)+COUNTA(条幅4分の1!$B$11:$B$310),INDEX(条幅4分の1!$G$11:$G$310,298-COUNTA(半紙!$B$11:$B$310)-COUNTA(条幅!$B$11:$B$310)),"")))=0,"",IF(298&lt;=COUNTA(半紙!$B$11:$B$310),INDEX(半紙!$G$11:$G$310,298),IF(298&lt;=COUNTA(半紙!$B$11:$B$310)+COUNTA(条幅!$B$11:$B$310),INDEX(条幅!$G$11:$G$310,298-COUNTA(半紙!$B$11:$B$310)),IF(298&lt;=COUNTA(半紙!$B$11:$B$310)+COUNTA(条幅!$B$11:$B$310)+COUNTA(条幅4分の1!$B$11:$B$310),INDEX(条幅4分の1!$G$11:$G$310,298-COUNTA(半紙!$B$11:$B$310)-COUNTA(条幅!$B$11:$B$310)),""))))</f>
        <v/>
      </c>
      <c r="H303" s="38" t="str">
        <f>IF(IF(298&lt;=COUNTA(半紙!$B$11:$B$310),INDEX(半紙!$H$11:$H$310,298),IF(298&lt;=COUNTA(半紙!$B$11:$B$310)+COUNTA(条幅!$B$11:$B$310),INDEX(条幅!$H$11:$H$310,298-COUNTA(半紙!$B$11:$B$310)),IF(298&lt;=COUNTA(半紙!$B$11:$B$310)+COUNTA(条幅!$B$11:$B$310)+COUNTA(条幅4分の1!$B$11:$B$310),INDEX(条幅4分の1!$H$11:$H$310,298-COUNTA(半紙!$B$11:$B$310)-COUNTA(条幅!$B$11:$B$310)),"")))=0,"",IF(298&lt;=COUNTA(半紙!$B$11:$B$310),INDEX(半紙!$H$11:$H$310,298),IF(298&lt;=COUNTA(半紙!$B$11:$B$310)+COUNTA(条幅!$B$11:$B$310),INDEX(条幅!$H$11:$H$310,298-COUNTA(半紙!$B$11:$B$310)),IF(298&lt;=COUNTA(半紙!$B$11:$B$310)+COUNTA(条幅!$B$11:$B$310)+COUNTA(条幅4分の1!$B$11:$B$310),INDEX(条幅4分の1!$H$11:$H$310,298-COUNTA(半紙!$B$11:$B$310)-COUNTA(条幅!$B$11:$B$310)),""))))</f>
        <v/>
      </c>
      <c r="I303" s="38" t="str">
        <f>IF(IF(298&lt;=COUNTA(半紙!$B$11:$B$310),INDEX(半紙!$I$11:$I$310,298),IF(298&lt;=COUNTA(半紙!$B$11:$B$310)+COUNTA(条幅!$B$11:$B$310),INDEX(条幅!$I$11:$I$310,298-COUNTA(半紙!$B$11:$B$310)),IF(298&lt;=COUNTA(半紙!$B$11:$B$310)+COUNTA(条幅!$B$11:$B$310)+COUNTA(条幅4分の1!$B$11:$B$310),INDEX(条幅4分の1!$I$11:$I$310,298-COUNTA(半紙!$B$11:$B$310)-COUNTA(条幅!$B$11:$B$310)),"")))=0,"",IF(298&lt;=COUNTA(半紙!$B$11:$B$310),INDEX(半紙!$I$11:$I$310,298),IF(298&lt;=COUNTA(半紙!$B$11:$B$310)+COUNTA(条幅!$B$11:$B$310),INDEX(条幅!$I$11:$I$310,298-COUNTA(半紙!$B$11:$B$310)),IF(298&lt;=COUNTA(半紙!$B$11:$B$310)+COUNTA(条幅!$B$11:$B$310)+COUNTA(条幅4分の1!$B$11:$B$310),INDEX(条幅4分の1!$I$11:$I$310,298-COUNTA(半紙!$B$11:$B$310)-COUNTA(条幅!$B$11:$B$310)),""))))</f>
        <v/>
      </c>
      <c r="J303" s="38" t="str">
        <f>IF(IF(298&lt;=COUNTA(半紙!$B$11:$B$310),INDEX(半紙!$J$11:$J$310,298),IF(298&lt;=COUNTA(半紙!$B$11:$B$310)+COUNTA(条幅!$B$11:$B$310),INDEX(条幅!$J$11:$J$310,298-COUNTA(半紙!$B$11:$B$310)),IF(298&lt;=COUNTA(半紙!$B$11:$B$310)+COUNTA(条幅!$B$11:$B$310)+COUNTA(条幅4分の1!$B$11:$B$310),INDEX(条幅4分の1!$J$11:$J$310,298-COUNTA(半紙!$B$11:$B$310)-COUNTA(条幅!$B$11:$B$310)),"")))=0,"",IF(298&lt;=COUNTA(半紙!$B$11:$B$310),INDEX(半紙!$J$11:$J$310,298),IF(298&lt;=COUNTA(半紙!$B$11:$B$310)+COUNTA(条幅!$B$11:$B$310),INDEX(条幅!$J$11:$J$310,298-COUNTA(半紙!$B$11:$B$310)),IF(298&lt;=COUNTA(半紙!$B$11:$B$310)+COUNTA(条幅!$B$11:$B$310)+COUNTA(条幅4分の1!$B$11:$B$310),INDEX(条幅4分の1!$J$11:$J$310,298-COUNTA(半紙!$B$11:$B$310)-COUNTA(条幅!$B$11:$B$310)),""))))</f>
        <v/>
      </c>
      <c r="K303" s="38" t="str">
        <f>IF(IF(298&lt;=COUNTA(半紙!$B$11:$B$310),INDEX(半紙!$K$11:$K$310,298),IF(298&lt;=COUNTA(半紙!$B$11:$B$310)+COUNTA(条幅!$B$11:$B$310),INDEX(条幅!$K$11:$K$310,298-COUNTA(半紙!$B$11:$B$310)),IF(298&lt;=COUNTA(半紙!$B$11:$B$310)+COUNTA(条幅!$B$11:$B$310)+COUNTA(条幅4分の1!$B$11:$B$310),INDEX(条幅4分の1!$K$11:$K$310,298-COUNTA(半紙!$B$11:$B$310)-COUNTA(条幅!$B$11:$B$310)),"")))=0,"",IF(298&lt;=COUNTA(半紙!$B$11:$B$310),INDEX(半紙!$K$11:$K$310,298),IF(298&lt;=COUNTA(半紙!$B$11:$B$310)+COUNTA(条幅!$B$11:$B$310),INDEX(条幅!$K$11:$K$310,298-COUNTA(半紙!$B$11:$B$310)),IF(298&lt;=COUNTA(半紙!$B$11:$B$310)+COUNTA(条幅!$B$11:$B$310)+COUNTA(条幅4分の1!$B$11:$B$310),INDEX(条幅4分の1!$K$11:$K$310,298-COUNTA(半紙!$B$11:$B$310)-COUNTA(条幅!$B$11:$B$310)),""))))</f>
        <v/>
      </c>
      <c r="L303" s="48" t="str">
        <f>IF($B303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298))</f>
        <v/>
      </c>
    </row>
    <row r="304" spans="1:12" ht="15" customHeight="1">
      <c r="A304" s="37" t="str">
        <f>IF(299&lt;=COUNTA(半紙!$B$11:$B$310),"半紙",IF(299&lt;=COUNTA(半紙!$B$11:$B$310)+COUNTA(条幅!$B$11:$B$310),"条幅(半切)",IF(299&lt;=COUNTA(半紙!$B$11:$B$310)+COUNTA(条幅!$B$11:$B$310)+COUNTA(条幅4分の1!$B$11:$B$310),"条幅(1/4)","")))</f>
        <v/>
      </c>
      <c r="B304" s="38" t="str">
        <f>IF(IF(299&lt;=COUNTA(半紙!$B$11:$B$310),INDEX(半紙!$B$11:$B$310,299),IF(299&lt;=COUNTA(半紙!$B$11:$B$310)+COUNTA(条幅!$B$11:$B$310),INDEX(条幅!$B$11:$B$310,299-COUNTA(半紙!$B$11:$B$310)),IF(299&lt;=COUNTA(半紙!$B$11:$B$310)+COUNTA(条幅!$B$11:$B$310)+COUNTA(条幅4分の1!$B$11:$B$310),INDEX(条幅4分の1!$B$11:$B$310,299-COUNTA(半紙!$B$11:$B$310)-COUNTA(条幅!$B$11:$B$310)),"")))=0,"",IF(299&lt;=COUNTA(半紙!$B$11:$B$310),INDEX(半紙!$B$11:$B$310,299),IF(299&lt;=COUNTA(半紙!$B$11:$B$310)+COUNTA(条幅!$B$11:$B$310),INDEX(条幅!$B$11:$B$310,299-COUNTA(半紙!$B$11:$B$310)),IF(299&lt;=COUNTA(半紙!$B$11:$B$310)+COUNTA(条幅!$B$11:$B$310)+COUNTA(条幅4分の1!$B$11:$B$310),INDEX(条幅4分の1!$B$11:$B$310,299-COUNTA(半紙!$B$11:$B$310)-COUNTA(条幅!$B$11:$B$310)),""))))</f>
        <v/>
      </c>
      <c r="C304" s="38" t="str">
        <f>IF(IF(299&lt;=COUNTA(半紙!$B$11:$B$310),INDEX(半紙!$C$11:$C$310,299),IF(299&lt;=COUNTA(半紙!$B$11:$B$310)+COUNTA(条幅!$B$11:$B$310),INDEX(条幅!$C$11:$C$310,299-COUNTA(半紙!$B$11:$B$310)),IF(299&lt;=COUNTA(半紙!$B$11:$B$310)+COUNTA(条幅!$B$11:$B$310)+COUNTA(条幅4分の1!$B$11:$B$310),INDEX(条幅4分の1!$C$11:$C$310,299-COUNTA(半紙!$B$11:$B$310)-COUNTA(条幅!$B$11:$B$310)),"")))=0,"",IF(299&lt;=COUNTA(半紙!$B$11:$B$310),INDEX(半紙!$C$11:$C$310,299),IF(299&lt;=COUNTA(半紙!$B$11:$B$310)+COUNTA(条幅!$B$11:$B$310),INDEX(条幅!$C$11:$C$310,299-COUNTA(半紙!$B$11:$B$310)),IF(299&lt;=COUNTA(半紙!$B$11:$B$310)+COUNTA(条幅!$B$11:$B$310)+COUNTA(条幅4分の1!$B$11:$B$310),INDEX(条幅4分の1!$C$11:$C$310,299-COUNTA(半紙!$B$11:$B$310)-COUNTA(条幅!$B$11:$B$310)),""))))</f>
        <v/>
      </c>
      <c r="D304" s="38" t="str">
        <f>IF(IF(299&lt;=COUNTA(半紙!$B$11:$B$310),INDEX(半紙!$D$11:$D$310,299),IF(299&lt;=COUNTA(半紙!$B$11:$B$310)+COUNTA(条幅!$B$11:$B$310),INDEX(条幅!$D$11:$D$310,299-COUNTA(半紙!$B$11:$B$310)),IF(299&lt;=COUNTA(半紙!$B$11:$B$310)+COUNTA(条幅!$B$11:$B$310)+COUNTA(条幅4分の1!$B$11:$B$310),INDEX(条幅4分の1!$D$11:$D$310,299-COUNTA(半紙!$B$11:$B$310)-COUNTA(条幅!$B$11:$B$310)),"")))=0,"",IF(299&lt;=COUNTA(半紙!$B$11:$B$310),INDEX(半紙!$D$11:$D$310,299),IF(299&lt;=COUNTA(半紙!$B$11:$B$310)+COUNTA(条幅!$B$11:$B$310),INDEX(条幅!$D$11:$D$310,299-COUNTA(半紙!$B$11:$B$310)),IF(299&lt;=COUNTA(半紙!$B$11:$B$310)+COUNTA(条幅!$B$11:$B$310)+COUNTA(条幅4分の1!$B$11:$B$310),INDEX(条幅4分の1!$D$11:$D$310,299-COUNTA(半紙!$B$11:$B$310)-COUNTA(条幅!$B$11:$B$310)),""))))</f>
        <v/>
      </c>
      <c r="E304" s="38" t="str">
        <f>IF(IF(299&lt;=COUNTA(半紙!$B$11:$B$310),INDEX(半紙!$E$11:$E$310,299),IF(299&lt;=COUNTA(半紙!$B$11:$B$310)+COUNTA(条幅!$B$11:$B$310),INDEX(条幅!$E$11:$E$310,299-COUNTA(半紙!$B$11:$B$310)),IF(299&lt;=COUNTA(半紙!$B$11:$B$310)+COUNTA(条幅!$B$11:$B$310)+COUNTA(条幅4分の1!$B$11:$B$310),INDEX(条幅4分の1!$E$11:$E$310,299-COUNTA(半紙!$B$11:$B$310)-COUNTA(条幅!$B$11:$B$310)),"")))=0,"",IF(299&lt;=COUNTA(半紙!$B$11:$B$310),INDEX(半紙!$E$11:$E$310,299),IF(299&lt;=COUNTA(半紙!$B$11:$B$310)+COUNTA(条幅!$B$11:$B$310),INDEX(条幅!$E$11:$E$310,299-COUNTA(半紙!$B$11:$B$310)),IF(299&lt;=COUNTA(半紙!$B$11:$B$310)+COUNTA(条幅!$B$11:$B$310)+COUNTA(条幅4分の1!$B$11:$B$310),INDEX(条幅4分の1!$E$11:$E$310,299-COUNTA(半紙!$B$11:$B$310)-COUNTA(条幅!$B$11:$B$310)),""))))</f>
        <v/>
      </c>
      <c r="F304" s="38" t="str">
        <f>IF(IF(299&lt;=COUNTA(半紙!$B$11:$B$310),INDEX(半紙!$F$11:$F$310,299),IF(299&lt;=COUNTA(半紙!$B$11:$B$310)+COUNTA(条幅!$B$11:$B$310),INDEX(条幅!$F$11:$F$310,299-COUNTA(半紙!$B$11:$B$310)),IF(299&lt;=COUNTA(半紙!$B$11:$B$310)+COUNTA(条幅!$B$11:$B$310)+COUNTA(条幅4分の1!$B$11:$B$310),INDEX(条幅4分の1!$F$11:$F$310,299-COUNTA(半紙!$B$11:$B$310)-COUNTA(条幅!$B$11:$B$310)),"")))=0,"",IF(299&lt;=COUNTA(半紙!$B$11:$B$310),INDEX(半紙!$F$11:$F$310,299),IF(299&lt;=COUNTA(半紙!$B$11:$B$310)+COUNTA(条幅!$B$11:$B$310),INDEX(条幅!$F$11:$F$310,299-COUNTA(半紙!$B$11:$B$310)),IF(299&lt;=COUNTA(半紙!$B$11:$B$310)+COUNTA(条幅!$B$11:$B$310)+COUNTA(条幅4分の1!$B$11:$B$310),INDEX(条幅4分の1!$F$11:$F$310,299-COUNTA(半紙!$B$11:$B$310)-COUNTA(条幅!$B$11:$B$310)),""))))</f>
        <v/>
      </c>
      <c r="G304" s="38" t="str">
        <f>IF(IF(299&lt;=COUNTA(半紙!$B$11:$B$310),INDEX(半紙!$G$11:$G$310,299),IF(299&lt;=COUNTA(半紙!$B$11:$B$310)+COUNTA(条幅!$B$11:$B$310),INDEX(条幅!$G$11:$G$310,299-COUNTA(半紙!$B$11:$B$310)),IF(299&lt;=COUNTA(半紙!$B$11:$B$310)+COUNTA(条幅!$B$11:$B$310)+COUNTA(条幅4分の1!$B$11:$B$310),INDEX(条幅4分の1!$G$11:$G$310,299-COUNTA(半紙!$B$11:$B$310)-COUNTA(条幅!$B$11:$B$310)),"")))=0,"",IF(299&lt;=COUNTA(半紙!$B$11:$B$310),INDEX(半紙!$G$11:$G$310,299),IF(299&lt;=COUNTA(半紙!$B$11:$B$310)+COUNTA(条幅!$B$11:$B$310),INDEX(条幅!$G$11:$G$310,299-COUNTA(半紙!$B$11:$B$310)),IF(299&lt;=COUNTA(半紙!$B$11:$B$310)+COUNTA(条幅!$B$11:$B$310)+COUNTA(条幅4分の1!$B$11:$B$310),INDEX(条幅4分の1!$G$11:$G$310,299-COUNTA(半紙!$B$11:$B$310)-COUNTA(条幅!$B$11:$B$310)),""))))</f>
        <v/>
      </c>
      <c r="H304" s="38" t="str">
        <f>IF(IF(299&lt;=COUNTA(半紙!$B$11:$B$310),INDEX(半紙!$H$11:$H$310,299),IF(299&lt;=COUNTA(半紙!$B$11:$B$310)+COUNTA(条幅!$B$11:$B$310),INDEX(条幅!$H$11:$H$310,299-COUNTA(半紙!$B$11:$B$310)),IF(299&lt;=COUNTA(半紙!$B$11:$B$310)+COUNTA(条幅!$B$11:$B$310)+COUNTA(条幅4分の1!$B$11:$B$310),INDEX(条幅4分の1!$H$11:$H$310,299-COUNTA(半紙!$B$11:$B$310)-COUNTA(条幅!$B$11:$B$310)),"")))=0,"",IF(299&lt;=COUNTA(半紙!$B$11:$B$310),INDEX(半紙!$H$11:$H$310,299),IF(299&lt;=COUNTA(半紙!$B$11:$B$310)+COUNTA(条幅!$B$11:$B$310),INDEX(条幅!$H$11:$H$310,299-COUNTA(半紙!$B$11:$B$310)),IF(299&lt;=COUNTA(半紙!$B$11:$B$310)+COUNTA(条幅!$B$11:$B$310)+COUNTA(条幅4分の1!$B$11:$B$310),INDEX(条幅4分の1!$H$11:$H$310,299-COUNTA(半紙!$B$11:$B$310)-COUNTA(条幅!$B$11:$B$310)),""))))</f>
        <v/>
      </c>
      <c r="I304" s="38" t="str">
        <f>IF(IF(299&lt;=COUNTA(半紙!$B$11:$B$310),INDEX(半紙!$I$11:$I$310,299),IF(299&lt;=COUNTA(半紙!$B$11:$B$310)+COUNTA(条幅!$B$11:$B$310),INDEX(条幅!$I$11:$I$310,299-COUNTA(半紙!$B$11:$B$310)),IF(299&lt;=COUNTA(半紙!$B$11:$B$310)+COUNTA(条幅!$B$11:$B$310)+COUNTA(条幅4分の1!$B$11:$B$310),INDEX(条幅4分の1!$I$11:$I$310,299-COUNTA(半紙!$B$11:$B$310)-COUNTA(条幅!$B$11:$B$310)),"")))=0,"",IF(299&lt;=COUNTA(半紙!$B$11:$B$310),INDEX(半紙!$I$11:$I$310,299),IF(299&lt;=COUNTA(半紙!$B$11:$B$310)+COUNTA(条幅!$B$11:$B$310),INDEX(条幅!$I$11:$I$310,299-COUNTA(半紙!$B$11:$B$310)),IF(299&lt;=COUNTA(半紙!$B$11:$B$310)+COUNTA(条幅!$B$11:$B$310)+COUNTA(条幅4分の1!$B$11:$B$310),INDEX(条幅4分の1!$I$11:$I$310,299-COUNTA(半紙!$B$11:$B$310)-COUNTA(条幅!$B$11:$B$310)),""))))</f>
        <v/>
      </c>
      <c r="J304" s="38" t="str">
        <f>IF(IF(299&lt;=COUNTA(半紙!$B$11:$B$310),INDEX(半紙!$J$11:$J$310,299),IF(299&lt;=COUNTA(半紙!$B$11:$B$310)+COUNTA(条幅!$B$11:$B$310),INDEX(条幅!$J$11:$J$310,299-COUNTA(半紙!$B$11:$B$310)),IF(299&lt;=COUNTA(半紙!$B$11:$B$310)+COUNTA(条幅!$B$11:$B$310)+COUNTA(条幅4分の1!$B$11:$B$310),INDEX(条幅4分の1!$J$11:$J$310,299-COUNTA(半紙!$B$11:$B$310)-COUNTA(条幅!$B$11:$B$310)),"")))=0,"",IF(299&lt;=COUNTA(半紙!$B$11:$B$310),INDEX(半紙!$J$11:$J$310,299),IF(299&lt;=COUNTA(半紙!$B$11:$B$310)+COUNTA(条幅!$B$11:$B$310),INDEX(条幅!$J$11:$J$310,299-COUNTA(半紙!$B$11:$B$310)),IF(299&lt;=COUNTA(半紙!$B$11:$B$310)+COUNTA(条幅!$B$11:$B$310)+COUNTA(条幅4分の1!$B$11:$B$310),INDEX(条幅4分の1!$J$11:$J$310,299-COUNTA(半紙!$B$11:$B$310)-COUNTA(条幅!$B$11:$B$310)),""))))</f>
        <v/>
      </c>
      <c r="K304" s="38" t="str">
        <f>IF(IF(299&lt;=COUNTA(半紙!$B$11:$B$310),INDEX(半紙!$K$11:$K$310,299),IF(299&lt;=COUNTA(半紙!$B$11:$B$310)+COUNTA(条幅!$B$11:$B$310),INDEX(条幅!$K$11:$K$310,299-COUNTA(半紙!$B$11:$B$310)),IF(299&lt;=COUNTA(半紙!$B$11:$B$310)+COUNTA(条幅!$B$11:$B$310)+COUNTA(条幅4分の1!$B$11:$B$310),INDEX(条幅4分の1!$K$11:$K$310,299-COUNTA(半紙!$B$11:$B$310)-COUNTA(条幅!$B$11:$B$310)),"")))=0,"",IF(299&lt;=COUNTA(半紙!$B$11:$B$310),INDEX(半紙!$K$11:$K$310,299),IF(299&lt;=COUNTA(半紙!$B$11:$B$310)+COUNTA(条幅!$B$11:$B$310),INDEX(条幅!$K$11:$K$310,299-COUNTA(半紙!$B$11:$B$310)),IF(299&lt;=COUNTA(半紙!$B$11:$B$310)+COUNTA(条幅!$B$11:$B$310)+COUNTA(条幅4分の1!$B$11:$B$310),INDEX(条幅4分の1!$K$11:$K$310,299-COUNTA(半紙!$B$11:$B$310)-COUNTA(条幅!$B$11:$B$310)),""))))</f>
        <v/>
      </c>
      <c r="L304" s="48" t="str">
        <f>IF($B304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299))</f>
        <v/>
      </c>
    </row>
    <row r="305" spans="1:12" ht="15" customHeight="1">
      <c r="A305" s="37" t="str">
        <f>IF(300&lt;=COUNTA(半紙!$B$11:$B$310),"半紙",IF(300&lt;=COUNTA(半紙!$B$11:$B$310)+COUNTA(条幅!$B$11:$B$310),"条幅(半切)",IF(300&lt;=COUNTA(半紙!$B$11:$B$310)+COUNTA(条幅!$B$11:$B$310)+COUNTA(条幅4分の1!$B$11:$B$310),"条幅(1/4)","")))</f>
        <v/>
      </c>
      <c r="B305" s="38" t="str">
        <f>IF(IF(300&lt;=COUNTA(半紙!$B$11:$B$310),INDEX(半紙!$B$11:$B$310,300),IF(300&lt;=COUNTA(半紙!$B$11:$B$310)+COUNTA(条幅!$B$11:$B$310),INDEX(条幅!$B$11:$B$310,300-COUNTA(半紙!$B$11:$B$310)),IF(300&lt;=COUNTA(半紙!$B$11:$B$310)+COUNTA(条幅!$B$11:$B$310)+COUNTA(条幅4分の1!$B$11:$B$310),INDEX(条幅4分の1!$B$11:$B$310,300-COUNTA(半紙!$B$11:$B$310)-COUNTA(条幅!$B$11:$B$310)),"")))=0,"",IF(300&lt;=COUNTA(半紙!$B$11:$B$310),INDEX(半紙!$B$11:$B$310,300),IF(300&lt;=COUNTA(半紙!$B$11:$B$310)+COUNTA(条幅!$B$11:$B$310),INDEX(条幅!$B$11:$B$310,300-COUNTA(半紙!$B$11:$B$310)),IF(300&lt;=COUNTA(半紙!$B$11:$B$310)+COUNTA(条幅!$B$11:$B$310)+COUNTA(条幅4分の1!$B$11:$B$310),INDEX(条幅4分の1!$B$11:$B$310,300-COUNTA(半紙!$B$11:$B$310)-COUNTA(条幅!$B$11:$B$310)),""))))</f>
        <v/>
      </c>
      <c r="C305" s="38" t="str">
        <f>IF(IF(300&lt;=COUNTA(半紙!$B$11:$B$310),INDEX(半紙!$C$11:$C$310,300),IF(300&lt;=COUNTA(半紙!$B$11:$B$310)+COUNTA(条幅!$B$11:$B$310),INDEX(条幅!$C$11:$C$310,300-COUNTA(半紙!$B$11:$B$310)),IF(300&lt;=COUNTA(半紙!$B$11:$B$310)+COUNTA(条幅!$B$11:$B$310)+COUNTA(条幅4分の1!$B$11:$B$310),INDEX(条幅4分の1!$C$11:$C$310,300-COUNTA(半紙!$B$11:$B$310)-COUNTA(条幅!$B$11:$B$310)),"")))=0,"",IF(300&lt;=COUNTA(半紙!$B$11:$B$310),INDEX(半紙!$C$11:$C$310,300),IF(300&lt;=COUNTA(半紙!$B$11:$B$310)+COUNTA(条幅!$B$11:$B$310),INDEX(条幅!$C$11:$C$310,300-COUNTA(半紙!$B$11:$B$310)),IF(300&lt;=COUNTA(半紙!$B$11:$B$310)+COUNTA(条幅!$B$11:$B$310)+COUNTA(条幅4分の1!$B$11:$B$310),INDEX(条幅4分の1!$C$11:$C$310,300-COUNTA(半紙!$B$11:$B$310)-COUNTA(条幅!$B$11:$B$310)),""))))</f>
        <v/>
      </c>
      <c r="D305" s="38" t="str">
        <f>IF(IF(300&lt;=COUNTA(半紙!$B$11:$B$310),INDEX(半紙!$D$11:$D$310,300),IF(300&lt;=COUNTA(半紙!$B$11:$B$310)+COUNTA(条幅!$B$11:$B$310),INDEX(条幅!$D$11:$D$310,300-COUNTA(半紙!$B$11:$B$310)),IF(300&lt;=COUNTA(半紙!$B$11:$B$310)+COUNTA(条幅!$B$11:$B$310)+COUNTA(条幅4分の1!$B$11:$B$310),INDEX(条幅4分の1!$D$11:$D$310,300-COUNTA(半紙!$B$11:$B$310)-COUNTA(条幅!$B$11:$B$310)),"")))=0,"",IF(300&lt;=COUNTA(半紙!$B$11:$B$310),INDEX(半紙!$D$11:$D$310,300),IF(300&lt;=COUNTA(半紙!$B$11:$B$310)+COUNTA(条幅!$B$11:$B$310),INDEX(条幅!$D$11:$D$310,300-COUNTA(半紙!$B$11:$B$310)),IF(300&lt;=COUNTA(半紙!$B$11:$B$310)+COUNTA(条幅!$B$11:$B$310)+COUNTA(条幅4分の1!$B$11:$B$310),INDEX(条幅4分の1!$D$11:$D$310,300-COUNTA(半紙!$B$11:$B$310)-COUNTA(条幅!$B$11:$B$310)),""))))</f>
        <v/>
      </c>
      <c r="E305" s="38" t="str">
        <f>IF(IF(300&lt;=COUNTA(半紙!$B$11:$B$310),INDEX(半紙!$E$11:$E$310,300),IF(300&lt;=COUNTA(半紙!$B$11:$B$310)+COUNTA(条幅!$B$11:$B$310),INDEX(条幅!$E$11:$E$310,300-COUNTA(半紙!$B$11:$B$310)),IF(300&lt;=COUNTA(半紙!$B$11:$B$310)+COUNTA(条幅!$B$11:$B$310)+COUNTA(条幅4分の1!$B$11:$B$310),INDEX(条幅4分の1!$E$11:$E$310,300-COUNTA(半紙!$B$11:$B$310)-COUNTA(条幅!$B$11:$B$310)),"")))=0,"",IF(300&lt;=COUNTA(半紙!$B$11:$B$310),INDEX(半紙!$E$11:$E$310,300),IF(300&lt;=COUNTA(半紙!$B$11:$B$310)+COUNTA(条幅!$B$11:$B$310),INDEX(条幅!$E$11:$E$310,300-COUNTA(半紙!$B$11:$B$310)),IF(300&lt;=COUNTA(半紙!$B$11:$B$310)+COUNTA(条幅!$B$11:$B$310)+COUNTA(条幅4分の1!$B$11:$B$310),INDEX(条幅4分の1!$E$11:$E$310,300-COUNTA(半紙!$B$11:$B$310)-COUNTA(条幅!$B$11:$B$310)),""))))</f>
        <v/>
      </c>
      <c r="F305" s="38" t="str">
        <f>IF(IF(300&lt;=COUNTA(半紙!$B$11:$B$310),INDEX(半紙!$F$11:$F$310,300),IF(300&lt;=COUNTA(半紙!$B$11:$B$310)+COUNTA(条幅!$B$11:$B$310),INDEX(条幅!$F$11:$F$310,300-COUNTA(半紙!$B$11:$B$310)),IF(300&lt;=COUNTA(半紙!$B$11:$B$310)+COUNTA(条幅!$B$11:$B$310)+COUNTA(条幅4分の1!$B$11:$B$310),INDEX(条幅4分の1!$F$11:$F$310,300-COUNTA(半紙!$B$11:$B$310)-COUNTA(条幅!$B$11:$B$310)),"")))=0,"",IF(300&lt;=COUNTA(半紙!$B$11:$B$310),INDEX(半紙!$F$11:$F$310,300),IF(300&lt;=COUNTA(半紙!$B$11:$B$310)+COUNTA(条幅!$B$11:$B$310),INDEX(条幅!$F$11:$F$310,300-COUNTA(半紙!$B$11:$B$310)),IF(300&lt;=COUNTA(半紙!$B$11:$B$310)+COUNTA(条幅!$B$11:$B$310)+COUNTA(条幅4分の1!$B$11:$B$310),INDEX(条幅4分の1!$F$11:$F$310,300-COUNTA(半紙!$B$11:$B$310)-COUNTA(条幅!$B$11:$B$310)),""))))</f>
        <v/>
      </c>
      <c r="G305" s="38" t="str">
        <f>IF(IF(300&lt;=COUNTA(半紙!$B$11:$B$310),INDEX(半紙!$G$11:$G$310,300),IF(300&lt;=COUNTA(半紙!$B$11:$B$310)+COUNTA(条幅!$B$11:$B$310),INDEX(条幅!$G$11:$G$310,300-COUNTA(半紙!$B$11:$B$310)),IF(300&lt;=COUNTA(半紙!$B$11:$B$310)+COUNTA(条幅!$B$11:$B$310)+COUNTA(条幅4分の1!$B$11:$B$310),INDEX(条幅4分の1!$G$11:$G$310,300-COUNTA(半紙!$B$11:$B$310)-COUNTA(条幅!$B$11:$B$310)),"")))=0,"",IF(300&lt;=COUNTA(半紙!$B$11:$B$310),INDEX(半紙!$G$11:$G$310,300),IF(300&lt;=COUNTA(半紙!$B$11:$B$310)+COUNTA(条幅!$B$11:$B$310),INDEX(条幅!$G$11:$G$310,300-COUNTA(半紙!$B$11:$B$310)),IF(300&lt;=COUNTA(半紙!$B$11:$B$310)+COUNTA(条幅!$B$11:$B$310)+COUNTA(条幅4分の1!$B$11:$B$310),INDEX(条幅4分の1!$G$11:$G$310,300-COUNTA(半紙!$B$11:$B$310)-COUNTA(条幅!$B$11:$B$310)),""))))</f>
        <v/>
      </c>
      <c r="H305" s="38" t="str">
        <f>IF(IF(300&lt;=COUNTA(半紙!$B$11:$B$310),INDEX(半紙!$H$11:$H$310,300),IF(300&lt;=COUNTA(半紙!$B$11:$B$310)+COUNTA(条幅!$B$11:$B$310),INDEX(条幅!$H$11:$H$310,300-COUNTA(半紙!$B$11:$B$310)),IF(300&lt;=COUNTA(半紙!$B$11:$B$310)+COUNTA(条幅!$B$11:$B$310)+COUNTA(条幅4分の1!$B$11:$B$310),INDEX(条幅4分の1!$H$11:$H$310,300-COUNTA(半紙!$B$11:$B$310)-COUNTA(条幅!$B$11:$B$310)),"")))=0,"",IF(300&lt;=COUNTA(半紙!$B$11:$B$310),INDEX(半紙!$H$11:$H$310,300),IF(300&lt;=COUNTA(半紙!$B$11:$B$310)+COUNTA(条幅!$B$11:$B$310),INDEX(条幅!$H$11:$H$310,300-COUNTA(半紙!$B$11:$B$310)),IF(300&lt;=COUNTA(半紙!$B$11:$B$310)+COUNTA(条幅!$B$11:$B$310)+COUNTA(条幅4分の1!$B$11:$B$310),INDEX(条幅4分の1!$H$11:$H$310,300-COUNTA(半紙!$B$11:$B$310)-COUNTA(条幅!$B$11:$B$310)),""))))</f>
        <v/>
      </c>
      <c r="I305" s="38" t="str">
        <f>IF(IF(300&lt;=COUNTA(半紙!$B$11:$B$310),INDEX(半紙!$I$11:$I$310,300),IF(300&lt;=COUNTA(半紙!$B$11:$B$310)+COUNTA(条幅!$B$11:$B$310),INDEX(条幅!$I$11:$I$310,300-COUNTA(半紙!$B$11:$B$310)),IF(300&lt;=COUNTA(半紙!$B$11:$B$310)+COUNTA(条幅!$B$11:$B$310)+COUNTA(条幅4分の1!$B$11:$B$310),INDEX(条幅4分の1!$I$11:$I$310,300-COUNTA(半紙!$B$11:$B$310)-COUNTA(条幅!$B$11:$B$310)),"")))=0,"",IF(300&lt;=COUNTA(半紙!$B$11:$B$310),INDEX(半紙!$I$11:$I$310,300),IF(300&lt;=COUNTA(半紙!$B$11:$B$310)+COUNTA(条幅!$B$11:$B$310),INDEX(条幅!$I$11:$I$310,300-COUNTA(半紙!$B$11:$B$310)),IF(300&lt;=COUNTA(半紙!$B$11:$B$310)+COUNTA(条幅!$B$11:$B$310)+COUNTA(条幅4分の1!$B$11:$B$310),INDEX(条幅4分の1!$I$11:$I$310,300-COUNTA(半紙!$B$11:$B$310)-COUNTA(条幅!$B$11:$B$310)),""))))</f>
        <v/>
      </c>
      <c r="J305" s="38" t="str">
        <f>IF(IF(300&lt;=COUNTA(半紙!$B$11:$B$310),INDEX(半紙!$J$11:$J$310,300),IF(300&lt;=COUNTA(半紙!$B$11:$B$310)+COUNTA(条幅!$B$11:$B$310),INDEX(条幅!$J$11:$J$310,300-COUNTA(半紙!$B$11:$B$310)),IF(300&lt;=COUNTA(半紙!$B$11:$B$310)+COUNTA(条幅!$B$11:$B$310)+COUNTA(条幅4分の1!$B$11:$B$310),INDEX(条幅4分の1!$J$11:$J$310,300-COUNTA(半紙!$B$11:$B$310)-COUNTA(条幅!$B$11:$B$310)),"")))=0,"",IF(300&lt;=COUNTA(半紙!$B$11:$B$310),INDEX(半紙!$J$11:$J$310,300),IF(300&lt;=COUNTA(半紙!$B$11:$B$310)+COUNTA(条幅!$B$11:$B$310),INDEX(条幅!$J$11:$J$310,300-COUNTA(半紙!$B$11:$B$310)),IF(300&lt;=COUNTA(半紙!$B$11:$B$310)+COUNTA(条幅!$B$11:$B$310)+COUNTA(条幅4分の1!$B$11:$B$310),INDEX(条幅4分の1!$J$11:$J$310,300-COUNTA(半紙!$B$11:$B$310)-COUNTA(条幅!$B$11:$B$310)),""))))</f>
        <v/>
      </c>
      <c r="K305" s="38" t="str">
        <f>IF(IF(300&lt;=COUNTA(半紙!$B$11:$B$310),INDEX(半紙!$K$11:$K$310,300),IF(300&lt;=COUNTA(半紙!$B$11:$B$310)+COUNTA(条幅!$B$11:$B$310),INDEX(条幅!$K$11:$K$310,300-COUNTA(半紙!$B$11:$B$310)),IF(300&lt;=COUNTA(半紙!$B$11:$B$310)+COUNTA(条幅!$B$11:$B$310)+COUNTA(条幅4分の1!$B$11:$B$310),INDEX(条幅4分の1!$K$11:$K$310,300-COUNTA(半紙!$B$11:$B$310)-COUNTA(条幅!$B$11:$B$310)),"")))=0,"",IF(300&lt;=COUNTA(半紙!$B$11:$B$310),INDEX(半紙!$K$11:$K$310,300),IF(300&lt;=COUNTA(半紙!$B$11:$B$310)+COUNTA(条幅!$B$11:$B$310),INDEX(条幅!$K$11:$K$310,300-COUNTA(半紙!$B$11:$B$310)),IF(300&lt;=COUNTA(半紙!$B$11:$B$310)+COUNTA(条幅!$B$11:$B$310)+COUNTA(条幅4分の1!$B$11:$B$310),INDEX(条幅4分の1!$K$11:$K$310,300-COUNTA(半紙!$B$11:$B$310)-COUNTA(条幅!$B$11:$B$310)),""))))</f>
        <v/>
      </c>
      <c r="L305" s="48" t="str">
        <f>IF($B305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300))</f>
        <v/>
      </c>
    </row>
    <row r="306" spans="1:12" ht="15" customHeight="1">
      <c r="A306" s="37" t="str">
        <f>IF(301&lt;=COUNTA(半紙!$B$11:$B$310),"半紙",IF(301&lt;=COUNTA(半紙!$B$11:$B$310)+COUNTA(条幅!$B$11:$B$310),"条幅(半切)",IF(301&lt;=COUNTA(半紙!$B$11:$B$310)+COUNTA(条幅!$B$11:$B$310)+COUNTA(条幅4分の1!$B$11:$B$310),"条幅(1/4)","")))</f>
        <v/>
      </c>
      <c r="B306" s="38" t="str">
        <f>IF(IF(301&lt;=COUNTA(半紙!$B$11:$B$310),INDEX(半紙!$B$11:$B$310,301),IF(301&lt;=COUNTA(半紙!$B$11:$B$310)+COUNTA(条幅!$B$11:$B$310),INDEX(条幅!$B$11:$B$310,301-COUNTA(半紙!$B$11:$B$310)),IF(301&lt;=COUNTA(半紙!$B$11:$B$310)+COUNTA(条幅!$B$11:$B$310)+COUNTA(条幅4分の1!$B$11:$B$310),INDEX(条幅4分の1!$B$11:$B$310,301-COUNTA(半紙!$B$11:$B$310)-COUNTA(条幅!$B$11:$B$310)),"")))=0,"",IF(301&lt;=COUNTA(半紙!$B$11:$B$310),INDEX(半紙!$B$11:$B$310,301),IF(301&lt;=COUNTA(半紙!$B$11:$B$310)+COUNTA(条幅!$B$11:$B$310),INDEX(条幅!$B$11:$B$310,301-COUNTA(半紙!$B$11:$B$310)),IF(301&lt;=COUNTA(半紙!$B$11:$B$310)+COUNTA(条幅!$B$11:$B$310)+COUNTA(条幅4分の1!$B$11:$B$310),INDEX(条幅4分の1!$B$11:$B$310,301-COUNTA(半紙!$B$11:$B$310)-COUNTA(条幅!$B$11:$B$310)),""))))</f>
        <v/>
      </c>
      <c r="C306" s="38" t="str">
        <f>IF(IF(301&lt;=COUNTA(半紙!$B$11:$B$310),INDEX(半紙!$C$11:$C$310,301),IF(301&lt;=COUNTA(半紙!$B$11:$B$310)+COUNTA(条幅!$B$11:$B$310),INDEX(条幅!$C$11:$C$310,301-COUNTA(半紙!$B$11:$B$310)),IF(301&lt;=COUNTA(半紙!$B$11:$B$310)+COUNTA(条幅!$B$11:$B$310)+COUNTA(条幅4分の1!$B$11:$B$310),INDEX(条幅4分の1!$C$11:$C$310,301-COUNTA(半紙!$B$11:$B$310)-COUNTA(条幅!$B$11:$B$310)),"")))=0,"",IF(301&lt;=COUNTA(半紙!$B$11:$B$310),INDEX(半紙!$C$11:$C$310,301),IF(301&lt;=COUNTA(半紙!$B$11:$B$310)+COUNTA(条幅!$B$11:$B$310),INDEX(条幅!$C$11:$C$310,301-COUNTA(半紙!$B$11:$B$310)),IF(301&lt;=COUNTA(半紙!$B$11:$B$310)+COUNTA(条幅!$B$11:$B$310)+COUNTA(条幅4分の1!$B$11:$B$310),INDEX(条幅4分の1!$C$11:$C$310,301-COUNTA(半紙!$B$11:$B$310)-COUNTA(条幅!$B$11:$B$310)),""))))</f>
        <v/>
      </c>
      <c r="D306" s="38" t="str">
        <f>IF(IF(301&lt;=COUNTA(半紙!$B$11:$B$310),INDEX(半紙!$D$11:$D$310,301),IF(301&lt;=COUNTA(半紙!$B$11:$B$310)+COUNTA(条幅!$B$11:$B$310),INDEX(条幅!$D$11:$D$310,301-COUNTA(半紙!$B$11:$B$310)),IF(301&lt;=COUNTA(半紙!$B$11:$B$310)+COUNTA(条幅!$B$11:$B$310)+COUNTA(条幅4分の1!$B$11:$B$310),INDEX(条幅4分の1!$D$11:$D$310,301-COUNTA(半紙!$B$11:$B$310)-COUNTA(条幅!$B$11:$B$310)),"")))=0,"",IF(301&lt;=COUNTA(半紙!$B$11:$B$310),INDEX(半紙!$D$11:$D$310,301),IF(301&lt;=COUNTA(半紙!$B$11:$B$310)+COUNTA(条幅!$B$11:$B$310),INDEX(条幅!$D$11:$D$310,301-COUNTA(半紙!$B$11:$B$310)),IF(301&lt;=COUNTA(半紙!$B$11:$B$310)+COUNTA(条幅!$B$11:$B$310)+COUNTA(条幅4分の1!$B$11:$B$310),INDEX(条幅4分の1!$D$11:$D$310,301-COUNTA(半紙!$B$11:$B$310)-COUNTA(条幅!$B$11:$B$310)),""))))</f>
        <v/>
      </c>
      <c r="E306" s="38" t="str">
        <f>IF(IF(301&lt;=COUNTA(半紙!$B$11:$B$310),INDEX(半紙!$E$11:$E$310,301),IF(301&lt;=COUNTA(半紙!$B$11:$B$310)+COUNTA(条幅!$B$11:$B$310),INDEX(条幅!$E$11:$E$310,301-COUNTA(半紙!$B$11:$B$310)),IF(301&lt;=COUNTA(半紙!$B$11:$B$310)+COUNTA(条幅!$B$11:$B$310)+COUNTA(条幅4分の1!$B$11:$B$310),INDEX(条幅4分の1!$E$11:$E$310,301-COUNTA(半紙!$B$11:$B$310)-COUNTA(条幅!$B$11:$B$310)),"")))=0,"",IF(301&lt;=COUNTA(半紙!$B$11:$B$310),INDEX(半紙!$E$11:$E$310,301),IF(301&lt;=COUNTA(半紙!$B$11:$B$310)+COUNTA(条幅!$B$11:$B$310),INDEX(条幅!$E$11:$E$310,301-COUNTA(半紙!$B$11:$B$310)),IF(301&lt;=COUNTA(半紙!$B$11:$B$310)+COUNTA(条幅!$B$11:$B$310)+COUNTA(条幅4分の1!$B$11:$B$310),INDEX(条幅4分の1!$E$11:$E$310,301-COUNTA(半紙!$B$11:$B$310)-COUNTA(条幅!$B$11:$B$310)),""))))</f>
        <v/>
      </c>
      <c r="F306" s="38" t="str">
        <f>IF(IF(301&lt;=COUNTA(半紙!$B$11:$B$310),INDEX(半紙!$F$11:$F$310,301),IF(301&lt;=COUNTA(半紙!$B$11:$B$310)+COUNTA(条幅!$B$11:$B$310),INDEX(条幅!$F$11:$F$310,301-COUNTA(半紙!$B$11:$B$310)),IF(301&lt;=COUNTA(半紙!$B$11:$B$310)+COUNTA(条幅!$B$11:$B$310)+COUNTA(条幅4分の1!$B$11:$B$310),INDEX(条幅4分の1!$F$11:$F$310,301-COUNTA(半紙!$B$11:$B$310)-COUNTA(条幅!$B$11:$B$310)),"")))=0,"",IF(301&lt;=COUNTA(半紙!$B$11:$B$310),INDEX(半紙!$F$11:$F$310,301),IF(301&lt;=COUNTA(半紙!$B$11:$B$310)+COUNTA(条幅!$B$11:$B$310),INDEX(条幅!$F$11:$F$310,301-COUNTA(半紙!$B$11:$B$310)),IF(301&lt;=COUNTA(半紙!$B$11:$B$310)+COUNTA(条幅!$B$11:$B$310)+COUNTA(条幅4分の1!$B$11:$B$310),INDEX(条幅4分の1!$F$11:$F$310,301-COUNTA(半紙!$B$11:$B$310)-COUNTA(条幅!$B$11:$B$310)),""))))</f>
        <v/>
      </c>
      <c r="G306" s="38" t="str">
        <f>IF(IF(301&lt;=COUNTA(半紙!$B$11:$B$310),INDEX(半紙!$G$11:$G$310,301),IF(301&lt;=COUNTA(半紙!$B$11:$B$310)+COUNTA(条幅!$B$11:$B$310),INDEX(条幅!$G$11:$G$310,301-COUNTA(半紙!$B$11:$B$310)),IF(301&lt;=COUNTA(半紙!$B$11:$B$310)+COUNTA(条幅!$B$11:$B$310)+COUNTA(条幅4分の1!$B$11:$B$310),INDEX(条幅4分の1!$G$11:$G$310,301-COUNTA(半紙!$B$11:$B$310)-COUNTA(条幅!$B$11:$B$310)),"")))=0,"",IF(301&lt;=COUNTA(半紙!$B$11:$B$310),INDEX(半紙!$G$11:$G$310,301),IF(301&lt;=COUNTA(半紙!$B$11:$B$310)+COUNTA(条幅!$B$11:$B$310),INDEX(条幅!$G$11:$G$310,301-COUNTA(半紙!$B$11:$B$310)),IF(301&lt;=COUNTA(半紙!$B$11:$B$310)+COUNTA(条幅!$B$11:$B$310)+COUNTA(条幅4分の1!$B$11:$B$310),INDEX(条幅4分の1!$G$11:$G$310,301-COUNTA(半紙!$B$11:$B$310)-COUNTA(条幅!$B$11:$B$310)),""))))</f>
        <v/>
      </c>
      <c r="H306" s="38" t="str">
        <f>IF(IF(301&lt;=COUNTA(半紙!$B$11:$B$310),INDEX(半紙!$H$11:$H$310,301),IF(301&lt;=COUNTA(半紙!$B$11:$B$310)+COUNTA(条幅!$B$11:$B$310),INDEX(条幅!$H$11:$H$310,301-COUNTA(半紙!$B$11:$B$310)),IF(301&lt;=COUNTA(半紙!$B$11:$B$310)+COUNTA(条幅!$B$11:$B$310)+COUNTA(条幅4分の1!$B$11:$B$310),INDEX(条幅4分の1!$H$11:$H$310,301-COUNTA(半紙!$B$11:$B$310)-COUNTA(条幅!$B$11:$B$310)),"")))=0,"",IF(301&lt;=COUNTA(半紙!$B$11:$B$310),INDEX(半紙!$H$11:$H$310,301),IF(301&lt;=COUNTA(半紙!$B$11:$B$310)+COUNTA(条幅!$B$11:$B$310),INDEX(条幅!$H$11:$H$310,301-COUNTA(半紙!$B$11:$B$310)),IF(301&lt;=COUNTA(半紙!$B$11:$B$310)+COUNTA(条幅!$B$11:$B$310)+COUNTA(条幅4分の1!$B$11:$B$310),INDEX(条幅4分の1!$H$11:$H$310,301-COUNTA(半紙!$B$11:$B$310)-COUNTA(条幅!$B$11:$B$310)),""))))</f>
        <v/>
      </c>
      <c r="I306" s="38" t="str">
        <f>IF(IF(301&lt;=COUNTA(半紙!$B$11:$B$310),INDEX(半紙!$I$11:$I$310,301),IF(301&lt;=COUNTA(半紙!$B$11:$B$310)+COUNTA(条幅!$B$11:$B$310),INDEX(条幅!$I$11:$I$310,301-COUNTA(半紙!$B$11:$B$310)),IF(301&lt;=COUNTA(半紙!$B$11:$B$310)+COUNTA(条幅!$B$11:$B$310)+COUNTA(条幅4分の1!$B$11:$B$310),INDEX(条幅4分の1!$I$11:$I$310,301-COUNTA(半紙!$B$11:$B$310)-COUNTA(条幅!$B$11:$B$310)),"")))=0,"",IF(301&lt;=COUNTA(半紙!$B$11:$B$310),INDEX(半紙!$I$11:$I$310,301),IF(301&lt;=COUNTA(半紙!$B$11:$B$310)+COUNTA(条幅!$B$11:$B$310),INDEX(条幅!$I$11:$I$310,301-COUNTA(半紙!$B$11:$B$310)),IF(301&lt;=COUNTA(半紙!$B$11:$B$310)+COUNTA(条幅!$B$11:$B$310)+COUNTA(条幅4分の1!$B$11:$B$310),INDEX(条幅4分の1!$I$11:$I$310,301-COUNTA(半紙!$B$11:$B$310)-COUNTA(条幅!$B$11:$B$310)),""))))</f>
        <v/>
      </c>
      <c r="J306" s="38" t="str">
        <f>IF(IF(301&lt;=COUNTA(半紙!$B$11:$B$310),INDEX(半紙!$J$11:$J$310,301),IF(301&lt;=COUNTA(半紙!$B$11:$B$310)+COUNTA(条幅!$B$11:$B$310),INDEX(条幅!$J$11:$J$310,301-COUNTA(半紙!$B$11:$B$310)),IF(301&lt;=COUNTA(半紙!$B$11:$B$310)+COUNTA(条幅!$B$11:$B$310)+COUNTA(条幅4分の1!$B$11:$B$310),INDEX(条幅4分の1!$J$11:$J$310,301-COUNTA(半紙!$B$11:$B$310)-COUNTA(条幅!$B$11:$B$310)),"")))=0,"",IF(301&lt;=COUNTA(半紙!$B$11:$B$310),INDEX(半紙!$J$11:$J$310,301),IF(301&lt;=COUNTA(半紙!$B$11:$B$310)+COUNTA(条幅!$B$11:$B$310),INDEX(条幅!$J$11:$J$310,301-COUNTA(半紙!$B$11:$B$310)),IF(301&lt;=COUNTA(半紙!$B$11:$B$310)+COUNTA(条幅!$B$11:$B$310)+COUNTA(条幅4分の1!$B$11:$B$310),INDEX(条幅4分の1!$J$11:$J$310,301-COUNTA(半紙!$B$11:$B$310)-COUNTA(条幅!$B$11:$B$310)),""))))</f>
        <v/>
      </c>
      <c r="K306" s="38" t="str">
        <f>IF(IF(301&lt;=COUNTA(半紙!$B$11:$B$310),INDEX(半紙!$K$11:$K$310,301),IF(301&lt;=COUNTA(半紙!$B$11:$B$310)+COUNTA(条幅!$B$11:$B$310),INDEX(条幅!$K$11:$K$310,301-COUNTA(半紙!$B$11:$B$310)),IF(301&lt;=COUNTA(半紙!$B$11:$B$310)+COUNTA(条幅!$B$11:$B$310)+COUNTA(条幅4分の1!$B$11:$B$310),INDEX(条幅4分の1!$K$11:$K$310,301-COUNTA(半紙!$B$11:$B$310)-COUNTA(条幅!$B$11:$B$310)),"")))=0,"",IF(301&lt;=COUNTA(半紙!$B$11:$B$310),INDEX(半紙!$K$11:$K$310,301),IF(301&lt;=COUNTA(半紙!$B$11:$B$310)+COUNTA(条幅!$B$11:$B$310),INDEX(条幅!$K$11:$K$310,301-COUNTA(半紙!$B$11:$B$310)),IF(301&lt;=COUNTA(半紙!$B$11:$B$310)+COUNTA(条幅!$B$11:$B$310)+COUNTA(条幅4分の1!$B$11:$B$310),INDEX(条幅4分の1!$K$11:$K$310,301-COUNTA(半紙!$B$11:$B$310)-COUNTA(条幅!$B$11:$B$310)),""))))</f>
        <v/>
      </c>
      <c r="L306" s="48" t="str">
        <f>IF($B306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301))</f>
        <v/>
      </c>
    </row>
    <row r="307" spans="1:12" ht="15" customHeight="1">
      <c r="A307" s="37" t="str">
        <f>IF(302&lt;=COUNTA(半紙!$B$11:$B$310),"半紙",IF(302&lt;=COUNTA(半紙!$B$11:$B$310)+COUNTA(条幅!$B$11:$B$310),"条幅(半切)",IF(302&lt;=COUNTA(半紙!$B$11:$B$310)+COUNTA(条幅!$B$11:$B$310)+COUNTA(条幅4分の1!$B$11:$B$310),"条幅(1/4)","")))</f>
        <v/>
      </c>
      <c r="B307" s="38" t="str">
        <f>IF(IF(302&lt;=COUNTA(半紙!$B$11:$B$310),INDEX(半紙!$B$11:$B$310,302),IF(302&lt;=COUNTA(半紙!$B$11:$B$310)+COUNTA(条幅!$B$11:$B$310),INDEX(条幅!$B$11:$B$310,302-COUNTA(半紙!$B$11:$B$310)),IF(302&lt;=COUNTA(半紙!$B$11:$B$310)+COUNTA(条幅!$B$11:$B$310)+COUNTA(条幅4分の1!$B$11:$B$310),INDEX(条幅4分の1!$B$11:$B$310,302-COUNTA(半紙!$B$11:$B$310)-COUNTA(条幅!$B$11:$B$310)),"")))=0,"",IF(302&lt;=COUNTA(半紙!$B$11:$B$310),INDEX(半紙!$B$11:$B$310,302),IF(302&lt;=COUNTA(半紙!$B$11:$B$310)+COUNTA(条幅!$B$11:$B$310),INDEX(条幅!$B$11:$B$310,302-COUNTA(半紙!$B$11:$B$310)),IF(302&lt;=COUNTA(半紙!$B$11:$B$310)+COUNTA(条幅!$B$11:$B$310)+COUNTA(条幅4分の1!$B$11:$B$310),INDEX(条幅4分の1!$B$11:$B$310,302-COUNTA(半紙!$B$11:$B$310)-COUNTA(条幅!$B$11:$B$310)),""))))</f>
        <v/>
      </c>
      <c r="C307" s="38" t="str">
        <f>IF(IF(302&lt;=COUNTA(半紙!$B$11:$B$310),INDEX(半紙!$C$11:$C$310,302),IF(302&lt;=COUNTA(半紙!$B$11:$B$310)+COUNTA(条幅!$B$11:$B$310),INDEX(条幅!$C$11:$C$310,302-COUNTA(半紙!$B$11:$B$310)),IF(302&lt;=COUNTA(半紙!$B$11:$B$310)+COUNTA(条幅!$B$11:$B$310)+COUNTA(条幅4分の1!$B$11:$B$310),INDEX(条幅4分の1!$C$11:$C$310,302-COUNTA(半紙!$B$11:$B$310)-COUNTA(条幅!$B$11:$B$310)),"")))=0,"",IF(302&lt;=COUNTA(半紙!$B$11:$B$310),INDEX(半紙!$C$11:$C$310,302),IF(302&lt;=COUNTA(半紙!$B$11:$B$310)+COUNTA(条幅!$B$11:$B$310),INDEX(条幅!$C$11:$C$310,302-COUNTA(半紙!$B$11:$B$310)),IF(302&lt;=COUNTA(半紙!$B$11:$B$310)+COUNTA(条幅!$B$11:$B$310)+COUNTA(条幅4分の1!$B$11:$B$310),INDEX(条幅4分の1!$C$11:$C$310,302-COUNTA(半紙!$B$11:$B$310)-COUNTA(条幅!$B$11:$B$310)),""))))</f>
        <v/>
      </c>
      <c r="D307" s="38" t="str">
        <f>IF(IF(302&lt;=COUNTA(半紙!$B$11:$B$310),INDEX(半紙!$D$11:$D$310,302),IF(302&lt;=COUNTA(半紙!$B$11:$B$310)+COUNTA(条幅!$B$11:$B$310),INDEX(条幅!$D$11:$D$310,302-COUNTA(半紙!$B$11:$B$310)),IF(302&lt;=COUNTA(半紙!$B$11:$B$310)+COUNTA(条幅!$B$11:$B$310)+COUNTA(条幅4分の1!$B$11:$B$310),INDEX(条幅4分の1!$D$11:$D$310,302-COUNTA(半紙!$B$11:$B$310)-COUNTA(条幅!$B$11:$B$310)),"")))=0,"",IF(302&lt;=COUNTA(半紙!$B$11:$B$310),INDEX(半紙!$D$11:$D$310,302),IF(302&lt;=COUNTA(半紙!$B$11:$B$310)+COUNTA(条幅!$B$11:$B$310),INDEX(条幅!$D$11:$D$310,302-COUNTA(半紙!$B$11:$B$310)),IF(302&lt;=COUNTA(半紙!$B$11:$B$310)+COUNTA(条幅!$B$11:$B$310)+COUNTA(条幅4分の1!$B$11:$B$310),INDEX(条幅4分の1!$D$11:$D$310,302-COUNTA(半紙!$B$11:$B$310)-COUNTA(条幅!$B$11:$B$310)),""))))</f>
        <v/>
      </c>
      <c r="E307" s="38" t="str">
        <f>IF(IF(302&lt;=COUNTA(半紙!$B$11:$B$310),INDEX(半紙!$E$11:$E$310,302),IF(302&lt;=COUNTA(半紙!$B$11:$B$310)+COUNTA(条幅!$B$11:$B$310),INDEX(条幅!$E$11:$E$310,302-COUNTA(半紙!$B$11:$B$310)),IF(302&lt;=COUNTA(半紙!$B$11:$B$310)+COUNTA(条幅!$B$11:$B$310)+COUNTA(条幅4分の1!$B$11:$B$310),INDEX(条幅4分の1!$E$11:$E$310,302-COUNTA(半紙!$B$11:$B$310)-COUNTA(条幅!$B$11:$B$310)),"")))=0,"",IF(302&lt;=COUNTA(半紙!$B$11:$B$310),INDEX(半紙!$E$11:$E$310,302),IF(302&lt;=COUNTA(半紙!$B$11:$B$310)+COUNTA(条幅!$B$11:$B$310),INDEX(条幅!$E$11:$E$310,302-COUNTA(半紙!$B$11:$B$310)),IF(302&lt;=COUNTA(半紙!$B$11:$B$310)+COUNTA(条幅!$B$11:$B$310)+COUNTA(条幅4分の1!$B$11:$B$310),INDEX(条幅4分の1!$E$11:$E$310,302-COUNTA(半紙!$B$11:$B$310)-COUNTA(条幅!$B$11:$B$310)),""))))</f>
        <v/>
      </c>
      <c r="F307" s="38" t="str">
        <f>IF(IF(302&lt;=COUNTA(半紙!$B$11:$B$310),INDEX(半紙!$F$11:$F$310,302),IF(302&lt;=COUNTA(半紙!$B$11:$B$310)+COUNTA(条幅!$B$11:$B$310),INDEX(条幅!$F$11:$F$310,302-COUNTA(半紙!$B$11:$B$310)),IF(302&lt;=COUNTA(半紙!$B$11:$B$310)+COUNTA(条幅!$B$11:$B$310)+COUNTA(条幅4分の1!$B$11:$B$310),INDEX(条幅4分の1!$F$11:$F$310,302-COUNTA(半紙!$B$11:$B$310)-COUNTA(条幅!$B$11:$B$310)),"")))=0,"",IF(302&lt;=COUNTA(半紙!$B$11:$B$310),INDEX(半紙!$F$11:$F$310,302),IF(302&lt;=COUNTA(半紙!$B$11:$B$310)+COUNTA(条幅!$B$11:$B$310),INDEX(条幅!$F$11:$F$310,302-COUNTA(半紙!$B$11:$B$310)),IF(302&lt;=COUNTA(半紙!$B$11:$B$310)+COUNTA(条幅!$B$11:$B$310)+COUNTA(条幅4分の1!$B$11:$B$310),INDEX(条幅4分の1!$F$11:$F$310,302-COUNTA(半紙!$B$11:$B$310)-COUNTA(条幅!$B$11:$B$310)),""))))</f>
        <v/>
      </c>
      <c r="G307" s="38" t="str">
        <f>IF(IF(302&lt;=COUNTA(半紙!$B$11:$B$310),INDEX(半紙!$G$11:$G$310,302),IF(302&lt;=COUNTA(半紙!$B$11:$B$310)+COUNTA(条幅!$B$11:$B$310),INDEX(条幅!$G$11:$G$310,302-COUNTA(半紙!$B$11:$B$310)),IF(302&lt;=COUNTA(半紙!$B$11:$B$310)+COUNTA(条幅!$B$11:$B$310)+COUNTA(条幅4分の1!$B$11:$B$310),INDEX(条幅4分の1!$G$11:$G$310,302-COUNTA(半紙!$B$11:$B$310)-COUNTA(条幅!$B$11:$B$310)),"")))=0,"",IF(302&lt;=COUNTA(半紙!$B$11:$B$310),INDEX(半紙!$G$11:$G$310,302),IF(302&lt;=COUNTA(半紙!$B$11:$B$310)+COUNTA(条幅!$B$11:$B$310),INDEX(条幅!$G$11:$G$310,302-COUNTA(半紙!$B$11:$B$310)),IF(302&lt;=COUNTA(半紙!$B$11:$B$310)+COUNTA(条幅!$B$11:$B$310)+COUNTA(条幅4分の1!$B$11:$B$310),INDEX(条幅4分の1!$G$11:$G$310,302-COUNTA(半紙!$B$11:$B$310)-COUNTA(条幅!$B$11:$B$310)),""))))</f>
        <v/>
      </c>
      <c r="H307" s="38" t="str">
        <f>IF(IF(302&lt;=COUNTA(半紙!$B$11:$B$310),INDEX(半紙!$H$11:$H$310,302),IF(302&lt;=COUNTA(半紙!$B$11:$B$310)+COUNTA(条幅!$B$11:$B$310),INDEX(条幅!$H$11:$H$310,302-COUNTA(半紙!$B$11:$B$310)),IF(302&lt;=COUNTA(半紙!$B$11:$B$310)+COUNTA(条幅!$B$11:$B$310)+COUNTA(条幅4分の1!$B$11:$B$310),INDEX(条幅4分の1!$H$11:$H$310,302-COUNTA(半紙!$B$11:$B$310)-COUNTA(条幅!$B$11:$B$310)),"")))=0,"",IF(302&lt;=COUNTA(半紙!$B$11:$B$310),INDEX(半紙!$H$11:$H$310,302),IF(302&lt;=COUNTA(半紙!$B$11:$B$310)+COUNTA(条幅!$B$11:$B$310),INDEX(条幅!$H$11:$H$310,302-COUNTA(半紙!$B$11:$B$310)),IF(302&lt;=COUNTA(半紙!$B$11:$B$310)+COUNTA(条幅!$B$11:$B$310)+COUNTA(条幅4分の1!$B$11:$B$310),INDEX(条幅4分の1!$H$11:$H$310,302-COUNTA(半紙!$B$11:$B$310)-COUNTA(条幅!$B$11:$B$310)),""))))</f>
        <v/>
      </c>
      <c r="I307" s="38" t="str">
        <f>IF(IF(302&lt;=COUNTA(半紙!$B$11:$B$310),INDEX(半紙!$I$11:$I$310,302),IF(302&lt;=COUNTA(半紙!$B$11:$B$310)+COUNTA(条幅!$B$11:$B$310),INDEX(条幅!$I$11:$I$310,302-COUNTA(半紙!$B$11:$B$310)),IF(302&lt;=COUNTA(半紙!$B$11:$B$310)+COUNTA(条幅!$B$11:$B$310)+COUNTA(条幅4分の1!$B$11:$B$310),INDEX(条幅4分の1!$I$11:$I$310,302-COUNTA(半紙!$B$11:$B$310)-COUNTA(条幅!$B$11:$B$310)),"")))=0,"",IF(302&lt;=COUNTA(半紙!$B$11:$B$310),INDEX(半紙!$I$11:$I$310,302),IF(302&lt;=COUNTA(半紙!$B$11:$B$310)+COUNTA(条幅!$B$11:$B$310),INDEX(条幅!$I$11:$I$310,302-COUNTA(半紙!$B$11:$B$310)),IF(302&lt;=COUNTA(半紙!$B$11:$B$310)+COUNTA(条幅!$B$11:$B$310)+COUNTA(条幅4分の1!$B$11:$B$310),INDEX(条幅4分の1!$I$11:$I$310,302-COUNTA(半紙!$B$11:$B$310)-COUNTA(条幅!$B$11:$B$310)),""))))</f>
        <v/>
      </c>
      <c r="J307" s="38" t="str">
        <f>IF(IF(302&lt;=COUNTA(半紙!$B$11:$B$310),INDEX(半紙!$J$11:$J$310,302),IF(302&lt;=COUNTA(半紙!$B$11:$B$310)+COUNTA(条幅!$B$11:$B$310),INDEX(条幅!$J$11:$J$310,302-COUNTA(半紙!$B$11:$B$310)),IF(302&lt;=COUNTA(半紙!$B$11:$B$310)+COUNTA(条幅!$B$11:$B$310)+COUNTA(条幅4分の1!$B$11:$B$310),INDEX(条幅4分の1!$J$11:$J$310,302-COUNTA(半紙!$B$11:$B$310)-COUNTA(条幅!$B$11:$B$310)),"")))=0,"",IF(302&lt;=COUNTA(半紙!$B$11:$B$310),INDEX(半紙!$J$11:$J$310,302),IF(302&lt;=COUNTA(半紙!$B$11:$B$310)+COUNTA(条幅!$B$11:$B$310),INDEX(条幅!$J$11:$J$310,302-COUNTA(半紙!$B$11:$B$310)),IF(302&lt;=COUNTA(半紙!$B$11:$B$310)+COUNTA(条幅!$B$11:$B$310)+COUNTA(条幅4分の1!$B$11:$B$310),INDEX(条幅4分の1!$J$11:$J$310,302-COUNTA(半紙!$B$11:$B$310)-COUNTA(条幅!$B$11:$B$310)),""))))</f>
        <v/>
      </c>
      <c r="K307" s="38" t="str">
        <f>IF(IF(302&lt;=COUNTA(半紙!$B$11:$B$310),INDEX(半紙!$K$11:$K$310,302),IF(302&lt;=COUNTA(半紙!$B$11:$B$310)+COUNTA(条幅!$B$11:$B$310),INDEX(条幅!$K$11:$K$310,302-COUNTA(半紙!$B$11:$B$310)),IF(302&lt;=COUNTA(半紙!$B$11:$B$310)+COUNTA(条幅!$B$11:$B$310)+COUNTA(条幅4分の1!$B$11:$B$310),INDEX(条幅4分の1!$K$11:$K$310,302-COUNTA(半紙!$B$11:$B$310)-COUNTA(条幅!$B$11:$B$310)),"")))=0,"",IF(302&lt;=COUNTA(半紙!$B$11:$B$310),INDEX(半紙!$K$11:$K$310,302),IF(302&lt;=COUNTA(半紙!$B$11:$B$310)+COUNTA(条幅!$B$11:$B$310),INDEX(条幅!$K$11:$K$310,302-COUNTA(半紙!$B$11:$B$310)),IF(302&lt;=COUNTA(半紙!$B$11:$B$310)+COUNTA(条幅!$B$11:$B$310)+COUNTA(条幅4分の1!$B$11:$B$310),INDEX(条幅4分の1!$K$11:$K$310,302-COUNTA(半紙!$B$11:$B$310)-COUNTA(条幅!$B$11:$B$310)),""))))</f>
        <v/>
      </c>
      <c r="L307" s="48" t="str">
        <f>IF($B307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302))</f>
        <v/>
      </c>
    </row>
    <row r="308" spans="1:12" ht="15" customHeight="1">
      <c r="A308" s="37" t="str">
        <f>IF(303&lt;=COUNTA(半紙!$B$11:$B$310),"半紙",IF(303&lt;=COUNTA(半紙!$B$11:$B$310)+COUNTA(条幅!$B$11:$B$310),"条幅(半切)",IF(303&lt;=COUNTA(半紙!$B$11:$B$310)+COUNTA(条幅!$B$11:$B$310)+COUNTA(条幅4分の1!$B$11:$B$310),"条幅(1/4)","")))</f>
        <v/>
      </c>
      <c r="B308" s="38" t="str">
        <f>IF(IF(303&lt;=COUNTA(半紙!$B$11:$B$310),INDEX(半紙!$B$11:$B$310,303),IF(303&lt;=COUNTA(半紙!$B$11:$B$310)+COUNTA(条幅!$B$11:$B$310),INDEX(条幅!$B$11:$B$310,303-COUNTA(半紙!$B$11:$B$310)),IF(303&lt;=COUNTA(半紙!$B$11:$B$310)+COUNTA(条幅!$B$11:$B$310)+COUNTA(条幅4分の1!$B$11:$B$310),INDEX(条幅4分の1!$B$11:$B$310,303-COUNTA(半紙!$B$11:$B$310)-COUNTA(条幅!$B$11:$B$310)),"")))=0,"",IF(303&lt;=COUNTA(半紙!$B$11:$B$310),INDEX(半紙!$B$11:$B$310,303),IF(303&lt;=COUNTA(半紙!$B$11:$B$310)+COUNTA(条幅!$B$11:$B$310),INDEX(条幅!$B$11:$B$310,303-COUNTA(半紙!$B$11:$B$310)),IF(303&lt;=COUNTA(半紙!$B$11:$B$310)+COUNTA(条幅!$B$11:$B$310)+COUNTA(条幅4分の1!$B$11:$B$310),INDEX(条幅4分の1!$B$11:$B$310,303-COUNTA(半紙!$B$11:$B$310)-COUNTA(条幅!$B$11:$B$310)),""))))</f>
        <v/>
      </c>
      <c r="C308" s="38" t="str">
        <f>IF(IF(303&lt;=COUNTA(半紙!$B$11:$B$310),INDEX(半紙!$C$11:$C$310,303),IF(303&lt;=COUNTA(半紙!$B$11:$B$310)+COUNTA(条幅!$B$11:$B$310),INDEX(条幅!$C$11:$C$310,303-COUNTA(半紙!$B$11:$B$310)),IF(303&lt;=COUNTA(半紙!$B$11:$B$310)+COUNTA(条幅!$B$11:$B$310)+COUNTA(条幅4分の1!$B$11:$B$310),INDEX(条幅4分の1!$C$11:$C$310,303-COUNTA(半紙!$B$11:$B$310)-COUNTA(条幅!$B$11:$B$310)),"")))=0,"",IF(303&lt;=COUNTA(半紙!$B$11:$B$310),INDEX(半紙!$C$11:$C$310,303),IF(303&lt;=COUNTA(半紙!$B$11:$B$310)+COUNTA(条幅!$B$11:$B$310),INDEX(条幅!$C$11:$C$310,303-COUNTA(半紙!$B$11:$B$310)),IF(303&lt;=COUNTA(半紙!$B$11:$B$310)+COUNTA(条幅!$B$11:$B$310)+COUNTA(条幅4分の1!$B$11:$B$310),INDEX(条幅4分の1!$C$11:$C$310,303-COUNTA(半紙!$B$11:$B$310)-COUNTA(条幅!$B$11:$B$310)),""))))</f>
        <v/>
      </c>
      <c r="D308" s="38" t="str">
        <f>IF(IF(303&lt;=COUNTA(半紙!$B$11:$B$310),INDEX(半紙!$D$11:$D$310,303),IF(303&lt;=COUNTA(半紙!$B$11:$B$310)+COUNTA(条幅!$B$11:$B$310),INDEX(条幅!$D$11:$D$310,303-COUNTA(半紙!$B$11:$B$310)),IF(303&lt;=COUNTA(半紙!$B$11:$B$310)+COUNTA(条幅!$B$11:$B$310)+COUNTA(条幅4分の1!$B$11:$B$310),INDEX(条幅4分の1!$D$11:$D$310,303-COUNTA(半紙!$B$11:$B$310)-COUNTA(条幅!$B$11:$B$310)),"")))=0,"",IF(303&lt;=COUNTA(半紙!$B$11:$B$310),INDEX(半紙!$D$11:$D$310,303),IF(303&lt;=COUNTA(半紙!$B$11:$B$310)+COUNTA(条幅!$B$11:$B$310),INDEX(条幅!$D$11:$D$310,303-COUNTA(半紙!$B$11:$B$310)),IF(303&lt;=COUNTA(半紙!$B$11:$B$310)+COUNTA(条幅!$B$11:$B$310)+COUNTA(条幅4分の1!$B$11:$B$310),INDEX(条幅4分の1!$D$11:$D$310,303-COUNTA(半紙!$B$11:$B$310)-COUNTA(条幅!$B$11:$B$310)),""))))</f>
        <v/>
      </c>
      <c r="E308" s="38" t="str">
        <f>IF(IF(303&lt;=COUNTA(半紙!$B$11:$B$310),INDEX(半紙!$E$11:$E$310,303),IF(303&lt;=COUNTA(半紙!$B$11:$B$310)+COUNTA(条幅!$B$11:$B$310),INDEX(条幅!$E$11:$E$310,303-COUNTA(半紙!$B$11:$B$310)),IF(303&lt;=COUNTA(半紙!$B$11:$B$310)+COUNTA(条幅!$B$11:$B$310)+COUNTA(条幅4分の1!$B$11:$B$310),INDEX(条幅4分の1!$E$11:$E$310,303-COUNTA(半紙!$B$11:$B$310)-COUNTA(条幅!$B$11:$B$310)),"")))=0,"",IF(303&lt;=COUNTA(半紙!$B$11:$B$310),INDEX(半紙!$E$11:$E$310,303),IF(303&lt;=COUNTA(半紙!$B$11:$B$310)+COUNTA(条幅!$B$11:$B$310),INDEX(条幅!$E$11:$E$310,303-COUNTA(半紙!$B$11:$B$310)),IF(303&lt;=COUNTA(半紙!$B$11:$B$310)+COUNTA(条幅!$B$11:$B$310)+COUNTA(条幅4分の1!$B$11:$B$310),INDEX(条幅4分の1!$E$11:$E$310,303-COUNTA(半紙!$B$11:$B$310)-COUNTA(条幅!$B$11:$B$310)),""))))</f>
        <v/>
      </c>
      <c r="F308" s="38" t="str">
        <f>IF(IF(303&lt;=COUNTA(半紙!$B$11:$B$310),INDEX(半紙!$F$11:$F$310,303),IF(303&lt;=COUNTA(半紙!$B$11:$B$310)+COUNTA(条幅!$B$11:$B$310),INDEX(条幅!$F$11:$F$310,303-COUNTA(半紙!$B$11:$B$310)),IF(303&lt;=COUNTA(半紙!$B$11:$B$310)+COUNTA(条幅!$B$11:$B$310)+COUNTA(条幅4分の1!$B$11:$B$310),INDEX(条幅4分の1!$F$11:$F$310,303-COUNTA(半紙!$B$11:$B$310)-COUNTA(条幅!$B$11:$B$310)),"")))=0,"",IF(303&lt;=COUNTA(半紙!$B$11:$B$310),INDEX(半紙!$F$11:$F$310,303),IF(303&lt;=COUNTA(半紙!$B$11:$B$310)+COUNTA(条幅!$B$11:$B$310),INDEX(条幅!$F$11:$F$310,303-COUNTA(半紙!$B$11:$B$310)),IF(303&lt;=COUNTA(半紙!$B$11:$B$310)+COUNTA(条幅!$B$11:$B$310)+COUNTA(条幅4分の1!$B$11:$B$310),INDEX(条幅4分の1!$F$11:$F$310,303-COUNTA(半紙!$B$11:$B$310)-COUNTA(条幅!$B$11:$B$310)),""))))</f>
        <v/>
      </c>
      <c r="G308" s="38" t="str">
        <f>IF(IF(303&lt;=COUNTA(半紙!$B$11:$B$310),INDEX(半紙!$G$11:$G$310,303),IF(303&lt;=COUNTA(半紙!$B$11:$B$310)+COUNTA(条幅!$B$11:$B$310),INDEX(条幅!$G$11:$G$310,303-COUNTA(半紙!$B$11:$B$310)),IF(303&lt;=COUNTA(半紙!$B$11:$B$310)+COUNTA(条幅!$B$11:$B$310)+COUNTA(条幅4分の1!$B$11:$B$310),INDEX(条幅4分の1!$G$11:$G$310,303-COUNTA(半紙!$B$11:$B$310)-COUNTA(条幅!$B$11:$B$310)),"")))=0,"",IF(303&lt;=COUNTA(半紙!$B$11:$B$310),INDEX(半紙!$G$11:$G$310,303),IF(303&lt;=COUNTA(半紙!$B$11:$B$310)+COUNTA(条幅!$B$11:$B$310),INDEX(条幅!$G$11:$G$310,303-COUNTA(半紙!$B$11:$B$310)),IF(303&lt;=COUNTA(半紙!$B$11:$B$310)+COUNTA(条幅!$B$11:$B$310)+COUNTA(条幅4分の1!$B$11:$B$310),INDEX(条幅4分の1!$G$11:$G$310,303-COUNTA(半紙!$B$11:$B$310)-COUNTA(条幅!$B$11:$B$310)),""))))</f>
        <v/>
      </c>
      <c r="H308" s="38" t="str">
        <f>IF(IF(303&lt;=COUNTA(半紙!$B$11:$B$310),INDEX(半紙!$H$11:$H$310,303),IF(303&lt;=COUNTA(半紙!$B$11:$B$310)+COUNTA(条幅!$B$11:$B$310),INDEX(条幅!$H$11:$H$310,303-COUNTA(半紙!$B$11:$B$310)),IF(303&lt;=COUNTA(半紙!$B$11:$B$310)+COUNTA(条幅!$B$11:$B$310)+COUNTA(条幅4分の1!$B$11:$B$310),INDEX(条幅4分の1!$H$11:$H$310,303-COUNTA(半紙!$B$11:$B$310)-COUNTA(条幅!$B$11:$B$310)),"")))=0,"",IF(303&lt;=COUNTA(半紙!$B$11:$B$310),INDEX(半紙!$H$11:$H$310,303),IF(303&lt;=COUNTA(半紙!$B$11:$B$310)+COUNTA(条幅!$B$11:$B$310),INDEX(条幅!$H$11:$H$310,303-COUNTA(半紙!$B$11:$B$310)),IF(303&lt;=COUNTA(半紙!$B$11:$B$310)+COUNTA(条幅!$B$11:$B$310)+COUNTA(条幅4分の1!$B$11:$B$310),INDEX(条幅4分の1!$H$11:$H$310,303-COUNTA(半紙!$B$11:$B$310)-COUNTA(条幅!$B$11:$B$310)),""))))</f>
        <v/>
      </c>
      <c r="I308" s="38" t="str">
        <f>IF(IF(303&lt;=COUNTA(半紙!$B$11:$B$310),INDEX(半紙!$I$11:$I$310,303),IF(303&lt;=COUNTA(半紙!$B$11:$B$310)+COUNTA(条幅!$B$11:$B$310),INDEX(条幅!$I$11:$I$310,303-COUNTA(半紙!$B$11:$B$310)),IF(303&lt;=COUNTA(半紙!$B$11:$B$310)+COUNTA(条幅!$B$11:$B$310)+COUNTA(条幅4分の1!$B$11:$B$310),INDEX(条幅4分の1!$I$11:$I$310,303-COUNTA(半紙!$B$11:$B$310)-COUNTA(条幅!$B$11:$B$310)),"")))=0,"",IF(303&lt;=COUNTA(半紙!$B$11:$B$310),INDEX(半紙!$I$11:$I$310,303),IF(303&lt;=COUNTA(半紙!$B$11:$B$310)+COUNTA(条幅!$B$11:$B$310),INDEX(条幅!$I$11:$I$310,303-COUNTA(半紙!$B$11:$B$310)),IF(303&lt;=COUNTA(半紙!$B$11:$B$310)+COUNTA(条幅!$B$11:$B$310)+COUNTA(条幅4分の1!$B$11:$B$310),INDEX(条幅4分の1!$I$11:$I$310,303-COUNTA(半紙!$B$11:$B$310)-COUNTA(条幅!$B$11:$B$310)),""))))</f>
        <v/>
      </c>
      <c r="J308" s="38" t="str">
        <f>IF(IF(303&lt;=COUNTA(半紙!$B$11:$B$310),INDEX(半紙!$J$11:$J$310,303),IF(303&lt;=COUNTA(半紙!$B$11:$B$310)+COUNTA(条幅!$B$11:$B$310),INDEX(条幅!$J$11:$J$310,303-COUNTA(半紙!$B$11:$B$310)),IF(303&lt;=COUNTA(半紙!$B$11:$B$310)+COUNTA(条幅!$B$11:$B$310)+COUNTA(条幅4分の1!$B$11:$B$310),INDEX(条幅4分の1!$J$11:$J$310,303-COUNTA(半紙!$B$11:$B$310)-COUNTA(条幅!$B$11:$B$310)),"")))=0,"",IF(303&lt;=COUNTA(半紙!$B$11:$B$310),INDEX(半紙!$J$11:$J$310,303),IF(303&lt;=COUNTA(半紙!$B$11:$B$310)+COUNTA(条幅!$B$11:$B$310),INDEX(条幅!$J$11:$J$310,303-COUNTA(半紙!$B$11:$B$310)),IF(303&lt;=COUNTA(半紙!$B$11:$B$310)+COUNTA(条幅!$B$11:$B$310)+COUNTA(条幅4分の1!$B$11:$B$310),INDEX(条幅4分の1!$J$11:$J$310,303-COUNTA(半紙!$B$11:$B$310)-COUNTA(条幅!$B$11:$B$310)),""))))</f>
        <v/>
      </c>
      <c r="K308" s="38" t="str">
        <f>IF(IF(303&lt;=COUNTA(半紙!$B$11:$B$310),INDEX(半紙!$K$11:$K$310,303),IF(303&lt;=COUNTA(半紙!$B$11:$B$310)+COUNTA(条幅!$B$11:$B$310),INDEX(条幅!$K$11:$K$310,303-COUNTA(半紙!$B$11:$B$310)),IF(303&lt;=COUNTA(半紙!$B$11:$B$310)+COUNTA(条幅!$B$11:$B$310)+COUNTA(条幅4分の1!$B$11:$B$310),INDEX(条幅4分の1!$K$11:$K$310,303-COUNTA(半紙!$B$11:$B$310)-COUNTA(条幅!$B$11:$B$310)),"")))=0,"",IF(303&lt;=COUNTA(半紙!$B$11:$B$310),INDEX(半紙!$K$11:$K$310,303),IF(303&lt;=COUNTA(半紙!$B$11:$B$310)+COUNTA(条幅!$B$11:$B$310),INDEX(条幅!$K$11:$K$310,303-COUNTA(半紙!$B$11:$B$310)),IF(303&lt;=COUNTA(半紙!$B$11:$B$310)+COUNTA(条幅!$B$11:$B$310)+COUNTA(条幅4分の1!$B$11:$B$310),INDEX(条幅4分の1!$K$11:$K$310,303-COUNTA(半紙!$B$11:$B$310)-COUNTA(条幅!$B$11:$B$310)),""))))</f>
        <v/>
      </c>
      <c r="L308" s="48" t="str">
        <f>IF($B308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303))</f>
        <v/>
      </c>
    </row>
    <row r="309" spans="1:12" ht="15" customHeight="1">
      <c r="A309" s="37" t="str">
        <f>IF(304&lt;=COUNTA(半紙!$B$11:$B$310),"半紙",IF(304&lt;=COUNTA(半紙!$B$11:$B$310)+COUNTA(条幅!$B$11:$B$310),"条幅(半切)",IF(304&lt;=COUNTA(半紙!$B$11:$B$310)+COUNTA(条幅!$B$11:$B$310)+COUNTA(条幅4分の1!$B$11:$B$310),"条幅(1/4)","")))</f>
        <v/>
      </c>
      <c r="B309" s="38" t="str">
        <f>IF(IF(304&lt;=COUNTA(半紙!$B$11:$B$310),INDEX(半紙!$B$11:$B$310,304),IF(304&lt;=COUNTA(半紙!$B$11:$B$310)+COUNTA(条幅!$B$11:$B$310),INDEX(条幅!$B$11:$B$310,304-COUNTA(半紙!$B$11:$B$310)),IF(304&lt;=COUNTA(半紙!$B$11:$B$310)+COUNTA(条幅!$B$11:$B$310)+COUNTA(条幅4分の1!$B$11:$B$310),INDEX(条幅4分の1!$B$11:$B$310,304-COUNTA(半紙!$B$11:$B$310)-COUNTA(条幅!$B$11:$B$310)),"")))=0,"",IF(304&lt;=COUNTA(半紙!$B$11:$B$310),INDEX(半紙!$B$11:$B$310,304),IF(304&lt;=COUNTA(半紙!$B$11:$B$310)+COUNTA(条幅!$B$11:$B$310),INDEX(条幅!$B$11:$B$310,304-COUNTA(半紙!$B$11:$B$310)),IF(304&lt;=COUNTA(半紙!$B$11:$B$310)+COUNTA(条幅!$B$11:$B$310)+COUNTA(条幅4分の1!$B$11:$B$310),INDEX(条幅4分の1!$B$11:$B$310,304-COUNTA(半紙!$B$11:$B$310)-COUNTA(条幅!$B$11:$B$310)),""))))</f>
        <v/>
      </c>
      <c r="C309" s="38" t="str">
        <f>IF(IF(304&lt;=COUNTA(半紙!$B$11:$B$310),INDEX(半紙!$C$11:$C$310,304),IF(304&lt;=COUNTA(半紙!$B$11:$B$310)+COUNTA(条幅!$B$11:$B$310),INDEX(条幅!$C$11:$C$310,304-COUNTA(半紙!$B$11:$B$310)),IF(304&lt;=COUNTA(半紙!$B$11:$B$310)+COUNTA(条幅!$B$11:$B$310)+COUNTA(条幅4分の1!$B$11:$B$310),INDEX(条幅4分の1!$C$11:$C$310,304-COUNTA(半紙!$B$11:$B$310)-COUNTA(条幅!$B$11:$B$310)),"")))=0,"",IF(304&lt;=COUNTA(半紙!$B$11:$B$310),INDEX(半紙!$C$11:$C$310,304),IF(304&lt;=COUNTA(半紙!$B$11:$B$310)+COUNTA(条幅!$B$11:$B$310),INDEX(条幅!$C$11:$C$310,304-COUNTA(半紙!$B$11:$B$310)),IF(304&lt;=COUNTA(半紙!$B$11:$B$310)+COUNTA(条幅!$B$11:$B$310)+COUNTA(条幅4分の1!$B$11:$B$310),INDEX(条幅4分の1!$C$11:$C$310,304-COUNTA(半紙!$B$11:$B$310)-COUNTA(条幅!$B$11:$B$310)),""))))</f>
        <v/>
      </c>
      <c r="D309" s="38" t="str">
        <f>IF(IF(304&lt;=COUNTA(半紙!$B$11:$B$310),INDEX(半紙!$D$11:$D$310,304),IF(304&lt;=COUNTA(半紙!$B$11:$B$310)+COUNTA(条幅!$B$11:$B$310),INDEX(条幅!$D$11:$D$310,304-COUNTA(半紙!$B$11:$B$310)),IF(304&lt;=COUNTA(半紙!$B$11:$B$310)+COUNTA(条幅!$B$11:$B$310)+COUNTA(条幅4分の1!$B$11:$B$310),INDEX(条幅4分の1!$D$11:$D$310,304-COUNTA(半紙!$B$11:$B$310)-COUNTA(条幅!$B$11:$B$310)),"")))=0,"",IF(304&lt;=COUNTA(半紙!$B$11:$B$310),INDEX(半紙!$D$11:$D$310,304),IF(304&lt;=COUNTA(半紙!$B$11:$B$310)+COUNTA(条幅!$B$11:$B$310),INDEX(条幅!$D$11:$D$310,304-COUNTA(半紙!$B$11:$B$310)),IF(304&lt;=COUNTA(半紙!$B$11:$B$310)+COUNTA(条幅!$B$11:$B$310)+COUNTA(条幅4分の1!$B$11:$B$310),INDEX(条幅4分の1!$D$11:$D$310,304-COUNTA(半紙!$B$11:$B$310)-COUNTA(条幅!$B$11:$B$310)),""))))</f>
        <v/>
      </c>
      <c r="E309" s="38" t="str">
        <f>IF(IF(304&lt;=COUNTA(半紙!$B$11:$B$310),INDEX(半紙!$E$11:$E$310,304),IF(304&lt;=COUNTA(半紙!$B$11:$B$310)+COUNTA(条幅!$B$11:$B$310),INDEX(条幅!$E$11:$E$310,304-COUNTA(半紙!$B$11:$B$310)),IF(304&lt;=COUNTA(半紙!$B$11:$B$310)+COUNTA(条幅!$B$11:$B$310)+COUNTA(条幅4分の1!$B$11:$B$310),INDEX(条幅4分の1!$E$11:$E$310,304-COUNTA(半紙!$B$11:$B$310)-COUNTA(条幅!$B$11:$B$310)),"")))=0,"",IF(304&lt;=COUNTA(半紙!$B$11:$B$310),INDEX(半紙!$E$11:$E$310,304),IF(304&lt;=COUNTA(半紙!$B$11:$B$310)+COUNTA(条幅!$B$11:$B$310),INDEX(条幅!$E$11:$E$310,304-COUNTA(半紙!$B$11:$B$310)),IF(304&lt;=COUNTA(半紙!$B$11:$B$310)+COUNTA(条幅!$B$11:$B$310)+COUNTA(条幅4分の1!$B$11:$B$310),INDEX(条幅4分の1!$E$11:$E$310,304-COUNTA(半紙!$B$11:$B$310)-COUNTA(条幅!$B$11:$B$310)),""))))</f>
        <v/>
      </c>
      <c r="F309" s="38" t="str">
        <f>IF(IF(304&lt;=COUNTA(半紙!$B$11:$B$310),INDEX(半紙!$F$11:$F$310,304),IF(304&lt;=COUNTA(半紙!$B$11:$B$310)+COUNTA(条幅!$B$11:$B$310),INDEX(条幅!$F$11:$F$310,304-COUNTA(半紙!$B$11:$B$310)),IF(304&lt;=COUNTA(半紙!$B$11:$B$310)+COUNTA(条幅!$B$11:$B$310)+COUNTA(条幅4分の1!$B$11:$B$310),INDEX(条幅4分の1!$F$11:$F$310,304-COUNTA(半紙!$B$11:$B$310)-COUNTA(条幅!$B$11:$B$310)),"")))=0,"",IF(304&lt;=COUNTA(半紙!$B$11:$B$310),INDEX(半紙!$F$11:$F$310,304),IF(304&lt;=COUNTA(半紙!$B$11:$B$310)+COUNTA(条幅!$B$11:$B$310),INDEX(条幅!$F$11:$F$310,304-COUNTA(半紙!$B$11:$B$310)),IF(304&lt;=COUNTA(半紙!$B$11:$B$310)+COUNTA(条幅!$B$11:$B$310)+COUNTA(条幅4分の1!$B$11:$B$310),INDEX(条幅4分の1!$F$11:$F$310,304-COUNTA(半紙!$B$11:$B$310)-COUNTA(条幅!$B$11:$B$310)),""))))</f>
        <v/>
      </c>
      <c r="G309" s="38" t="str">
        <f>IF(IF(304&lt;=COUNTA(半紙!$B$11:$B$310),INDEX(半紙!$G$11:$G$310,304),IF(304&lt;=COUNTA(半紙!$B$11:$B$310)+COUNTA(条幅!$B$11:$B$310),INDEX(条幅!$G$11:$G$310,304-COUNTA(半紙!$B$11:$B$310)),IF(304&lt;=COUNTA(半紙!$B$11:$B$310)+COUNTA(条幅!$B$11:$B$310)+COUNTA(条幅4分の1!$B$11:$B$310),INDEX(条幅4分の1!$G$11:$G$310,304-COUNTA(半紙!$B$11:$B$310)-COUNTA(条幅!$B$11:$B$310)),"")))=0,"",IF(304&lt;=COUNTA(半紙!$B$11:$B$310),INDEX(半紙!$G$11:$G$310,304),IF(304&lt;=COUNTA(半紙!$B$11:$B$310)+COUNTA(条幅!$B$11:$B$310),INDEX(条幅!$G$11:$G$310,304-COUNTA(半紙!$B$11:$B$310)),IF(304&lt;=COUNTA(半紙!$B$11:$B$310)+COUNTA(条幅!$B$11:$B$310)+COUNTA(条幅4分の1!$B$11:$B$310),INDEX(条幅4分の1!$G$11:$G$310,304-COUNTA(半紙!$B$11:$B$310)-COUNTA(条幅!$B$11:$B$310)),""))))</f>
        <v/>
      </c>
      <c r="H309" s="38" t="str">
        <f>IF(IF(304&lt;=COUNTA(半紙!$B$11:$B$310),INDEX(半紙!$H$11:$H$310,304),IF(304&lt;=COUNTA(半紙!$B$11:$B$310)+COUNTA(条幅!$B$11:$B$310),INDEX(条幅!$H$11:$H$310,304-COUNTA(半紙!$B$11:$B$310)),IF(304&lt;=COUNTA(半紙!$B$11:$B$310)+COUNTA(条幅!$B$11:$B$310)+COUNTA(条幅4分の1!$B$11:$B$310),INDEX(条幅4分の1!$H$11:$H$310,304-COUNTA(半紙!$B$11:$B$310)-COUNTA(条幅!$B$11:$B$310)),"")))=0,"",IF(304&lt;=COUNTA(半紙!$B$11:$B$310),INDEX(半紙!$H$11:$H$310,304),IF(304&lt;=COUNTA(半紙!$B$11:$B$310)+COUNTA(条幅!$B$11:$B$310),INDEX(条幅!$H$11:$H$310,304-COUNTA(半紙!$B$11:$B$310)),IF(304&lt;=COUNTA(半紙!$B$11:$B$310)+COUNTA(条幅!$B$11:$B$310)+COUNTA(条幅4分の1!$B$11:$B$310),INDEX(条幅4分の1!$H$11:$H$310,304-COUNTA(半紙!$B$11:$B$310)-COUNTA(条幅!$B$11:$B$310)),""))))</f>
        <v/>
      </c>
      <c r="I309" s="38" t="str">
        <f>IF(IF(304&lt;=COUNTA(半紙!$B$11:$B$310),INDEX(半紙!$I$11:$I$310,304),IF(304&lt;=COUNTA(半紙!$B$11:$B$310)+COUNTA(条幅!$B$11:$B$310),INDEX(条幅!$I$11:$I$310,304-COUNTA(半紙!$B$11:$B$310)),IF(304&lt;=COUNTA(半紙!$B$11:$B$310)+COUNTA(条幅!$B$11:$B$310)+COUNTA(条幅4分の1!$B$11:$B$310),INDEX(条幅4分の1!$I$11:$I$310,304-COUNTA(半紙!$B$11:$B$310)-COUNTA(条幅!$B$11:$B$310)),"")))=0,"",IF(304&lt;=COUNTA(半紙!$B$11:$B$310),INDEX(半紙!$I$11:$I$310,304),IF(304&lt;=COUNTA(半紙!$B$11:$B$310)+COUNTA(条幅!$B$11:$B$310),INDEX(条幅!$I$11:$I$310,304-COUNTA(半紙!$B$11:$B$310)),IF(304&lt;=COUNTA(半紙!$B$11:$B$310)+COUNTA(条幅!$B$11:$B$310)+COUNTA(条幅4分の1!$B$11:$B$310),INDEX(条幅4分の1!$I$11:$I$310,304-COUNTA(半紙!$B$11:$B$310)-COUNTA(条幅!$B$11:$B$310)),""))))</f>
        <v/>
      </c>
      <c r="J309" s="38" t="str">
        <f>IF(IF(304&lt;=COUNTA(半紙!$B$11:$B$310),INDEX(半紙!$J$11:$J$310,304),IF(304&lt;=COUNTA(半紙!$B$11:$B$310)+COUNTA(条幅!$B$11:$B$310),INDEX(条幅!$J$11:$J$310,304-COUNTA(半紙!$B$11:$B$310)),IF(304&lt;=COUNTA(半紙!$B$11:$B$310)+COUNTA(条幅!$B$11:$B$310)+COUNTA(条幅4分の1!$B$11:$B$310),INDEX(条幅4分の1!$J$11:$J$310,304-COUNTA(半紙!$B$11:$B$310)-COUNTA(条幅!$B$11:$B$310)),"")))=0,"",IF(304&lt;=COUNTA(半紙!$B$11:$B$310),INDEX(半紙!$J$11:$J$310,304),IF(304&lt;=COUNTA(半紙!$B$11:$B$310)+COUNTA(条幅!$B$11:$B$310),INDEX(条幅!$J$11:$J$310,304-COUNTA(半紙!$B$11:$B$310)),IF(304&lt;=COUNTA(半紙!$B$11:$B$310)+COUNTA(条幅!$B$11:$B$310)+COUNTA(条幅4分の1!$B$11:$B$310),INDEX(条幅4分の1!$J$11:$J$310,304-COUNTA(半紙!$B$11:$B$310)-COUNTA(条幅!$B$11:$B$310)),""))))</f>
        <v/>
      </c>
      <c r="K309" s="38" t="str">
        <f>IF(IF(304&lt;=COUNTA(半紙!$B$11:$B$310),INDEX(半紙!$K$11:$K$310,304),IF(304&lt;=COUNTA(半紙!$B$11:$B$310)+COUNTA(条幅!$B$11:$B$310),INDEX(条幅!$K$11:$K$310,304-COUNTA(半紙!$B$11:$B$310)),IF(304&lt;=COUNTA(半紙!$B$11:$B$310)+COUNTA(条幅!$B$11:$B$310)+COUNTA(条幅4分の1!$B$11:$B$310),INDEX(条幅4分の1!$K$11:$K$310,304-COUNTA(半紙!$B$11:$B$310)-COUNTA(条幅!$B$11:$B$310)),"")))=0,"",IF(304&lt;=COUNTA(半紙!$B$11:$B$310),INDEX(半紙!$K$11:$K$310,304),IF(304&lt;=COUNTA(半紙!$B$11:$B$310)+COUNTA(条幅!$B$11:$B$310),INDEX(条幅!$K$11:$K$310,304-COUNTA(半紙!$B$11:$B$310)),IF(304&lt;=COUNTA(半紙!$B$11:$B$310)+COUNTA(条幅!$B$11:$B$310)+COUNTA(条幅4分の1!$B$11:$B$310),INDEX(条幅4分の1!$K$11:$K$310,304-COUNTA(半紙!$B$11:$B$310)-COUNTA(条幅!$B$11:$B$310)),""))))</f>
        <v/>
      </c>
      <c r="L309" s="48" t="str">
        <f>IF($B309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304))</f>
        <v/>
      </c>
    </row>
    <row r="310" spans="1:12" ht="15" customHeight="1">
      <c r="A310" s="37" t="str">
        <f>IF(305&lt;=COUNTA(半紙!$B$11:$B$310),"半紙",IF(305&lt;=COUNTA(半紙!$B$11:$B$310)+COUNTA(条幅!$B$11:$B$310),"条幅(半切)",IF(305&lt;=COUNTA(半紙!$B$11:$B$310)+COUNTA(条幅!$B$11:$B$310)+COUNTA(条幅4分の1!$B$11:$B$310),"条幅(1/4)","")))</f>
        <v/>
      </c>
      <c r="B310" s="38" t="str">
        <f>IF(IF(305&lt;=COUNTA(半紙!$B$11:$B$310),INDEX(半紙!$B$11:$B$310,305),IF(305&lt;=COUNTA(半紙!$B$11:$B$310)+COUNTA(条幅!$B$11:$B$310),INDEX(条幅!$B$11:$B$310,305-COUNTA(半紙!$B$11:$B$310)),IF(305&lt;=COUNTA(半紙!$B$11:$B$310)+COUNTA(条幅!$B$11:$B$310)+COUNTA(条幅4分の1!$B$11:$B$310),INDEX(条幅4分の1!$B$11:$B$310,305-COUNTA(半紙!$B$11:$B$310)-COUNTA(条幅!$B$11:$B$310)),"")))=0,"",IF(305&lt;=COUNTA(半紙!$B$11:$B$310),INDEX(半紙!$B$11:$B$310,305),IF(305&lt;=COUNTA(半紙!$B$11:$B$310)+COUNTA(条幅!$B$11:$B$310),INDEX(条幅!$B$11:$B$310,305-COUNTA(半紙!$B$11:$B$310)),IF(305&lt;=COUNTA(半紙!$B$11:$B$310)+COUNTA(条幅!$B$11:$B$310)+COUNTA(条幅4分の1!$B$11:$B$310),INDEX(条幅4分の1!$B$11:$B$310,305-COUNTA(半紙!$B$11:$B$310)-COUNTA(条幅!$B$11:$B$310)),""))))</f>
        <v/>
      </c>
      <c r="C310" s="38" t="str">
        <f>IF(IF(305&lt;=COUNTA(半紙!$B$11:$B$310),INDEX(半紙!$C$11:$C$310,305),IF(305&lt;=COUNTA(半紙!$B$11:$B$310)+COUNTA(条幅!$B$11:$B$310),INDEX(条幅!$C$11:$C$310,305-COUNTA(半紙!$B$11:$B$310)),IF(305&lt;=COUNTA(半紙!$B$11:$B$310)+COUNTA(条幅!$B$11:$B$310)+COUNTA(条幅4分の1!$B$11:$B$310),INDEX(条幅4分の1!$C$11:$C$310,305-COUNTA(半紙!$B$11:$B$310)-COUNTA(条幅!$B$11:$B$310)),"")))=0,"",IF(305&lt;=COUNTA(半紙!$B$11:$B$310),INDEX(半紙!$C$11:$C$310,305),IF(305&lt;=COUNTA(半紙!$B$11:$B$310)+COUNTA(条幅!$B$11:$B$310),INDEX(条幅!$C$11:$C$310,305-COUNTA(半紙!$B$11:$B$310)),IF(305&lt;=COUNTA(半紙!$B$11:$B$310)+COUNTA(条幅!$B$11:$B$310)+COUNTA(条幅4分の1!$B$11:$B$310),INDEX(条幅4分の1!$C$11:$C$310,305-COUNTA(半紙!$B$11:$B$310)-COUNTA(条幅!$B$11:$B$310)),""))))</f>
        <v/>
      </c>
      <c r="D310" s="38" t="str">
        <f>IF(IF(305&lt;=COUNTA(半紙!$B$11:$B$310),INDEX(半紙!$D$11:$D$310,305),IF(305&lt;=COUNTA(半紙!$B$11:$B$310)+COUNTA(条幅!$B$11:$B$310),INDEX(条幅!$D$11:$D$310,305-COUNTA(半紙!$B$11:$B$310)),IF(305&lt;=COUNTA(半紙!$B$11:$B$310)+COUNTA(条幅!$B$11:$B$310)+COUNTA(条幅4分の1!$B$11:$B$310),INDEX(条幅4分の1!$D$11:$D$310,305-COUNTA(半紙!$B$11:$B$310)-COUNTA(条幅!$B$11:$B$310)),"")))=0,"",IF(305&lt;=COUNTA(半紙!$B$11:$B$310),INDEX(半紙!$D$11:$D$310,305),IF(305&lt;=COUNTA(半紙!$B$11:$B$310)+COUNTA(条幅!$B$11:$B$310),INDEX(条幅!$D$11:$D$310,305-COUNTA(半紙!$B$11:$B$310)),IF(305&lt;=COUNTA(半紙!$B$11:$B$310)+COUNTA(条幅!$B$11:$B$310)+COUNTA(条幅4分の1!$B$11:$B$310),INDEX(条幅4分の1!$D$11:$D$310,305-COUNTA(半紙!$B$11:$B$310)-COUNTA(条幅!$B$11:$B$310)),""))))</f>
        <v/>
      </c>
      <c r="E310" s="38" t="str">
        <f>IF(IF(305&lt;=COUNTA(半紙!$B$11:$B$310),INDEX(半紙!$E$11:$E$310,305),IF(305&lt;=COUNTA(半紙!$B$11:$B$310)+COUNTA(条幅!$B$11:$B$310),INDEX(条幅!$E$11:$E$310,305-COUNTA(半紙!$B$11:$B$310)),IF(305&lt;=COUNTA(半紙!$B$11:$B$310)+COUNTA(条幅!$B$11:$B$310)+COUNTA(条幅4分の1!$B$11:$B$310),INDEX(条幅4分の1!$E$11:$E$310,305-COUNTA(半紙!$B$11:$B$310)-COUNTA(条幅!$B$11:$B$310)),"")))=0,"",IF(305&lt;=COUNTA(半紙!$B$11:$B$310),INDEX(半紙!$E$11:$E$310,305),IF(305&lt;=COUNTA(半紙!$B$11:$B$310)+COUNTA(条幅!$B$11:$B$310),INDEX(条幅!$E$11:$E$310,305-COUNTA(半紙!$B$11:$B$310)),IF(305&lt;=COUNTA(半紙!$B$11:$B$310)+COUNTA(条幅!$B$11:$B$310)+COUNTA(条幅4分の1!$B$11:$B$310),INDEX(条幅4分の1!$E$11:$E$310,305-COUNTA(半紙!$B$11:$B$310)-COUNTA(条幅!$B$11:$B$310)),""))))</f>
        <v/>
      </c>
      <c r="F310" s="38" t="str">
        <f>IF(IF(305&lt;=COUNTA(半紙!$B$11:$B$310),INDEX(半紙!$F$11:$F$310,305),IF(305&lt;=COUNTA(半紙!$B$11:$B$310)+COUNTA(条幅!$B$11:$B$310),INDEX(条幅!$F$11:$F$310,305-COUNTA(半紙!$B$11:$B$310)),IF(305&lt;=COUNTA(半紙!$B$11:$B$310)+COUNTA(条幅!$B$11:$B$310)+COUNTA(条幅4分の1!$B$11:$B$310),INDEX(条幅4分の1!$F$11:$F$310,305-COUNTA(半紙!$B$11:$B$310)-COUNTA(条幅!$B$11:$B$310)),"")))=0,"",IF(305&lt;=COUNTA(半紙!$B$11:$B$310),INDEX(半紙!$F$11:$F$310,305),IF(305&lt;=COUNTA(半紙!$B$11:$B$310)+COUNTA(条幅!$B$11:$B$310),INDEX(条幅!$F$11:$F$310,305-COUNTA(半紙!$B$11:$B$310)),IF(305&lt;=COUNTA(半紙!$B$11:$B$310)+COUNTA(条幅!$B$11:$B$310)+COUNTA(条幅4分の1!$B$11:$B$310),INDEX(条幅4分の1!$F$11:$F$310,305-COUNTA(半紙!$B$11:$B$310)-COUNTA(条幅!$B$11:$B$310)),""))))</f>
        <v/>
      </c>
      <c r="G310" s="38" t="str">
        <f>IF(IF(305&lt;=COUNTA(半紙!$B$11:$B$310),INDEX(半紙!$G$11:$G$310,305),IF(305&lt;=COUNTA(半紙!$B$11:$B$310)+COUNTA(条幅!$B$11:$B$310),INDEX(条幅!$G$11:$G$310,305-COUNTA(半紙!$B$11:$B$310)),IF(305&lt;=COUNTA(半紙!$B$11:$B$310)+COUNTA(条幅!$B$11:$B$310)+COUNTA(条幅4分の1!$B$11:$B$310),INDEX(条幅4分の1!$G$11:$G$310,305-COUNTA(半紙!$B$11:$B$310)-COUNTA(条幅!$B$11:$B$310)),"")))=0,"",IF(305&lt;=COUNTA(半紙!$B$11:$B$310),INDEX(半紙!$G$11:$G$310,305),IF(305&lt;=COUNTA(半紙!$B$11:$B$310)+COUNTA(条幅!$B$11:$B$310),INDEX(条幅!$G$11:$G$310,305-COUNTA(半紙!$B$11:$B$310)),IF(305&lt;=COUNTA(半紙!$B$11:$B$310)+COUNTA(条幅!$B$11:$B$310)+COUNTA(条幅4分の1!$B$11:$B$310),INDEX(条幅4分の1!$G$11:$G$310,305-COUNTA(半紙!$B$11:$B$310)-COUNTA(条幅!$B$11:$B$310)),""))))</f>
        <v/>
      </c>
      <c r="H310" s="38" t="str">
        <f>IF(IF(305&lt;=COUNTA(半紙!$B$11:$B$310),INDEX(半紙!$H$11:$H$310,305),IF(305&lt;=COUNTA(半紙!$B$11:$B$310)+COUNTA(条幅!$B$11:$B$310),INDEX(条幅!$H$11:$H$310,305-COUNTA(半紙!$B$11:$B$310)),IF(305&lt;=COUNTA(半紙!$B$11:$B$310)+COUNTA(条幅!$B$11:$B$310)+COUNTA(条幅4分の1!$B$11:$B$310),INDEX(条幅4分の1!$H$11:$H$310,305-COUNTA(半紙!$B$11:$B$310)-COUNTA(条幅!$B$11:$B$310)),"")))=0,"",IF(305&lt;=COUNTA(半紙!$B$11:$B$310),INDEX(半紙!$H$11:$H$310,305),IF(305&lt;=COUNTA(半紙!$B$11:$B$310)+COUNTA(条幅!$B$11:$B$310),INDEX(条幅!$H$11:$H$310,305-COUNTA(半紙!$B$11:$B$310)),IF(305&lt;=COUNTA(半紙!$B$11:$B$310)+COUNTA(条幅!$B$11:$B$310)+COUNTA(条幅4分の1!$B$11:$B$310),INDEX(条幅4分の1!$H$11:$H$310,305-COUNTA(半紙!$B$11:$B$310)-COUNTA(条幅!$B$11:$B$310)),""))))</f>
        <v/>
      </c>
      <c r="I310" s="38" t="str">
        <f>IF(IF(305&lt;=COUNTA(半紙!$B$11:$B$310),INDEX(半紙!$I$11:$I$310,305),IF(305&lt;=COUNTA(半紙!$B$11:$B$310)+COUNTA(条幅!$B$11:$B$310),INDEX(条幅!$I$11:$I$310,305-COUNTA(半紙!$B$11:$B$310)),IF(305&lt;=COUNTA(半紙!$B$11:$B$310)+COUNTA(条幅!$B$11:$B$310)+COUNTA(条幅4分の1!$B$11:$B$310),INDEX(条幅4分の1!$I$11:$I$310,305-COUNTA(半紙!$B$11:$B$310)-COUNTA(条幅!$B$11:$B$310)),"")))=0,"",IF(305&lt;=COUNTA(半紙!$B$11:$B$310),INDEX(半紙!$I$11:$I$310,305),IF(305&lt;=COUNTA(半紙!$B$11:$B$310)+COUNTA(条幅!$B$11:$B$310),INDEX(条幅!$I$11:$I$310,305-COUNTA(半紙!$B$11:$B$310)),IF(305&lt;=COUNTA(半紙!$B$11:$B$310)+COUNTA(条幅!$B$11:$B$310)+COUNTA(条幅4分の1!$B$11:$B$310),INDEX(条幅4分の1!$I$11:$I$310,305-COUNTA(半紙!$B$11:$B$310)-COUNTA(条幅!$B$11:$B$310)),""))))</f>
        <v/>
      </c>
      <c r="J310" s="38" t="str">
        <f>IF(IF(305&lt;=COUNTA(半紙!$B$11:$B$310),INDEX(半紙!$J$11:$J$310,305),IF(305&lt;=COUNTA(半紙!$B$11:$B$310)+COUNTA(条幅!$B$11:$B$310),INDEX(条幅!$J$11:$J$310,305-COUNTA(半紙!$B$11:$B$310)),IF(305&lt;=COUNTA(半紙!$B$11:$B$310)+COUNTA(条幅!$B$11:$B$310)+COUNTA(条幅4分の1!$B$11:$B$310),INDEX(条幅4分の1!$J$11:$J$310,305-COUNTA(半紙!$B$11:$B$310)-COUNTA(条幅!$B$11:$B$310)),"")))=0,"",IF(305&lt;=COUNTA(半紙!$B$11:$B$310),INDEX(半紙!$J$11:$J$310,305),IF(305&lt;=COUNTA(半紙!$B$11:$B$310)+COUNTA(条幅!$B$11:$B$310),INDEX(条幅!$J$11:$J$310,305-COUNTA(半紙!$B$11:$B$310)),IF(305&lt;=COUNTA(半紙!$B$11:$B$310)+COUNTA(条幅!$B$11:$B$310)+COUNTA(条幅4分の1!$B$11:$B$310),INDEX(条幅4分の1!$J$11:$J$310,305-COUNTA(半紙!$B$11:$B$310)-COUNTA(条幅!$B$11:$B$310)),""))))</f>
        <v/>
      </c>
      <c r="K310" s="38" t="str">
        <f>IF(IF(305&lt;=COUNTA(半紙!$B$11:$B$310),INDEX(半紙!$K$11:$K$310,305),IF(305&lt;=COUNTA(半紙!$B$11:$B$310)+COUNTA(条幅!$B$11:$B$310),INDEX(条幅!$K$11:$K$310,305-COUNTA(半紙!$B$11:$B$310)),IF(305&lt;=COUNTA(半紙!$B$11:$B$310)+COUNTA(条幅!$B$11:$B$310)+COUNTA(条幅4分の1!$B$11:$B$310),INDEX(条幅4分の1!$K$11:$K$310,305-COUNTA(半紙!$B$11:$B$310)-COUNTA(条幅!$B$11:$B$310)),"")))=0,"",IF(305&lt;=COUNTA(半紙!$B$11:$B$310),INDEX(半紙!$K$11:$K$310,305),IF(305&lt;=COUNTA(半紙!$B$11:$B$310)+COUNTA(条幅!$B$11:$B$310),INDEX(条幅!$K$11:$K$310,305-COUNTA(半紙!$B$11:$B$310)),IF(305&lt;=COUNTA(半紙!$B$11:$B$310)+COUNTA(条幅!$B$11:$B$310)+COUNTA(条幅4分の1!$B$11:$B$310),INDEX(条幅4分の1!$K$11:$K$310,305-COUNTA(半紙!$B$11:$B$310)-COUNTA(条幅!$B$11:$B$310)),""))))</f>
        <v/>
      </c>
      <c r="L310" s="48" t="str">
        <f>IF($B310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305))</f>
        <v/>
      </c>
    </row>
    <row r="311" spans="1:12" ht="15" customHeight="1">
      <c r="A311" s="37" t="str">
        <f>IF(306&lt;=COUNTA(半紙!$B$11:$B$310),"半紙",IF(306&lt;=COUNTA(半紙!$B$11:$B$310)+COUNTA(条幅!$B$11:$B$310),"条幅(半切)",IF(306&lt;=COUNTA(半紙!$B$11:$B$310)+COUNTA(条幅!$B$11:$B$310)+COUNTA(条幅4分の1!$B$11:$B$310),"条幅(1/4)","")))</f>
        <v/>
      </c>
      <c r="B311" s="38" t="str">
        <f>IF(IF(306&lt;=COUNTA(半紙!$B$11:$B$310),INDEX(半紙!$B$11:$B$310,306),IF(306&lt;=COUNTA(半紙!$B$11:$B$310)+COUNTA(条幅!$B$11:$B$310),INDEX(条幅!$B$11:$B$310,306-COUNTA(半紙!$B$11:$B$310)),IF(306&lt;=COUNTA(半紙!$B$11:$B$310)+COUNTA(条幅!$B$11:$B$310)+COUNTA(条幅4分の1!$B$11:$B$310),INDEX(条幅4分の1!$B$11:$B$310,306-COUNTA(半紙!$B$11:$B$310)-COUNTA(条幅!$B$11:$B$310)),"")))=0,"",IF(306&lt;=COUNTA(半紙!$B$11:$B$310),INDEX(半紙!$B$11:$B$310,306),IF(306&lt;=COUNTA(半紙!$B$11:$B$310)+COUNTA(条幅!$B$11:$B$310),INDEX(条幅!$B$11:$B$310,306-COUNTA(半紙!$B$11:$B$310)),IF(306&lt;=COUNTA(半紙!$B$11:$B$310)+COUNTA(条幅!$B$11:$B$310)+COUNTA(条幅4分の1!$B$11:$B$310),INDEX(条幅4分の1!$B$11:$B$310,306-COUNTA(半紙!$B$11:$B$310)-COUNTA(条幅!$B$11:$B$310)),""))))</f>
        <v/>
      </c>
      <c r="C311" s="38" t="str">
        <f>IF(IF(306&lt;=COUNTA(半紙!$B$11:$B$310),INDEX(半紙!$C$11:$C$310,306),IF(306&lt;=COUNTA(半紙!$B$11:$B$310)+COUNTA(条幅!$B$11:$B$310),INDEX(条幅!$C$11:$C$310,306-COUNTA(半紙!$B$11:$B$310)),IF(306&lt;=COUNTA(半紙!$B$11:$B$310)+COUNTA(条幅!$B$11:$B$310)+COUNTA(条幅4分の1!$B$11:$B$310),INDEX(条幅4分の1!$C$11:$C$310,306-COUNTA(半紙!$B$11:$B$310)-COUNTA(条幅!$B$11:$B$310)),"")))=0,"",IF(306&lt;=COUNTA(半紙!$B$11:$B$310),INDEX(半紙!$C$11:$C$310,306),IF(306&lt;=COUNTA(半紙!$B$11:$B$310)+COUNTA(条幅!$B$11:$B$310),INDEX(条幅!$C$11:$C$310,306-COUNTA(半紙!$B$11:$B$310)),IF(306&lt;=COUNTA(半紙!$B$11:$B$310)+COUNTA(条幅!$B$11:$B$310)+COUNTA(条幅4分の1!$B$11:$B$310),INDEX(条幅4分の1!$C$11:$C$310,306-COUNTA(半紙!$B$11:$B$310)-COUNTA(条幅!$B$11:$B$310)),""))))</f>
        <v/>
      </c>
      <c r="D311" s="38" t="str">
        <f>IF(IF(306&lt;=COUNTA(半紙!$B$11:$B$310),INDEX(半紙!$D$11:$D$310,306),IF(306&lt;=COUNTA(半紙!$B$11:$B$310)+COUNTA(条幅!$B$11:$B$310),INDEX(条幅!$D$11:$D$310,306-COUNTA(半紙!$B$11:$B$310)),IF(306&lt;=COUNTA(半紙!$B$11:$B$310)+COUNTA(条幅!$B$11:$B$310)+COUNTA(条幅4分の1!$B$11:$B$310),INDEX(条幅4分の1!$D$11:$D$310,306-COUNTA(半紙!$B$11:$B$310)-COUNTA(条幅!$B$11:$B$310)),"")))=0,"",IF(306&lt;=COUNTA(半紙!$B$11:$B$310),INDEX(半紙!$D$11:$D$310,306),IF(306&lt;=COUNTA(半紙!$B$11:$B$310)+COUNTA(条幅!$B$11:$B$310),INDEX(条幅!$D$11:$D$310,306-COUNTA(半紙!$B$11:$B$310)),IF(306&lt;=COUNTA(半紙!$B$11:$B$310)+COUNTA(条幅!$B$11:$B$310)+COUNTA(条幅4分の1!$B$11:$B$310),INDEX(条幅4分の1!$D$11:$D$310,306-COUNTA(半紙!$B$11:$B$310)-COUNTA(条幅!$B$11:$B$310)),""))))</f>
        <v/>
      </c>
      <c r="E311" s="38" t="str">
        <f>IF(IF(306&lt;=COUNTA(半紙!$B$11:$B$310),INDEX(半紙!$E$11:$E$310,306),IF(306&lt;=COUNTA(半紙!$B$11:$B$310)+COUNTA(条幅!$B$11:$B$310),INDEX(条幅!$E$11:$E$310,306-COUNTA(半紙!$B$11:$B$310)),IF(306&lt;=COUNTA(半紙!$B$11:$B$310)+COUNTA(条幅!$B$11:$B$310)+COUNTA(条幅4分の1!$B$11:$B$310),INDEX(条幅4分の1!$E$11:$E$310,306-COUNTA(半紙!$B$11:$B$310)-COUNTA(条幅!$B$11:$B$310)),"")))=0,"",IF(306&lt;=COUNTA(半紙!$B$11:$B$310),INDEX(半紙!$E$11:$E$310,306),IF(306&lt;=COUNTA(半紙!$B$11:$B$310)+COUNTA(条幅!$B$11:$B$310),INDEX(条幅!$E$11:$E$310,306-COUNTA(半紙!$B$11:$B$310)),IF(306&lt;=COUNTA(半紙!$B$11:$B$310)+COUNTA(条幅!$B$11:$B$310)+COUNTA(条幅4分の1!$B$11:$B$310),INDEX(条幅4分の1!$E$11:$E$310,306-COUNTA(半紙!$B$11:$B$310)-COUNTA(条幅!$B$11:$B$310)),""))))</f>
        <v/>
      </c>
      <c r="F311" s="38" t="str">
        <f>IF(IF(306&lt;=COUNTA(半紙!$B$11:$B$310),INDEX(半紙!$F$11:$F$310,306),IF(306&lt;=COUNTA(半紙!$B$11:$B$310)+COUNTA(条幅!$B$11:$B$310),INDEX(条幅!$F$11:$F$310,306-COUNTA(半紙!$B$11:$B$310)),IF(306&lt;=COUNTA(半紙!$B$11:$B$310)+COUNTA(条幅!$B$11:$B$310)+COUNTA(条幅4分の1!$B$11:$B$310),INDEX(条幅4分の1!$F$11:$F$310,306-COUNTA(半紙!$B$11:$B$310)-COUNTA(条幅!$B$11:$B$310)),"")))=0,"",IF(306&lt;=COUNTA(半紙!$B$11:$B$310),INDEX(半紙!$F$11:$F$310,306),IF(306&lt;=COUNTA(半紙!$B$11:$B$310)+COUNTA(条幅!$B$11:$B$310),INDEX(条幅!$F$11:$F$310,306-COUNTA(半紙!$B$11:$B$310)),IF(306&lt;=COUNTA(半紙!$B$11:$B$310)+COUNTA(条幅!$B$11:$B$310)+COUNTA(条幅4分の1!$B$11:$B$310),INDEX(条幅4分の1!$F$11:$F$310,306-COUNTA(半紙!$B$11:$B$310)-COUNTA(条幅!$B$11:$B$310)),""))))</f>
        <v/>
      </c>
      <c r="G311" s="38" t="str">
        <f>IF(IF(306&lt;=COUNTA(半紙!$B$11:$B$310),INDEX(半紙!$G$11:$G$310,306),IF(306&lt;=COUNTA(半紙!$B$11:$B$310)+COUNTA(条幅!$B$11:$B$310),INDEX(条幅!$G$11:$G$310,306-COUNTA(半紙!$B$11:$B$310)),IF(306&lt;=COUNTA(半紙!$B$11:$B$310)+COUNTA(条幅!$B$11:$B$310)+COUNTA(条幅4分の1!$B$11:$B$310),INDEX(条幅4分の1!$G$11:$G$310,306-COUNTA(半紙!$B$11:$B$310)-COUNTA(条幅!$B$11:$B$310)),"")))=0,"",IF(306&lt;=COUNTA(半紙!$B$11:$B$310),INDEX(半紙!$G$11:$G$310,306),IF(306&lt;=COUNTA(半紙!$B$11:$B$310)+COUNTA(条幅!$B$11:$B$310),INDEX(条幅!$G$11:$G$310,306-COUNTA(半紙!$B$11:$B$310)),IF(306&lt;=COUNTA(半紙!$B$11:$B$310)+COUNTA(条幅!$B$11:$B$310)+COUNTA(条幅4分の1!$B$11:$B$310),INDEX(条幅4分の1!$G$11:$G$310,306-COUNTA(半紙!$B$11:$B$310)-COUNTA(条幅!$B$11:$B$310)),""))))</f>
        <v/>
      </c>
      <c r="H311" s="38" t="str">
        <f>IF(IF(306&lt;=COUNTA(半紙!$B$11:$B$310),INDEX(半紙!$H$11:$H$310,306),IF(306&lt;=COUNTA(半紙!$B$11:$B$310)+COUNTA(条幅!$B$11:$B$310),INDEX(条幅!$H$11:$H$310,306-COUNTA(半紙!$B$11:$B$310)),IF(306&lt;=COUNTA(半紙!$B$11:$B$310)+COUNTA(条幅!$B$11:$B$310)+COUNTA(条幅4分の1!$B$11:$B$310),INDEX(条幅4分の1!$H$11:$H$310,306-COUNTA(半紙!$B$11:$B$310)-COUNTA(条幅!$B$11:$B$310)),"")))=0,"",IF(306&lt;=COUNTA(半紙!$B$11:$B$310),INDEX(半紙!$H$11:$H$310,306),IF(306&lt;=COUNTA(半紙!$B$11:$B$310)+COUNTA(条幅!$B$11:$B$310),INDEX(条幅!$H$11:$H$310,306-COUNTA(半紙!$B$11:$B$310)),IF(306&lt;=COUNTA(半紙!$B$11:$B$310)+COUNTA(条幅!$B$11:$B$310)+COUNTA(条幅4分の1!$B$11:$B$310),INDEX(条幅4分の1!$H$11:$H$310,306-COUNTA(半紙!$B$11:$B$310)-COUNTA(条幅!$B$11:$B$310)),""))))</f>
        <v/>
      </c>
      <c r="I311" s="38" t="str">
        <f>IF(IF(306&lt;=COUNTA(半紙!$B$11:$B$310),INDEX(半紙!$I$11:$I$310,306),IF(306&lt;=COUNTA(半紙!$B$11:$B$310)+COUNTA(条幅!$B$11:$B$310),INDEX(条幅!$I$11:$I$310,306-COUNTA(半紙!$B$11:$B$310)),IF(306&lt;=COUNTA(半紙!$B$11:$B$310)+COUNTA(条幅!$B$11:$B$310)+COUNTA(条幅4分の1!$B$11:$B$310),INDEX(条幅4分の1!$I$11:$I$310,306-COUNTA(半紙!$B$11:$B$310)-COUNTA(条幅!$B$11:$B$310)),"")))=0,"",IF(306&lt;=COUNTA(半紙!$B$11:$B$310),INDEX(半紙!$I$11:$I$310,306),IF(306&lt;=COUNTA(半紙!$B$11:$B$310)+COUNTA(条幅!$B$11:$B$310),INDEX(条幅!$I$11:$I$310,306-COUNTA(半紙!$B$11:$B$310)),IF(306&lt;=COUNTA(半紙!$B$11:$B$310)+COUNTA(条幅!$B$11:$B$310)+COUNTA(条幅4分の1!$B$11:$B$310),INDEX(条幅4分の1!$I$11:$I$310,306-COUNTA(半紙!$B$11:$B$310)-COUNTA(条幅!$B$11:$B$310)),""))))</f>
        <v/>
      </c>
      <c r="J311" s="38" t="str">
        <f>IF(IF(306&lt;=COUNTA(半紙!$B$11:$B$310),INDEX(半紙!$J$11:$J$310,306),IF(306&lt;=COUNTA(半紙!$B$11:$B$310)+COUNTA(条幅!$B$11:$B$310),INDEX(条幅!$J$11:$J$310,306-COUNTA(半紙!$B$11:$B$310)),IF(306&lt;=COUNTA(半紙!$B$11:$B$310)+COUNTA(条幅!$B$11:$B$310)+COUNTA(条幅4分の1!$B$11:$B$310),INDEX(条幅4分の1!$J$11:$J$310,306-COUNTA(半紙!$B$11:$B$310)-COUNTA(条幅!$B$11:$B$310)),"")))=0,"",IF(306&lt;=COUNTA(半紙!$B$11:$B$310),INDEX(半紙!$J$11:$J$310,306),IF(306&lt;=COUNTA(半紙!$B$11:$B$310)+COUNTA(条幅!$B$11:$B$310),INDEX(条幅!$J$11:$J$310,306-COUNTA(半紙!$B$11:$B$310)),IF(306&lt;=COUNTA(半紙!$B$11:$B$310)+COUNTA(条幅!$B$11:$B$310)+COUNTA(条幅4分の1!$B$11:$B$310),INDEX(条幅4分の1!$J$11:$J$310,306-COUNTA(半紙!$B$11:$B$310)-COUNTA(条幅!$B$11:$B$310)),""))))</f>
        <v/>
      </c>
      <c r="K311" s="38" t="str">
        <f>IF(IF(306&lt;=COUNTA(半紙!$B$11:$B$310),INDEX(半紙!$K$11:$K$310,306),IF(306&lt;=COUNTA(半紙!$B$11:$B$310)+COUNTA(条幅!$B$11:$B$310),INDEX(条幅!$K$11:$K$310,306-COUNTA(半紙!$B$11:$B$310)),IF(306&lt;=COUNTA(半紙!$B$11:$B$310)+COUNTA(条幅!$B$11:$B$310)+COUNTA(条幅4分の1!$B$11:$B$310),INDEX(条幅4分の1!$K$11:$K$310,306-COUNTA(半紙!$B$11:$B$310)-COUNTA(条幅!$B$11:$B$310)),"")))=0,"",IF(306&lt;=COUNTA(半紙!$B$11:$B$310),INDEX(半紙!$K$11:$K$310,306),IF(306&lt;=COUNTA(半紙!$B$11:$B$310)+COUNTA(条幅!$B$11:$B$310),INDEX(条幅!$K$11:$K$310,306-COUNTA(半紙!$B$11:$B$310)),IF(306&lt;=COUNTA(半紙!$B$11:$B$310)+COUNTA(条幅!$B$11:$B$310)+COUNTA(条幅4分の1!$B$11:$B$310),INDEX(条幅4分の1!$K$11:$K$310,306-COUNTA(半紙!$B$11:$B$310)-COUNTA(条幅!$B$11:$B$310)),""))))</f>
        <v/>
      </c>
      <c r="L311" s="48" t="str">
        <f>IF($B311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306))</f>
        <v/>
      </c>
    </row>
    <row r="312" spans="1:12" ht="15" customHeight="1">
      <c r="A312" s="37" t="str">
        <f>IF(307&lt;=COUNTA(半紙!$B$11:$B$310),"半紙",IF(307&lt;=COUNTA(半紙!$B$11:$B$310)+COUNTA(条幅!$B$11:$B$310),"条幅(半切)",IF(307&lt;=COUNTA(半紙!$B$11:$B$310)+COUNTA(条幅!$B$11:$B$310)+COUNTA(条幅4分の1!$B$11:$B$310),"条幅(1/4)","")))</f>
        <v/>
      </c>
      <c r="B312" s="38" t="str">
        <f>IF(IF(307&lt;=COUNTA(半紙!$B$11:$B$310),INDEX(半紙!$B$11:$B$310,307),IF(307&lt;=COUNTA(半紙!$B$11:$B$310)+COUNTA(条幅!$B$11:$B$310),INDEX(条幅!$B$11:$B$310,307-COUNTA(半紙!$B$11:$B$310)),IF(307&lt;=COUNTA(半紙!$B$11:$B$310)+COUNTA(条幅!$B$11:$B$310)+COUNTA(条幅4分の1!$B$11:$B$310),INDEX(条幅4分の1!$B$11:$B$310,307-COUNTA(半紙!$B$11:$B$310)-COUNTA(条幅!$B$11:$B$310)),"")))=0,"",IF(307&lt;=COUNTA(半紙!$B$11:$B$310),INDEX(半紙!$B$11:$B$310,307),IF(307&lt;=COUNTA(半紙!$B$11:$B$310)+COUNTA(条幅!$B$11:$B$310),INDEX(条幅!$B$11:$B$310,307-COUNTA(半紙!$B$11:$B$310)),IF(307&lt;=COUNTA(半紙!$B$11:$B$310)+COUNTA(条幅!$B$11:$B$310)+COUNTA(条幅4分の1!$B$11:$B$310),INDEX(条幅4分の1!$B$11:$B$310,307-COUNTA(半紙!$B$11:$B$310)-COUNTA(条幅!$B$11:$B$310)),""))))</f>
        <v/>
      </c>
      <c r="C312" s="38" t="str">
        <f>IF(IF(307&lt;=COUNTA(半紙!$B$11:$B$310),INDEX(半紙!$C$11:$C$310,307),IF(307&lt;=COUNTA(半紙!$B$11:$B$310)+COUNTA(条幅!$B$11:$B$310),INDEX(条幅!$C$11:$C$310,307-COUNTA(半紙!$B$11:$B$310)),IF(307&lt;=COUNTA(半紙!$B$11:$B$310)+COUNTA(条幅!$B$11:$B$310)+COUNTA(条幅4分の1!$B$11:$B$310),INDEX(条幅4分の1!$C$11:$C$310,307-COUNTA(半紙!$B$11:$B$310)-COUNTA(条幅!$B$11:$B$310)),"")))=0,"",IF(307&lt;=COUNTA(半紙!$B$11:$B$310),INDEX(半紙!$C$11:$C$310,307),IF(307&lt;=COUNTA(半紙!$B$11:$B$310)+COUNTA(条幅!$B$11:$B$310),INDEX(条幅!$C$11:$C$310,307-COUNTA(半紙!$B$11:$B$310)),IF(307&lt;=COUNTA(半紙!$B$11:$B$310)+COUNTA(条幅!$B$11:$B$310)+COUNTA(条幅4分の1!$B$11:$B$310),INDEX(条幅4分の1!$C$11:$C$310,307-COUNTA(半紙!$B$11:$B$310)-COUNTA(条幅!$B$11:$B$310)),""))))</f>
        <v/>
      </c>
      <c r="D312" s="38" t="str">
        <f>IF(IF(307&lt;=COUNTA(半紙!$B$11:$B$310),INDEX(半紙!$D$11:$D$310,307),IF(307&lt;=COUNTA(半紙!$B$11:$B$310)+COUNTA(条幅!$B$11:$B$310),INDEX(条幅!$D$11:$D$310,307-COUNTA(半紙!$B$11:$B$310)),IF(307&lt;=COUNTA(半紙!$B$11:$B$310)+COUNTA(条幅!$B$11:$B$310)+COUNTA(条幅4分の1!$B$11:$B$310),INDEX(条幅4分の1!$D$11:$D$310,307-COUNTA(半紙!$B$11:$B$310)-COUNTA(条幅!$B$11:$B$310)),"")))=0,"",IF(307&lt;=COUNTA(半紙!$B$11:$B$310),INDEX(半紙!$D$11:$D$310,307),IF(307&lt;=COUNTA(半紙!$B$11:$B$310)+COUNTA(条幅!$B$11:$B$310),INDEX(条幅!$D$11:$D$310,307-COUNTA(半紙!$B$11:$B$310)),IF(307&lt;=COUNTA(半紙!$B$11:$B$310)+COUNTA(条幅!$B$11:$B$310)+COUNTA(条幅4分の1!$B$11:$B$310),INDEX(条幅4分の1!$D$11:$D$310,307-COUNTA(半紙!$B$11:$B$310)-COUNTA(条幅!$B$11:$B$310)),""))))</f>
        <v/>
      </c>
      <c r="E312" s="38" t="str">
        <f>IF(IF(307&lt;=COUNTA(半紙!$B$11:$B$310),INDEX(半紙!$E$11:$E$310,307),IF(307&lt;=COUNTA(半紙!$B$11:$B$310)+COUNTA(条幅!$B$11:$B$310),INDEX(条幅!$E$11:$E$310,307-COUNTA(半紙!$B$11:$B$310)),IF(307&lt;=COUNTA(半紙!$B$11:$B$310)+COUNTA(条幅!$B$11:$B$310)+COUNTA(条幅4分の1!$B$11:$B$310),INDEX(条幅4分の1!$E$11:$E$310,307-COUNTA(半紙!$B$11:$B$310)-COUNTA(条幅!$B$11:$B$310)),"")))=0,"",IF(307&lt;=COUNTA(半紙!$B$11:$B$310),INDEX(半紙!$E$11:$E$310,307),IF(307&lt;=COUNTA(半紙!$B$11:$B$310)+COUNTA(条幅!$B$11:$B$310),INDEX(条幅!$E$11:$E$310,307-COUNTA(半紙!$B$11:$B$310)),IF(307&lt;=COUNTA(半紙!$B$11:$B$310)+COUNTA(条幅!$B$11:$B$310)+COUNTA(条幅4分の1!$B$11:$B$310),INDEX(条幅4分の1!$E$11:$E$310,307-COUNTA(半紙!$B$11:$B$310)-COUNTA(条幅!$B$11:$B$310)),""))))</f>
        <v/>
      </c>
      <c r="F312" s="38" t="str">
        <f>IF(IF(307&lt;=COUNTA(半紙!$B$11:$B$310),INDEX(半紙!$F$11:$F$310,307),IF(307&lt;=COUNTA(半紙!$B$11:$B$310)+COUNTA(条幅!$B$11:$B$310),INDEX(条幅!$F$11:$F$310,307-COUNTA(半紙!$B$11:$B$310)),IF(307&lt;=COUNTA(半紙!$B$11:$B$310)+COUNTA(条幅!$B$11:$B$310)+COUNTA(条幅4分の1!$B$11:$B$310),INDEX(条幅4分の1!$F$11:$F$310,307-COUNTA(半紙!$B$11:$B$310)-COUNTA(条幅!$B$11:$B$310)),"")))=0,"",IF(307&lt;=COUNTA(半紙!$B$11:$B$310),INDEX(半紙!$F$11:$F$310,307),IF(307&lt;=COUNTA(半紙!$B$11:$B$310)+COUNTA(条幅!$B$11:$B$310),INDEX(条幅!$F$11:$F$310,307-COUNTA(半紙!$B$11:$B$310)),IF(307&lt;=COUNTA(半紙!$B$11:$B$310)+COUNTA(条幅!$B$11:$B$310)+COUNTA(条幅4分の1!$B$11:$B$310),INDEX(条幅4分の1!$F$11:$F$310,307-COUNTA(半紙!$B$11:$B$310)-COUNTA(条幅!$B$11:$B$310)),""))))</f>
        <v/>
      </c>
      <c r="G312" s="38" t="str">
        <f>IF(IF(307&lt;=COUNTA(半紙!$B$11:$B$310),INDEX(半紙!$G$11:$G$310,307),IF(307&lt;=COUNTA(半紙!$B$11:$B$310)+COUNTA(条幅!$B$11:$B$310),INDEX(条幅!$G$11:$G$310,307-COUNTA(半紙!$B$11:$B$310)),IF(307&lt;=COUNTA(半紙!$B$11:$B$310)+COUNTA(条幅!$B$11:$B$310)+COUNTA(条幅4分の1!$B$11:$B$310),INDEX(条幅4分の1!$G$11:$G$310,307-COUNTA(半紙!$B$11:$B$310)-COUNTA(条幅!$B$11:$B$310)),"")))=0,"",IF(307&lt;=COUNTA(半紙!$B$11:$B$310),INDEX(半紙!$G$11:$G$310,307),IF(307&lt;=COUNTA(半紙!$B$11:$B$310)+COUNTA(条幅!$B$11:$B$310),INDEX(条幅!$G$11:$G$310,307-COUNTA(半紙!$B$11:$B$310)),IF(307&lt;=COUNTA(半紙!$B$11:$B$310)+COUNTA(条幅!$B$11:$B$310)+COUNTA(条幅4分の1!$B$11:$B$310),INDEX(条幅4分の1!$G$11:$G$310,307-COUNTA(半紙!$B$11:$B$310)-COUNTA(条幅!$B$11:$B$310)),""))))</f>
        <v/>
      </c>
      <c r="H312" s="38" t="str">
        <f>IF(IF(307&lt;=COUNTA(半紙!$B$11:$B$310),INDEX(半紙!$H$11:$H$310,307),IF(307&lt;=COUNTA(半紙!$B$11:$B$310)+COUNTA(条幅!$B$11:$B$310),INDEX(条幅!$H$11:$H$310,307-COUNTA(半紙!$B$11:$B$310)),IF(307&lt;=COUNTA(半紙!$B$11:$B$310)+COUNTA(条幅!$B$11:$B$310)+COUNTA(条幅4分の1!$B$11:$B$310),INDEX(条幅4分の1!$H$11:$H$310,307-COUNTA(半紙!$B$11:$B$310)-COUNTA(条幅!$B$11:$B$310)),"")))=0,"",IF(307&lt;=COUNTA(半紙!$B$11:$B$310),INDEX(半紙!$H$11:$H$310,307),IF(307&lt;=COUNTA(半紙!$B$11:$B$310)+COUNTA(条幅!$B$11:$B$310),INDEX(条幅!$H$11:$H$310,307-COUNTA(半紙!$B$11:$B$310)),IF(307&lt;=COUNTA(半紙!$B$11:$B$310)+COUNTA(条幅!$B$11:$B$310)+COUNTA(条幅4分の1!$B$11:$B$310),INDEX(条幅4分の1!$H$11:$H$310,307-COUNTA(半紙!$B$11:$B$310)-COUNTA(条幅!$B$11:$B$310)),""))))</f>
        <v/>
      </c>
      <c r="I312" s="38" t="str">
        <f>IF(IF(307&lt;=COUNTA(半紙!$B$11:$B$310),INDEX(半紙!$I$11:$I$310,307),IF(307&lt;=COUNTA(半紙!$B$11:$B$310)+COUNTA(条幅!$B$11:$B$310),INDEX(条幅!$I$11:$I$310,307-COUNTA(半紙!$B$11:$B$310)),IF(307&lt;=COUNTA(半紙!$B$11:$B$310)+COUNTA(条幅!$B$11:$B$310)+COUNTA(条幅4分の1!$B$11:$B$310),INDEX(条幅4分の1!$I$11:$I$310,307-COUNTA(半紙!$B$11:$B$310)-COUNTA(条幅!$B$11:$B$310)),"")))=0,"",IF(307&lt;=COUNTA(半紙!$B$11:$B$310),INDEX(半紙!$I$11:$I$310,307),IF(307&lt;=COUNTA(半紙!$B$11:$B$310)+COUNTA(条幅!$B$11:$B$310),INDEX(条幅!$I$11:$I$310,307-COUNTA(半紙!$B$11:$B$310)),IF(307&lt;=COUNTA(半紙!$B$11:$B$310)+COUNTA(条幅!$B$11:$B$310)+COUNTA(条幅4分の1!$B$11:$B$310),INDEX(条幅4分の1!$I$11:$I$310,307-COUNTA(半紙!$B$11:$B$310)-COUNTA(条幅!$B$11:$B$310)),""))))</f>
        <v/>
      </c>
      <c r="J312" s="38" t="str">
        <f>IF(IF(307&lt;=COUNTA(半紙!$B$11:$B$310),INDEX(半紙!$J$11:$J$310,307),IF(307&lt;=COUNTA(半紙!$B$11:$B$310)+COUNTA(条幅!$B$11:$B$310),INDEX(条幅!$J$11:$J$310,307-COUNTA(半紙!$B$11:$B$310)),IF(307&lt;=COUNTA(半紙!$B$11:$B$310)+COUNTA(条幅!$B$11:$B$310)+COUNTA(条幅4分の1!$B$11:$B$310),INDEX(条幅4分の1!$J$11:$J$310,307-COUNTA(半紙!$B$11:$B$310)-COUNTA(条幅!$B$11:$B$310)),"")))=0,"",IF(307&lt;=COUNTA(半紙!$B$11:$B$310),INDEX(半紙!$J$11:$J$310,307),IF(307&lt;=COUNTA(半紙!$B$11:$B$310)+COUNTA(条幅!$B$11:$B$310),INDEX(条幅!$J$11:$J$310,307-COUNTA(半紙!$B$11:$B$310)),IF(307&lt;=COUNTA(半紙!$B$11:$B$310)+COUNTA(条幅!$B$11:$B$310)+COUNTA(条幅4分の1!$B$11:$B$310),INDEX(条幅4分の1!$J$11:$J$310,307-COUNTA(半紙!$B$11:$B$310)-COUNTA(条幅!$B$11:$B$310)),""))))</f>
        <v/>
      </c>
      <c r="K312" s="38" t="str">
        <f>IF(IF(307&lt;=COUNTA(半紙!$B$11:$B$310),INDEX(半紙!$K$11:$K$310,307),IF(307&lt;=COUNTA(半紙!$B$11:$B$310)+COUNTA(条幅!$B$11:$B$310),INDEX(条幅!$K$11:$K$310,307-COUNTA(半紙!$B$11:$B$310)),IF(307&lt;=COUNTA(半紙!$B$11:$B$310)+COUNTA(条幅!$B$11:$B$310)+COUNTA(条幅4分の1!$B$11:$B$310),INDEX(条幅4分の1!$K$11:$K$310,307-COUNTA(半紙!$B$11:$B$310)-COUNTA(条幅!$B$11:$B$310)),"")))=0,"",IF(307&lt;=COUNTA(半紙!$B$11:$B$310),INDEX(半紙!$K$11:$K$310,307),IF(307&lt;=COUNTA(半紙!$B$11:$B$310)+COUNTA(条幅!$B$11:$B$310),INDEX(条幅!$K$11:$K$310,307-COUNTA(半紙!$B$11:$B$310)),IF(307&lt;=COUNTA(半紙!$B$11:$B$310)+COUNTA(条幅!$B$11:$B$310)+COUNTA(条幅4分の1!$B$11:$B$310),INDEX(条幅4分の1!$K$11:$K$310,307-COUNTA(半紙!$B$11:$B$310)-COUNTA(条幅!$B$11:$B$310)),""))))</f>
        <v/>
      </c>
      <c r="L312" s="48" t="str">
        <f>IF($B312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307))</f>
        <v/>
      </c>
    </row>
    <row r="313" spans="1:12" ht="15" customHeight="1">
      <c r="A313" s="37" t="str">
        <f>IF(308&lt;=COUNTA(半紙!$B$11:$B$310),"半紙",IF(308&lt;=COUNTA(半紙!$B$11:$B$310)+COUNTA(条幅!$B$11:$B$310),"条幅(半切)",IF(308&lt;=COUNTA(半紙!$B$11:$B$310)+COUNTA(条幅!$B$11:$B$310)+COUNTA(条幅4分の1!$B$11:$B$310),"条幅(1/4)","")))</f>
        <v/>
      </c>
      <c r="B313" s="38" t="str">
        <f>IF(IF(308&lt;=COUNTA(半紙!$B$11:$B$310),INDEX(半紙!$B$11:$B$310,308),IF(308&lt;=COUNTA(半紙!$B$11:$B$310)+COUNTA(条幅!$B$11:$B$310),INDEX(条幅!$B$11:$B$310,308-COUNTA(半紙!$B$11:$B$310)),IF(308&lt;=COUNTA(半紙!$B$11:$B$310)+COUNTA(条幅!$B$11:$B$310)+COUNTA(条幅4分の1!$B$11:$B$310),INDEX(条幅4分の1!$B$11:$B$310,308-COUNTA(半紙!$B$11:$B$310)-COUNTA(条幅!$B$11:$B$310)),"")))=0,"",IF(308&lt;=COUNTA(半紙!$B$11:$B$310),INDEX(半紙!$B$11:$B$310,308),IF(308&lt;=COUNTA(半紙!$B$11:$B$310)+COUNTA(条幅!$B$11:$B$310),INDEX(条幅!$B$11:$B$310,308-COUNTA(半紙!$B$11:$B$310)),IF(308&lt;=COUNTA(半紙!$B$11:$B$310)+COUNTA(条幅!$B$11:$B$310)+COUNTA(条幅4分の1!$B$11:$B$310),INDEX(条幅4分の1!$B$11:$B$310,308-COUNTA(半紙!$B$11:$B$310)-COUNTA(条幅!$B$11:$B$310)),""))))</f>
        <v/>
      </c>
      <c r="C313" s="38" t="str">
        <f>IF(IF(308&lt;=COUNTA(半紙!$B$11:$B$310),INDEX(半紙!$C$11:$C$310,308),IF(308&lt;=COUNTA(半紙!$B$11:$B$310)+COUNTA(条幅!$B$11:$B$310),INDEX(条幅!$C$11:$C$310,308-COUNTA(半紙!$B$11:$B$310)),IF(308&lt;=COUNTA(半紙!$B$11:$B$310)+COUNTA(条幅!$B$11:$B$310)+COUNTA(条幅4分の1!$B$11:$B$310),INDEX(条幅4分の1!$C$11:$C$310,308-COUNTA(半紙!$B$11:$B$310)-COUNTA(条幅!$B$11:$B$310)),"")))=0,"",IF(308&lt;=COUNTA(半紙!$B$11:$B$310),INDEX(半紙!$C$11:$C$310,308),IF(308&lt;=COUNTA(半紙!$B$11:$B$310)+COUNTA(条幅!$B$11:$B$310),INDEX(条幅!$C$11:$C$310,308-COUNTA(半紙!$B$11:$B$310)),IF(308&lt;=COUNTA(半紙!$B$11:$B$310)+COUNTA(条幅!$B$11:$B$310)+COUNTA(条幅4分の1!$B$11:$B$310),INDEX(条幅4分の1!$C$11:$C$310,308-COUNTA(半紙!$B$11:$B$310)-COUNTA(条幅!$B$11:$B$310)),""))))</f>
        <v/>
      </c>
      <c r="D313" s="38" t="str">
        <f>IF(IF(308&lt;=COUNTA(半紙!$B$11:$B$310),INDEX(半紙!$D$11:$D$310,308),IF(308&lt;=COUNTA(半紙!$B$11:$B$310)+COUNTA(条幅!$B$11:$B$310),INDEX(条幅!$D$11:$D$310,308-COUNTA(半紙!$B$11:$B$310)),IF(308&lt;=COUNTA(半紙!$B$11:$B$310)+COUNTA(条幅!$B$11:$B$310)+COUNTA(条幅4分の1!$B$11:$B$310),INDEX(条幅4分の1!$D$11:$D$310,308-COUNTA(半紙!$B$11:$B$310)-COUNTA(条幅!$B$11:$B$310)),"")))=0,"",IF(308&lt;=COUNTA(半紙!$B$11:$B$310),INDEX(半紙!$D$11:$D$310,308),IF(308&lt;=COUNTA(半紙!$B$11:$B$310)+COUNTA(条幅!$B$11:$B$310),INDEX(条幅!$D$11:$D$310,308-COUNTA(半紙!$B$11:$B$310)),IF(308&lt;=COUNTA(半紙!$B$11:$B$310)+COUNTA(条幅!$B$11:$B$310)+COUNTA(条幅4分の1!$B$11:$B$310),INDEX(条幅4分の1!$D$11:$D$310,308-COUNTA(半紙!$B$11:$B$310)-COUNTA(条幅!$B$11:$B$310)),""))))</f>
        <v/>
      </c>
      <c r="E313" s="38" t="str">
        <f>IF(IF(308&lt;=COUNTA(半紙!$B$11:$B$310),INDEX(半紙!$E$11:$E$310,308),IF(308&lt;=COUNTA(半紙!$B$11:$B$310)+COUNTA(条幅!$B$11:$B$310),INDEX(条幅!$E$11:$E$310,308-COUNTA(半紙!$B$11:$B$310)),IF(308&lt;=COUNTA(半紙!$B$11:$B$310)+COUNTA(条幅!$B$11:$B$310)+COUNTA(条幅4分の1!$B$11:$B$310),INDEX(条幅4分の1!$E$11:$E$310,308-COUNTA(半紙!$B$11:$B$310)-COUNTA(条幅!$B$11:$B$310)),"")))=0,"",IF(308&lt;=COUNTA(半紙!$B$11:$B$310),INDEX(半紙!$E$11:$E$310,308),IF(308&lt;=COUNTA(半紙!$B$11:$B$310)+COUNTA(条幅!$B$11:$B$310),INDEX(条幅!$E$11:$E$310,308-COUNTA(半紙!$B$11:$B$310)),IF(308&lt;=COUNTA(半紙!$B$11:$B$310)+COUNTA(条幅!$B$11:$B$310)+COUNTA(条幅4分の1!$B$11:$B$310),INDEX(条幅4分の1!$E$11:$E$310,308-COUNTA(半紙!$B$11:$B$310)-COUNTA(条幅!$B$11:$B$310)),""))))</f>
        <v/>
      </c>
      <c r="F313" s="38" t="str">
        <f>IF(IF(308&lt;=COUNTA(半紙!$B$11:$B$310),INDEX(半紙!$F$11:$F$310,308),IF(308&lt;=COUNTA(半紙!$B$11:$B$310)+COUNTA(条幅!$B$11:$B$310),INDEX(条幅!$F$11:$F$310,308-COUNTA(半紙!$B$11:$B$310)),IF(308&lt;=COUNTA(半紙!$B$11:$B$310)+COUNTA(条幅!$B$11:$B$310)+COUNTA(条幅4分の1!$B$11:$B$310),INDEX(条幅4分の1!$F$11:$F$310,308-COUNTA(半紙!$B$11:$B$310)-COUNTA(条幅!$B$11:$B$310)),"")))=0,"",IF(308&lt;=COUNTA(半紙!$B$11:$B$310),INDEX(半紙!$F$11:$F$310,308),IF(308&lt;=COUNTA(半紙!$B$11:$B$310)+COUNTA(条幅!$B$11:$B$310),INDEX(条幅!$F$11:$F$310,308-COUNTA(半紙!$B$11:$B$310)),IF(308&lt;=COUNTA(半紙!$B$11:$B$310)+COUNTA(条幅!$B$11:$B$310)+COUNTA(条幅4分の1!$B$11:$B$310),INDEX(条幅4分の1!$F$11:$F$310,308-COUNTA(半紙!$B$11:$B$310)-COUNTA(条幅!$B$11:$B$310)),""))))</f>
        <v/>
      </c>
      <c r="G313" s="38" t="str">
        <f>IF(IF(308&lt;=COUNTA(半紙!$B$11:$B$310),INDEX(半紙!$G$11:$G$310,308),IF(308&lt;=COUNTA(半紙!$B$11:$B$310)+COUNTA(条幅!$B$11:$B$310),INDEX(条幅!$G$11:$G$310,308-COUNTA(半紙!$B$11:$B$310)),IF(308&lt;=COUNTA(半紙!$B$11:$B$310)+COUNTA(条幅!$B$11:$B$310)+COUNTA(条幅4分の1!$B$11:$B$310),INDEX(条幅4分の1!$G$11:$G$310,308-COUNTA(半紙!$B$11:$B$310)-COUNTA(条幅!$B$11:$B$310)),"")))=0,"",IF(308&lt;=COUNTA(半紙!$B$11:$B$310),INDEX(半紙!$G$11:$G$310,308),IF(308&lt;=COUNTA(半紙!$B$11:$B$310)+COUNTA(条幅!$B$11:$B$310),INDEX(条幅!$G$11:$G$310,308-COUNTA(半紙!$B$11:$B$310)),IF(308&lt;=COUNTA(半紙!$B$11:$B$310)+COUNTA(条幅!$B$11:$B$310)+COUNTA(条幅4分の1!$B$11:$B$310),INDEX(条幅4分の1!$G$11:$G$310,308-COUNTA(半紙!$B$11:$B$310)-COUNTA(条幅!$B$11:$B$310)),""))))</f>
        <v/>
      </c>
      <c r="H313" s="38" t="str">
        <f>IF(IF(308&lt;=COUNTA(半紙!$B$11:$B$310),INDEX(半紙!$H$11:$H$310,308),IF(308&lt;=COUNTA(半紙!$B$11:$B$310)+COUNTA(条幅!$B$11:$B$310),INDEX(条幅!$H$11:$H$310,308-COUNTA(半紙!$B$11:$B$310)),IF(308&lt;=COUNTA(半紙!$B$11:$B$310)+COUNTA(条幅!$B$11:$B$310)+COUNTA(条幅4分の1!$B$11:$B$310),INDEX(条幅4分の1!$H$11:$H$310,308-COUNTA(半紙!$B$11:$B$310)-COUNTA(条幅!$B$11:$B$310)),"")))=0,"",IF(308&lt;=COUNTA(半紙!$B$11:$B$310),INDEX(半紙!$H$11:$H$310,308),IF(308&lt;=COUNTA(半紙!$B$11:$B$310)+COUNTA(条幅!$B$11:$B$310),INDEX(条幅!$H$11:$H$310,308-COUNTA(半紙!$B$11:$B$310)),IF(308&lt;=COUNTA(半紙!$B$11:$B$310)+COUNTA(条幅!$B$11:$B$310)+COUNTA(条幅4分の1!$B$11:$B$310),INDEX(条幅4分の1!$H$11:$H$310,308-COUNTA(半紙!$B$11:$B$310)-COUNTA(条幅!$B$11:$B$310)),""))))</f>
        <v/>
      </c>
      <c r="I313" s="38" t="str">
        <f>IF(IF(308&lt;=COUNTA(半紙!$B$11:$B$310),INDEX(半紙!$I$11:$I$310,308),IF(308&lt;=COUNTA(半紙!$B$11:$B$310)+COUNTA(条幅!$B$11:$B$310),INDEX(条幅!$I$11:$I$310,308-COUNTA(半紙!$B$11:$B$310)),IF(308&lt;=COUNTA(半紙!$B$11:$B$310)+COUNTA(条幅!$B$11:$B$310)+COUNTA(条幅4分の1!$B$11:$B$310),INDEX(条幅4分の1!$I$11:$I$310,308-COUNTA(半紙!$B$11:$B$310)-COUNTA(条幅!$B$11:$B$310)),"")))=0,"",IF(308&lt;=COUNTA(半紙!$B$11:$B$310),INDEX(半紙!$I$11:$I$310,308),IF(308&lt;=COUNTA(半紙!$B$11:$B$310)+COUNTA(条幅!$B$11:$B$310),INDEX(条幅!$I$11:$I$310,308-COUNTA(半紙!$B$11:$B$310)),IF(308&lt;=COUNTA(半紙!$B$11:$B$310)+COUNTA(条幅!$B$11:$B$310)+COUNTA(条幅4分の1!$B$11:$B$310),INDEX(条幅4分の1!$I$11:$I$310,308-COUNTA(半紙!$B$11:$B$310)-COUNTA(条幅!$B$11:$B$310)),""))))</f>
        <v/>
      </c>
      <c r="J313" s="38" t="str">
        <f>IF(IF(308&lt;=COUNTA(半紙!$B$11:$B$310),INDEX(半紙!$J$11:$J$310,308),IF(308&lt;=COUNTA(半紙!$B$11:$B$310)+COUNTA(条幅!$B$11:$B$310),INDEX(条幅!$J$11:$J$310,308-COUNTA(半紙!$B$11:$B$310)),IF(308&lt;=COUNTA(半紙!$B$11:$B$310)+COUNTA(条幅!$B$11:$B$310)+COUNTA(条幅4分の1!$B$11:$B$310),INDEX(条幅4分の1!$J$11:$J$310,308-COUNTA(半紙!$B$11:$B$310)-COUNTA(条幅!$B$11:$B$310)),"")))=0,"",IF(308&lt;=COUNTA(半紙!$B$11:$B$310),INDEX(半紙!$J$11:$J$310,308),IF(308&lt;=COUNTA(半紙!$B$11:$B$310)+COUNTA(条幅!$B$11:$B$310),INDEX(条幅!$J$11:$J$310,308-COUNTA(半紙!$B$11:$B$310)),IF(308&lt;=COUNTA(半紙!$B$11:$B$310)+COUNTA(条幅!$B$11:$B$310)+COUNTA(条幅4分の1!$B$11:$B$310),INDEX(条幅4分の1!$J$11:$J$310,308-COUNTA(半紙!$B$11:$B$310)-COUNTA(条幅!$B$11:$B$310)),""))))</f>
        <v/>
      </c>
      <c r="K313" s="38" t="str">
        <f>IF(IF(308&lt;=COUNTA(半紙!$B$11:$B$310),INDEX(半紙!$K$11:$K$310,308),IF(308&lt;=COUNTA(半紙!$B$11:$B$310)+COUNTA(条幅!$B$11:$B$310),INDEX(条幅!$K$11:$K$310,308-COUNTA(半紙!$B$11:$B$310)),IF(308&lt;=COUNTA(半紙!$B$11:$B$310)+COUNTA(条幅!$B$11:$B$310)+COUNTA(条幅4分の1!$B$11:$B$310),INDEX(条幅4分の1!$K$11:$K$310,308-COUNTA(半紙!$B$11:$B$310)-COUNTA(条幅!$B$11:$B$310)),"")))=0,"",IF(308&lt;=COUNTA(半紙!$B$11:$B$310),INDEX(半紙!$K$11:$K$310,308),IF(308&lt;=COUNTA(半紙!$B$11:$B$310)+COUNTA(条幅!$B$11:$B$310),INDEX(条幅!$K$11:$K$310,308-COUNTA(半紙!$B$11:$B$310)),IF(308&lt;=COUNTA(半紙!$B$11:$B$310)+COUNTA(条幅!$B$11:$B$310)+COUNTA(条幅4分の1!$B$11:$B$310),INDEX(条幅4分の1!$K$11:$K$310,308-COUNTA(半紙!$B$11:$B$310)-COUNTA(条幅!$B$11:$B$310)),""))))</f>
        <v/>
      </c>
      <c r="L313" s="48" t="str">
        <f>IF($B313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308))</f>
        <v/>
      </c>
    </row>
    <row r="314" spans="1:12" ht="15" customHeight="1">
      <c r="A314" s="37" t="str">
        <f>IF(309&lt;=COUNTA(半紙!$B$11:$B$310),"半紙",IF(309&lt;=COUNTA(半紙!$B$11:$B$310)+COUNTA(条幅!$B$11:$B$310),"条幅(半切)",IF(309&lt;=COUNTA(半紙!$B$11:$B$310)+COUNTA(条幅!$B$11:$B$310)+COUNTA(条幅4分の1!$B$11:$B$310),"条幅(1/4)","")))</f>
        <v/>
      </c>
      <c r="B314" s="38" t="str">
        <f>IF(IF(309&lt;=COUNTA(半紙!$B$11:$B$310),INDEX(半紙!$B$11:$B$310,309),IF(309&lt;=COUNTA(半紙!$B$11:$B$310)+COUNTA(条幅!$B$11:$B$310),INDEX(条幅!$B$11:$B$310,309-COUNTA(半紙!$B$11:$B$310)),IF(309&lt;=COUNTA(半紙!$B$11:$B$310)+COUNTA(条幅!$B$11:$B$310)+COUNTA(条幅4分の1!$B$11:$B$310),INDEX(条幅4分の1!$B$11:$B$310,309-COUNTA(半紙!$B$11:$B$310)-COUNTA(条幅!$B$11:$B$310)),"")))=0,"",IF(309&lt;=COUNTA(半紙!$B$11:$B$310),INDEX(半紙!$B$11:$B$310,309),IF(309&lt;=COUNTA(半紙!$B$11:$B$310)+COUNTA(条幅!$B$11:$B$310),INDEX(条幅!$B$11:$B$310,309-COUNTA(半紙!$B$11:$B$310)),IF(309&lt;=COUNTA(半紙!$B$11:$B$310)+COUNTA(条幅!$B$11:$B$310)+COUNTA(条幅4分の1!$B$11:$B$310),INDEX(条幅4分の1!$B$11:$B$310,309-COUNTA(半紙!$B$11:$B$310)-COUNTA(条幅!$B$11:$B$310)),""))))</f>
        <v/>
      </c>
      <c r="C314" s="38" t="str">
        <f>IF(IF(309&lt;=COUNTA(半紙!$B$11:$B$310),INDEX(半紙!$C$11:$C$310,309),IF(309&lt;=COUNTA(半紙!$B$11:$B$310)+COUNTA(条幅!$B$11:$B$310),INDEX(条幅!$C$11:$C$310,309-COUNTA(半紙!$B$11:$B$310)),IF(309&lt;=COUNTA(半紙!$B$11:$B$310)+COUNTA(条幅!$B$11:$B$310)+COUNTA(条幅4分の1!$B$11:$B$310),INDEX(条幅4分の1!$C$11:$C$310,309-COUNTA(半紙!$B$11:$B$310)-COUNTA(条幅!$B$11:$B$310)),"")))=0,"",IF(309&lt;=COUNTA(半紙!$B$11:$B$310),INDEX(半紙!$C$11:$C$310,309),IF(309&lt;=COUNTA(半紙!$B$11:$B$310)+COUNTA(条幅!$B$11:$B$310),INDEX(条幅!$C$11:$C$310,309-COUNTA(半紙!$B$11:$B$310)),IF(309&lt;=COUNTA(半紙!$B$11:$B$310)+COUNTA(条幅!$B$11:$B$310)+COUNTA(条幅4分の1!$B$11:$B$310),INDEX(条幅4分の1!$C$11:$C$310,309-COUNTA(半紙!$B$11:$B$310)-COUNTA(条幅!$B$11:$B$310)),""))))</f>
        <v/>
      </c>
      <c r="D314" s="38" t="str">
        <f>IF(IF(309&lt;=COUNTA(半紙!$B$11:$B$310),INDEX(半紙!$D$11:$D$310,309),IF(309&lt;=COUNTA(半紙!$B$11:$B$310)+COUNTA(条幅!$B$11:$B$310),INDEX(条幅!$D$11:$D$310,309-COUNTA(半紙!$B$11:$B$310)),IF(309&lt;=COUNTA(半紙!$B$11:$B$310)+COUNTA(条幅!$B$11:$B$310)+COUNTA(条幅4分の1!$B$11:$B$310),INDEX(条幅4分の1!$D$11:$D$310,309-COUNTA(半紙!$B$11:$B$310)-COUNTA(条幅!$B$11:$B$310)),"")))=0,"",IF(309&lt;=COUNTA(半紙!$B$11:$B$310),INDEX(半紙!$D$11:$D$310,309),IF(309&lt;=COUNTA(半紙!$B$11:$B$310)+COUNTA(条幅!$B$11:$B$310),INDEX(条幅!$D$11:$D$310,309-COUNTA(半紙!$B$11:$B$310)),IF(309&lt;=COUNTA(半紙!$B$11:$B$310)+COUNTA(条幅!$B$11:$B$310)+COUNTA(条幅4分の1!$B$11:$B$310),INDEX(条幅4分の1!$D$11:$D$310,309-COUNTA(半紙!$B$11:$B$310)-COUNTA(条幅!$B$11:$B$310)),""))))</f>
        <v/>
      </c>
      <c r="E314" s="38" t="str">
        <f>IF(IF(309&lt;=COUNTA(半紙!$B$11:$B$310),INDEX(半紙!$E$11:$E$310,309),IF(309&lt;=COUNTA(半紙!$B$11:$B$310)+COUNTA(条幅!$B$11:$B$310),INDEX(条幅!$E$11:$E$310,309-COUNTA(半紙!$B$11:$B$310)),IF(309&lt;=COUNTA(半紙!$B$11:$B$310)+COUNTA(条幅!$B$11:$B$310)+COUNTA(条幅4分の1!$B$11:$B$310),INDEX(条幅4分の1!$E$11:$E$310,309-COUNTA(半紙!$B$11:$B$310)-COUNTA(条幅!$B$11:$B$310)),"")))=0,"",IF(309&lt;=COUNTA(半紙!$B$11:$B$310),INDEX(半紙!$E$11:$E$310,309),IF(309&lt;=COUNTA(半紙!$B$11:$B$310)+COUNTA(条幅!$B$11:$B$310),INDEX(条幅!$E$11:$E$310,309-COUNTA(半紙!$B$11:$B$310)),IF(309&lt;=COUNTA(半紙!$B$11:$B$310)+COUNTA(条幅!$B$11:$B$310)+COUNTA(条幅4分の1!$B$11:$B$310),INDEX(条幅4分の1!$E$11:$E$310,309-COUNTA(半紙!$B$11:$B$310)-COUNTA(条幅!$B$11:$B$310)),""))))</f>
        <v/>
      </c>
      <c r="F314" s="38" t="str">
        <f>IF(IF(309&lt;=COUNTA(半紙!$B$11:$B$310),INDEX(半紙!$F$11:$F$310,309),IF(309&lt;=COUNTA(半紙!$B$11:$B$310)+COUNTA(条幅!$B$11:$B$310),INDEX(条幅!$F$11:$F$310,309-COUNTA(半紙!$B$11:$B$310)),IF(309&lt;=COUNTA(半紙!$B$11:$B$310)+COUNTA(条幅!$B$11:$B$310)+COUNTA(条幅4分の1!$B$11:$B$310),INDEX(条幅4分の1!$F$11:$F$310,309-COUNTA(半紙!$B$11:$B$310)-COUNTA(条幅!$B$11:$B$310)),"")))=0,"",IF(309&lt;=COUNTA(半紙!$B$11:$B$310),INDEX(半紙!$F$11:$F$310,309),IF(309&lt;=COUNTA(半紙!$B$11:$B$310)+COUNTA(条幅!$B$11:$B$310),INDEX(条幅!$F$11:$F$310,309-COUNTA(半紙!$B$11:$B$310)),IF(309&lt;=COUNTA(半紙!$B$11:$B$310)+COUNTA(条幅!$B$11:$B$310)+COUNTA(条幅4分の1!$B$11:$B$310),INDEX(条幅4分の1!$F$11:$F$310,309-COUNTA(半紙!$B$11:$B$310)-COUNTA(条幅!$B$11:$B$310)),""))))</f>
        <v/>
      </c>
      <c r="G314" s="38" t="str">
        <f>IF(IF(309&lt;=COUNTA(半紙!$B$11:$B$310),INDEX(半紙!$G$11:$G$310,309),IF(309&lt;=COUNTA(半紙!$B$11:$B$310)+COUNTA(条幅!$B$11:$B$310),INDEX(条幅!$G$11:$G$310,309-COUNTA(半紙!$B$11:$B$310)),IF(309&lt;=COUNTA(半紙!$B$11:$B$310)+COUNTA(条幅!$B$11:$B$310)+COUNTA(条幅4分の1!$B$11:$B$310),INDEX(条幅4分の1!$G$11:$G$310,309-COUNTA(半紙!$B$11:$B$310)-COUNTA(条幅!$B$11:$B$310)),"")))=0,"",IF(309&lt;=COUNTA(半紙!$B$11:$B$310),INDEX(半紙!$G$11:$G$310,309),IF(309&lt;=COUNTA(半紙!$B$11:$B$310)+COUNTA(条幅!$B$11:$B$310),INDEX(条幅!$G$11:$G$310,309-COUNTA(半紙!$B$11:$B$310)),IF(309&lt;=COUNTA(半紙!$B$11:$B$310)+COUNTA(条幅!$B$11:$B$310)+COUNTA(条幅4分の1!$B$11:$B$310),INDEX(条幅4分の1!$G$11:$G$310,309-COUNTA(半紙!$B$11:$B$310)-COUNTA(条幅!$B$11:$B$310)),""))))</f>
        <v/>
      </c>
      <c r="H314" s="38" t="str">
        <f>IF(IF(309&lt;=COUNTA(半紙!$B$11:$B$310),INDEX(半紙!$H$11:$H$310,309),IF(309&lt;=COUNTA(半紙!$B$11:$B$310)+COUNTA(条幅!$B$11:$B$310),INDEX(条幅!$H$11:$H$310,309-COUNTA(半紙!$B$11:$B$310)),IF(309&lt;=COUNTA(半紙!$B$11:$B$310)+COUNTA(条幅!$B$11:$B$310)+COUNTA(条幅4分の1!$B$11:$B$310),INDEX(条幅4分の1!$H$11:$H$310,309-COUNTA(半紙!$B$11:$B$310)-COUNTA(条幅!$B$11:$B$310)),"")))=0,"",IF(309&lt;=COUNTA(半紙!$B$11:$B$310),INDEX(半紙!$H$11:$H$310,309),IF(309&lt;=COUNTA(半紙!$B$11:$B$310)+COUNTA(条幅!$B$11:$B$310),INDEX(条幅!$H$11:$H$310,309-COUNTA(半紙!$B$11:$B$310)),IF(309&lt;=COUNTA(半紙!$B$11:$B$310)+COUNTA(条幅!$B$11:$B$310)+COUNTA(条幅4分の1!$B$11:$B$310),INDEX(条幅4分の1!$H$11:$H$310,309-COUNTA(半紙!$B$11:$B$310)-COUNTA(条幅!$B$11:$B$310)),""))))</f>
        <v/>
      </c>
      <c r="I314" s="38" t="str">
        <f>IF(IF(309&lt;=COUNTA(半紙!$B$11:$B$310),INDEX(半紙!$I$11:$I$310,309),IF(309&lt;=COUNTA(半紙!$B$11:$B$310)+COUNTA(条幅!$B$11:$B$310),INDEX(条幅!$I$11:$I$310,309-COUNTA(半紙!$B$11:$B$310)),IF(309&lt;=COUNTA(半紙!$B$11:$B$310)+COUNTA(条幅!$B$11:$B$310)+COUNTA(条幅4分の1!$B$11:$B$310),INDEX(条幅4分の1!$I$11:$I$310,309-COUNTA(半紙!$B$11:$B$310)-COUNTA(条幅!$B$11:$B$310)),"")))=0,"",IF(309&lt;=COUNTA(半紙!$B$11:$B$310),INDEX(半紙!$I$11:$I$310,309),IF(309&lt;=COUNTA(半紙!$B$11:$B$310)+COUNTA(条幅!$B$11:$B$310),INDEX(条幅!$I$11:$I$310,309-COUNTA(半紙!$B$11:$B$310)),IF(309&lt;=COUNTA(半紙!$B$11:$B$310)+COUNTA(条幅!$B$11:$B$310)+COUNTA(条幅4分の1!$B$11:$B$310),INDEX(条幅4分の1!$I$11:$I$310,309-COUNTA(半紙!$B$11:$B$310)-COUNTA(条幅!$B$11:$B$310)),""))))</f>
        <v/>
      </c>
      <c r="J314" s="38" t="str">
        <f>IF(IF(309&lt;=COUNTA(半紙!$B$11:$B$310),INDEX(半紙!$J$11:$J$310,309),IF(309&lt;=COUNTA(半紙!$B$11:$B$310)+COUNTA(条幅!$B$11:$B$310),INDEX(条幅!$J$11:$J$310,309-COUNTA(半紙!$B$11:$B$310)),IF(309&lt;=COUNTA(半紙!$B$11:$B$310)+COUNTA(条幅!$B$11:$B$310)+COUNTA(条幅4分の1!$B$11:$B$310),INDEX(条幅4分の1!$J$11:$J$310,309-COUNTA(半紙!$B$11:$B$310)-COUNTA(条幅!$B$11:$B$310)),"")))=0,"",IF(309&lt;=COUNTA(半紙!$B$11:$B$310),INDEX(半紙!$J$11:$J$310,309),IF(309&lt;=COUNTA(半紙!$B$11:$B$310)+COUNTA(条幅!$B$11:$B$310),INDEX(条幅!$J$11:$J$310,309-COUNTA(半紙!$B$11:$B$310)),IF(309&lt;=COUNTA(半紙!$B$11:$B$310)+COUNTA(条幅!$B$11:$B$310)+COUNTA(条幅4分の1!$B$11:$B$310),INDEX(条幅4分の1!$J$11:$J$310,309-COUNTA(半紙!$B$11:$B$310)-COUNTA(条幅!$B$11:$B$310)),""))))</f>
        <v/>
      </c>
      <c r="K314" s="38" t="str">
        <f>IF(IF(309&lt;=COUNTA(半紙!$B$11:$B$310),INDEX(半紙!$K$11:$K$310,309),IF(309&lt;=COUNTA(半紙!$B$11:$B$310)+COUNTA(条幅!$B$11:$B$310),INDEX(条幅!$K$11:$K$310,309-COUNTA(半紙!$B$11:$B$310)),IF(309&lt;=COUNTA(半紙!$B$11:$B$310)+COUNTA(条幅!$B$11:$B$310)+COUNTA(条幅4分の1!$B$11:$B$310),INDEX(条幅4分の1!$K$11:$K$310,309-COUNTA(半紙!$B$11:$B$310)-COUNTA(条幅!$B$11:$B$310)),"")))=0,"",IF(309&lt;=COUNTA(半紙!$B$11:$B$310),INDEX(半紙!$K$11:$K$310,309),IF(309&lt;=COUNTA(半紙!$B$11:$B$310)+COUNTA(条幅!$B$11:$B$310),INDEX(条幅!$K$11:$K$310,309-COUNTA(半紙!$B$11:$B$310)),IF(309&lt;=COUNTA(半紙!$B$11:$B$310)+COUNTA(条幅!$B$11:$B$310)+COUNTA(条幅4分の1!$B$11:$B$310),INDEX(条幅4分の1!$K$11:$K$310,309-COUNTA(半紙!$B$11:$B$310)-COUNTA(条幅!$B$11:$B$310)),""))))</f>
        <v/>
      </c>
      <c r="L314" s="48" t="str">
        <f>IF($B314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309))</f>
        <v/>
      </c>
    </row>
    <row r="315" spans="1:12" ht="15" customHeight="1">
      <c r="A315" s="37" t="str">
        <f>IF(310&lt;=COUNTA(半紙!$B$11:$B$310),"半紙",IF(310&lt;=COUNTA(半紙!$B$11:$B$310)+COUNTA(条幅!$B$11:$B$310),"条幅(半切)",IF(310&lt;=COUNTA(半紙!$B$11:$B$310)+COUNTA(条幅!$B$11:$B$310)+COUNTA(条幅4分の1!$B$11:$B$310),"条幅(1/4)","")))</f>
        <v/>
      </c>
      <c r="B315" s="38" t="str">
        <f>IF(IF(310&lt;=COUNTA(半紙!$B$11:$B$310),INDEX(半紙!$B$11:$B$310,310),IF(310&lt;=COUNTA(半紙!$B$11:$B$310)+COUNTA(条幅!$B$11:$B$310),INDEX(条幅!$B$11:$B$310,310-COUNTA(半紙!$B$11:$B$310)),IF(310&lt;=COUNTA(半紙!$B$11:$B$310)+COUNTA(条幅!$B$11:$B$310)+COUNTA(条幅4分の1!$B$11:$B$310),INDEX(条幅4分の1!$B$11:$B$310,310-COUNTA(半紙!$B$11:$B$310)-COUNTA(条幅!$B$11:$B$310)),"")))=0,"",IF(310&lt;=COUNTA(半紙!$B$11:$B$310),INDEX(半紙!$B$11:$B$310,310),IF(310&lt;=COUNTA(半紙!$B$11:$B$310)+COUNTA(条幅!$B$11:$B$310),INDEX(条幅!$B$11:$B$310,310-COUNTA(半紙!$B$11:$B$310)),IF(310&lt;=COUNTA(半紙!$B$11:$B$310)+COUNTA(条幅!$B$11:$B$310)+COUNTA(条幅4分の1!$B$11:$B$310),INDEX(条幅4分の1!$B$11:$B$310,310-COUNTA(半紙!$B$11:$B$310)-COUNTA(条幅!$B$11:$B$310)),""))))</f>
        <v/>
      </c>
      <c r="C315" s="38" t="str">
        <f>IF(IF(310&lt;=COUNTA(半紙!$B$11:$B$310),INDEX(半紙!$C$11:$C$310,310),IF(310&lt;=COUNTA(半紙!$B$11:$B$310)+COUNTA(条幅!$B$11:$B$310),INDEX(条幅!$C$11:$C$310,310-COUNTA(半紙!$B$11:$B$310)),IF(310&lt;=COUNTA(半紙!$B$11:$B$310)+COUNTA(条幅!$B$11:$B$310)+COUNTA(条幅4分の1!$B$11:$B$310),INDEX(条幅4分の1!$C$11:$C$310,310-COUNTA(半紙!$B$11:$B$310)-COUNTA(条幅!$B$11:$B$310)),"")))=0,"",IF(310&lt;=COUNTA(半紙!$B$11:$B$310),INDEX(半紙!$C$11:$C$310,310),IF(310&lt;=COUNTA(半紙!$B$11:$B$310)+COUNTA(条幅!$B$11:$B$310),INDEX(条幅!$C$11:$C$310,310-COUNTA(半紙!$B$11:$B$310)),IF(310&lt;=COUNTA(半紙!$B$11:$B$310)+COUNTA(条幅!$B$11:$B$310)+COUNTA(条幅4分の1!$B$11:$B$310),INDEX(条幅4分の1!$C$11:$C$310,310-COUNTA(半紙!$B$11:$B$310)-COUNTA(条幅!$B$11:$B$310)),""))))</f>
        <v/>
      </c>
      <c r="D315" s="38" t="str">
        <f>IF(IF(310&lt;=COUNTA(半紙!$B$11:$B$310),INDEX(半紙!$D$11:$D$310,310),IF(310&lt;=COUNTA(半紙!$B$11:$B$310)+COUNTA(条幅!$B$11:$B$310),INDEX(条幅!$D$11:$D$310,310-COUNTA(半紙!$B$11:$B$310)),IF(310&lt;=COUNTA(半紙!$B$11:$B$310)+COUNTA(条幅!$B$11:$B$310)+COUNTA(条幅4分の1!$B$11:$B$310),INDEX(条幅4分の1!$D$11:$D$310,310-COUNTA(半紙!$B$11:$B$310)-COUNTA(条幅!$B$11:$B$310)),"")))=0,"",IF(310&lt;=COUNTA(半紙!$B$11:$B$310),INDEX(半紙!$D$11:$D$310,310),IF(310&lt;=COUNTA(半紙!$B$11:$B$310)+COUNTA(条幅!$B$11:$B$310),INDEX(条幅!$D$11:$D$310,310-COUNTA(半紙!$B$11:$B$310)),IF(310&lt;=COUNTA(半紙!$B$11:$B$310)+COUNTA(条幅!$B$11:$B$310)+COUNTA(条幅4分の1!$B$11:$B$310),INDEX(条幅4分の1!$D$11:$D$310,310-COUNTA(半紙!$B$11:$B$310)-COUNTA(条幅!$B$11:$B$310)),""))))</f>
        <v/>
      </c>
      <c r="E315" s="38" t="str">
        <f>IF(IF(310&lt;=COUNTA(半紙!$B$11:$B$310),INDEX(半紙!$E$11:$E$310,310),IF(310&lt;=COUNTA(半紙!$B$11:$B$310)+COUNTA(条幅!$B$11:$B$310),INDEX(条幅!$E$11:$E$310,310-COUNTA(半紙!$B$11:$B$310)),IF(310&lt;=COUNTA(半紙!$B$11:$B$310)+COUNTA(条幅!$B$11:$B$310)+COUNTA(条幅4分の1!$B$11:$B$310),INDEX(条幅4分の1!$E$11:$E$310,310-COUNTA(半紙!$B$11:$B$310)-COUNTA(条幅!$B$11:$B$310)),"")))=0,"",IF(310&lt;=COUNTA(半紙!$B$11:$B$310),INDEX(半紙!$E$11:$E$310,310),IF(310&lt;=COUNTA(半紙!$B$11:$B$310)+COUNTA(条幅!$B$11:$B$310),INDEX(条幅!$E$11:$E$310,310-COUNTA(半紙!$B$11:$B$310)),IF(310&lt;=COUNTA(半紙!$B$11:$B$310)+COUNTA(条幅!$B$11:$B$310)+COUNTA(条幅4分の1!$B$11:$B$310),INDEX(条幅4分の1!$E$11:$E$310,310-COUNTA(半紙!$B$11:$B$310)-COUNTA(条幅!$B$11:$B$310)),""))))</f>
        <v/>
      </c>
      <c r="F315" s="38" t="str">
        <f>IF(IF(310&lt;=COUNTA(半紙!$B$11:$B$310),INDEX(半紙!$F$11:$F$310,310),IF(310&lt;=COUNTA(半紙!$B$11:$B$310)+COUNTA(条幅!$B$11:$B$310),INDEX(条幅!$F$11:$F$310,310-COUNTA(半紙!$B$11:$B$310)),IF(310&lt;=COUNTA(半紙!$B$11:$B$310)+COUNTA(条幅!$B$11:$B$310)+COUNTA(条幅4分の1!$B$11:$B$310),INDEX(条幅4分の1!$F$11:$F$310,310-COUNTA(半紙!$B$11:$B$310)-COUNTA(条幅!$B$11:$B$310)),"")))=0,"",IF(310&lt;=COUNTA(半紙!$B$11:$B$310),INDEX(半紙!$F$11:$F$310,310),IF(310&lt;=COUNTA(半紙!$B$11:$B$310)+COUNTA(条幅!$B$11:$B$310),INDEX(条幅!$F$11:$F$310,310-COUNTA(半紙!$B$11:$B$310)),IF(310&lt;=COUNTA(半紙!$B$11:$B$310)+COUNTA(条幅!$B$11:$B$310)+COUNTA(条幅4分の1!$B$11:$B$310),INDEX(条幅4分の1!$F$11:$F$310,310-COUNTA(半紙!$B$11:$B$310)-COUNTA(条幅!$B$11:$B$310)),""))))</f>
        <v/>
      </c>
      <c r="G315" s="38" t="str">
        <f>IF(IF(310&lt;=COUNTA(半紙!$B$11:$B$310),INDEX(半紙!$G$11:$G$310,310),IF(310&lt;=COUNTA(半紙!$B$11:$B$310)+COUNTA(条幅!$B$11:$B$310),INDEX(条幅!$G$11:$G$310,310-COUNTA(半紙!$B$11:$B$310)),IF(310&lt;=COUNTA(半紙!$B$11:$B$310)+COUNTA(条幅!$B$11:$B$310)+COUNTA(条幅4分の1!$B$11:$B$310),INDEX(条幅4分の1!$G$11:$G$310,310-COUNTA(半紙!$B$11:$B$310)-COUNTA(条幅!$B$11:$B$310)),"")))=0,"",IF(310&lt;=COUNTA(半紙!$B$11:$B$310),INDEX(半紙!$G$11:$G$310,310),IF(310&lt;=COUNTA(半紙!$B$11:$B$310)+COUNTA(条幅!$B$11:$B$310),INDEX(条幅!$G$11:$G$310,310-COUNTA(半紙!$B$11:$B$310)),IF(310&lt;=COUNTA(半紙!$B$11:$B$310)+COUNTA(条幅!$B$11:$B$310)+COUNTA(条幅4分の1!$B$11:$B$310),INDEX(条幅4分の1!$G$11:$G$310,310-COUNTA(半紙!$B$11:$B$310)-COUNTA(条幅!$B$11:$B$310)),""))))</f>
        <v/>
      </c>
      <c r="H315" s="38" t="str">
        <f>IF(IF(310&lt;=COUNTA(半紙!$B$11:$B$310),INDEX(半紙!$H$11:$H$310,310),IF(310&lt;=COUNTA(半紙!$B$11:$B$310)+COUNTA(条幅!$B$11:$B$310),INDEX(条幅!$H$11:$H$310,310-COUNTA(半紙!$B$11:$B$310)),IF(310&lt;=COUNTA(半紙!$B$11:$B$310)+COUNTA(条幅!$B$11:$B$310)+COUNTA(条幅4分の1!$B$11:$B$310),INDEX(条幅4分の1!$H$11:$H$310,310-COUNTA(半紙!$B$11:$B$310)-COUNTA(条幅!$B$11:$B$310)),"")))=0,"",IF(310&lt;=COUNTA(半紙!$B$11:$B$310),INDEX(半紙!$H$11:$H$310,310),IF(310&lt;=COUNTA(半紙!$B$11:$B$310)+COUNTA(条幅!$B$11:$B$310),INDEX(条幅!$H$11:$H$310,310-COUNTA(半紙!$B$11:$B$310)),IF(310&lt;=COUNTA(半紙!$B$11:$B$310)+COUNTA(条幅!$B$11:$B$310)+COUNTA(条幅4分の1!$B$11:$B$310),INDEX(条幅4分の1!$H$11:$H$310,310-COUNTA(半紙!$B$11:$B$310)-COUNTA(条幅!$B$11:$B$310)),""))))</f>
        <v/>
      </c>
      <c r="I315" s="38" t="str">
        <f>IF(IF(310&lt;=COUNTA(半紙!$B$11:$B$310),INDEX(半紙!$I$11:$I$310,310),IF(310&lt;=COUNTA(半紙!$B$11:$B$310)+COUNTA(条幅!$B$11:$B$310),INDEX(条幅!$I$11:$I$310,310-COUNTA(半紙!$B$11:$B$310)),IF(310&lt;=COUNTA(半紙!$B$11:$B$310)+COUNTA(条幅!$B$11:$B$310)+COUNTA(条幅4分の1!$B$11:$B$310),INDEX(条幅4分の1!$I$11:$I$310,310-COUNTA(半紙!$B$11:$B$310)-COUNTA(条幅!$B$11:$B$310)),"")))=0,"",IF(310&lt;=COUNTA(半紙!$B$11:$B$310),INDEX(半紙!$I$11:$I$310,310),IF(310&lt;=COUNTA(半紙!$B$11:$B$310)+COUNTA(条幅!$B$11:$B$310),INDEX(条幅!$I$11:$I$310,310-COUNTA(半紙!$B$11:$B$310)),IF(310&lt;=COUNTA(半紙!$B$11:$B$310)+COUNTA(条幅!$B$11:$B$310)+COUNTA(条幅4分の1!$B$11:$B$310),INDEX(条幅4分の1!$I$11:$I$310,310-COUNTA(半紙!$B$11:$B$310)-COUNTA(条幅!$B$11:$B$310)),""))))</f>
        <v/>
      </c>
      <c r="J315" s="38" t="str">
        <f>IF(IF(310&lt;=COUNTA(半紙!$B$11:$B$310),INDEX(半紙!$J$11:$J$310,310),IF(310&lt;=COUNTA(半紙!$B$11:$B$310)+COUNTA(条幅!$B$11:$B$310),INDEX(条幅!$J$11:$J$310,310-COUNTA(半紙!$B$11:$B$310)),IF(310&lt;=COUNTA(半紙!$B$11:$B$310)+COUNTA(条幅!$B$11:$B$310)+COUNTA(条幅4分の1!$B$11:$B$310),INDEX(条幅4分の1!$J$11:$J$310,310-COUNTA(半紙!$B$11:$B$310)-COUNTA(条幅!$B$11:$B$310)),"")))=0,"",IF(310&lt;=COUNTA(半紙!$B$11:$B$310),INDEX(半紙!$J$11:$J$310,310),IF(310&lt;=COUNTA(半紙!$B$11:$B$310)+COUNTA(条幅!$B$11:$B$310),INDEX(条幅!$J$11:$J$310,310-COUNTA(半紙!$B$11:$B$310)),IF(310&lt;=COUNTA(半紙!$B$11:$B$310)+COUNTA(条幅!$B$11:$B$310)+COUNTA(条幅4分の1!$B$11:$B$310),INDEX(条幅4分の1!$J$11:$J$310,310-COUNTA(半紙!$B$11:$B$310)-COUNTA(条幅!$B$11:$B$310)),""))))</f>
        <v/>
      </c>
      <c r="K315" s="38" t="str">
        <f>IF(IF(310&lt;=COUNTA(半紙!$B$11:$B$310),INDEX(半紙!$K$11:$K$310,310),IF(310&lt;=COUNTA(半紙!$B$11:$B$310)+COUNTA(条幅!$B$11:$B$310),INDEX(条幅!$K$11:$K$310,310-COUNTA(半紙!$B$11:$B$310)),IF(310&lt;=COUNTA(半紙!$B$11:$B$310)+COUNTA(条幅!$B$11:$B$310)+COUNTA(条幅4分の1!$B$11:$B$310),INDEX(条幅4分の1!$K$11:$K$310,310-COUNTA(半紙!$B$11:$B$310)-COUNTA(条幅!$B$11:$B$310)),"")))=0,"",IF(310&lt;=COUNTA(半紙!$B$11:$B$310),INDEX(半紙!$K$11:$K$310,310),IF(310&lt;=COUNTA(半紙!$B$11:$B$310)+COUNTA(条幅!$B$11:$B$310),INDEX(条幅!$K$11:$K$310,310-COUNTA(半紙!$B$11:$B$310)),IF(310&lt;=COUNTA(半紙!$B$11:$B$310)+COUNTA(条幅!$B$11:$B$310)+COUNTA(条幅4分の1!$B$11:$B$310),INDEX(条幅4分の1!$K$11:$K$310,310-COUNTA(半紙!$B$11:$B$310)-COUNTA(条幅!$B$11:$B$310)),""))))</f>
        <v/>
      </c>
      <c r="L315" s="48" t="str">
        <f>IF($B315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310))</f>
        <v/>
      </c>
    </row>
    <row r="316" spans="1:12" ht="15" customHeight="1">
      <c r="A316" s="37" t="str">
        <f>IF(311&lt;=COUNTA(半紙!$B$11:$B$310),"半紙",IF(311&lt;=COUNTA(半紙!$B$11:$B$310)+COUNTA(条幅!$B$11:$B$310),"条幅(半切)",IF(311&lt;=COUNTA(半紙!$B$11:$B$310)+COUNTA(条幅!$B$11:$B$310)+COUNTA(条幅4分の1!$B$11:$B$310),"条幅(1/4)","")))</f>
        <v/>
      </c>
      <c r="B316" s="38" t="str">
        <f>IF(IF(311&lt;=COUNTA(半紙!$B$11:$B$310),INDEX(半紙!$B$11:$B$310,311),IF(311&lt;=COUNTA(半紙!$B$11:$B$310)+COUNTA(条幅!$B$11:$B$310),INDEX(条幅!$B$11:$B$310,311-COUNTA(半紙!$B$11:$B$310)),IF(311&lt;=COUNTA(半紙!$B$11:$B$310)+COUNTA(条幅!$B$11:$B$310)+COUNTA(条幅4分の1!$B$11:$B$310),INDEX(条幅4分の1!$B$11:$B$310,311-COUNTA(半紙!$B$11:$B$310)-COUNTA(条幅!$B$11:$B$310)),"")))=0,"",IF(311&lt;=COUNTA(半紙!$B$11:$B$310),INDEX(半紙!$B$11:$B$310,311),IF(311&lt;=COUNTA(半紙!$B$11:$B$310)+COUNTA(条幅!$B$11:$B$310),INDEX(条幅!$B$11:$B$310,311-COUNTA(半紙!$B$11:$B$310)),IF(311&lt;=COUNTA(半紙!$B$11:$B$310)+COUNTA(条幅!$B$11:$B$310)+COUNTA(条幅4分の1!$B$11:$B$310),INDEX(条幅4分の1!$B$11:$B$310,311-COUNTA(半紙!$B$11:$B$310)-COUNTA(条幅!$B$11:$B$310)),""))))</f>
        <v/>
      </c>
      <c r="C316" s="38" t="str">
        <f>IF(IF(311&lt;=COUNTA(半紙!$B$11:$B$310),INDEX(半紙!$C$11:$C$310,311),IF(311&lt;=COUNTA(半紙!$B$11:$B$310)+COUNTA(条幅!$B$11:$B$310),INDEX(条幅!$C$11:$C$310,311-COUNTA(半紙!$B$11:$B$310)),IF(311&lt;=COUNTA(半紙!$B$11:$B$310)+COUNTA(条幅!$B$11:$B$310)+COUNTA(条幅4分の1!$B$11:$B$310),INDEX(条幅4分の1!$C$11:$C$310,311-COUNTA(半紙!$B$11:$B$310)-COUNTA(条幅!$B$11:$B$310)),"")))=0,"",IF(311&lt;=COUNTA(半紙!$B$11:$B$310),INDEX(半紙!$C$11:$C$310,311),IF(311&lt;=COUNTA(半紙!$B$11:$B$310)+COUNTA(条幅!$B$11:$B$310),INDEX(条幅!$C$11:$C$310,311-COUNTA(半紙!$B$11:$B$310)),IF(311&lt;=COUNTA(半紙!$B$11:$B$310)+COUNTA(条幅!$B$11:$B$310)+COUNTA(条幅4分の1!$B$11:$B$310),INDEX(条幅4分の1!$C$11:$C$310,311-COUNTA(半紙!$B$11:$B$310)-COUNTA(条幅!$B$11:$B$310)),""))))</f>
        <v/>
      </c>
      <c r="D316" s="38" t="str">
        <f>IF(IF(311&lt;=COUNTA(半紙!$B$11:$B$310),INDEX(半紙!$D$11:$D$310,311),IF(311&lt;=COUNTA(半紙!$B$11:$B$310)+COUNTA(条幅!$B$11:$B$310),INDEX(条幅!$D$11:$D$310,311-COUNTA(半紙!$B$11:$B$310)),IF(311&lt;=COUNTA(半紙!$B$11:$B$310)+COUNTA(条幅!$B$11:$B$310)+COUNTA(条幅4分の1!$B$11:$B$310),INDEX(条幅4分の1!$D$11:$D$310,311-COUNTA(半紙!$B$11:$B$310)-COUNTA(条幅!$B$11:$B$310)),"")))=0,"",IF(311&lt;=COUNTA(半紙!$B$11:$B$310),INDEX(半紙!$D$11:$D$310,311),IF(311&lt;=COUNTA(半紙!$B$11:$B$310)+COUNTA(条幅!$B$11:$B$310),INDEX(条幅!$D$11:$D$310,311-COUNTA(半紙!$B$11:$B$310)),IF(311&lt;=COUNTA(半紙!$B$11:$B$310)+COUNTA(条幅!$B$11:$B$310)+COUNTA(条幅4分の1!$B$11:$B$310),INDEX(条幅4分の1!$D$11:$D$310,311-COUNTA(半紙!$B$11:$B$310)-COUNTA(条幅!$B$11:$B$310)),""))))</f>
        <v/>
      </c>
      <c r="E316" s="38" t="str">
        <f>IF(IF(311&lt;=COUNTA(半紙!$B$11:$B$310),INDEX(半紙!$E$11:$E$310,311),IF(311&lt;=COUNTA(半紙!$B$11:$B$310)+COUNTA(条幅!$B$11:$B$310),INDEX(条幅!$E$11:$E$310,311-COUNTA(半紙!$B$11:$B$310)),IF(311&lt;=COUNTA(半紙!$B$11:$B$310)+COUNTA(条幅!$B$11:$B$310)+COUNTA(条幅4分の1!$B$11:$B$310),INDEX(条幅4分の1!$E$11:$E$310,311-COUNTA(半紙!$B$11:$B$310)-COUNTA(条幅!$B$11:$B$310)),"")))=0,"",IF(311&lt;=COUNTA(半紙!$B$11:$B$310),INDEX(半紙!$E$11:$E$310,311),IF(311&lt;=COUNTA(半紙!$B$11:$B$310)+COUNTA(条幅!$B$11:$B$310),INDEX(条幅!$E$11:$E$310,311-COUNTA(半紙!$B$11:$B$310)),IF(311&lt;=COUNTA(半紙!$B$11:$B$310)+COUNTA(条幅!$B$11:$B$310)+COUNTA(条幅4分の1!$B$11:$B$310),INDEX(条幅4分の1!$E$11:$E$310,311-COUNTA(半紙!$B$11:$B$310)-COUNTA(条幅!$B$11:$B$310)),""))))</f>
        <v/>
      </c>
      <c r="F316" s="38" t="str">
        <f>IF(IF(311&lt;=COUNTA(半紙!$B$11:$B$310),INDEX(半紙!$F$11:$F$310,311),IF(311&lt;=COUNTA(半紙!$B$11:$B$310)+COUNTA(条幅!$B$11:$B$310),INDEX(条幅!$F$11:$F$310,311-COUNTA(半紙!$B$11:$B$310)),IF(311&lt;=COUNTA(半紙!$B$11:$B$310)+COUNTA(条幅!$B$11:$B$310)+COUNTA(条幅4分の1!$B$11:$B$310),INDEX(条幅4分の1!$F$11:$F$310,311-COUNTA(半紙!$B$11:$B$310)-COUNTA(条幅!$B$11:$B$310)),"")))=0,"",IF(311&lt;=COUNTA(半紙!$B$11:$B$310),INDEX(半紙!$F$11:$F$310,311),IF(311&lt;=COUNTA(半紙!$B$11:$B$310)+COUNTA(条幅!$B$11:$B$310),INDEX(条幅!$F$11:$F$310,311-COUNTA(半紙!$B$11:$B$310)),IF(311&lt;=COUNTA(半紙!$B$11:$B$310)+COUNTA(条幅!$B$11:$B$310)+COUNTA(条幅4分の1!$B$11:$B$310),INDEX(条幅4分の1!$F$11:$F$310,311-COUNTA(半紙!$B$11:$B$310)-COUNTA(条幅!$B$11:$B$310)),""))))</f>
        <v/>
      </c>
      <c r="G316" s="38" t="str">
        <f>IF(IF(311&lt;=COUNTA(半紙!$B$11:$B$310),INDEX(半紙!$G$11:$G$310,311),IF(311&lt;=COUNTA(半紙!$B$11:$B$310)+COUNTA(条幅!$B$11:$B$310),INDEX(条幅!$G$11:$G$310,311-COUNTA(半紙!$B$11:$B$310)),IF(311&lt;=COUNTA(半紙!$B$11:$B$310)+COUNTA(条幅!$B$11:$B$310)+COUNTA(条幅4分の1!$B$11:$B$310),INDEX(条幅4分の1!$G$11:$G$310,311-COUNTA(半紙!$B$11:$B$310)-COUNTA(条幅!$B$11:$B$310)),"")))=0,"",IF(311&lt;=COUNTA(半紙!$B$11:$B$310),INDEX(半紙!$G$11:$G$310,311),IF(311&lt;=COUNTA(半紙!$B$11:$B$310)+COUNTA(条幅!$B$11:$B$310),INDEX(条幅!$G$11:$G$310,311-COUNTA(半紙!$B$11:$B$310)),IF(311&lt;=COUNTA(半紙!$B$11:$B$310)+COUNTA(条幅!$B$11:$B$310)+COUNTA(条幅4分の1!$B$11:$B$310),INDEX(条幅4分の1!$G$11:$G$310,311-COUNTA(半紙!$B$11:$B$310)-COUNTA(条幅!$B$11:$B$310)),""))))</f>
        <v/>
      </c>
      <c r="H316" s="38" t="str">
        <f>IF(IF(311&lt;=COUNTA(半紙!$B$11:$B$310),INDEX(半紙!$H$11:$H$310,311),IF(311&lt;=COUNTA(半紙!$B$11:$B$310)+COUNTA(条幅!$B$11:$B$310),INDEX(条幅!$H$11:$H$310,311-COUNTA(半紙!$B$11:$B$310)),IF(311&lt;=COUNTA(半紙!$B$11:$B$310)+COUNTA(条幅!$B$11:$B$310)+COUNTA(条幅4分の1!$B$11:$B$310),INDEX(条幅4分の1!$H$11:$H$310,311-COUNTA(半紙!$B$11:$B$310)-COUNTA(条幅!$B$11:$B$310)),"")))=0,"",IF(311&lt;=COUNTA(半紙!$B$11:$B$310),INDEX(半紙!$H$11:$H$310,311),IF(311&lt;=COUNTA(半紙!$B$11:$B$310)+COUNTA(条幅!$B$11:$B$310),INDEX(条幅!$H$11:$H$310,311-COUNTA(半紙!$B$11:$B$310)),IF(311&lt;=COUNTA(半紙!$B$11:$B$310)+COUNTA(条幅!$B$11:$B$310)+COUNTA(条幅4分の1!$B$11:$B$310),INDEX(条幅4分の1!$H$11:$H$310,311-COUNTA(半紙!$B$11:$B$310)-COUNTA(条幅!$B$11:$B$310)),""))))</f>
        <v/>
      </c>
      <c r="I316" s="38" t="str">
        <f>IF(IF(311&lt;=COUNTA(半紙!$B$11:$B$310),INDEX(半紙!$I$11:$I$310,311),IF(311&lt;=COUNTA(半紙!$B$11:$B$310)+COUNTA(条幅!$B$11:$B$310),INDEX(条幅!$I$11:$I$310,311-COUNTA(半紙!$B$11:$B$310)),IF(311&lt;=COUNTA(半紙!$B$11:$B$310)+COUNTA(条幅!$B$11:$B$310)+COUNTA(条幅4分の1!$B$11:$B$310),INDEX(条幅4分の1!$I$11:$I$310,311-COUNTA(半紙!$B$11:$B$310)-COUNTA(条幅!$B$11:$B$310)),"")))=0,"",IF(311&lt;=COUNTA(半紙!$B$11:$B$310),INDEX(半紙!$I$11:$I$310,311),IF(311&lt;=COUNTA(半紙!$B$11:$B$310)+COUNTA(条幅!$B$11:$B$310),INDEX(条幅!$I$11:$I$310,311-COUNTA(半紙!$B$11:$B$310)),IF(311&lt;=COUNTA(半紙!$B$11:$B$310)+COUNTA(条幅!$B$11:$B$310)+COUNTA(条幅4分の1!$B$11:$B$310),INDEX(条幅4分の1!$I$11:$I$310,311-COUNTA(半紙!$B$11:$B$310)-COUNTA(条幅!$B$11:$B$310)),""))))</f>
        <v/>
      </c>
      <c r="J316" s="38" t="str">
        <f>IF(IF(311&lt;=COUNTA(半紙!$B$11:$B$310),INDEX(半紙!$J$11:$J$310,311),IF(311&lt;=COUNTA(半紙!$B$11:$B$310)+COUNTA(条幅!$B$11:$B$310),INDEX(条幅!$J$11:$J$310,311-COUNTA(半紙!$B$11:$B$310)),IF(311&lt;=COUNTA(半紙!$B$11:$B$310)+COUNTA(条幅!$B$11:$B$310)+COUNTA(条幅4分の1!$B$11:$B$310),INDEX(条幅4分の1!$J$11:$J$310,311-COUNTA(半紙!$B$11:$B$310)-COUNTA(条幅!$B$11:$B$310)),"")))=0,"",IF(311&lt;=COUNTA(半紙!$B$11:$B$310),INDEX(半紙!$J$11:$J$310,311),IF(311&lt;=COUNTA(半紙!$B$11:$B$310)+COUNTA(条幅!$B$11:$B$310),INDEX(条幅!$J$11:$J$310,311-COUNTA(半紙!$B$11:$B$310)),IF(311&lt;=COUNTA(半紙!$B$11:$B$310)+COUNTA(条幅!$B$11:$B$310)+COUNTA(条幅4分の1!$B$11:$B$310),INDEX(条幅4分の1!$J$11:$J$310,311-COUNTA(半紙!$B$11:$B$310)-COUNTA(条幅!$B$11:$B$310)),""))))</f>
        <v/>
      </c>
      <c r="K316" s="38" t="str">
        <f>IF(IF(311&lt;=COUNTA(半紙!$B$11:$B$310),INDEX(半紙!$K$11:$K$310,311),IF(311&lt;=COUNTA(半紙!$B$11:$B$310)+COUNTA(条幅!$B$11:$B$310),INDEX(条幅!$K$11:$K$310,311-COUNTA(半紙!$B$11:$B$310)),IF(311&lt;=COUNTA(半紙!$B$11:$B$310)+COUNTA(条幅!$B$11:$B$310)+COUNTA(条幅4分の1!$B$11:$B$310),INDEX(条幅4分の1!$K$11:$K$310,311-COUNTA(半紙!$B$11:$B$310)-COUNTA(条幅!$B$11:$B$310)),"")))=0,"",IF(311&lt;=COUNTA(半紙!$B$11:$B$310),INDEX(半紙!$K$11:$K$310,311),IF(311&lt;=COUNTA(半紙!$B$11:$B$310)+COUNTA(条幅!$B$11:$B$310),INDEX(条幅!$K$11:$K$310,311-COUNTA(半紙!$B$11:$B$310)),IF(311&lt;=COUNTA(半紙!$B$11:$B$310)+COUNTA(条幅!$B$11:$B$310)+COUNTA(条幅4分の1!$B$11:$B$310),INDEX(条幅4分の1!$K$11:$K$310,311-COUNTA(半紙!$B$11:$B$310)-COUNTA(条幅!$B$11:$B$310)),""))))</f>
        <v/>
      </c>
      <c r="L316" s="48" t="str">
        <f>IF($B316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311))</f>
        <v/>
      </c>
    </row>
    <row r="317" spans="1:12" ht="15" customHeight="1">
      <c r="A317" s="37" t="str">
        <f>IF(312&lt;=COUNTA(半紙!$B$11:$B$310),"半紙",IF(312&lt;=COUNTA(半紙!$B$11:$B$310)+COUNTA(条幅!$B$11:$B$310),"条幅(半切)",IF(312&lt;=COUNTA(半紙!$B$11:$B$310)+COUNTA(条幅!$B$11:$B$310)+COUNTA(条幅4分の1!$B$11:$B$310),"条幅(1/4)","")))</f>
        <v/>
      </c>
      <c r="B317" s="38" t="str">
        <f>IF(IF(312&lt;=COUNTA(半紙!$B$11:$B$310),INDEX(半紙!$B$11:$B$310,312),IF(312&lt;=COUNTA(半紙!$B$11:$B$310)+COUNTA(条幅!$B$11:$B$310),INDEX(条幅!$B$11:$B$310,312-COUNTA(半紙!$B$11:$B$310)),IF(312&lt;=COUNTA(半紙!$B$11:$B$310)+COUNTA(条幅!$B$11:$B$310)+COUNTA(条幅4分の1!$B$11:$B$310),INDEX(条幅4分の1!$B$11:$B$310,312-COUNTA(半紙!$B$11:$B$310)-COUNTA(条幅!$B$11:$B$310)),"")))=0,"",IF(312&lt;=COUNTA(半紙!$B$11:$B$310),INDEX(半紙!$B$11:$B$310,312),IF(312&lt;=COUNTA(半紙!$B$11:$B$310)+COUNTA(条幅!$B$11:$B$310),INDEX(条幅!$B$11:$B$310,312-COUNTA(半紙!$B$11:$B$310)),IF(312&lt;=COUNTA(半紙!$B$11:$B$310)+COUNTA(条幅!$B$11:$B$310)+COUNTA(条幅4分の1!$B$11:$B$310),INDEX(条幅4分の1!$B$11:$B$310,312-COUNTA(半紙!$B$11:$B$310)-COUNTA(条幅!$B$11:$B$310)),""))))</f>
        <v/>
      </c>
      <c r="C317" s="38" t="str">
        <f>IF(IF(312&lt;=COUNTA(半紙!$B$11:$B$310),INDEX(半紙!$C$11:$C$310,312),IF(312&lt;=COUNTA(半紙!$B$11:$B$310)+COUNTA(条幅!$B$11:$B$310),INDEX(条幅!$C$11:$C$310,312-COUNTA(半紙!$B$11:$B$310)),IF(312&lt;=COUNTA(半紙!$B$11:$B$310)+COUNTA(条幅!$B$11:$B$310)+COUNTA(条幅4分の1!$B$11:$B$310),INDEX(条幅4分の1!$C$11:$C$310,312-COUNTA(半紙!$B$11:$B$310)-COUNTA(条幅!$B$11:$B$310)),"")))=0,"",IF(312&lt;=COUNTA(半紙!$B$11:$B$310),INDEX(半紙!$C$11:$C$310,312),IF(312&lt;=COUNTA(半紙!$B$11:$B$310)+COUNTA(条幅!$B$11:$B$310),INDEX(条幅!$C$11:$C$310,312-COUNTA(半紙!$B$11:$B$310)),IF(312&lt;=COUNTA(半紙!$B$11:$B$310)+COUNTA(条幅!$B$11:$B$310)+COUNTA(条幅4分の1!$B$11:$B$310),INDEX(条幅4分の1!$C$11:$C$310,312-COUNTA(半紙!$B$11:$B$310)-COUNTA(条幅!$B$11:$B$310)),""))))</f>
        <v/>
      </c>
      <c r="D317" s="38" t="str">
        <f>IF(IF(312&lt;=COUNTA(半紙!$B$11:$B$310),INDEX(半紙!$D$11:$D$310,312),IF(312&lt;=COUNTA(半紙!$B$11:$B$310)+COUNTA(条幅!$B$11:$B$310),INDEX(条幅!$D$11:$D$310,312-COUNTA(半紙!$B$11:$B$310)),IF(312&lt;=COUNTA(半紙!$B$11:$B$310)+COUNTA(条幅!$B$11:$B$310)+COUNTA(条幅4分の1!$B$11:$B$310),INDEX(条幅4分の1!$D$11:$D$310,312-COUNTA(半紙!$B$11:$B$310)-COUNTA(条幅!$B$11:$B$310)),"")))=0,"",IF(312&lt;=COUNTA(半紙!$B$11:$B$310),INDEX(半紙!$D$11:$D$310,312),IF(312&lt;=COUNTA(半紙!$B$11:$B$310)+COUNTA(条幅!$B$11:$B$310),INDEX(条幅!$D$11:$D$310,312-COUNTA(半紙!$B$11:$B$310)),IF(312&lt;=COUNTA(半紙!$B$11:$B$310)+COUNTA(条幅!$B$11:$B$310)+COUNTA(条幅4分の1!$B$11:$B$310),INDEX(条幅4分の1!$D$11:$D$310,312-COUNTA(半紙!$B$11:$B$310)-COUNTA(条幅!$B$11:$B$310)),""))))</f>
        <v/>
      </c>
      <c r="E317" s="38" t="str">
        <f>IF(IF(312&lt;=COUNTA(半紙!$B$11:$B$310),INDEX(半紙!$E$11:$E$310,312),IF(312&lt;=COUNTA(半紙!$B$11:$B$310)+COUNTA(条幅!$B$11:$B$310),INDEX(条幅!$E$11:$E$310,312-COUNTA(半紙!$B$11:$B$310)),IF(312&lt;=COUNTA(半紙!$B$11:$B$310)+COUNTA(条幅!$B$11:$B$310)+COUNTA(条幅4分の1!$B$11:$B$310),INDEX(条幅4分の1!$E$11:$E$310,312-COUNTA(半紙!$B$11:$B$310)-COUNTA(条幅!$B$11:$B$310)),"")))=0,"",IF(312&lt;=COUNTA(半紙!$B$11:$B$310),INDEX(半紙!$E$11:$E$310,312),IF(312&lt;=COUNTA(半紙!$B$11:$B$310)+COUNTA(条幅!$B$11:$B$310),INDEX(条幅!$E$11:$E$310,312-COUNTA(半紙!$B$11:$B$310)),IF(312&lt;=COUNTA(半紙!$B$11:$B$310)+COUNTA(条幅!$B$11:$B$310)+COUNTA(条幅4分の1!$B$11:$B$310),INDEX(条幅4分の1!$E$11:$E$310,312-COUNTA(半紙!$B$11:$B$310)-COUNTA(条幅!$B$11:$B$310)),""))))</f>
        <v/>
      </c>
      <c r="F317" s="38" t="str">
        <f>IF(IF(312&lt;=COUNTA(半紙!$B$11:$B$310),INDEX(半紙!$F$11:$F$310,312),IF(312&lt;=COUNTA(半紙!$B$11:$B$310)+COUNTA(条幅!$B$11:$B$310),INDEX(条幅!$F$11:$F$310,312-COUNTA(半紙!$B$11:$B$310)),IF(312&lt;=COUNTA(半紙!$B$11:$B$310)+COUNTA(条幅!$B$11:$B$310)+COUNTA(条幅4分の1!$B$11:$B$310),INDEX(条幅4分の1!$F$11:$F$310,312-COUNTA(半紙!$B$11:$B$310)-COUNTA(条幅!$B$11:$B$310)),"")))=0,"",IF(312&lt;=COUNTA(半紙!$B$11:$B$310),INDEX(半紙!$F$11:$F$310,312),IF(312&lt;=COUNTA(半紙!$B$11:$B$310)+COUNTA(条幅!$B$11:$B$310),INDEX(条幅!$F$11:$F$310,312-COUNTA(半紙!$B$11:$B$310)),IF(312&lt;=COUNTA(半紙!$B$11:$B$310)+COUNTA(条幅!$B$11:$B$310)+COUNTA(条幅4分の1!$B$11:$B$310),INDEX(条幅4分の1!$F$11:$F$310,312-COUNTA(半紙!$B$11:$B$310)-COUNTA(条幅!$B$11:$B$310)),""))))</f>
        <v/>
      </c>
      <c r="G317" s="38" t="str">
        <f>IF(IF(312&lt;=COUNTA(半紙!$B$11:$B$310),INDEX(半紙!$G$11:$G$310,312),IF(312&lt;=COUNTA(半紙!$B$11:$B$310)+COUNTA(条幅!$B$11:$B$310),INDEX(条幅!$G$11:$G$310,312-COUNTA(半紙!$B$11:$B$310)),IF(312&lt;=COUNTA(半紙!$B$11:$B$310)+COUNTA(条幅!$B$11:$B$310)+COUNTA(条幅4分の1!$B$11:$B$310),INDEX(条幅4分の1!$G$11:$G$310,312-COUNTA(半紙!$B$11:$B$310)-COUNTA(条幅!$B$11:$B$310)),"")))=0,"",IF(312&lt;=COUNTA(半紙!$B$11:$B$310),INDEX(半紙!$G$11:$G$310,312),IF(312&lt;=COUNTA(半紙!$B$11:$B$310)+COUNTA(条幅!$B$11:$B$310),INDEX(条幅!$G$11:$G$310,312-COUNTA(半紙!$B$11:$B$310)),IF(312&lt;=COUNTA(半紙!$B$11:$B$310)+COUNTA(条幅!$B$11:$B$310)+COUNTA(条幅4分の1!$B$11:$B$310),INDEX(条幅4分の1!$G$11:$G$310,312-COUNTA(半紙!$B$11:$B$310)-COUNTA(条幅!$B$11:$B$310)),""))))</f>
        <v/>
      </c>
      <c r="H317" s="38" t="str">
        <f>IF(IF(312&lt;=COUNTA(半紙!$B$11:$B$310),INDEX(半紙!$H$11:$H$310,312),IF(312&lt;=COUNTA(半紙!$B$11:$B$310)+COUNTA(条幅!$B$11:$B$310),INDEX(条幅!$H$11:$H$310,312-COUNTA(半紙!$B$11:$B$310)),IF(312&lt;=COUNTA(半紙!$B$11:$B$310)+COUNTA(条幅!$B$11:$B$310)+COUNTA(条幅4分の1!$B$11:$B$310),INDEX(条幅4分の1!$H$11:$H$310,312-COUNTA(半紙!$B$11:$B$310)-COUNTA(条幅!$B$11:$B$310)),"")))=0,"",IF(312&lt;=COUNTA(半紙!$B$11:$B$310),INDEX(半紙!$H$11:$H$310,312),IF(312&lt;=COUNTA(半紙!$B$11:$B$310)+COUNTA(条幅!$B$11:$B$310),INDEX(条幅!$H$11:$H$310,312-COUNTA(半紙!$B$11:$B$310)),IF(312&lt;=COUNTA(半紙!$B$11:$B$310)+COUNTA(条幅!$B$11:$B$310)+COUNTA(条幅4分の1!$B$11:$B$310),INDEX(条幅4分の1!$H$11:$H$310,312-COUNTA(半紙!$B$11:$B$310)-COUNTA(条幅!$B$11:$B$310)),""))))</f>
        <v/>
      </c>
      <c r="I317" s="38" t="str">
        <f>IF(IF(312&lt;=COUNTA(半紙!$B$11:$B$310),INDEX(半紙!$I$11:$I$310,312),IF(312&lt;=COUNTA(半紙!$B$11:$B$310)+COUNTA(条幅!$B$11:$B$310),INDEX(条幅!$I$11:$I$310,312-COUNTA(半紙!$B$11:$B$310)),IF(312&lt;=COUNTA(半紙!$B$11:$B$310)+COUNTA(条幅!$B$11:$B$310)+COUNTA(条幅4分の1!$B$11:$B$310),INDEX(条幅4分の1!$I$11:$I$310,312-COUNTA(半紙!$B$11:$B$310)-COUNTA(条幅!$B$11:$B$310)),"")))=0,"",IF(312&lt;=COUNTA(半紙!$B$11:$B$310),INDEX(半紙!$I$11:$I$310,312),IF(312&lt;=COUNTA(半紙!$B$11:$B$310)+COUNTA(条幅!$B$11:$B$310),INDEX(条幅!$I$11:$I$310,312-COUNTA(半紙!$B$11:$B$310)),IF(312&lt;=COUNTA(半紙!$B$11:$B$310)+COUNTA(条幅!$B$11:$B$310)+COUNTA(条幅4分の1!$B$11:$B$310),INDEX(条幅4分の1!$I$11:$I$310,312-COUNTA(半紙!$B$11:$B$310)-COUNTA(条幅!$B$11:$B$310)),""))))</f>
        <v/>
      </c>
      <c r="J317" s="38" t="str">
        <f>IF(IF(312&lt;=COUNTA(半紙!$B$11:$B$310),INDEX(半紙!$J$11:$J$310,312),IF(312&lt;=COUNTA(半紙!$B$11:$B$310)+COUNTA(条幅!$B$11:$B$310),INDEX(条幅!$J$11:$J$310,312-COUNTA(半紙!$B$11:$B$310)),IF(312&lt;=COUNTA(半紙!$B$11:$B$310)+COUNTA(条幅!$B$11:$B$310)+COUNTA(条幅4分の1!$B$11:$B$310),INDEX(条幅4分の1!$J$11:$J$310,312-COUNTA(半紙!$B$11:$B$310)-COUNTA(条幅!$B$11:$B$310)),"")))=0,"",IF(312&lt;=COUNTA(半紙!$B$11:$B$310),INDEX(半紙!$J$11:$J$310,312),IF(312&lt;=COUNTA(半紙!$B$11:$B$310)+COUNTA(条幅!$B$11:$B$310),INDEX(条幅!$J$11:$J$310,312-COUNTA(半紙!$B$11:$B$310)),IF(312&lt;=COUNTA(半紙!$B$11:$B$310)+COUNTA(条幅!$B$11:$B$310)+COUNTA(条幅4分の1!$B$11:$B$310),INDEX(条幅4分の1!$J$11:$J$310,312-COUNTA(半紙!$B$11:$B$310)-COUNTA(条幅!$B$11:$B$310)),""))))</f>
        <v/>
      </c>
      <c r="K317" s="38" t="str">
        <f>IF(IF(312&lt;=COUNTA(半紙!$B$11:$B$310),INDEX(半紙!$K$11:$K$310,312),IF(312&lt;=COUNTA(半紙!$B$11:$B$310)+COUNTA(条幅!$B$11:$B$310),INDEX(条幅!$K$11:$K$310,312-COUNTA(半紙!$B$11:$B$310)),IF(312&lt;=COUNTA(半紙!$B$11:$B$310)+COUNTA(条幅!$B$11:$B$310)+COUNTA(条幅4分の1!$B$11:$B$310),INDEX(条幅4分の1!$K$11:$K$310,312-COUNTA(半紙!$B$11:$B$310)-COUNTA(条幅!$B$11:$B$310)),"")))=0,"",IF(312&lt;=COUNTA(半紙!$B$11:$B$310),INDEX(半紙!$K$11:$K$310,312),IF(312&lt;=COUNTA(半紙!$B$11:$B$310)+COUNTA(条幅!$B$11:$B$310),INDEX(条幅!$K$11:$K$310,312-COUNTA(半紙!$B$11:$B$310)),IF(312&lt;=COUNTA(半紙!$B$11:$B$310)+COUNTA(条幅!$B$11:$B$310)+COUNTA(条幅4分の1!$B$11:$B$310),INDEX(条幅4分の1!$K$11:$K$310,312-COUNTA(半紙!$B$11:$B$310)-COUNTA(条幅!$B$11:$B$310)),""))))</f>
        <v/>
      </c>
      <c r="L317" s="48" t="str">
        <f>IF($B317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312))</f>
        <v/>
      </c>
    </row>
    <row r="318" spans="1:12" ht="15" customHeight="1">
      <c r="A318" s="37" t="str">
        <f>IF(313&lt;=COUNTA(半紙!$B$11:$B$310),"半紙",IF(313&lt;=COUNTA(半紙!$B$11:$B$310)+COUNTA(条幅!$B$11:$B$310),"条幅(半切)",IF(313&lt;=COUNTA(半紙!$B$11:$B$310)+COUNTA(条幅!$B$11:$B$310)+COUNTA(条幅4分の1!$B$11:$B$310),"条幅(1/4)","")))</f>
        <v/>
      </c>
      <c r="B318" s="38" t="str">
        <f>IF(IF(313&lt;=COUNTA(半紙!$B$11:$B$310),INDEX(半紙!$B$11:$B$310,313),IF(313&lt;=COUNTA(半紙!$B$11:$B$310)+COUNTA(条幅!$B$11:$B$310),INDEX(条幅!$B$11:$B$310,313-COUNTA(半紙!$B$11:$B$310)),IF(313&lt;=COUNTA(半紙!$B$11:$B$310)+COUNTA(条幅!$B$11:$B$310)+COUNTA(条幅4分の1!$B$11:$B$310),INDEX(条幅4分の1!$B$11:$B$310,313-COUNTA(半紙!$B$11:$B$310)-COUNTA(条幅!$B$11:$B$310)),"")))=0,"",IF(313&lt;=COUNTA(半紙!$B$11:$B$310),INDEX(半紙!$B$11:$B$310,313),IF(313&lt;=COUNTA(半紙!$B$11:$B$310)+COUNTA(条幅!$B$11:$B$310),INDEX(条幅!$B$11:$B$310,313-COUNTA(半紙!$B$11:$B$310)),IF(313&lt;=COUNTA(半紙!$B$11:$B$310)+COUNTA(条幅!$B$11:$B$310)+COUNTA(条幅4分の1!$B$11:$B$310),INDEX(条幅4分の1!$B$11:$B$310,313-COUNTA(半紙!$B$11:$B$310)-COUNTA(条幅!$B$11:$B$310)),""))))</f>
        <v/>
      </c>
      <c r="C318" s="38" t="str">
        <f>IF(IF(313&lt;=COUNTA(半紙!$B$11:$B$310),INDEX(半紙!$C$11:$C$310,313),IF(313&lt;=COUNTA(半紙!$B$11:$B$310)+COUNTA(条幅!$B$11:$B$310),INDEX(条幅!$C$11:$C$310,313-COUNTA(半紙!$B$11:$B$310)),IF(313&lt;=COUNTA(半紙!$B$11:$B$310)+COUNTA(条幅!$B$11:$B$310)+COUNTA(条幅4分の1!$B$11:$B$310),INDEX(条幅4分の1!$C$11:$C$310,313-COUNTA(半紙!$B$11:$B$310)-COUNTA(条幅!$B$11:$B$310)),"")))=0,"",IF(313&lt;=COUNTA(半紙!$B$11:$B$310),INDEX(半紙!$C$11:$C$310,313),IF(313&lt;=COUNTA(半紙!$B$11:$B$310)+COUNTA(条幅!$B$11:$B$310),INDEX(条幅!$C$11:$C$310,313-COUNTA(半紙!$B$11:$B$310)),IF(313&lt;=COUNTA(半紙!$B$11:$B$310)+COUNTA(条幅!$B$11:$B$310)+COUNTA(条幅4分の1!$B$11:$B$310),INDEX(条幅4分の1!$C$11:$C$310,313-COUNTA(半紙!$B$11:$B$310)-COUNTA(条幅!$B$11:$B$310)),""))))</f>
        <v/>
      </c>
      <c r="D318" s="38" t="str">
        <f>IF(IF(313&lt;=COUNTA(半紙!$B$11:$B$310),INDEX(半紙!$D$11:$D$310,313),IF(313&lt;=COUNTA(半紙!$B$11:$B$310)+COUNTA(条幅!$B$11:$B$310),INDEX(条幅!$D$11:$D$310,313-COUNTA(半紙!$B$11:$B$310)),IF(313&lt;=COUNTA(半紙!$B$11:$B$310)+COUNTA(条幅!$B$11:$B$310)+COUNTA(条幅4分の1!$B$11:$B$310),INDEX(条幅4分の1!$D$11:$D$310,313-COUNTA(半紙!$B$11:$B$310)-COUNTA(条幅!$B$11:$B$310)),"")))=0,"",IF(313&lt;=COUNTA(半紙!$B$11:$B$310),INDEX(半紙!$D$11:$D$310,313),IF(313&lt;=COUNTA(半紙!$B$11:$B$310)+COUNTA(条幅!$B$11:$B$310),INDEX(条幅!$D$11:$D$310,313-COUNTA(半紙!$B$11:$B$310)),IF(313&lt;=COUNTA(半紙!$B$11:$B$310)+COUNTA(条幅!$B$11:$B$310)+COUNTA(条幅4分の1!$B$11:$B$310),INDEX(条幅4分の1!$D$11:$D$310,313-COUNTA(半紙!$B$11:$B$310)-COUNTA(条幅!$B$11:$B$310)),""))))</f>
        <v/>
      </c>
      <c r="E318" s="38" t="str">
        <f>IF(IF(313&lt;=COUNTA(半紙!$B$11:$B$310),INDEX(半紙!$E$11:$E$310,313),IF(313&lt;=COUNTA(半紙!$B$11:$B$310)+COUNTA(条幅!$B$11:$B$310),INDEX(条幅!$E$11:$E$310,313-COUNTA(半紙!$B$11:$B$310)),IF(313&lt;=COUNTA(半紙!$B$11:$B$310)+COUNTA(条幅!$B$11:$B$310)+COUNTA(条幅4分の1!$B$11:$B$310),INDEX(条幅4分の1!$E$11:$E$310,313-COUNTA(半紙!$B$11:$B$310)-COUNTA(条幅!$B$11:$B$310)),"")))=0,"",IF(313&lt;=COUNTA(半紙!$B$11:$B$310),INDEX(半紙!$E$11:$E$310,313),IF(313&lt;=COUNTA(半紙!$B$11:$B$310)+COUNTA(条幅!$B$11:$B$310),INDEX(条幅!$E$11:$E$310,313-COUNTA(半紙!$B$11:$B$310)),IF(313&lt;=COUNTA(半紙!$B$11:$B$310)+COUNTA(条幅!$B$11:$B$310)+COUNTA(条幅4分の1!$B$11:$B$310),INDEX(条幅4分の1!$E$11:$E$310,313-COUNTA(半紙!$B$11:$B$310)-COUNTA(条幅!$B$11:$B$310)),""))))</f>
        <v/>
      </c>
      <c r="F318" s="38" t="str">
        <f>IF(IF(313&lt;=COUNTA(半紙!$B$11:$B$310),INDEX(半紙!$F$11:$F$310,313),IF(313&lt;=COUNTA(半紙!$B$11:$B$310)+COUNTA(条幅!$B$11:$B$310),INDEX(条幅!$F$11:$F$310,313-COUNTA(半紙!$B$11:$B$310)),IF(313&lt;=COUNTA(半紙!$B$11:$B$310)+COUNTA(条幅!$B$11:$B$310)+COUNTA(条幅4分の1!$B$11:$B$310),INDEX(条幅4分の1!$F$11:$F$310,313-COUNTA(半紙!$B$11:$B$310)-COUNTA(条幅!$B$11:$B$310)),"")))=0,"",IF(313&lt;=COUNTA(半紙!$B$11:$B$310),INDEX(半紙!$F$11:$F$310,313),IF(313&lt;=COUNTA(半紙!$B$11:$B$310)+COUNTA(条幅!$B$11:$B$310),INDEX(条幅!$F$11:$F$310,313-COUNTA(半紙!$B$11:$B$310)),IF(313&lt;=COUNTA(半紙!$B$11:$B$310)+COUNTA(条幅!$B$11:$B$310)+COUNTA(条幅4分の1!$B$11:$B$310),INDEX(条幅4分の1!$F$11:$F$310,313-COUNTA(半紙!$B$11:$B$310)-COUNTA(条幅!$B$11:$B$310)),""))))</f>
        <v/>
      </c>
      <c r="G318" s="38" t="str">
        <f>IF(IF(313&lt;=COUNTA(半紙!$B$11:$B$310),INDEX(半紙!$G$11:$G$310,313),IF(313&lt;=COUNTA(半紙!$B$11:$B$310)+COUNTA(条幅!$B$11:$B$310),INDEX(条幅!$G$11:$G$310,313-COUNTA(半紙!$B$11:$B$310)),IF(313&lt;=COUNTA(半紙!$B$11:$B$310)+COUNTA(条幅!$B$11:$B$310)+COUNTA(条幅4分の1!$B$11:$B$310),INDEX(条幅4分の1!$G$11:$G$310,313-COUNTA(半紙!$B$11:$B$310)-COUNTA(条幅!$B$11:$B$310)),"")))=0,"",IF(313&lt;=COUNTA(半紙!$B$11:$B$310),INDEX(半紙!$G$11:$G$310,313),IF(313&lt;=COUNTA(半紙!$B$11:$B$310)+COUNTA(条幅!$B$11:$B$310),INDEX(条幅!$G$11:$G$310,313-COUNTA(半紙!$B$11:$B$310)),IF(313&lt;=COUNTA(半紙!$B$11:$B$310)+COUNTA(条幅!$B$11:$B$310)+COUNTA(条幅4分の1!$B$11:$B$310),INDEX(条幅4分の1!$G$11:$G$310,313-COUNTA(半紙!$B$11:$B$310)-COUNTA(条幅!$B$11:$B$310)),""))))</f>
        <v/>
      </c>
      <c r="H318" s="38" t="str">
        <f>IF(IF(313&lt;=COUNTA(半紙!$B$11:$B$310),INDEX(半紙!$H$11:$H$310,313),IF(313&lt;=COUNTA(半紙!$B$11:$B$310)+COUNTA(条幅!$B$11:$B$310),INDEX(条幅!$H$11:$H$310,313-COUNTA(半紙!$B$11:$B$310)),IF(313&lt;=COUNTA(半紙!$B$11:$B$310)+COUNTA(条幅!$B$11:$B$310)+COUNTA(条幅4分の1!$B$11:$B$310),INDEX(条幅4分の1!$H$11:$H$310,313-COUNTA(半紙!$B$11:$B$310)-COUNTA(条幅!$B$11:$B$310)),"")))=0,"",IF(313&lt;=COUNTA(半紙!$B$11:$B$310),INDEX(半紙!$H$11:$H$310,313),IF(313&lt;=COUNTA(半紙!$B$11:$B$310)+COUNTA(条幅!$B$11:$B$310),INDEX(条幅!$H$11:$H$310,313-COUNTA(半紙!$B$11:$B$310)),IF(313&lt;=COUNTA(半紙!$B$11:$B$310)+COUNTA(条幅!$B$11:$B$310)+COUNTA(条幅4分の1!$B$11:$B$310),INDEX(条幅4分の1!$H$11:$H$310,313-COUNTA(半紙!$B$11:$B$310)-COUNTA(条幅!$B$11:$B$310)),""))))</f>
        <v/>
      </c>
      <c r="I318" s="38" t="str">
        <f>IF(IF(313&lt;=COUNTA(半紙!$B$11:$B$310),INDEX(半紙!$I$11:$I$310,313),IF(313&lt;=COUNTA(半紙!$B$11:$B$310)+COUNTA(条幅!$B$11:$B$310),INDEX(条幅!$I$11:$I$310,313-COUNTA(半紙!$B$11:$B$310)),IF(313&lt;=COUNTA(半紙!$B$11:$B$310)+COUNTA(条幅!$B$11:$B$310)+COUNTA(条幅4分の1!$B$11:$B$310),INDEX(条幅4分の1!$I$11:$I$310,313-COUNTA(半紙!$B$11:$B$310)-COUNTA(条幅!$B$11:$B$310)),"")))=0,"",IF(313&lt;=COUNTA(半紙!$B$11:$B$310),INDEX(半紙!$I$11:$I$310,313),IF(313&lt;=COUNTA(半紙!$B$11:$B$310)+COUNTA(条幅!$B$11:$B$310),INDEX(条幅!$I$11:$I$310,313-COUNTA(半紙!$B$11:$B$310)),IF(313&lt;=COUNTA(半紙!$B$11:$B$310)+COUNTA(条幅!$B$11:$B$310)+COUNTA(条幅4分の1!$B$11:$B$310),INDEX(条幅4分の1!$I$11:$I$310,313-COUNTA(半紙!$B$11:$B$310)-COUNTA(条幅!$B$11:$B$310)),""))))</f>
        <v/>
      </c>
      <c r="J318" s="38" t="str">
        <f>IF(IF(313&lt;=COUNTA(半紙!$B$11:$B$310),INDEX(半紙!$J$11:$J$310,313),IF(313&lt;=COUNTA(半紙!$B$11:$B$310)+COUNTA(条幅!$B$11:$B$310),INDEX(条幅!$J$11:$J$310,313-COUNTA(半紙!$B$11:$B$310)),IF(313&lt;=COUNTA(半紙!$B$11:$B$310)+COUNTA(条幅!$B$11:$B$310)+COUNTA(条幅4分の1!$B$11:$B$310),INDEX(条幅4分の1!$J$11:$J$310,313-COUNTA(半紙!$B$11:$B$310)-COUNTA(条幅!$B$11:$B$310)),"")))=0,"",IF(313&lt;=COUNTA(半紙!$B$11:$B$310),INDEX(半紙!$J$11:$J$310,313),IF(313&lt;=COUNTA(半紙!$B$11:$B$310)+COUNTA(条幅!$B$11:$B$310),INDEX(条幅!$J$11:$J$310,313-COUNTA(半紙!$B$11:$B$310)),IF(313&lt;=COUNTA(半紙!$B$11:$B$310)+COUNTA(条幅!$B$11:$B$310)+COUNTA(条幅4分の1!$B$11:$B$310),INDEX(条幅4分の1!$J$11:$J$310,313-COUNTA(半紙!$B$11:$B$310)-COUNTA(条幅!$B$11:$B$310)),""))))</f>
        <v/>
      </c>
      <c r="K318" s="38" t="str">
        <f>IF(IF(313&lt;=COUNTA(半紙!$B$11:$B$310),INDEX(半紙!$K$11:$K$310,313),IF(313&lt;=COUNTA(半紙!$B$11:$B$310)+COUNTA(条幅!$B$11:$B$310),INDEX(条幅!$K$11:$K$310,313-COUNTA(半紙!$B$11:$B$310)),IF(313&lt;=COUNTA(半紙!$B$11:$B$310)+COUNTA(条幅!$B$11:$B$310)+COUNTA(条幅4分の1!$B$11:$B$310),INDEX(条幅4分の1!$K$11:$K$310,313-COUNTA(半紙!$B$11:$B$310)-COUNTA(条幅!$B$11:$B$310)),"")))=0,"",IF(313&lt;=COUNTA(半紙!$B$11:$B$310),INDEX(半紙!$K$11:$K$310,313),IF(313&lt;=COUNTA(半紙!$B$11:$B$310)+COUNTA(条幅!$B$11:$B$310),INDEX(条幅!$K$11:$K$310,313-COUNTA(半紙!$B$11:$B$310)),IF(313&lt;=COUNTA(半紙!$B$11:$B$310)+COUNTA(条幅!$B$11:$B$310)+COUNTA(条幅4分の1!$B$11:$B$310),INDEX(条幅4分の1!$K$11:$K$310,313-COUNTA(半紙!$B$11:$B$310)-COUNTA(条幅!$B$11:$B$310)),""))))</f>
        <v/>
      </c>
      <c r="L318" s="48" t="str">
        <f>IF($B318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313))</f>
        <v/>
      </c>
    </row>
    <row r="319" spans="1:12" ht="15" customHeight="1">
      <c r="A319" s="37" t="str">
        <f>IF(314&lt;=COUNTA(半紙!$B$11:$B$310),"半紙",IF(314&lt;=COUNTA(半紙!$B$11:$B$310)+COUNTA(条幅!$B$11:$B$310),"条幅(半切)",IF(314&lt;=COUNTA(半紙!$B$11:$B$310)+COUNTA(条幅!$B$11:$B$310)+COUNTA(条幅4分の1!$B$11:$B$310),"条幅(1/4)","")))</f>
        <v/>
      </c>
      <c r="B319" s="38" t="str">
        <f>IF(IF(314&lt;=COUNTA(半紙!$B$11:$B$310),INDEX(半紙!$B$11:$B$310,314),IF(314&lt;=COUNTA(半紙!$B$11:$B$310)+COUNTA(条幅!$B$11:$B$310),INDEX(条幅!$B$11:$B$310,314-COUNTA(半紙!$B$11:$B$310)),IF(314&lt;=COUNTA(半紙!$B$11:$B$310)+COUNTA(条幅!$B$11:$B$310)+COUNTA(条幅4分の1!$B$11:$B$310),INDEX(条幅4分の1!$B$11:$B$310,314-COUNTA(半紙!$B$11:$B$310)-COUNTA(条幅!$B$11:$B$310)),"")))=0,"",IF(314&lt;=COUNTA(半紙!$B$11:$B$310),INDEX(半紙!$B$11:$B$310,314),IF(314&lt;=COUNTA(半紙!$B$11:$B$310)+COUNTA(条幅!$B$11:$B$310),INDEX(条幅!$B$11:$B$310,314-COUNTA(半紙!$B$11:$B$310)),IF(314&lt;=COUNTA(半紙!$B$11:$B$310)+COUNTA(条幅!$B$11:$B$310)+COUNTA(条幅4分の1!$B$11:$B$310),INDEX(条幅4分の1!$B$11:$B$310,314-COUNTA(半紙!$B$11:$B$310)-COUNTA(条幅!$B$11:$B$310)),""))))</f>
        <v/>
      </c>
      <c r="C319" s="38" t="str">
        <f>IF(IF(314&lt;=COUNTA(半紙!$B$11:$B$310),INDEX(半紙!$C$11:$C$310,314),IF(314&lt;=COUNTA(半紙!$B$11:$B$310)+COUNTA(条幅!$B$11:$B$310),INDEX(条幅!$C$11:$C$310,314-COUNTA(半紙!$B$11:$B$310)),IF(314&lt;=COUNTA(半紙!$B$11:$B$310)+COUNTA(条幅!$B$11:$B$310)+COUNTA(条幅4分の1!$B$11:$B$310),INDEX(条幅4分の1!$C$11:$C$310,314-COUNTA(半紙!$B$11:$B$310)-COUNTA(条幅!$B$11:$B$310)),"")))=0,"",IF(314&lt;=COUNTA(半紙!$B$11:$B$310),INDEX(半紙!$C$11:$C$310,314),IF(314&lt;=COUNTA(半紙!$B$11:$B$310)+COUNTA(条幅!$B$11:$B$310),INDEX(条幅!$C$11:$C$310,314-COUNTA(半紙!$B$11:$B$310)),IF(314&lt;=COUNTA(半紙!$B$11:$B$310)+COUNTA(条幅!$B$11:$B$310)+COUNTA(条幅4分の1!$B$11:$B$310),INDEX(条幅4分の1!$C$11:$C$310,314-COUNTA(半紙!$B$11:$B$310)-COUNTA(条幅!$B$11:$B$310)),""))))</f>
        <v/>
      </c>
      <c r="D319" s="38" t="str">
        <f>IF(IF(314&lt;=COUNTA(半紙!$B$11:$B$310),INDEX(半紙!$D$11:$D$310,314),IF(314&lt;=COUNTA(半紙!$B$11:$B$310)+COUNTA(条幅!$B$11:$B$310),INDEX(条幅!$D$11:$D$310,314-COUNTA(半紙!$B$11:$B$310)),IF(314&lt;=COUNTA(半紙!$B$11:$B$310)+COUNTA(条幅!$B$11:$B$310)+COUNTA(条幅4分の1!$B$11:$B$310),INDEX(条幅4分の1!$D$11:$D$310,314-COUNTA(半紙!$B$11:$B$310)-COUNTA(条幅!$B$11:$B$310)),"")))=0,"",IF(314&lt;=COUNTA(半紙!$B$11:$B$310),INDEX(半紙!$D$11:$D$310,314),IF(314&lt;=COUNTA(半紙!$B$11:$B$310)+COUNTA(条幅!$B$11:$B$310),INDEX(条幅!$D$11:$D$310,314-COUNTA(半紙!$B$11:$B$310)),IF(314&lt;=COUNTA(半紙!$B$11:$B$310)+COUNTA(条幅!$B$11:$B$310)+COUNTA(条幅4分の1!$B$11:$B$310),INDEX(条幅4分の1!$D$11:$D$310,314-COUNTA(半紙!$B$11:$B$310)-COUNTA(条幅!$B$11:$B$310)),""))))</f>
        <v/>
      </c>
      <c r="E319" s="38" t="str">
        <f>IF(IF(314&lt;=COUNTA(半紙!$B$11:$B$310),INDEX(半紙!$E$11:$E$310,314),IF(314&lt;=COUNTA(半紙!$B$11:$B$310)+COUNTA(条幅!$B$11:$B$310),INDEX(条幅!$E$11:$E$310,314-COUNTA(半紙!$B$11:$B$310)),IF(314&lt;=COUNTA(半紙!$B$11:$B$310)+COUNTA(条幅!$B$11:$B$310)+COUNTA(条幅4分の1!$B$11:$B$310),INDEX(条幅4分の1!$E$11:$E$310,314-COUNTA(半紙!$B$11:$B$310)-COUNTA(条幅!$B$11:$B$310)),"")))=0,"",IF(314&lt;=COUNTA(半紙!$B$11:$B$310),INDEX(半紙!$E$11:$E$310,314),IF(314&lt;=COUNTA(半紙!$B$11:$B$310)+COUNTA(条幅!$B$11:$B$310),INDEX(条幅!$E$11:$E$310,314-COUNTA(半紙!$B$11:$B$310)),IF(314&lt;=COUNTA(半紙!$B$11:$B$310)+COUNTA(条幅!$B$11:$B$310)+COUNTA(条幅4分の1!$B$11:$B$310),INDEX(条幅4分の1!$E$11:$E$310,314-COUNTA(半紙!$B$11:$B$310)-COUNTA(条幅!$B$11:$B$310)),""))))</f>
        <v/>
      </c>
      <c r="F319" s="38" t="str">
        <f>IF(IF(314&lt;=COUNTA(半紙!$B$11:$B$310),INDEX(半紙!$F$11:$F$310,314),IF(314&lt;=COUNTA(半紙!$B$11:$B$310)+COUNTA(条幅!$B$11:$B$310),INDEX(条幅!$F$11:$F$310,314-COUNTA(半紙!$B$11:$B$310)),IF(314&lt;=COUNTA(半紙!$B$11:$B$310)+COUNTA(条幅!$B$11:$B$310)+COUNTA(条幅4分の1!$B$11:$B$310),INDEX(条幅4分の1!$F$11:$F$310,314-COUNTA(半紙!$B$11:$B$310)-COUNTA(条幅!$B$11:$B$310)),"")))=0,"",IF(314&lt;=COUNTA(半紙!$B$11:$B$310),INDEX(半紙!$F$11:$F$310,314),IF(314&lt;=COUNTA(半紙!$B$11:$B$310)+COUNTA(条幅!$B$11:$B$310),INDEX(条幅!$F$11:$F$310,314-COUNTA(半紙!$B$11:$B$310)),IF(314&lt;=COUNTA(半紙!$B$11:$B$310)+COUNTA(条幅!$B$11:$B$310)+COUNTA(条幅4分の1!$B$11:$B$310),INDEX(条幅4分の1!$F$11:$F$310,314-COUNTA(半紙!$B$11:$B$310)-COUNTA(条幅!$B$11:$B$310)),""))))</f>
        <v/>
      </c>
      <c r="G319" s="38" t="str">
        <f>IF(IF(314&lt;=COUNTA(半紙!$B$11:$B$310),INDEX(半紙!$G$11:$G$310,314),IF(314&lt;=COUNTA(半紙!$B$11:$B$310)+COUNTA(条幅!$B$11:$B$310),INDEX(条幅!$G$11:$G$310,314-COUNTA(半紙!$B$11:$B$310)),IF(314&lt;=COUNTA(半紙!$B$11:$B$310)+COUNTA(条幅!$B$11:$B$310)+COUNTA(条幅4分の1!$B$11:$B$310),INDEX(条幅4分の1!$G$11:$G$310,314-COUNTA(半紙!$B$11:$B$310)-COUNTA(条幅!$B$11:$B$310)),"")))=0,"",IF(314&lt;=COUNTA(半紙!$B$11:$B$310),INDEX(半紙!$G$11:$G$310,314),IF(314&lt;=COUNTA(半紙!$B$11:$B$310)+COUNTA(条幅!$B$11:$B$310),INDEX(条幅!$G$11:$G$310,314-COUNTA(半紙!$B$11:$B$310)),IF(314&lt;=COUNTA(半紙!$B$11:$B$310)+COUNTA(条幅!$B$11:$B$310)+COUNTA(条幅4分の1!$B$11:$B$310),INDEX(条幅4分の1!$G$11:$G$310,314-COUNTA(半紙!$B$11:$B$310)-COUNTA(条幅!$B$11:$B$310)),""))))</f>
        <v/>
      </c>
      <c r="H319" s="38" t="str">
        <f>IF(IF(314&lt;=COUNTA(半紙!$B$11:$B$310),INDEX(半紙!$H$11:$H$310,314),IF(314&lt;=COUNTA(半紙!$B$11:$B$310)+COUNTA(条幅!$B$11:$B$310),INDEX(条幅!$H$11:$H$310,314-COUNTA(半紙!$B$11:$B$310)),IF(314&lt;=COUNTA(半紙!$B$11:$B$310)+COUNTA(条幅!$B$11:$B$310)+COUNTA(条幅4分の1!$B$11:$B$310),INDEX(条幅4分の1!$H$11:$H$310,314-COUNTA(半紙!$B$11:$B$310)-COUNTA(条幅!$B$11:$B$310)),"")))=0,"",IF(314&lt;=COUNTA(半紙!$B$11:$B$310),INDEX(半紙!$H$11:$H$310,314),IF(314&lt;=COUNTA(半紙!$B$11:$B$310)+COUNTA(条幅!$B$11:$B$310),INDEX(条幅!$H$11:$H$310,314-COUNTA(半紙!$B$11:$B$310)),IF(314&lt;=COUNTA(半紙!$B$11:$B$310)+COUNTA(条幅!$B$11:$B$310)+COUNTA(条幅4分の1!$B$11:$B$310),INDEX(条幅4分の1!$H$11:$H$310,314-COUNTA(半紙!$B$11:$B$310)-COUNTA(条幅!$B$11:$B$310)),""))))</f>
        <v/>
      </c>
      <c r="I319" s="38" t="str">
        <f>IF(IF(314&lt;=COUNTA(半紙!$B$11:$B$310),INDEX(半紙!$I$11:$I$310,314),IF(314&lt;=COUNTA(半紙!$B$11:$B$310)+COUNTA(条幅!$B$11:$B$310),INDEX(条幅!$I$11:$I$310,314-COUNTA(半紙!$B$11:$B$310)),IF(314&lt;=COUNTA(半紙!$B$11:$B$310)+COUNTA(条幅!$B$11:$B$310)+COUNTA(条幅4分の1!$B$11:$B$310),INDEX(条幅4分の1!$I$11:$I$310,314-COUNTA(半紙!$B$11:$B$310)-COUNTA(条幅!$B$11:$B$310)),"")))=0,"",IF(314&lt;=COUNTA(半紙!$B$11:$B$310),INDEX(半紙!$I$11:$I$310,314),IF(314&lt;=COUNTA(半紙!$B$11:$B$310)+COUNTA(条幅!$B$11:$B$310),INDEX(条幅!$I$11:$I$310,314-COUNTA(半紙!$B$11:$B$310)),IF(314&lt;=COUNTA(半紙!$B$11:$B$310)+COUNTA(条幅!$B$11:$B$310)+COUNTA(条幅4分の1!$B$11:$B$310),INDEX(条幅4分の1!$I$11:$I$310,314-COUNTA(半紙!$B$11:$B$310)-COUNTA(条幅!$B$11:$B$310)),""))))</f>
        <v/>
      </c>
      <c r="J319" s="38" t="str">
        <f>IF(IF(314&lt;=COUNTA(半紙!$B$11:$B$310),INDEX(半紙!$J$11:$J$310,314),IF(314&lt;=COUNTA(半紙!$B$11:$B$310)+COUNTA(条幅!$B$11:$B$310),INDEX(条幅!$J$11:$J$310,314-COUNTA(半紙!$B$11:$B$310)),IF(314&lt;=COUNTA(半紙!$B$11:$B$310)+COUNTA(条幅!$B$11:$B$310)+COUNTA(条幅4分の1!$B$11:$B$310),INDEX(条幅4分の1!$J$11:$J$310,314-COUNTA(半紙!$B$11:$B$310)-COUNTA(条幅!$B$11:$B$310)),"")))=0,"",IF(314&lt;=COUNTA(半紙!$B$11:$B$310),INDEX(半紙!$J$11:$J$310,314),IF(314&lt;=COUNTA(半紙!$B$11:$B$310)+COUNTA(条幅!$B$11:$B$310),INDEX(条幅!$J$11:$J$310,314-COUNTA(半紙!$B$11:$B$310)),IF(314&lt;=COUNTA(半紙!$B$11:$B$310)+COUNTA(条幅!$B$11:$B$310)+COUNTA(条幅4分の1!$B$11:$B$310),INDEX(条幅4分の1!$J$11:$J$310,314-COUNTA(半紙!$B$11:$B$310)-COUNTA(条幅!$B$11:$B$310)),""))))</f>
        <v/>
      </c>
      <c r="K319" s="38" t="str">
        <f>IF(IF(314&lt;=COUNTA(半紙!$B$11:$B$310),INDEX(半紙!$K$11:$K$310,314),IF(314&lt;=COUNTA(半紙!$B$11:$B$310)+COUNTA(条幅!$B$11:$B$310),INDEX(条幅!$K$11:$K$310,314-COUNTA(半紙!$B$11:$B$310)),IF(314&lt;=COUNTA(半紙!$B$11:$B$310)+COUNTA(条幅!$B$11:$B$310)+COUNTA(条幅4分の1!$B$11:$B$310),INDEX(条幅4分の1!$K$11:$K$310,314-COUNTA(半紙!$B$11:$B$310)-COUNTA(条幅!$B$11:$B$310)),"")))=0,"",IF(314&lt;=COUNTA(半紙!$B$11:$B$310),INDEX(半紙!$K$11:$K$310,314),IF(314&lt;=COUNTA(半紙!$B$11:$B$310)+COUNTA(条幅!$B$11:$B$310),INDEX(条幅!$K$11:$K$310,314-COUNTA(半紙!$B$11:$B$310)),IF(314&lt;=COUNTA(半紙!$B$11:$B$310)+COUNTA(条幅!$B$11:$B$310)+COUNTA(条幅4分の1!$B$11:$B$310),INDEX(条幅4分の1!$K$11:$K$310,314-COUNTA(半紙!$B$11:$B$310)-COUNTA(条幅!$B$11:$B$310)),""))))</f>
        <v/>
      </c>
      <c r="L319" s="48" t="str">
        <f>IF($B319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314))</f>
        <v/>
      </c>
    </row>
    <row r="320" spans="1:12" ht="15" customHeight="1">
      <c r="A320" s="37" t="str">
        <f>IF(315&lt;=COUNTA(半紙!$B$11:$B$310),"半紙",IF(315&lt;=COUNTA(半紙!$B$11:$B$310)+COUNTA(条幅!$B$11:$B$310),"条幅(半切)",IF(315&lt;=COUNTA(半紙!$B$11:$B$310)+COUNTA(条幅!$B$11:$B$310)+COUNTA(条幅4分の1!$B$11:$B$310),"条幅(1/4)","")))</f>
        <v/>
      </c>
      <c r="B320" s="38" t="str">
        <f>IF(IF(315&lt;=COUNTA(半紙!$B$11:$B$310),INDEX(半紙!$B$11:$B$310,315),IF(315&lt;=COUNTA(半紙!$B$11:$B$310)+COUNTA(条幅!$B$11:$B$310),INDEX(条幅!$B$11:$B$310,315-COUNTA(半紙!$B$11:$B$310)),IF(315&lt;=COUNTA(半紙!$B$11:$B$310)+COUNTA(条幅!$B$11:$B$310)+COUNTA(条幅4分の1!$B$11:$B$310),INDEX(条幅4分の1!$B$11:$B$310,315-COUNTA(半紙!$B$11:$B$310)-COUNTA(条幅!$B$11:$B$310)),"")))=0,"",IF(315&lt;=COUNTA(半紙!$B$11:$B$310),INDEX(半紙!$B$11:$B$310,315),IF(315&lt;=COUNTA(半紙!$B$11:$B$310)+COUNTA(条幅!$B$11:$B$310),INDEX(条幅!$B$11:$B$310,315-COUNTA(半紙!$B$11:$B$310)),IF(315&lt;=COUNTA(半紙!$B$11:$B$310)+COUNTA(条幅!$B$11:$B$310)+COUNTA(条幅4分の1!$B$11:$B$310),INDEX(条幅4分の1!$B$11:$B$310,315-COUNTA(半紙!$B$11:$B$310)-COUNTA(条幅!$B$11:$B$310)),""))))</f>
        <v/>
      </c>
      <c r="C320" s="38" t="str">
        <f>IF(IF(315&lt;=COUNTA(半紙!$B$11:$B$310),INDEX(半紙!$C$11:$C$310,315),IF(315&lt;=COUNTA(半紙!$B$11:$B$310)+COUNTA(条幅!$B$11:$B$310),INDEX(条幅!$C$11:$C$310,315-COUNTA(半紙!$B$11:$B$310)),IF(315&lt;=COUNTA(半紙!$B$11:$B$310)+COUNTA(条幅!$B$11:$B$310)+COUNTA(条幅4分の1!$B$11:$B$310),INDEX(条幅4分の1!$C$11:$C$310,315-COUNTA(半紙!$B$11:$B$310)-COUNTA(条幅!$B$11:$B$310)),"")))=0,"",IF(315&lt;=COUNTA(半紙!$B$11:$B$310),INDEX(半紙!$C$11:$C$310,315),IF(315&lt;=COUNTA(半紙!$B$11:$B$310)+COUNTA(条幅!$B$11:$B$310),INDEX(条幅!$C$11:$C$310,315-COUNTA(半紙!$B$11:$B$310)),IF(315&lt;=COUNTA(半紙!$B$11:$B$310)+COUNTA(条幅!$B$11:$B$310)+COUNTA(条幅4分の1!$B$11:$B$310),INDEX(条幅4分の1!$C$11:$C$310,315-COUNTA(半紙!$B$11:$B$310)-COUNTA(条幅!$B$11:$B$310)),""))))</f>
        <v/>
      </c>
      <c r="D320" s="38" t="str">
        <f>IF(IF(315&lt;=COUNTA(半紙!$B$11:$B$310),INDEX(半紙!$D$11:$D$310,315),IF(315&lt;=COUNTA(半紙!$B$11:$B$310)+COUNTA(条幅!$B$11:$B$310),INDEX(条幅!$D$11:$D$310,315-COUNTA(半紙!$B$11:$B$310)),IF(315&lt;=COUNTA(半紙!$B$11:$B$310)+COUNTA(条幅!$B$11:$B$310)+COUNTA(条幅4分の1!$B$11:$B$310),INDEX(条幅4分の1!$D$11:$D$310,315-COUNTA(半紙!$B$11:$B$310)-COUNTA(条幅!$B$11:$B$310)),"")))=0,"",IF(315&lt;=COUNTA(半紙!$B$11:$B$310),INDEX(半紙!$D$11:$D$310,315),IF(315&lt;=COUNTA(半紙!$B$11:$B$310)+COUNTA(条幅!$B$11:$B$310),INDEX(条幅!$D$11:$D$310,315-COUNTA(半紙!$B$11:$B$310)),IF(315&lt;=COUNTA(半紙!$B$11:$B$310)+COUNTA(条幅!$B$11:$B$310)+COUNTA(条幅4分の1!$B$11:$B$310),INDEX(条幅4分の1!$D$11:$D$310,315-COUNTA(半紙!$B$11:$B$310)-COUNTA(条幅!$B$11:$B$310)),""))))</f>
        <v/>
      </c>
      <c r="E320" s="38" t="str">
        <f>IF(IF(315&lt;=COUNTA(半紙!$B$11:$B$310),INDEX(半紙!$E$11:$E$310,315),IF(315&lt;=COUNTA(半紙!$B$11:$B$310)+COUNTA(条幅!$B$11:$B$310),INDEX(条幅!$E$11:$E$310,315-COUNTA(半紙!$B$11:$B$310)),IF(315&lt;=COUNTA(半紙!$B$11:$B$310)+COUNTA(条幅!$B$11:$B$310)+COUNTA(条幅4分の1!$B$11:$B$310),INDEX(条幅4分の1!$E$11:$E$310,315-COUNTA(半紙!$B$11:$B$310)-COUNTA(条幅!$B$11:$B$310)),"")))=0,"",IF(315&lt;=COUNTA(半紙!$B$11:$B$310),INDEX(半紙!$E$11:$E$310,315),IF(315&lt;=COUNTA(半紙!$B$11:$B$310)+COUNTA(条幅!$B$11:$B$310),INDEX(条幅!$E$11:$E$310,315-COUNTA(半紙!$B$11:$B$310)),IF(315&lt;=COUNTA(半紙!$B$11:$B$310)+COUNTA(条幅!$B$11:$B$310)+COUNTA(条幅4分の1!$B$11:$B$310),INDEX(条幅4分の1!$E$11:$E$310,315-COUNTA(半紙!$B$11:$B$310)-COUNTA(条幅!$B$11:$B$310)),""))))</f>
        <v/>
      </c>
      <c r="F320" s="38" t="str">
        <f>IF(IF(315&lt;=COUNTA(半紙!$B$11:$B$310),INDEX(半紙!$F$11:$F$310,315),IF(315&lt;=COUNTA(半紙!$B$11:$B$310)+COUNTA(条幅!$B$11:$B$310),INDEX(条幅!$F$11:$F$310,315-COUNTA(半紙!$B$11:$B$310)),IF(315&lt;=COUNTA(半紙!$B$11:$B$310)+COUNTA(条幅!$B$11:$B$310)+COUNTA(条幅4分の1!$B$11:$B$310),INDEX(条幅4分の1!$F$11:$F$310,315-COUNTA(半紙!$B$11:$B$310)-COUNTA(条幅!$B$11:$B$310)),"")))=0,"",IF(315&lt;=COUNTA(半紙!$B$11:$B$310),INDEX(半紙!$F$11:$F$310,315),IF(315&lt;=COUNTA(半紙!$B$11:$B$310)+COUNTA(条幅!$B$11:$B$310),INDEX(条幅!$F$11:$F$310,315-COUNTA(半紙!$B$11:$B$310)),IF(315&lt;=COUNTA(半紙!$B$11:$B$310)+COUNTA(条幅!$B$11:$B$310)+COUNTA(条幅4分の1!$B$11:$B$310),INDEX(条幅4分の1!$F$11:$F$310,315-COUNTA(半紙!$B$11:$B$310)-COUNTA(条幅!$B$11:$B$310)),""))))</f>
        <v/>
      </c>
      <c r="G320" s="38" t="str">
        <f>IF(IF(315&lt;=COUNTA(半紙!$B$11:$B$310),INDEX(半紙!$G$11:$G$310,315),IF(315&lt;=COUNTA(半紙!$B$11:$B$310)+COUNTA(条幅!$B$11:$B$310),INDEX(条幅!$G$11:$G$310,315-COUNTA(半紙!$B$11:$B$310)),IF(315&lt;=COUNTA(半紙!$B$11:$B$310)+COUNTA(条幅!$B$11:$B$310)+COUNTA(条幅4分の1!$B$11:$B$310),INDEX(条幅4分の1!$G$11:$G$310,315-COUNTA(半紙!$B$11:$B$310)-COUNTA(条幅!$B$11:$B$310)),"")))=0,"",IF(315&lt;=COUNTA(半紙!$B$11:$B$310),INDEX(半紙!$G$11:$G$310,315),IF(315&lt;=COUNTA(半紙!$B$11:$B$310)+COUNTA(条幅!$B$11:$B$310),INDEX(条幅!$G$11:$G$310,315-COUNTA(半紙!$B$11:$B$310)),IF(315&lt;=COUNTA(半紙!$B$11:$B$310)+COUNTA(条幅!$B$11:$B$310)+COUNTA(条幅4分の1!$B$11:$B$310),INDEX(条幅4分の1!$G$11:$G$310,315-COUNTA(半紙!$B$11:$B$310)-COUNTA(条幅!$B$11:$B$310)),""))))</f>
        <v/>
      </c>
      <c r="H320" s="38" t="str">
        <f>IF(IF(315&lt;=COUNTA(半紙!$B$11:$B$310),INDEX(半紙!$H$11:$H$310,315),IF(315&lt;=COUNTA(半紙!$B$11:$B$310)+COUNTA(条幅!$B$11:$B$310),INDEX(条幅!$H$11:$H$310,315-COUNTA(半紙!$B$11:$B$310)),IF(315&lt;=COUNTA(半紙!$B$11:$B$310)+COUNTA(条幅!$B$11:$B$310)+COUNTA(条幅4分の1!$B$11:$B$310),INDEX(条幅4分の1!$H$11:$H$310,315-COUNTA(半紙!$B$11:$B$310)-COUNTA(条幅!$B$11:$B$310)),"")))=0,"",IF(315&lt;=COUNTA(半紙!$B$11:$B$310),INDEX(半紙!$H$11:$H$310,315),IF(315&lt;=COUNTA(半紙!$B$11:$B$310)+COUNTA(条幅!$B$11:$B$310),INDEX(条幅!$H$11:$H$310,315-COUNTA(半紙!$B$11:$B$310)),IF(315&lt;=COUNTA(半紙!$B$11:$B$310)+COUNTA(条幅!$B$11:$B$310)+COUNTA(条幅4分の1!$B$11:$B$310),INDEX(条幅4分の1!$H$11:$H$310,315-COUNTA(半紙!$B$11:$B$310)-COUNTA(条幅!$B$11:$B$310)),""))))</f>
        <v/>
      </c>
      <c r="I320" s="38" t="str">
        <f>IF(IF(315&lt;=COUNTA(半紙!$B$11:$B$310),INDEX(半紙!$I$11:$I$310,315),IF(315&lt;=COUNTA(半紙!$B$11:$B$310)+COUNTA(条幅!$B$11:$B$310),INDEX(条幅!$I$11:$I$310,315-COUNTA(半紙!$B$11:$B$310)),IF(315&lt;=COUNTA(半紙!$B$11:$B$310)+COUNTA(条幅!$B$11:$B$310)+COUNTA(条幅4分の1!$B$11:$B$310),INDEX(条幅4分の1!$I$11:$I$310,315-COUNTA(半紙!$B$11:$B$310)-COUNTA(条幅!$B$11:$B$310)),"")))=0,"",IF(315&lt;=COUNTA(半紙!$B$11:$B$310),INDEX(半紙!$I$11:$I$310,315),IF(315&lt;=COUNTA(半紙!$B$11:$B$310)+COUNTA(条幅!$B$11:$B$310),INDEX(条幅!$I$11:$I$310,315-COUNTA(半紙!$B$11:$B$310)),IF(315&lt;=COUNTA(半紙!$B$11:$B$310)+COUNTA(条幅!$B$11:$B$310)+COUNTA(条幅4分の1!$B$11:$B$310),INDEX(条幅4分の1!$I$11:$I$310,315-COUNTA(半紙!$B$11:$B$310)-COUNTA(条幅!$B$11:$B$310)),""))))</f>
        <v/>
      </c>
      <c r="J320" s="38" t="str">
        <f>IF(IF(315&lt;=COUNTA(半紙!$B$11:$B$310),INDEX(半紙!$J$11:$J$310,315),IF(315&lt;=COUNTA(半紙!$B$11:$B$310)+COUNTA(条幅!$B$11:$B$310),INDEX(条幅!$J$11:$J$310,315-COUNTA(半紙!$B$11:$B$310)),IF(315&lt;=COUNTA(半紙!$B$11:$B$310)+COUNTA(条幅!$B$11:$B$310)+COUNTA(条幅4分の1!$B$11:$B$310),INDEX(条幅4分の1!$J$11:$J$310,315-COUNTA(半紙!$B$11:$B$310)-COUNTA(条幅!$B$11:$B$310)),"")))=0,"",IF(315&lt;=COUNTA(半紙!$B$11:$B$310),INDEX(半紙!$J$11:$J$310,315),IF(315&lt;=COUNTA(半紙!$B$11:$B$310)+COUNTA(条幅!$B$11:$B$310),INDEX(条幅!$J$11:$J$310,315-COUNTA(半紙!$B$11:$B$310)),IF(315&lt;=COUNTA(半紙!$B$11:$B$310)+COUNTA(条幅!$B$11:$B$310)+COUNTA(条幅4分の1!$B$11:$B$310),INDEX(条幅4分の1!$J$11:$J$310,315-COUNTA(半紙!$B$11:$B$310)-COUNTA(条幅!$B$11:$B$310)),""))))</f>
        <v/>
      </c>
      <c r="K320" s="38" t="str">
        <f>IF(IF(315&lt;=COUNTA(半紙!$B$11:$B$310),INDEX(半紙!$K$11:$K$310,315),IF(315&lt;=COUNTA(半紙!$B$11:$B$310)+COUNTA(条幅!$B$11:$B$310),INDEX(条幅!$K$11:$K$310,315-COUNTA(半紙!$B$11:$B$310)),IF(315&lt;=COUNTA(半紙!$B$11:$B$310)+COUNTA(条幅!$B$11:$B$310)+COUNTA(条幅4分の1!$B$11:$B$310),INDEX(条幅4分の1!$K$11:$K$310,315-COUNTA(半紙!$B$11:$B$310)-COUNTA(条幅!$B$11:$B$310)),"")))=0,"",IF(315&lt;=COUNTA(半紙!$B$11:$B$310),INDEX(半紙!$K$11:$K$310,315),IF(315&lt;=COUNTA(半紙!$B$11:$B$310)+COUNTA(条幅!$B$11:$B$310),INDEX(条幅!$K$11:$K$310,315-COUNTA(半紙!$B$11:$B$310)),IF(315&lt;=COUNTA(半紙!$B$11:$B$310)+COUNTA(条幅!$B$11:$B$310)+COUNTA(条幅4分の1!$B$11:$B$310),INDEX(条幅4分の1!$K$11:$K$310,315-COUNTA(半紙!$B$11:$B$310)-COUNTA(条幅!$B$11:$B$310)),""))))</f>
        <v/>
      </c>
      <c r="L320" s="48" t="str">
        <f>IF($B320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315))</f>
        <v/>
      </c>
    </row>
    <row r="321" spans="1:12" ht="15" customHeight="1">
      <c r="A321" s="37" t="str">
        <f>IF(316&lt;=COUNTA(半紙!$B$11:$B$310),"半紙",IF(316&lt;=COUNTA(半紙!$B$11:$B$310)+COUNTA(条幅!$B$11:$B$310),"条幅(半切)",IF(316&lt;=COUNTA(半紙!$B$11:$B$310)+COUNTA(条幅!$B$11:$B$310)+COUNTA(条幅4分の1!$B$11:$B$310),"条幅(1/4)","")))</f>
        <v/>
      </c>
      <c r="B321" s="38" t="str">
        <f>IF(IF(316&lt;=COUNTA(半紙!$B$11:$B$310),INDEX(半紙!$B$11:$B$310,316),IF(316&lt;=COUNTA(半紙!$B$11:$B$310)+COUNTA(条幅!$B$11:$B$310),INDEX(条幅!$B$11:$B$310,316-COUNTA(半紙!$B$11:$B$310)),IF(316&lt;=COUNTA(半紙!$B$11:$B$310)+COUNTA(条幅!$B$11:$B$310)+COUNTA(条幅4分の1!$B$11:$B$310),INDEX(条幅4分の1!$B$11:$B$310,316-COUNTA(半紙!$B$11:$B$310)-COUNTA(条幅!$B$11:$B$310)),"")))=0,"",IF(316&lt;=COUNTA(半紙!$B$11:$B$310),INDEX(半紙!$B$11:$B$310,316),IF(316&lt;=COUNTA(半紙!$B$11:$B$310)+COUNTA(条幅!$B$11:$B$310),INDEX(条幅!$B$11:$B$310,316-COUNTA(半紙!$B$11:$B$310)),IF(316&lt;=COUNTA(半紙!$B$11:$B$310)+COUNTA(条幅!$B$11:$B$310)+COUNTA(条幅4分の1!$B$11:$B$310),INDEX(条幅4分の1!$B$11:$B$310,316-COUNTA(半紙!$B$11:$B$310)-COUNTA(条幅!$B$11:$B$310)),""))))</f>
        <v/>
      </c>
      <c r="C321" s="38" t="str">
        <f>IF(IF(316&lt;=COUNTA(半紙!$B$11:$B$310),INDEX(半紙!$C$11:$C$310,316),IF(316&lt;=COUNTA(半紙!$B$11:$B$310)+COUNTA(条幅!$B$11:$B$310),INDEX(条幅!$C$11:$C$310,316-COUNTA(半紙!$B$11:$B$310)),IF(316&lt;=COUNTA(半紙!$B$11:$B$310)+COUNTA(条幅!$B$11:$B$310)+COUNTA(条幅4分の1!$B$11:$B$310),INDEX(条幅4分の1!$C$11:$C$310,316-COUNTA(半紙!$B$11:$B$310)-COUNTA(条幅!$B$11:$B$310)),"")))=0,"",IF(316&lt;=COUNTA(半紙!$B$11:$B$310),INDEX(半紙!$C$11:$C$310,316),IF(316&lt;=COUNTA(半紙!$B$11:$B$310)+COUNTA(条幅!$B$11:$B$310),INDEX(条幅!$C$11:$C$310,316-COUNTA(半紙!$B$11:$B$310)),IF(316&lt;=COUNTA(半紙!$B$11:$B$310)+COUNTA(条幅!$B$11:$B$310)+COUNTA(条幅4分の1!$B$11:$B$310),INDEX(条幅4分の1!$C$11:$C$310,316-COUNTA(半紙!$B$11:$B$310)-COUNTA(条幅!$B$11:$B$310)),""))))</f>
        <v/>
      </c>
      <c r="D321" s="38" t="str">
        <f>IF(IF(316&lt;=COUNTA(半紙!$B$11:$B$310),INDEX(半紙!$D$11:$D$310,316),IF(316&lt;=COUNTA(半紙!$B$11:$B$310)+COUNTA(条幅!$B$11:$B$310),INDEX(条幅!$D$11:$D$310,316-COUNTA(半紙!$B$11:$B$310)),IF(316&lt;=COUNTA(半紙!$B$11:$B$310)+COUNTA(条幅!$B$11:$B$310)+COUNTA(条幅4分の1!$B$11:$B$310),INDEX(条幅4分の1!$D$11:$D$310,316-COUNTA(半紙!$B$11:$B$310)-COUNTA(条幅!$B$11:$B$310)),"")))=0,"",IF(316&lt;=COUNTA(半紙!$B$11:$B$310),INDEX(半紙!$D$11:$D$310,316),IF(316&lt;=COUNTA(半紙!$B$11:$B$310)+COUNTA(条幅!$B$11:$B$310),INDEX(条幅!$D$11:$D$310,316-COUNTA(半紙!$B$11:$B$310)),IF(316&lt;=COUNTA(半紙!$B$11:$B$310)+COUNTA(条幅!$B$11:$B$310)+COUNTA(条幅4分の1!$B$11:$B$310),INDEX(条幅4分の1!$D$11:$D$310,316-COUNTA(半紙!$B$11:$B$310)-COUNTA(条幅!$B$11:$B$310)),""))))</f>
        <v/>
      </c>
      <c r="E321" s="38" t="str">
        <f>IF(IF(316&lt;=COUNTA(半紙!$B$11:$B$310),INDEX(半紙!$E$11:$E$310,316),IF(316&lt;=COUNTA(半紙!$B$11:$B$310)+COUNTA(条幅!$B$11:$B$310),INDEX(条幅!$E$11:$E$310,316-COUNTA(半紙!$B$11:$B$310)),IF(316&lt;=COUNTA(半紙!$B$11:$B$310)+COUNTA(条幅!$B$11:$B$310)+COUNTA(条幅4分の1!$B$11:$B$310),INDEX(条幅4分の1!$E$11:$E$310,316-COUNTA(半紙!$B$11:$B$310)-COUNTA(条幅!$B$11:$B$310)),"")))=0,"",IF(316&lt;=COUNTA(半紙!$B$11:$B$310),INDEX(半紙!$E$11:$E$310,316),IF(316&lt;=COUNTA(半紙!$B$11:$B$310)+COUNTA(条幅!$B$11:$B$310),INDEX(条幅!$E$11:$E$310,316-COUNTA(半紙!$B$11:$B$310)),IF(316&lt;=COUNTA(半紙!$B$11:$B$310)+COUNTA(条幅!$B$11:$B$310)+COUNTA(条幅4分の1!$B$11:$B$310),INDEX(条幅4分の1!$E$11:$E$310,316-COUNTA(半紙!$B$11:$B$310)-COUNTA(条幅!$B$11:$B$310)),""))))</f>
        <v/>
      </c>
      <c r="F321" s="38" t="str">
        <f>IF(IF(316&lt;=COUNTA(半紙!$B$11:$B$310),INDEX(半紙!$F$11:$F$310,316),IF(316&lt;=COUNTA(半紙!$B$11:$B$310)+COUNTA(条幅!$B$11:$B$310),INDEX(条幅!$F$11:$F$310,316-COUNTA(半紙!$B$11:$B$310)),IF(316&lt;=COUNTA(半紙!$B$11:$B$310)+COUNTA(条幅!$B$11:$B$310)+COUNTA(条幅4分の1!$B$11:$B$310),INDEX(条幅4分の1!$F$11:$F$310,316-COUNTA(半紙!$B$11:$B$310)-COUNTA(条幅!$B$11:$B$310)),"")))=0,"",IF(316&lt;=COUNTA(半紙!$B$11:$B$310),INDEX(半紙!$F$11:$F$310,316),IF(316&lt;=COUNTA(半紙!$B$11:$B$310)+COUNTA(条幅!$B$11:$B$310),INDEX(条幅!$F$11:$F$310,316-COUNTA(半紙!$B$11:$B$310)),IF(316&lt;=COUNTA(半紙!$B$11:$B$310)+COUNTA(条幅!$B$11:$B$310)+COUNTA(条幅4分の1!$B$11:$B$310),INDEX(条幅4分の1!$F$11:$F$310,316-COUNTA(半紙!$B$11:$B$310)-COUNTA(条幅!$B$11:$B$310)),""))))</f>
        <v/>
      </c>
      <c r="G321" s="38" t="str">
        <f>IF(IF(316&lt;=COUNTA(半紙!$B$11:$B$310),INDEX(半紙!$G$11:$G$310,316),IF(316&lt;=COUNTA(半紙!$B$11:$B$310)+COUNTA(条幅!$B$11:$B$310),INDEX(条幅!$G$11:$G$310,316-COUNTA(半紙!$B$11:$B$310)),IF(316&lt;=COUNTA(半紙!$B$11:$B$310)+COUNTA(条幅!$B$11:$B$310)+COUNTA(条幅4分の1!$B$11:$B$310),INDEX(条幅4分の1!$G$11:$G$310,316-COUNTA(半紙!$B$11:$B$310)-COUNTA(条幅!$B$11:$B$310)),"")))=0,"",IF(316&lt;=COUNTA(半紙!$B$11:$B$310),INDEX(半紙!$G$11:$G$310,316),IF(316&lt;=COUNTA(半紙!$B$11:$B$310)+COUNTA(条幅!$B$11:$B$310),INDEX(条幅!$G$11:$G$310,316-COUNTA(半紙!$B$11:$B$310)),IF(316&lt;=COUNTA(半紙!$B$11:$B$310)+COUNTA(条幅!$B$11:$B$310)+COUNTA(条幅4分の1!$B$11:$B$310),INDEX(条幅4分の1!$G$11:$G$310,316-COUNTA(半紙!$B$11:$B$310)-COUNTA(条幅!$B$11:$B$310)),""))))</f>
        <v/>
      </c>
      <c r="H321" s="38" t="str">
        <f>IF(IF(316&lt;=COUNTA(半紙!$B$11:$B$310),INDEX(半紙!$H$11:$H$310,316),IF(316&lt;=COUNTA(半紙!$B$11:$B$310)+COUNTA(条幅!$B$11:$B$310),INDEX(条幅!$H$11:$H$310,316-COUNTA(半紙!$B$11:$B$310)),IF(316&lt;=COUNTA(半紙!$B$11:$B$310)+COUNTA(条幅!$B$11:$B$310)+COUNTA(条幅4分の1!$B$11:$B$310),INDEX(条幅4分の1!$H$11:$H$310,316-COUNTA(半紙!$B$11:$B$310)-COUNTA(条幅!$B$11:$B$310)),"")))=0,"",IF(316&lt;=COUNTA(半紙!$B$11:$B$310),INDEX(半紙!$H$11:$H$310,316),IF(316&lt;=COUNTA(半紙!$B$11:$B$310)+COUNTA(条幅!$B$11:$B$310),INDEX(条幅!$H$11:$H$310,316-COUNTA(半紙!$B$11:$B$310)),IF(316&lt;=COUNTA(半紙!$B$11:$B$310)+COUNTA(条幅!$B$11:$B$310)+COUNTA(条幅4分の1!$B$11:$B$310),INDEX(条幅4分の1!$H$11:$H$310,316-COUNTA(半紙!$B$11:$B$310)-COUNTA(条幅!$B$11:$B$310)),""))))</f>
        <v/>
      </c>
      <c r="I321" s="38" t="str">
        <f>IF(IF(316&lt;=COUNTA(半紙!$B$11:$B$310),INDEX(半紙!$I$11:$I$310,316),IF(316&lt;=COUNTA(半紙!$B$11:$B$310)+COUNTA(条幅!$B$11:$B$310),INDEX(条幅!$I$11:$I$310,316-COUNTA(半紙!$B$11:$B$310)),IF(316&lt;=COUNTA(半紙!$B$11:$B$310)+COUNTA(条幅!$B$11:$B$310)+COUNTA(条幅4分の1!$B$11:$B$310),INDEX(条幅4分の1!$I$11:$I$310,316-COUNTA(半紙!$B$11:$B$310)-COUNTA(条幅!$B$11:$B$310)),"")))=0,"",IF(316&lt;=COUNTA(半紙!$B$11:$B$310),INDEX(半紙!$I$11:$I$310,316),IF(316&lt;=COUNTA(半紙!$B$11:$B$310)+COUNTA(条幅!$B$11:$B$310),INDEX(条幅!$I$11:$I$310,316-COUNTA(半紙!$B$11:$B$310)),IF(316&lt;=COUNTA(半紙!$B$11:$B$310)+COUNTA(条幅!$B$11:$B$310)+COUNTA(条幅4分の1!$B$11:$B$310),INDEX(条幅4分の1!$I$11:$I$310,316-COUNTA(半紙!$B$11:$B$310)-COUNTA(条幅!$B$11:$B$310)),""))))</f>
        <v/>
      </c>
      <c r="J321" s="38" t="str">
        <f>IF(IF(316&lt;=COUNTA(半紙!$B$11:$B$310),INDEX(半紙!$J$11:$J$310,316),IF(316&lt;=COUNTA(半紙!$B$11:$B$310)+COUNTA(条幅!$B$11:$B$310),INDEX(条幅!$J$11:$J$310,316-COUNTA(半紙!$B$11:$B$310)),IF(316&lt;=COUNTA(半紙!$B$11:$B$310)+COUNTA(条幅!$B$11:$B$310)+COUNTA(条幅4分の1!$B$11:$B$310),INDEX(条幅4分の1!$J$11:$J$310,316-COUNTA(半紙!$B$11:$B$310)-COUNTA(条幅!$B$11:$B$310)),"")))=0,"",IF(316&lt;=COUNTA(半紙!$B$11:$B$310),INDEX(半紙!$J$11:$J$310,316),IF(316&lt;=COUNTA(半紙!$B$11:$B$310)+COUNTA(条幅!$B$11:$B$310),INDEX(条幅!$J$11:$J$310,316-COUNTA(半紙!$B$11:$B$310)),IF(316&lt;=COUNTA(半紙!$B$11:$B$310)+COUNTA(条幅!$B$11:$B$310)+COUNTA(条幅4分の1!$B$11:$B$310),INDEX(条幅4分の1!$J$11:$J$310,316-COUNTA(半紙!$B$11:$B$310)-COUNTA(条幅!$B$11:$B$310)),""))))</f>
        <v/>
      </c>
      <c r="K321" s="38" t="str">
        <f>IF(IF(316&lt;=COUNTA(半紙!$B$11:$B$310),INDEX(半紙!$K$11:$K$310,316),IF(316&lt;=COUNTA(半紙!$B$11:$B$310)+COUNTA(条幅!$B$11:$B$310),INDEX(条幅!$K$11:$K$310,316-COUNTA(半紙!$B$11:$B$310)),IF(316&lt;=COUNTA(半紙!$B$11:$B$310)+COUNTA(条幅!$B$11:$B$310)+COUNTA(条幅4分の1!$B$11:$B$310),INDEX(条幅4分の1!$K$11:$K$310,316-COUNTA(半紙!$B$11:$B$310)-COUNTA(条幅!$B$11:$B$310)),"")))=0,"",IF(316&lt;=COUNTA(半紙!$B$11:$B$310),INDEX(半紙!$K$11:$K$310,316),IF(316&lt;=COUNTA(半紙!$B$11:$B$310)+COUNTA(条幅!$B$11:$B$310),INDEX(条幅!$K$11:$K$310,316-COUNTA(半紙!$B$11:$B$310)),IF(316&lt;=COUNTA(半紙!$B$11:$B$310)+COUNTA(条幅!$B$11:$B$310)+COUNTA(条幅4分の1!$B$11:$B$310),INDEX(条幅4分の1!$K$11:$K$310,316-COUNTA(半紙!$B$11:$B$310)-COUNTA(条幅!$B$11:$B$310)),""))))</f>
        <v/>
      </c>
      <c r="L321" s="48" t="str">
        <f>IF($B321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316))</f>
        <v/>
      </c>
    </row>
    <row r="322" spans="1:12" ht="15" customHeight="1">
      <c r="A322" s="37" t="str">
        <f>IF(317&lt;=COUNTA(半紙!$B$11:$B$310),"半紙",IF(317&lt;=COUNTA(半紙!$B$11:$B$310)+COUNTA(条幅!$B$11:$B$310),"条幅(半切)",IF(317&lt;=COUNTA(半紙!$B$11:$B$310)+COUNTA(条幅!$B$11:$B$310)+COUNTA(条幅4分の1!$B$11:$B$310),"条幅(1/4)","")))</f>
        <v/>
      </c>
      <c r="B322" s="38" t="str">
        <f>IF(IF(317&lt;=COUNTA(半紙!$B$11:$B$310),INDEX(半紙!$B$11:$B$310,317),IF(317&lt;=COUNTA(半紙!$B$11:$B$310)+COUNTA(条幅!$B$11:$B$310),INDEX(条幅!$B$11:$B$310,317-COUNTA(半紙!$B$11:$B$310)),IF(317&lt;=COUNTA(半紙!$B$11:$B$310)+COUNTA(条幅!$B$11:$B$310)+COUNTA(条幅4分の1!$B$11:$B$310),INDEX(条幅4分の1!$B$11:$B$310,317-COUNTA(半紙!$B$11:$B$310)-COUNTA(条幅!$B$11:$B$310)),"")))=0,"",IF(317&lt;=COUNTA(半紙!$B$11:$B$310),INDEX(半紙!$B$11:$B$310,317),IF(317&lt;=COUNTA(半紙!$B$11:$B$310)+COUNTA(条幅!$B$11:$B$310),INDEX(条幅!$B$11:$B$310,317-COUNTA(半紙!$B$11:$B$310)),IF(317&lt;=COUNTA(半紙!$B$11:$B$310)+COUNTA(条幅!$B$11:$B$310)+COUNTA(条幅4分の1!$B$11:$B$310),INDEX(条幅4分の1!$B$11:$B$310,317-COUNTA(半紙!$B$11:$B$310)-COUNTA(条幅!$B$11:$B$310)),""))))</f>
        <v/>
      </c>
      <c r="C322" s="38" t="str">
        <f>IF(IF(317&lt;=COUNTA(半紙!$B$11:$B$310),INDEX(半紙!$C$11:$C$310,317),IF(317&lt;=COUNTA(半紙!$B$11:$B$310)+COUNTA(条幅!$B$11:$B$310),INDEX(条幅!$C$11:$C$310,317-COUNTA(半紙!$B$11:$B$310)),IF(317&lt;=COUNTA(半紙!$B$11:$B$310)+COUNTA(条幅!$B$11:$B$310)+COUNTA(条幅4分の1!$B$11:$B$310),INDEX(条幅4分の1!$C$11:$C$310,317-COUNTA(半紙!$B$11:$B$310)-COUNTA(条幅!$B$11:$B$310)),"")))=0,"",IF(317&lt;=COUNTA(半紙!$B$11:$B$310),INDEX(半紙!$C$11:$C$310,317),IF(317&lt;=COUNTA(半紙!$B$11:$B$310)+COUNTA(条幅!$B$11:$B$310),INDEX(条幅!$C$11:$C$310,317-COUNTA(半紙!$B$11:$B$310)),IF(317&lt;=COUNTA(半紙!$B$11:$B$310)+COUNTA(条幅!$B$11:$B$310)+COUNTA(条幅4分の1!$B$11:$B$310),INDEX(条幅4分の1!$C$11:$C$310,317-COUNTA(半紙!$B$11:$B$310)-COUNTA(条幅!$B$11:$B$310)),""))))</f>
        <v/>
      </c>
      <c r="D322" s="38" t="str">
        <f>IF(IF(317&lt;=COUNTA(半紙!$B$11:$B$310),INDEX(半紙!$D$11:$D$310,317),IF(317&lt;=COUNTA(半紙!$B$11:$B$310)+COUNTA(条幅!$B$11:$B$310),INDEX(条幅!$D$11:$D$310,317-COUNTA(半紙!$B$11:$B$310)),IF(317&lt;=COUNTA(半紙!$B$11:$B$310)+COUNTA(条幅!$B$11:$B$310)+COUNTA(条幅4分の1!$B$11:$B$310),INDEX(条幅4分の1!$D$11:$D$310,317-COUNTA(半紙!$B$11:$B$310)-COUNTA(条幅!$B$11:$B$310)),"")))=0,"",IF(317&lt;=COUNTA(半紙!$B$11:$B$310),INDEX(半紙!$D$11:$D$310,317),IF(317&lt;=COUNTA(半紙!$B$11:$B$310)+COUNTA(条幅!$B$11:$B$310),INDEX(条幅!$D$11:$D$310,317-COUNTA(半紙!$B$11:$B$310)),IF(317&lt;=COUNTA(半紙!$B$11:$B$310)+COUNTA(条幅!$B$11:$B$310)+COUNTA(条幅4分の1!$B$11:$B$310),INDEX(条幅4分の1!$D$11:$D$310,317-COUNTA(半紙!$B$11:$B$310)-COUNTA(条幅!$B$11:$B$310)),""))))</f>
        <v/>
      </c>
      <c r="E322" s="38" t="str">
        <f>IF(IF(317&lt;=COUNTA(半紙!$B$11:$B$310),INDEX(半紙!$E$11:$E$310,317),IF(317&lt;=COUNTA(半紙!$B$11:$B$310)+COUNTA(条幅!$B$11:$B$310),INDEX(条幅!$E$11:$E$310,317-COUNTA(半紙!$B$11:$B$310)),IF(317&lt;=COUNTA(半紙!$B$11:$B$310)+COUNTA(条幅!$B$11:$B$310)+COUNTA(条幅4分の1!$B$11:$B$310),INDEX(条幅4分の1!$E$11:$E$310,317-COUNTA(半紙!$B$11:$B$310)-COUNTA(条幅!$B$11:$B$310)),"")))=0,"",IF(317&lt;=COUNTA(半紙!$B$11:$B$310),INDEX(半紙!$E$11:$E$310,317),IF(317&lt;=COUNTA(半紙!$B$11:$B$310)+COUNTA(条幅!$B$11:$B$310),INDEX(条幅!$E$11:$E$310,317-COUNTA(半紙!$B$11:$B$310)),IF(317&lt;=COUNTA(半紙!$B$11:$B$310)+COUNTA(条幅!$B$11:$B$310)+COUNTA(条幅4分の1!$B$11:$B$310),INDEX(条幅4分の1!$E$11:$E$310,317-COUNTA(半紙!$B$11:$B$310)-COUNTA(条幅!$B$11:$B$310)),""))))</f>
        <v/>
      </c>
      <c r="F322" s="38" t="str">
        <f>IF(IF(317&lt;=COUNTA(半紙!$B$11:$B$310),INDEX(半紙!$F$11:$F$310,317),IF(317&lt;=COUNTA(半紙!$B$11:$B$310)+COUNTA(条幅!$B$11:$B$310),INDEX(条幅!$F$11:$F$310,317-COUNTA(半紙!$B$11:$B$310)),IF(317&lt;=COUNTA(半紙!$B$11:$B$310)+COUNTA(条幅!$B$11:$B$310)+COUNTA(条幅4分の1!$B$11:$B$310),INDEX(条幅4分の1!$F$11:$F$310,317-COUNTA(半紙!$B$11:$B$310)-COUNTA(条幅!$B$11:$B$310)),"")))=0,"",IF(317&lt;=COUNTA(半紙!$B$11:$B$310),INDEX(半紙!$F$11:$F$310,317),IF(317&lt;=COUNTA(半紙!$B$11:$B$310)+COUNTA(条幅!$B$11:$B$310),INDEX(条幅!$F$11:$F$310,317-COUNTA(半紙!$B$11:$B$310)),IF(317&lt;=COUNTA(半紙!$B$11:$B$310)+COUNTA(条幅!$B$11:$B$310)+COUNTA(条幅4分の1!$B$11:$B$310),INDEX(条幅4分の1!$F$11:$F$310,317-COUNTA(半紙!$B$11:$B$310)-COUNTA(条幅!$B$11:$B$310)),""))))</f>
        <v/>
      </c>
      <c r="G322" s="38" t="str">
        <f>IF(IF(317&lt;=COUNTA(半紙!$B$11:$B$310),INDEX(半紙!$G$11:$G$310,317),IF(317&lt;=COUNTA(半紙!$B$11:$B$310)+COUNTA(条幅!$B$11:$B$310),INDEX(条幅!$G$11:$G$310,317-COUNTA(半紙!$B$11:$B$310)),IF(317&lt;=COUNTA(半紙!$B$11:$B$310)+COUNTA(条幅!$B$11:$B$310)+COUNTA(条幅4分の1!$B$11:$B$310),INDEX(条幅4分の1!$G$11:$G$310,317-COUNTA(半紙!$B$11:$B$310)-COUNTA(条幅!$B$11:$B$310)),"")))=0,"",IF(317&lt;=COUNTA(半紙!$B$11:$B$310),INDEX(半紙!$G$11:$G$310,317),IF(317&lt;=COUNTA(半紙!$B$11:$B$310)+COUNTA(条幅!$B$11:$B$310),INDEX(条幅!$G$11:$G$310,317-COUNTA(半紙!$B$11:$B$310)),IF(317&lt;=COUNTA(半紙!$B$11:$B$310)+COUNTA(条幅!$B$11:$B$310)+COUNTA(条幅4分の1!$B$11:$B$310),INDEX(条幅4分の1!$G$11:$G$310,317-COUNTA(半紙!$B$11:$B$310)-COUNTA(条幅!$B$11:$B$310)),""))))</f>
        <v/>
      </c>
      <c r="H322" s="38" t="str">
        <f>IF(IF(317&lt;=COUNTA(半紙!$B$11:$B$310),INDEX(半紙!$H$11:$H$310,317),IF(317&lt;=COUNTA(半紙!$B$11:$B$310)+COUNTA(条幅!$B$11:$B$310),INDEX(条幅!$H$11:$H$310,317-COUNTA(半紙!$B$11:$B$310)),IF(317&lt;=COUNTA(半紙!$B$11:$B$310)+COUNTA(条幅!$B$11:$B$310)+COUNTA(条幅4分の1!$B$11:$B$310),INDEX(条幅4分の1!$H$11:$H$310,317-COUNTA(半紙!$B$11:$B$310)-COUNTA(条幅!$B$11:$B$310)),"")))=0,"",IF(317&lt;=COUNTA(半紙!$B$11:$B$310),INDEX(半紙!$H$11:$H$310,317),IF(317&lt;=COUNTA(半紙!$B$11:$B$310)+COUNTA(条幅!$B$11:$B$310),INDEX(条幅!$H$11:$H$310,317-COUNTA(半紙!$B$11:$B$310)),IF(317&lt;=COUNTA(半紙!$B$11:$B$310)+COUNTA(条幅!$B$11:$B$310)+COUNTA(条幅4分の1!$B$11:$B$310),INDEX(条幅4分の1!$H$11:$H$310,317-COUNTA(半紙!$B$11:$B$310)-COUNTA(条幅!$B$11:$B$310)),""))))</f>
        <v/>
      </c>
      <c r="I322" s="38" t="str">
        <f>IF(IF(317&lt;=COUNTA(半紙!$B$11:$B$310),INDEX(半紙!$I$11:$I$310,317),IF(317&lt;=COUNTA(半紙!$B$11:$B$310)+COUNTA(条幅!$B$11:$B$310),INDEX(条幅!$I$11:$I$310,317-COUNTA(半紙!$B$11:$B$310)),IF(317&lt;=COUNTA(半紙!$B$11:$B$310)+COUNTA(条幅!$B$11:$B$310)+COUNTA(条幅4分の1!$B$11:$B$310),INDEX(条幅4分の1!$I$11:$I$310,317-COUNTA(半紙!$B$11:$B$310)-COUNTA(条幅!$B$11:$B$310)),"")))=0,"",IF(317&lt;=COUNTA(半紙!$B$11:$B$310),INDEX(半紙!$I$11:$I$310,317),IF(317&lt;=COUNTA(半紙!$B$11:$B$310)+COUNTA(条幅!$B$11:$B$310),INDEX(条幅!$I$11:$I$310,317-COUNTA(半紙!$B$11:$B$310)),IF(317&lt;=COUNTA(半紙!$B$11:$B$310)+COUNTA(条幅!$B$11:$B$310)+COUNTA(条幅4分の1!$B$11:$B$310),INDEX(条幅4分の1!$I$11:$I$310,317-COUNTA(半紙!$B$11:$B$310)-COUNTA(条幅!$B$11:$B$310)),""))))</f>
        <v/>
      </c>
      <c r="J322" s="38" t="str">
        <f>IF(IF(317&lt;=COUNTA(半紙!$B$11:$B$310),INDEX(半紙!$J$11:$J$310,317),IF(317&lt;=COUNTA(半紙!$B$11:$B$310)+COUNTA(条幅!$B$11:$B$310),INDEX(条幅!$J$11:$J$310,317-COUNTA(半紙!$B$11:$B$310)),IF(317&lt;=COUNTA(半紙!$B$11:$B$310)+COUNTA(条幅!$B$11:$B$310)+COUNTA(条幅4分の1!$B$11:$B$310),INDEX(条幅4分の1!$J$11:$J$310,317-COUNTA(半紙!$B$11:$B$310)-COUNTA(条幅!$B$11:$B$310)),"")))=0,"",IF(317&lt;=COUNTA(半紙!$B$11:$B$310),INDEX(半紙!$J$11:$J$310,317),IF(317&lt;=COUNTA(半紙!$B$11:$B$310)+COUNTA(条幅!$B$11:$B$310),INDEX(条幅!$J$11:$J$310,317-COUNTA(半紙!$B$11:$B$310)),IF(317&lt;=COUNTA(半紙!$B$11:$B$310)+COUNTA(条幅!$B$11:$B$310)+COUNTA(条幅4分の1!$B$11:$B$310),INDEX(条幅4分の1!$J$11:$J$310,317-COUNTA(半紙!$B$11:$B$310)-COUNTA(条幅!$B$11:$B$310)),""))))</f>
        <v/>
      </c>
      <c r="K322" s="38" t="str">
        <f>IF(IF(317&lt;=COUNTA(半紙!$B$11:$B$310),INDEX(半紙!$K$11:$K$310,317),IF(317&lt;=COUNTA(半紙!$B$11:$B$310)+COUNTA(条幅!$B$11:$B$310),INDEX(条幅!$K$11:$K$310,317-COUNTA(半紙!$B$11:$B$310)),IF(317&lt;=COUNTA(半紙!$B$11:$B$310)+COUNTA(条幅!$B$11:$B$310)+COUNTA(条幅4分の1!$B$11:$B$310),INDEX(条幅4分の1!$K$11:$K$310,317-COUNTA(半紙!$B$11:$B$310)-COUNTA(条幅!$B$11:$B$310)),"")))=0,"",IF(317&lt;=COUNTA(半紙!$B$11:$B$310),INDEX(半紙!$K$11:$K$310,317),IF(317&lt;=COUNTA(半紙!$B$11:$B$310)+COUNTA(条幅!$B$11:$B$310),INDEX(条幅!$K$11:$K$310,317-COUNTA(半紙!$B$11:$B$310)),IF(317&lt;=COUNTA(半紙!$B$11:$B$310)+COUNTA(条幅!$B$11:$B$310)+COUNTA(条幅4分の1!$B$11:$B$310),INDEX(条幅4分の1!$K$11:$K$310,317-COUNTA(半紙!$B$11:$B$310)-COUNTA(条幅!$B$11:$B$310)),""))))</f>
        <v/>
      </c>
      <c r="L322" s="48" t="str">
        <f>IF($B322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317))</f>
        <v/>
      </c>
    </row>
    <row r="323" spans="1:12" ht="15" customHeight="1">
      <c r="A323" s="37" t="str">
        <f>IF(318&lt;=COUNTA(半紙!$B$11:$B$310),"半紙",IF(318&lt;=COUNTA(半紙!$B$11:$B$310)+COUNTA(条幅!$B$11:$B$310),"条幅(半切)",IF(318&lt;=COUNTA(半紙!$B$11:$B$310)+COUNTA(条幅!$B$11:$B$310)+COUNTA(条幅4分の1!$B$11:$B$310),"条幅(1/4)","")))</f>
        <v/>
      </c>
      <c r="B323" s="38" t="str">
        <f>IF(IF(318&lt;=COUNTA(半紙!$B$11:$B$310),INDEX(半紙!$B$11:$B$310,318),IF(318&lt;=COUNTA(半紙!$B$11:$B$310)+COUNTA(条幅!$B$11:$B$310),INDEX(条幅!$B$11:$B$310,318-COUNTA(半紙!$B$11:$B$310)),IF(318&lt;=COUNTA(半紙!$B$11:$B$310)+COUNTA(条幅!$B$11:$B$310)+COUNTA(条幅4分の1!$B$11:$B$310),INDEX(条幅4分の1!$B$11:$B$310,318-COUNTA(半紙!$B$11:$B$310)-COUNTA(条幅!$B$11:$B$310)),"")))=0,"",IF(318&lt;=COUNTA(半紙!$B$11:$B$310),INDEX(半紙!$B$11:$B$310,318),IF(318&lt;=COUNTA(半紙!$B$11:$B$310)+COUNTA(条幅!$B$11:$B$310),INDEX(条幅!$B$11:$B$310,318-COUNTA(半紙!$B$11:$B$310)),IF(318&lt;=COUNTA(半紙!$B$11:$B$310)+COUNTA(条幅!$B$11:$B$310)+COUNTA(条幅4分の1!$B$11:$B$310),INDEX(条幅4分の1!$B$11:$B$310,318-COUNTA(半紙!$B$11:$B$310)-COUNTA(条幅!$B$11:$B$310)),""))))</f>
        <v/>
      </c>
      <c r="C323" s="38" t="str">
        <f>IF(IF(318&lt;=COUNTA(半紙!$B$11:$B$310),INDEX(半紙!$C$11:$C$310,318),IF(318&lt;=COUNTA(半紙!$B$11:$B$310)+COUNTA(条幅!$B$11:$B$310),INDEX(条幅!$C$11:$C$310,318-COUNTA(半紙!$B$11:$B$310)),IF(318&lt;=COUNTA(半紙!$B$11:$B$310)+COUNTA(条幅!$B$11:$B$310)+COUNTA(条幅4分の1!$B$11:$B$310),INDEX(条幅4分の1!$C$11:$C$310,318-COUNTA(半紙!$B$11:$B$310)-COUNTA(条幅!$B$11:$B$310)),"")))=0,"",IF(318&lt;=COUNTA(半紙!$B$11:$B$310),INDEX(半紙!$C$11:$C$310,318),IF(318&lt;=COUNTA(半紙!$B$11:$B$310)+COUNTA(条幅!$B$11:$B$310),INDEX(条幅!$C$11:$C$310,318-COUNTA(半紙!$B$11:$B$310)),IF(318&lt;=COUNTA(半紙!$B$11:$B$310)+COUNTA(条幅!$B$11:$B$310)+COUNTA(条幅4分の1!$B$11:$B$310),INDEX(条幅4分の1!$C$11:$C$310,318-COUNTA(半紙!$B$11:$B$310)-COUNTA(条幅!$B$11:$B$310)),""))))</f>
        <v/>
      </c>
      <c r="D323" s="38" t="str">
        <f>IF(IF(318&lt;=COUNTA(半紙!$B$11:$B$310),INDEX(半紙!$D$11:$D$310,318),IF(318&lt;=COUNTA(半紙!$B$11:$B$310)+COUNTA(条幅!$B$11:$B$310),INDEX(条幅!$D$11:$D$310,318-COUNTA(半紙!$B$11:$B$310)),IF(318&lt;=COUNTA(半紙!$B$11:$B$310)+COUNTA(条幅!$B$11:$B$310)+COUNTA(条幅4分の1!$B$11:$B$310),INDEX(条幅4分の1!$D$11:$D$310,318-COUNTA(半紙!$B$11:$B$310)-COUNTA(条幅!$B$11:$B$310)),"")))=0,"",IF(318&lt;=COUNTA(半紙!$B$11:$B$310),INDEX(半紙!$D$11:$D$310,318),IF(318&lt;=COUNTA(半紙!$B$11:$B$310)+COUNTA(条幅!$B$11:$B$310),INDEX(条幅!$D$11:$D$310,318-COUNTA(半紙!$B$11:$B$310)),IF(318&lt;=COUNTA(半紙!$B$11:$B$310)+COUNTA(条幅!$B$11:$B$310)+COUNTA(条幅4分の1!$B$11:$B$310),INDEX(条幅4分の1!$D$11:$D$310,318-COUNTA(半紙!$B$11:$B$310)-COUNTA(条幅!$B$11:$B$310)),""))))</f>
        <v/>
      </c>
      <c r="E323" s="38" t="str">
        <f>IF(IF(318&lt;=COUNTA(半紙!$B$11:$B$310),INDEX(半紙!$E$11:$E$310,318),IF(318&lt;=COUNTA(半紙!$B$11:$B$310)+COUNTA(条幅!$B$11:$B$310),INDEX(条幅!$E$11:$E$310,318-COUNTA(半紙!$B$11:$B$310)),IF(318&lt;=COUNTA(半紙!$B$11:$B$310)+COUNTA(条幅!$B$11:$B$310)+COUNTA(条幅4分の1!$B$11:$B$310),INDEX(条幅4分の1!$E$11:$E$310,318-COUNTA(半紙!$B$11:$B$310)-COUNTA(条幅!$B$11:$B$310)),"")))=0,"",IF(318&lt;=COUNTA(半紙!$B$11:$B$310),INDEX(半紙!$E$11:$E$310,318),IF(318&lt;=COUNTA(半紙!$B$11:$B$310)+COUNTA(条幅!$B$11:$B$310),INDEX(条幅!$E$11:$E$310,318-COUNTA(半紙!$B$11:$B$310)),IF(318&lt;=COUNTA(半紙!$B$11:$B$310)+COUNTA(条幅!$B$11:$B$310)+COUNTA(条幅4分の1!$B$11:$B$310),INDEX(条幅4分の1!$E$11:$E$310,318-COUNTA(半紙!$B$11:$B$310)-COUNTA(条幅!$B$11:$B$310)),""))))</f>
        <v/>
      </c>
      <c r="F323" s="38" t="str">
        <f>IF(IF(318&lt;=COUNTA(半紙!$B$11:$B$310),INDEX(半紙!$F$11:$F$310,318),IF(318&lt;=COUNTA(半紙!$B$11:$B$310)+COUNTA(条幅!$B$11:$B$310),INDEX(条幅!$F$11:$F$310,318-COUNTA(半紙!$B$11:$B$310)),IF(318&lt;=COUNTA(半紙!$B$11:$B$310)+COUNTA(条幅!$B$11:$B$310)+COUNTA(条幅4分の1!$B$11:$B$310),INDEX(条幅4分の1!$F$11:$F$310,318-COUNTA(半紙!$B$11:$B$310)-COUNTA(条幅!$B$11:$B$310)),"")))=0,"",IF(318&lt;=COUNTA(半紙!$B$11:$B$310),INDEX(半紙!$F$11:$F$310,318),IF(318&lt;=COUNTA(半紙!$B$11:$B$310)+COUNTA(条幅!$B$11:$B$310),INDEX(条幅!$F$11:$F$310,318-COUNTA(半紙!$B$11:$B$310)),IF(318&lt;=COUNTA(半紙!$B$11:$B$310)+COUNTA(条幅!$B$11:$B$310)+COUNTA(条幅4分の1!$B$11:$B$310),INDEX(条幅4分の1!$F$11:$F$310,318-COUNTA(半紙!$B$11:$B$310)-COUNTA(条幅!$B$11:$B$310)),""))))</f>
        <v/>
      </c>
      <c r="G323" s="38" t="str">
        <f>IF(IF(318&lt;=COUNTA(半紙!$B$11:$B$310),INDEX(半紙!$G$11:$G$310,318),IF(318&lt;=COUNTA(半紙!$B$11:$B$310)+COUNTA(条幅!$B$11:$B$310),INDEX(条幅!$G$11:$G$310,318-COUNTA(半紙!$B$11:$B$310)),IF(318&lt;=COUNTA(半紙!$B$11:$B$310)+COUNTA(条幅!$B$11:$B$310)+COUNTA(条幅4分の1!$B$11:$B$310),INDEX(条幅4分の1!$G$11:$G$310,318-COUNTA(半紙!$B$11:$B$310)-COUNTA(条幅!$B$11:$B$310)),"")))=0,"",IF(318&lt;=COUNTA(半紙!$B$11:$B$310),INDEX(半紙!$G$11:$G$310,318),IF(318&lt;=COUNTA(半紙!$B$11:$B$310)+COUNTA(条幅!$B$11:$B$310),INDEX(条幅!$G$11:$G$310,318-COUNTA(半紙!$B$11:$B$310)),IF(318&lt;=COUNTA(半紙!$B$11:$B$310)+COUNTA(条幅!$B$11:$B$310)+COUNTA(条幅4分の1!$B$11:$B$310),INDEX(条幅4分の1!$G$11:$G$310,318-COUNTA(半紙!$B$11:$B$310)-COUNTA(条幅!$B$11:$B$310)),""))))</f>
        <v/>
      </c>
      <c r="H323" s="38" t="str">
        <f>IF(IF(318&lt;=COUNTA(半紙!$B$11:$B$310),INDEX(半紙!$H$11:$H$310,318),IF(318&lt;=COUNTA(半紙!$B$11:$B$310)+COUNTA(条幅!$B$11:$B$310),INDEX(条幅!$H$11:$H$310,318-COUNTA(半紙!$B$11:$B$310)),IF(318&lt;=COUNTA(半紙!$B$11:$B$310)+COUNTA(条幅!$B$11:$B$310)+COUNTA(条幅4分の1!$B$11:$B$310),INDEX(条幅4分の1!$H$11:$H$310,318-COUNTA(半紙!$B$11:$B$310)-COUNTA(条幅!$B$11:$B$310)),"")))=0,"",IF(318&lt;=COUNTA(半紙!$B$11:$B$310),INDEX(半紙!$H$11:$H$310,318),IF(318&lt;=COUNTA(半紙!$B$11:$B$310)+COUNTA(条幅!$B$11:$B$310),INDEX(条幅!$H$11:$H$310,318-COUNTA(半紙!$B$11:$B$310)),IF(318&lt;=COUNTA(半紙!$B$11:$B$310)+COUNTA(条幅!$B$11:$B$310)+COUNTA(条幅4分の1!$B$11:$B$310),INDEX(条幅4分の1!$H$11:$H$310,318-COUNTA(半紙!$B$11:$B$310)-COUNTA(条幅!$B$11:$B$310)),""))))</f>
        <v/>
      </c>
      <c r="I323" s="38" t="str">
        <f>IF(IF(318&lt;=COUNTA(半紙!$B$11:$B$310),INDEX(半紙!$I$11:$I$310,318),IF(318&lt;=COUNTA(半紙!$B$11:$B$310)+COUNTA(条幅!$B$11:$B$310),INDEX(条幅!$I$11:$I$310,318-COUNTA(半紙!$B$11:$B$310)),IF(318&lt;=COUNTA(半紙!$B$11:$B$310)+COUNTA(条幅!$B$11:$B$310)+COUNTA(条幅4分の1!$B$11:$B$310),INDEX(条幅4分の1!$I$11:$I$310,318-COUNTA(半紙!$B$11:$B$310)-COUNTA(条幅!$B$11:$B$310)),"")))=0,"",IF(318&lt;=COUNTA(半紙!$B$11:$B$310),INDEX(半紙!$I$11:$I$310,318),IF(318&lt;=COUNTA(半紙!$B$11:$B$310)+COUNTA(条幅!$B$11:$B$310),INDEX(条幅!$I$11:$I$310,318-COUNTA(半紙!$B$11:$B$310)),IF(318&lt;=COUNTA(半紙!$B$11:$B$310)+COUNTA(条幅!$B$11:$B$310)+COUNTA(条幅4分の1!$B$11:$B$310),INDEX(条幅4分の1!$I$11:$I$310,318-COUNTA(半紙!$B$11:$B$310)-COUNTA(条幅!$B$11:$B$310)),""))))</f>
        <v/>
      </c>
      <c r="J323" s="38" t="str">
        <f>IF(IF(318&lt;=COUNTA(半紙!$B$11:$B$310),INDEX(半紙!$J$11:$J$310,318),IF(318&lt;=COUNTA(半紙!$B$11:$B$310)+COUNTA(条幅!$B$11:$B$310),INDEX(条幅!$J$11:$J$310,318-COUNTA(半紙!$B$11:$B$310)),IF(318&lt;=COUNTA(半紙!$B$11:$B$310)+COUNTA(条幅!$B$11:$B$310)+COUNTA(条幅4分の1!$B$11:$B$310),INDEX(条幅4分の1!$J$11:$J$310,318-COUNTA(半紙!$B$11:$B$310)-COUNTA(条幅!$B$11:$B$310)),"")))=0,"",IF(318&lt;=COUNTA(半紙!$B$11:$B$310),INDEX(半紙!$J$11:$J$310,318),IF(318&lt;=COUNTA(半紙!$B$11:$B$310)+COUNTA(条幅!$B$11:$B$310),INDEX(条幅!$J$11:$J$310,318-COUNTA(半紙!$B$11:$B$310)),IF(318&lt;=COUNTA(半紙!$B$11:$B$310)+COUNTA(条幅!$B$11:$B$310)+COUNTA(条幅4分の1!$B$11:$B$310),INDEX(条幅4分の1!$J$11:$J$310,318-COUNTA(半紙!$B$11:$B$310)-COUNTA(条幅!$B$11:$B$310)),""))))</f>
        <v/>
      </c>
      <c r="K323" s="38" t="str">
        <f>IF(IF(318&lt;=COUNTA(半紙!$B$11:$B$310),INDEX(半紙!$K$11:$K$310,318),IF(318&lt;=COUNTA(半紙!$B$11:$B$310)+COUNTA(条幅!$B$11:$B$310),INDEX(条幅!$K$11:$K$310,318-COUNTA(半紙!$B$11:$B$310)),IF(318&lt;=COUNTA(半紙!$B$11:$B$310)+COUNTA(条幅!$B$11:$B$310)+COUNTA(条幅4分の1!$B$11:$B$310),INDEX(条幅4分の1!$K$11:$K$310,318-COUNTA(半紙!$B$11:$B$310)-COUNTA(条幅!$B$11:$B$310)),"")))=0,"",IF(318&lt;=COUNTA(半紙!$B$11:$B$310),INDEX(半紙!$K$11:$K$310,318),IF(318&lt;=COUNTA(半紙!$B$11:$B$310)+COUNTA(条幅!$B$11:$B$310),INDEX(条幅!$K$11:$K$310,318-COUNTA(半紙!$B$11:$B$310)),IF(318&lt;=COUNTA(半紙!$B$11:$B$310)+COUNTA(条幅!$B$11:$B$310)+COUNTA(条幅4分の1!$B$11:$B$310),INDEX(条幅4分の1!$K$11:$K$310,318-COUNTA(半紙!$B$11:$B$310)-COUNTA(条幅!$B$11:$B$310)),""))))</f>
        <v/>
      </c>
      <c r="L323" s="48" t="str">
        <f>IF($B323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318))</f>
        <v/>
      </c>
    </row>
    <row r="324" spans="1:12" ht="15" customHeight="1">
      <c r="A324" s="37" t="str">
        <f>IF(319&lt;=COUNTA(半紙!$B$11:$B$310),"半紙",IF(319&lt;=COUNTA(半紙!$B$11:$B$310)+COUNTA(条幅!$B$11:$B$310),"条幅(半切)",IF(319&lt;=COUNTA(半紙!$B$11:$B$310)+COUNTA(条幅!$B$11:$B$310)+COUNTA(条幅4分の1!$B$11:$B$310),"条幅(1/4)","")))</f>
        <v/>
      </c>
      <c r="B324" s="38" t="str">
        <f>IF(IF(319&lt;=COUNTA(半紙!$B$11:$B$310),INDEX(半紙!$B$11:$B$310,319),IF(319&lt;=COUNTA(半紙!$B$11:$B$310)+COUNTA(条幅!$B$11:$B$310),INDEX(条幅!$B$11:$B$310,319-COUNTA(半紙!$B$11:$B$310)),IF(319&lt;=COUNTA(半紙!$B$11:$B$310)+COUNTA(条幅!$B$11:$B$310)+COUNTA(条幅4分の1!$B$11:$B$310),INDEX(条幅4分の1!$B$11:$B$310,319-COUNTA(半紙!$B$11:$B$310)-COUNTA(条幅!$B$11:$B$310)),"")))=0,"",IF(319&lt;=COUNTA(半紙!$B$11:$B$310),INDEX(半紙!$B$11:$B$310,319),IF(319&lt;=COUNTA(半紙!$B$11:$B$310)+COUNTA(条幅!$B$11:$B$310),INDEX(条幅!$B$11:$B$310,319-COUNTA(半紙!$B$11:$B$310)),IF(319&lt;=COUNTA(半紙!$B$11:$B$310)+COUNTA(条幅!$B$11:$B$310)+COUNTA(条幅4分の1!$B$11:$B$310),INDEX(条幅4分の1!$B$11:$B$310,319-COUNTA(半紙!$B$11:$B$310)-COUNTA(条幅!$B$11:$B$310)),""))))</f>
        <v/>
      </c>
      <c r="C324" s="38" t="str">
        <f>IF(IF(319&lt;=COUNTA(半紙!$B$11:$B$310),INDEX(半紙!$C$11:$C$310,319),IF(319&lt;=COUNTA(半紙!$B$11:$B$310)+COUNTA(条幅!$B$11:$B$310),INDEX(条幅!$C$11:$C$310,319-COUNTA(半紙!$B$11:$B$310)),IF(319&lt;=COUNTA(半紙!$B$11:$B$310)+COUNTA(条幅!$B$11:$B$310)+COUNTA(条幅4分の1!$B$11:$B$310),INDEX(条幅4分の1!$C$11:$C$310,319-COUNTA(半紙!$B$11:$B$310)-COUNTA(条幅!$B$11:$B$310)),"")))=0,"",IF(319&lt;=COUNTA(半紙!$B$11:$B$310),INDEX(半紙!$C$11:$C$310,319),IF(319&lt;=COUNTA(半紙!$B$11:$B$310)+COUNTA(条幅!$B$11:$B$310),INDEX(条幅!$C$11:$C$310,319-COUNTA(半紙!$B$11:$B$310)),IF(319&lt;=COUNTA(半紙!$B$11:$B$310)+COUNTA(条幅!$B$11:$B$310)+COUNTA(条幅4分の1!$B$11:$B$310),INDEX(条幅4分の1!$C$11:$C$310,319-COUNTA(半紙!$B$11:$B$310)-COUNTA(条幅!$B$11:$B$310)),""))))</f>
        <v/>
      </c>
      <c r="D324" s="38" t="str">
        <f>IF(IF(319&lt;=COUNTA(半紙!$B$11:$B$310),INDEX(半紙!$D$11:$D$310,319),IF(319&lt;=COUNTA(半紙!$B$11:$B$310)+COUNTA(条幅!$B$11:$B$310),INDEX(条幅!$D$11:$D$310,319-COUNTA(半紙!$B$11:$B$310)),IF(319&lt;=COUNTA(半紙!$B$11:$B$310)+COUNTA(条幅!$B$11:$B$310)+COUNTA(条幅4分の1!$B$11:$B$310),INDEX(条幅4分の1!$D$11:$D$310,319-COUNTA(半紙!$B$11:$B$310)-COUNTA(条幅!$B$11:$B$310)),"")))=0,"",IF(319&lt;=COUNTA(半紙!$B$11:$B$310),INDEX(半紙!$D$11:$D$310,319),IF(319&lt;=COUNTA(半紙!$B$11:$B$310)+COUNTA(条幅!$B$11:$B$310),INDEX(条幅!$D$11:$D$310,319-COUNTA(半紙!$B$11:$B$310)),IF(319&lt;=COUNTA(半紙!$B$11:$B$310)+COUNTA(条幅!$B$11:$B$310)+COUNTA(条幅4分の1!$B$11:$B$310),INDEX(条幅4分の1!$D$11:$D$310,319-COUNTA(半紙!$B$11:$B$310)-COUNTA(条幅!$B$11:$B$310)),""))))</f>
        <v/>
      </c>
      <c r="E324" s="38" t="str">
        <f>IF(IF(319&lt;=COUNTA(半紙!$B$11:$B$310),INDEX(半紙!$E$11:$E$310,319),IF(319&lt;=COUNTA(半紙!$B$11:$B$310)+COUNTA(条幅!$B$11:$B$310),INDEX(条幅!$E$11:$E$310,319-COUNTA(半紙!$B$11:$B$310)),IF(319&lt;=COUNTA(半紙!$B$11:$B$310)+COUNTA(条幅!$B$11:$B$310)+COUNTA(条幅4分の1!$B$11:$B$310),INDEX(条幅4分の1!$E$11:$E$310,319-COUNTA(半紙!$B$11:$B$310)-COUNTA(条幅!$B$11:$B$310)),"")))=0,"",IF(319&lt;=COUNTA(半紙!$B$11:$B$310),INDEX(半紙!$E$11:$E$310,319),IF(319&lt;=COUNTA(半紙!$B$11:$B$310)+COUNTA(条幅!$B$11:$B$310),INDEX(条幅!$E$11:$E$310,319-COUNTA(半紙!$B$11:$B$310)),IF(319&lt;=COUNTA(半紙!$B$11:$B$310)+COUNTA(条幅!$B$11:$B$310)+COUNTA(条幅4分の1!$B$11:$B$310),INDEX(条幅4分の1!$E$11:$E$310,319-COUNTA(半紙!$B$11:$B$310)-COUNTA(条幅!$B$11:$B$310)),""))))</f>
        <v/>
      </c>
      <c r="F324" s="38" t="str">
        <f>IF(IF(319&lt;=COUNTA(半紙!$B$11:$B$310),INDEX(半紙!$F$11:$F$310,319),IF(319&lt;=COUNTA(半紙!$B$11:$B$310)+COUNTA(条幅!$B$11:$B$310),INDEX(条幅!$F$11:$F$310,319-COUNTA(半紙!$B$11:$B$310)),IF(319&lt;=COUNTA(半紙!$B$11:$B$310)+COUNTA(条幅!$B$11:$B$310)+COUNTA(条幅4分の1!$B$11:$B$310),INDEX(条幅4分の1!$F$11:$F$310,319-COUNTA(半紙!$B$11:$B$310)-COUNTA(条幅!$B$11:$B$310)),"")))=0,"",IF(319&lt;=COUNTA(半紙!$B$11:$B$310),INDEX(半紙!$F$11:$F$310,319),IF(319&lt;=COUNTA(半紙!$B$11:$B$310)+COUNTA(条幅!$B$11:$B$310),INDEX(条幅!$F$11:$F$310,319-COUNTA(半紙!$B$11:$B$310)),IF(319&lt;=COUNTA(半紙!$B$11:$B$310)+COUNTA(条幅!$B$11:$B$310)+COUNTA(条幅4分の1!$B$11:$B$310),INDEX(条幅4分の1!$F$11:$F$310,319-COUNTA(半紙!$B$11:$B$310)-COUNTA(条幅!$B$11:$B$310)),""))))</f>
        <v/>
      </c>
      <c r="G324" s="38" t="str">
        <f>IF(IF(319&lt;=COUNTA(半紙!$B$11:$B$310),INDEX(半紙!$G$11:$G$310,319),IF(319&lt;=COUNTA(半紙!$B$11:$B$310)+COUNTA(条幅!$B$11:$B$310),INDEX(条幅!$G$11:$G$310,319-COUNTA(半紙!$B$11:$B$310)),IF(319&lt;=COUNTA(半紙!$B$11:$B$310)+COUNTA(条幅!$B$11:$B$310)+COUNTA(条幅4分の1!$B$11:$B$310),INDEX(条幅4分の1!$G$11:$G$310,319-COUNTA(半紙!$B$11:$B$310)-COUNTA(条幅!$B$11:$B$310)),"")))=0,"",IF(319&lt;=COUNTA(半紙!$B$11:$B$310),INDEX(半紙!$G$11:$G$310,319),IF(319&lt;=COUNTA(半紙!$B$11:$B$310)+COUNTA(条幅!$B$11:$B$310),INDEX(条幅!$G$11:$G$310,319-COUNTA(半紙!$B$11:$B$310)),IF(319&lt;=COUNTA(半紙!$B$11:$B$310)+COUNTA(条幅!$B$11:$B$310)+COUNTA(条幅4分の1!$B$11:$B$310),INDEX(条幅4分の1!$G$11:$G$310,319-COUNTA(半紙!$B$11:$B$310)-COUNTA(条幅!$B$11:$B$310)),""))))</f>
        <v/>
      </c>
      <c r="H324" s="38" t="str">
        <f>IF(IF(319&lt;=COUNTA(半紙!$B$11:$B$310),INDEX(半紙!$H$11:$H$310,319),IF(319&lt;=COUNTA(半紙!$B$11:$B$310)+COUNTA(条幅!$B$11:$B$310),INDEX(条幅!$H$11:$H$310,319-COUNTA(半紙!$B$11:$B$310)),IF(319&lt;=COUNTA(半紙!$B$11:$B$310)+COUNTA(条幅!$B$11:$B$310)+COUNTA(条幅4分の1!$B$11:$B$310),INDEX(条幅4分の1!$H$11:$H$310,319-COUNTA(半紙!$B$11:$B$310)-COUNTA(条幅!$B$11:$B$310)),"")))=0,"",IF(319&lt;=COUNTA(半紙!$B$11:$B$310),INDEX(半紙!$H$11:$H$310,319),IF(319&lt;=COUNTA(半紙!$B$11:$B$310)+COUNTA(条幅!$B$11:$B$310),INDEX(条幅!$H$11:$H$310,319-COUNTA(半紙!$B$11:$B$310)),IF(319&lt;=COUNTA(半紙!$B$11:$B$310)+COUNTA(条幅!$B$11:$B$310)+COUNTA(条幅4分の1!$B$11:$B$310),INDEX(条幅4分の1!$H$11:$H$310,319-COUNTA(半紙!$B$11:$B$310)-COUNTA(条幅!$B$11:$B$310)),""))))</f>
        <v/>
      </c>
      <c r="I324" s="38" t="str">
        <f>IF(IF(319&lt;=COUNTA(半紙!$B$11:$B$310),INDEX(半紙!$I$11:$I$310,319),IF(319&lt;=COUNTA(半紙!$B$11:$B$310)+COUNTA(条幅!$B$11:$B$310),INDEX(条幅!$I$11:$I$310,319-COUNTA(半紙!$B$11:$B$310)),IF(319&lt;=COUNTA(半紙!$B$11:$B$310)+COUNTA(条幅!$B$11:$B$310)+COUNTA(条幅4分の1!$B$11:$B$310),INDEX(条幅4分の1!$I$11:$I$310,319-COUNTA(半紙!$B$11:$B$310)-COUNTA(条幅!$B$11:$B$310)),"")))=0,"",IF(319&lt;=COUNTA(半紙!$B$11:$B$310),INDEX(半紙!$I$11:$I$310,319),IF(319&lt;=COUNTA(半紙!$B$11:$B$310)+COUNTA(条幅!$B$11:$B$310),INDEX(条幅!$I$11:$I$310,319-COUNTA(半紙!$B$11:$B$310)),IF(319&lt;=COUNTA(半紙!$B$11:$B$310)+COUNTA(条幅!$B$11:$B$310)+COUNTA(条幅4分の1!$B$11:$B$310),INDEX(条幅4分の1!$I$11:$I$310,319-COUNTA(半紙!$B$11:$B$310)-COUNTA(条幅!$B$11:$B$310)),""))))</f>
        <v/>
      </c>
      <c r="J324" s="38" t="str">
        <f>IF(IF(319&lt;=COUNTA(半紙!$B$11:$B$310),INDEX(半紙!$J$11:$J$310,319),IF(319&lt;=COUNTA(半紙!$B$11:$B$310)+COUNTA(条幅!$B$11:$B$310),INDEX(条幅!$J$11:$J$310,319-COUNTA(半紙!$B$11:$B$310)),IF(319&lt;=COUNTA(半紙!$B$11:$B$310)+COUNTA(条幅!$B$11:$B$310)+COUNTA(条幅4分の1!$B$11:$B$310),INDEX(条幅4分の1!$J$11:$J$310,319-COUNTA(半紙!$B$11:$B$310)-COUNTA(条幅!$B$11:$B$310)),"")))=0,"",IF(319&lt;=COUNTA(半紙!$B$11:$B$310),INDEX(半紙!$J$11:$J$310,319),IF(319&lt;=COUNTA(半紙!$B$11:$B$310)+COUNTA(条幅!$B$11:$B$310),INDEX(条幅!$J$11:$J$310,319-COUNTA(半紙!$B$11:$B$310)),IF(319&lt;=COUNTA(半紙!$B$11:$B$310)+COUNTA(条幅!$B$11:$B$310)+COUNTA(条幅4分の1!$B$11:$B$310),INDEX(条幅4分の1!$J$11:$J$310,319-COUNTA(半紙!$B$11:$B$310)-COUNTA(条幅!$B$11:$B$310)),""))))</f>
        <v/>
      </c>
      <c r="K324" s="38" t="str">
        <f>IF(IF(319&lt;=COUNTA(半紙!$B$11:$B$310),INDEX(半紙!$K$11:$K$310,319),IF(319&lt;=COUNTA(半紙!$B$11:$B$310)+COUNTA(条幅!$B$11:$B$310),INDEX(条幅!$K$11:$K$310,319-COUNTA(半紙!$B$11:$B$310)),IF(319&lt;=COUNTA(半紙!$B$11:$B$310)+COUNTA(条幅!$B$11:$B$310)+COUNTA(条幅4分の1!$B$11:$B$310),INDEX(条幅4分の1!$K$11:$K$310,319-COUNTA(半紙!$B$11:$B$310)-COUNTA(条幅!$B$11:$B$310)),"")))=0,"",IF(319&lt;=COUNTA(半紙!$B$11:$B$310),INDEX(半紙!$K$11:$K$310,319),IF(319&lt;=COUNTA(半紙!$B$11:$B$310)+COUNTA(条幅!$B$11:$B$310),INDEX(条幅!$K$11:$K$310,319-COUNTA(半紙!$B$11:$B$310)),IF(319&lt;=COUNTA(半紙!$B$11:$B$310)+COUNTA(条幅!$B$11:$B$310)+COUNTA(条幅4分の1!$B$11:$B$310),INDEX(条幅4分の1!$K$11:$K$310,319-COUNTA(半紙!$B$11:$B$310)-COUNTA(条幅!$B$11:$B$310)),""))))</f>
        <v/>
      </c>
      <c r="L324" s="48" t="str">
        <f>IF($B324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319))</f>
        <v/>
      </c>
    </row>
    <row r="325" spans="1:12" ht="15" customHeight="1">
      <c r="A325" s="37" t="str">
        <f>IF(320&lt;=COUNTA(半紙!$B$11:$B$310),"半紙",IF(320&lt;=COUNTA(半紙!$B$11:$B$310)+COUNTA(条幅!$B$11:$B$310),"条幅(半切)",IF(320&lt;=COUNTA(半紙!$B$11:$B$310)+COUNTA(条幅!$B$11:$B$310)+COUNTA(条幅4分の1!$B$11:$B$310),"条幅(1/4)","")))</f>
        <v/>
      </c>
      <c r="B325" s="38" t="str">
        <f>IF(IF(320&lt;=COUNTA(半紙!$B$11:$B$310),INDEX(半紙!$B$11:$B$310,320),IF(320&lt;=COUNTA(半紙!$B$11:$B$310)+COUNTA(条幅!$B$11:$B$310),INDEX(条幅!$B$11:$B$310,320-COUNTA(半紙!$B$11:$B$310)),IF(320&lt;=COUNTA(半紙!$B$11:$B$310)+COUNTA(条幅!$B$11:$B$310)+COUNTA(条幅4分の1!$B$11:$B$310),INDEX(条幅4分の1!$B$11:$B$310,320-COUNTA(半紙!$B$11:$B$310)-COUNTA(条幅!$B$11:$B$310)),"")))=0,"",IF(320&lt;=COUNTA(半紙!$B$11:$B$310),INDEX(半紙!$B$11:$B$310,320),IF(320&lt;=COUNTA(半紙!$B$11:$B$310)+COUNTA(条幅!$B$11:$B$310),INDEX(条幅!$B$11:$B$310,320-COUNTA(半紙!$B$11:$B$310)),IF(320&lt;=COUNTA(半紙!$B$11:$B$310)+COUNTA(条幅!$B$11:$B$310)+COUNTA(条幅4分の1!$B$11:$B$310),INDEX(条幅4分の1!$B$11:$B$310,320-COUNTA(半紙!$B$11:$B$310)-COUNTA(条幅!$B$11:$B$310)),""))))</f>
        <v/>
      </c>
      <c r="C325" s="38" t="str">
        <f>IF(IF(320&lt;=COUNTA(半紙!$B$11:$B$310),INDEX(半紙!$C$11:$C$310,320),IF(320&lt;=COUNTA(半紙!$B$11:$B$310)+COUNTA(条幅!$B$11:$B$310),INDEX(条幅!$C$11:$C$310,320-COUNTA(半紙!$B$11:$B$310)),IF(320&lt;=COUNTA(半紙!$B$11:$B$310)+COUNTA(条幅!$B$11:$B$310)+COUNTA(条幅4分の1!$B$11:$B$310),INDEX(条幅4分の1!$C$11:$C$310,320-COUNTA(半紙!$B$11:$B$310)-COUNTA(条幅!$B$11:$B$310)),"")))=0,"",IF(320&lt;=COUNTA(半紙!$B$11:$B$310),INDEX(半紙!$C$11:$C$310,320),IF(320&lt;=COUNTA(半紙!$B$11:$B$310)+COUNTA(条幅!$B$11:$B$310),INDEX(条幅!$C$11:$C$310,320-COUNTA(半紙!$B$11:$B$310)),IF(320&lt;=COUNTA(半紙!$B$11:$B$310)+COUNTA(条幅!$B$11:$B$310)+COUNTA(条幅4分の1!$B$11:$B$310),INDEX(条幅4分の1!$C$11:$C$310,320-COUNTA(半紙!$B$11:$B$310)-COUNTA(条幅!$B$11:$B$310)),""))))</f>
        <v/>
      </c>
      <c r="D325" s="38" t="str">
        <f>IF(IF(320&lt;=COUNTA(半紙!$B$11:$B$310),INDEX(半紙!$D$11:$D$310,320),IF(320&lt;=COUNTA(半紙!$B$11:$B$310)+COUNTA(条幅!$B$11:$B$310),INDEX(条幅!$D$11:$D$310,320-COUNTA(半紙!$B$11:$B$310)),IF(320&lt;=COUNTA(半紙!$B$11:$B$310)+COUNTA(条幅!$B$11:$B$310)+COUNTA(条幅4分の1!$B$11:$B$310),INDEX(条幅4分の1!$D$11:$D$310,320-COUNTA(半紙!$B$11:$B$310)-COUNTA(条幅!$B$11:$B$310)),"")))=0,"",IF(320&lt;=COUNTA(半紙!$B$11:$B$310),INDEX(半紙!$D$11:$D$310,320),IF(320&lt;=COUNTA(半紙!$B$11:$B$310)+COUNTA(条幅!$B$11:$B$310),INDEX(条幅!$D$11:$D$310,320-COUNTA(半紙!$B$11:$B$310)),IF(320&lt;=COUNTA(半紙!$B$11:$B$310)+COUNTA(条幅!$B$11:$B$310)+COUNTA(条幅4分の1!$B$11:$B$310),INDEX(条幅4分の1!$D$11:$D$310,320-COUNTA(半紙!$B$11:$B$310)-COUNTA(条幅!$B$11:$B$310)),""))))</f>
        <v/>
      </c>
      <c r="E325" s="38" t="str">
        <f>IF(IF(320&lt;=COUNTA(半紙!$B$11:$B$310),INDEX(半紙!$E$11:$E$310,320),IF(320&lt;=COUNTA(半紙!$B$11:$B$310)+COUNTA(条幅!$B$11:$B$310),INDEX(条幅!$E$11:$E$310,320-COUNTA(半紙!$B$11:$B$310)),IF(320&lt;=COUNTA(半紙!$B$11:$B$310)+COUNTA(条幅!$B$11:$B$310)+COUNTA(条幅4分の1!$B$11:$B$310),INDEX(条幅4分の1!$E$11:$E$310,320-COUNTA(半紙!$B$11:$B$310)-COUNTA(条幅!$B$11:$B$310)),"")))=0,"",IF(320&lt;=COUNTA(半紙!$B$11:$B$310),INDEX(半紙!$E$11:$E$310,320),IF(320&lt;=COUNTA(半紙!$B$11:$B$310)+COUNTA(条幅!$B$11:$B$310),INDEX(条幅!$E$11:$E$310,320-COUNTA(半紙!$B$11:$B$310)),IF(320&lt;=COUNTA(半紙!$B$11:$B$310)+COUNTA(条幅!$B$11:$B$310)+COUNTA(条幅4分の1!$B$11:$B$310),INDEX(条幅4分の1!$E$11:$E$310,320-COUNTA(半紙!$B$11:$B$310)-COUNTA(条幅!$B$11:$B$310)),""))))</f>
        <v/>
      </c>
      <c r="F325" s="38" t="str">
        <f>IF(IF(320&lt;=COUNTA(半紙!$B$11:$B$310),INDEX(半紙!$F$11:$F$310,320),IF(320&lt;=COUNTA(半紙!$B$11:$B$310)+COUNTA(条幅!$B$11:$B$310),INDEX(条幅!$F$11:$F$310,320-COUNTA(半紙!$B$11:$B$310)),IF(320&lt;=COUNTA(半紙!$B$11:$B$310)+COUNTA(条幅!$B$11:$B$310)+COUNTA(条幅4分の1!$B$11:$B$310),INDEX(条幅4分の1!$F$11:$F$310,320-COUNTA(半紙!$B$11:$B$310)-COUNTA(条幅!$B$11:$B$310)),"")))=0,"",IF(320&lt;=COUNTA(半紙!$B$11:$B$310),INDEX(半紙!$F$11:$F$310,320),IF(320&lt;=COUNTA(半紙!$B$11:$B$310)+COUNTA(条幅!$B$11:$B$310),INDEX(条幅!$F$11:$F$310,320-COUNTA(半紙!$B$11:$B$310)),IF(320&lt;=COUNTA(半紙!$B$11:$B$310)+COUNTA(条幅!$B$11:$B$310)+COUNTA(条幅4分の1!$B$11:$B$310),INDEX(条幅4分の1!$F$11:$F$310,320-COUNTA(半紙!$B$11:$B$310)-COUNTA(条幅!$B$11:$B$310)),""))))</f>
        <v/>
      </c>
      <c r="G325" s="38" t="str">
        <f>IF(IF(320&lt;=COUNTA(半紙!$B$11:$B$310),INDEX(半紙!$G$11:$G$310,320),IF(320&lt;=COUNTA(半紙!$B$11:$B$310)+COUNTA(条幅!$B$11:$B$310),INDEX(条幅!$G$11:$G$310,320-COUNTA(半紙!$B$11:$B$310)),IF(320&lt;=COUNTA(半紙!$B$11:$B$310)+COUNTA(条幅!$B$11:$B$310)+COUNTA(条幅4分の1!$B$11:$B$310),INDEX(条幅4分の1!$G$11:$G$310,320-COUNTA(半紙!$B$11:$B$310)-COUNTA(条幅!$B$11:$B$310)),"")))=0,"",IF(320&lt;=COUNTA(半紙!$B$11:$B$310),INDEX(半紙!$G$11:$G$310,320),IF(320&lt;=COUNTA(半紙!$B$11:$B$310)+COUNTA(条幅!$B$11:$B$310),INDEX(条幅!$G$11:$G$310,320-COUNTA(半紙!$B$11:$B$310)),IF(320&lt;=COUNTA(半紙!$B$11:$B$310)+COUNTA(条幅!$B$11:$B$310)+COUNTA(条幅4分の1!$B$11:$B$310),INDEX(条幅4分の1!$G$11:$G$310,320-COUNTA(半紙!$B$11:$B$310)-COUNTA(条幅!$B$11:$B$310)),""))))</f>
        <v/>
      </c>
      <c r="H325" s="38" t="str">
        <f>IF(IF(320&lt;=COUNTA(半紙!$B$11:$B$310),INDEX(半紙!$H$11:$H$310,320),IF(320&lt;=COUNTA(半紙!$B$11:$B$310)+COUNTA(条幅!$B$11:$B$310),INDEX(条幅!$H$11:$H$310,320-COUNTA(半紙!$B$11:$B$310)),IF(320&lt;=COUNTA(半紙!$B$11:$B$310)+COUNTA(条幅!$B$11:$B$310)+COUNTA(条幅4分の1!$B$11:$B$310),INDEX(条幅4分の1!$H$11:$H$310,320-COUNTA(半紙!$B$11:$B$310)-COUNTA(条幅!$B$11:$B$310)),"")))=0,"",IF(320&lt;=COUNTA(半紙!$B$11:$B$310),INDEX(半紙!$H$11:$H$310,320),IF(320&lt;=COUNTA(半紙!$B$11:$B$310)+COUNTA(条幅!$B$11:$B$310),INDEX(条幅!$H$11:$H$310,320-COUNTA(半紙!$B$11:$B$310)),IF(320&lt;=COUNTA(半紙!$B$11:$B$310)+COUNTA(条幅!$B$11:$B$310)+COUNTA(条幅4分の1!$B$11:$B$310),INDEX(条幅4分の1!$H$11:$H$310,320-COUNTA(半紙!$B$11:$B$310)-COUNTA(条幅!$B$11:$B$310)),""))))</f>
        <v/>
      </c>
      <c r="I325" s="38" t="str">
        <f>IF(IF(320&lt;=COUNTA(半紙!$B$11:$B$310),INDEX(半紙!$I$11:$I$310,320),IF(320&lt;=COUNTA(半紙!$B$11:$B$310)+COUNTA(条幅!$B$11:$B$310),INDEX(条幅!$I$11:$I$310,320-COUNTA(半紙!$B$11:$B$310)),IF(320&lt;=COUNTA(半紙!$B$11:$B$310)+COUNTA(条幅!$B$11:$B$310)+COUNTA(条幅4分の1!$B$11:$B$310),INDEX(条幅4分の1!$I$11:$I$310,320-COUNTA(半紙!$B$11:$B$310)-COUNTA(条幅!$B$11:$B$310)),"")))=0,"",IF(320&lt;=COUNTA(半紙!$B$11:$B$310),INDEX(半紙!$I$11:$I$310,320),IF(320&lt;=COUNTA(半紙!$B$11:$B$310)+COUNTA(条幅!$B$11:$B$310),INDEX(条幅!$I$11:$I$310,320-COUNTA(半紙!$B$11:$B$310)),IF(320&lt;=COUNTA(半紙!$B$11:$B$310)+COUNTA(条幅!$B$11:$B$310)+COUNTA(条幅4分の1!$B$11:$B$310),INDEX(条幅4分の1!$I$11:$I$310,320-COUNTA(半紙!$B$11:$B$310)-COUNTA(条幅!$B$11:$B$310)),""))))</f>
        <v/>
      </c>
      <c r="J325" s="38" t="str">
        <f>IF(IF(320&lt;=COUNTA(半紙!$B$11:$B$310),INDEX(半紙!$J$11:$J$310,320),IF(320&lt;=COUNTA(半紙!$B$11:$B$310)+COUNTA(条幅!$B$11:$B$310),INDEX(条幅!$J$11:$J$310,320-COUNTA(半紙!$B$11:$B$310)),IF(320&lt;=COUNTA(半紙!$B$11:$B$310)+COUNTA(条幅!$B$11:$B$310)+COUNTA(条幅4分の1!$B$11:$B$310),INDEX(条幅4分の1!$J$11:$J$310,320-COUNTA(半紙!$B$11:$B$310)-COUNTA(条幅!$B$11:$B$310)),"")))=0,"",IF(320&lt;=COUNTA(半紙!$B$11:$B$310),INDEX(半紙!$J$11:$J$310,320),IF(320&lt;=COUNTA(半紙!$B$11:$B$310)+COUNTA(条幅!$B$11:$B$310),INDEX(条幅!$J$11:$J$310,320-COUNTA(半紙!$B$11:$B$310)),IF(320&lt;=COUNTA(半紙!$B$11:$B$310)+COUNTA(条幅!$B$11:$B$310)+COUNTA(条幅4分の1!$B$11:$B$310),INDEX(条幅4分の1!$J$11:$J$310,320-COUNTA(半紙!$B$11:$B$310)-COUNTA(条幅!$B$11:$B$310)),""))))</f>
        <v/>
      </c>
      <c r="K325" s="38" t="str">
        <f>IF(IF(320&lt;=COUNTA(半紙!$B$11:$B$310),INDEX(半紙!$K$11:$K$310,320),IF(320&lt;=COUNTA(半紙!$B$11:$B$310)+COUNTA(条幅!$B$11:$B$310),INDEX(条幅!$K$11:$K$310,320-COUNTA(半紙!$B$11:$B$310)),IF(320&lt;=COUNTA(半紙!$B$11:$B$310)+COUNTA(条幅!$B$11:$B$310)+COUNTA(条幅4分の1!$B$11:$B$310),INDEX(条幅4分の1!$K$11:$K$310,320-COUNTA(半紙!$B$11:$B$310)-COUNTA(条幅!$B$11:$B$310)),"")))=0,"",IF(320&lt;=COUNTA(半紙!$B$11:$B$310),INDEX(半紙!$K$11:$K$310,320),IF(320&lt;=COUNTA(半紙!$B$11:$B$310)+COUNTA(条幅!$B$11:$B$310),INDEX(条幅!$K$11:$K$310,320-COUNTA(半紙!$B$11:$B$310)),IF(320&lt;=COUNTA(半紙!$B$11:$B$310)+COUNTA(条幅!$B$11:$B$310)+COUNTA(条幅4分の1!$B$11:$B$310),INDEX(条幅4分の1!$K$11:$K$310,320-COUNTA(半紙!$B$11:$B$310)-COUNTA(条幅!$B$11:$B$310)),""))))</f>
        <v/>
      </c>
      <c r="L325" s="48" t="str">
        <f>IF($B325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320))</f>
        <v/>
      </c>
    </row>
    <row r="326" spans="1:12" ht="15" customHeight="1">
      <c r="A326" s="37" t="str">
        <f>IF(321&lt;=COUNTA(半紙!$B$11:$B$310),"半紙",IF(321&lt;=COUNTA(半紙!$B$11:$B$310)+COUNTA(条幅!$B$11:$B$310),"条幅(半切)",IF(321&lt;=COUNTA(半紙!$B$11:$B$310)+COUNTA(条幅!$B$11:$B$310)+COUNTA(条幅4分の1!$B$11:$B$310),"条幅(1/4)","")))</f>
        <v/>
      </c>
      <c r="B326" s="38" t="str">
        <f>IF(IF(321&lt;=COUNTA(半紙!$B$11:$B$310),INDEX(半紙!$B$11:$B$310,321),IF(321&lt;=COUNTA(半紙!$B$11:$B$310)+COUNTA(条幅!$B$11:$B$310),INDEX(条幅!$B$11:$B$310,321-COUNTA(半紙!$B$11:$B$310)),IF(321&lt;=COUNTA(半紙!$B$11:$B$310)+COUNTA(条幅!$B$11:$B$310)+COUNTA(条幅4分の1!$B$11:$B$310),INDEX(条幅4分の1!$B$11:$B$310,321-COUNTA(半紙!$B$11:$B$310)-COUNTA(条幅!$B$11:$B$310)),"")))=0,"",IF(321&lt;=COUNTA(半紙!$B$11:$B$310),INDEX(半紙!$B$11:$B$310,321),IF(321&lt;=COUNTA(半紙!$B$11:$B$310)+COUNTA(条幅!$B$11:$B$310),INDEX(条幅!$B$11:$B$310,321-COUNTA(半紙!$B$11:$B$310)),IF(321&lt;=COUNTA(半紙!$B$11:$B$310)+COUNTA(条幅!$B$11:$B$310)+COUNTA(条幅4分の1!$B$11:$B$310),INDEX(条幅4分の1!$B$11:$B$310,321-COUNTA(半紙!$B$11:$B$310)-COUNTA(条幅!$B$11:$B$310)),""))))</f>
        <v/>
      </c>
      <c r="C326" s="38" t="str">
        <f>IF(IF(321&lt;=COUNTA(半紙!$B$11:$B$310),INDEX(半紙!$C$11:$C$310,321),IF(321&lt;=COUNTA(半紙!$B$11:$B$310)+COUNTA(条幅!$B$11:$B$310),INDEX(条幅!$C$11:$C$310,321-COUNTA(半紙!$B$11:$B$310)),IF(321&lt;=COUNTA(半紙!$B$11:$B$310)+COUNTA(条幅!$B$11:$B$310)+COUNTA(条幅4分の1!$B$11:$B$310),INDEX(条幅4分の1!$C$11:$C$310,321-COUNTA(半紙!$B$11:$B$310)-COUNTA(条幅!$B$11:$B$310)),"")))=0,"",IF(321&lt;=COUNTA(半紙!$B$11:$B$310),INDEX(半紙!$C$11:$C$310,321),IF(321&lt;=COUNTA(半紙!$B$11:$B$310)+COUNTA(条幅!$B$11:$B$310),INDEX(条幅!$C$11:$C$310,321-COUNTA(半紙!$B$11:$B$310)),IF(321&lt;=COUNTA(半紙!$B$11:$B$310)+COUNTA(条幅!$B$11:$B$310)+COUNTA(条幅4分の1!$B$11:$B$310),INDEX(条幅4分の1!$C$11:$C$310,321-COUNTA(半紙!$B$11:$B$310)-COUNTA(条幅!$B$11:$B$310)),""))))</f>
        <v/>
      </c>
      <c r="D326" s="38" t="str">
        <f>IF(IF(321&lt;=COUNTA(半紙!$B$11:$B$310),INDEX(半紙!$D$11:$D$310,321),IF(321&lt;=COUNTA(半紙!$B$11:$B$310)+COUNTA(条幅!$B$11:$B$310),INDEX(条幅!$D$11:$D$310,321-COUNTA(半紙!$B$11:$B$310)),IF(321&lt;=COUNTA(半紙!$B$11:$B$310)+COUNTA(条幅!$B$11:$B$310)+COUNTA(条幅4分の1!$B$11:$B$310),INDEX(条幅4分の1!$D$11:$D$310,321-COUNTA(半紙!$B$11:$B$310)-COUNTA(条幅!$B$11:$B$310)),"")))=0,"",IF(321&lt;=COUNTA(半紙!$B$11:$B$310),INDEX(半紙!$D$11:$D$310,321),IF(321&lt;=COUNTA(半紙!$B$11:$B$310)+COUNTA(条幅!$B$11:$B$310),INDEX(条幅!$D$11:$D$310,321-COUNTA(半紙!$B$11:$B$310)),IF(321&lt;=COUNTA(半紙!$B$11:$B$310)+COUNTA(条幅!$B$11:$B$310)+COUNTA(条幅4分の1!$B$11:$B$310),INDEX(条幅4分の1!$D$11:$D$310,321-COUNTA(半紙!$B$11:$B$310)-COUNTA(条幅!$B$11:$B$310)),""))))</f>
        <v/>
      </c>
      <c r="E326" s="38" t="str">
        <f>IF(IF(321&lt;=COUNTA(半紙!$B$11:$B$310),INDEX(半紙!$E$11:$E$310,321),IF(321&lt;=COUNTA(半紙!$B$11:$B$310)+COUNTA(条幅!$B$11:$B$310),INDEX(条幅!$E$11:$E$310,321-COUNTA(半紙!$B$11:$B$310)),IF(321&lt;=COUNTA(半紙!$B$11:$B$310)+COUNTA(条幅!$B$11:$B$310)+COUNTA(条幅4分の1!$B$11:$B$310),INDEX(条幅4分の1!$E$11:$E$310,321-COUNTA(半紙!$B$11:$B$310)-COUNTA(条幅!$B$11:$B$310)),"")))=0,"",IF(321&lt;=COUNTA(半紙!$B$11:$B$310),INDEX(半紙!$E$11:$E$310,321),IF(321&lt;=COUNTA(半紙!$B$11:$B$310)+COUNTA(条幅!$B$11:$B$310),INDEX(条幅!$E$11:$E$310,321-COUNTA(半紙!$B$11:$B$310)),IF(321&lt;=COUNTA(半紙!$B$11:$B$310)+COUNTA(条幅!$B$11:$B$310)+COUNTA(条幅4分の1!$B$11:$B$310),INDEX(条幅4分の1!$E$11:$E$310,321-COUNTA(半紙!$B$11:$B$310)-COUNTA(条幅!$B$11:$B$310)),""))))</f>
        <v/>
      </c>
      <c r="F326" s="38" t="str">
        <f>IF(IF(321&lt;=COUNTA(半紙!$B$11:$B$310),INDEX(半紙!$F$11:$F$310,321),IF(321&lt;=COUNTA(半紙!$B$11:$B$310)+COUNTA(条幅!$B$11:$B$310),INDEX(条幅!$F$11:$F$310,321-COUNTA(半紙!$B$11:$B$310)),IF(321&lt;=COUNTA(半紙!$B$11:$B$310)+COUNTA(条幅!$B$11:$B$310)+COUNTA(条幅4分の1!$B$11:$B$310),INDEX(条幅4分の1!$F$11:$F$310,321-COUNTA(半紙!$B$11:$B$310)-COUNTA(条幅!$B$11:$B$310)),"")))=0,"",IF(321&lt;=COUNTA(半紙!$B$11:$B$310),INDEX(半紙!$F$11:$F$310,321),IF(321&lt;=COUNTA(半紙!$B$11:$B$310)+COUNTA(条幅!$B$11:$B$310),INDEX(条幅!$F$11:$F$310,321-COUNTA(半紙!$B$11:$B$310)),IF(321&lt;=COUNTA(半紙!$B$11:$B$310)+COUNTA(条幅!$B$11:$B$310)+COUNTA(条幅4分の1!$B$11:$B$310),INDEX(条幅4分の1!$F$11:$F$310,321-COUNTA(半紙!$B$11:$B$310)-COUNTA(条幅!$B$11:$B$310)),""))))</f>
        <v/>
      </c>
      <c r="G326" s="38" t="str">
        <f>IF(IF(321&lt;=COUNTA(半紙!$B$11:$B$310),INDEX(半紙!$G$11:$G$310,321),IF(321&lt;=COUNTA(半紙!$B$11:$B$310)+COUNTA(条幅!$B$11:$B$310),INDEX(条幅!$G$11:$G$310,321-COUNTA(半紙!$B$11:$B$310)),IF(321&lt;=COUNTA(半紙!$B$11:$B$310)+COUNTA(条幅!$B$11:$B$310)+COUNTA(条幅4分の1!$B$11:$B$310),INDEX(条幅4分の1!$G$11:$G$310,321-COUNTA(半紙!$B$11:$B$310)-COUNTA(条幅!$B$11:$B$310)),"")))=0,"",IF(321&lt;=COUNTA(半紙!$B$11:$B$310),INDEX(半紙!$G$11:$G$310,321),IF(321&lt;=COUNTA(半紙!$B$11:$B$310)+COUNTA(条幅!$B$11:$B$310),INDEX(条幅!$G$11:$G$310,321-COUNTA(半紙!$B$11:$B$310)),IF(321&lt;=COUNTA(半紙!$B$11:$B$310)+COUNTA(条幅!$B$11:$B$310)+COUNTA(条幅4分の1!$B$11:$B$310),INDEX(条幅4分の1!$G$11:$G$310,321-COUNTA(半紙!$B$11:$B$310)-COUNTA(条幅!$B$11:$B$310)),""))))</f>
        <v/>
      </c>
      <c r="H326" s="38" t="str">
        <f>IF(IF(321&lt;=COUNTA(半紙!$B$11:$B$310),INDEX(半紙!$H$11:$H$310,321),IF(321&lt;=COUNTA(半紙!$B$11:$B$310)+COUNTA(条幅!$B$11:$B$310),INDEX(条幅!$H$11:$H$310,321-COUNTA(半紙!$B$11:$B$310)),IF(321&lt;=COUNTA(半紙!$B$11:$B$310)+COUNTA(条幅!$B$11:$B$310)+COUNTA(条幅4分の1!$B$11:$B$310),INDEX(条幅4分の1!$H$11:$H$310,321-COUNTA(半紙!$B$11:$B$310)-COUNTA(条幅!$B$11:$B$310)),"")))=0,"",IF(321&lt;=COUNTA(半紙!$B$11:$B$310),INDEX(半紙!$H$11:$H$310,321),IF(321&lt;=COUNTA(半紙!$B$11:$B$310)+COUNTA(条幅!$B$11:$B$310),INDEX(条幅!$H$11:$H$310,321-COUNTA(半紙!$B$11:$B$310)),IF(321&lt;=COUNTA(半紙!$B$11:$B$310)+COUNTA(条幅!$B$11:$B$310)+COUNTA(条幅4分の1!$B$11:$B$310),INDEX(条幅4分の1!$H$11:$H$310,321-COUNTA(半紙!$B$11:$B$310)-COUNTA(条幅!$B$11:$B$310)),""))))</f>
        <v/>
      </c>
      <c r="I326" s="38" t="str">
        <f>IF(IF(321&lt;=COUNTA(半紙!$B$11:$B$310),INDEX(半紙!$I$11:$I$310,321),IF(321&lt;=COUNTA(半紙!$B$11:$B$310)+COUNTA(条幅!$B$11:$B$310),INDEX(条幅!$I$11:$I$310,321-COUNTA(半紙!$B$11:$B$310)),IF(321&lt;=COUNTA(半紙!$B$11:$B$310)+COUNTA(条幅!$B$11:$B$310)+COUNTA(条幅4分の1!$B$11:$B$310),INDEX(条幅4分の1!$I$11:$I$310,321-COUNTA(半紙!$B$11:$B$310)-COUNTA(条幅!$B$11:$B$310)),"")))=0,"",IF(321&lt;=COUNTA(半紙!$B$11:$B$310),INDEX(半紙!$I$11:$I$310,321),IF(321&lt;=COUNTA(半紙!$B$11:$B$310)+COUNTA(条幅!$B$11:$B$310),INDEX(条幅!$I$11:$I$310,321-COUNTA(半紙!$B$11:$B$310)),IF(321&lt;=COUNTA(半紙!$B$11:$B$310)+COUNTA(条幅!$B$11:$B$310)+COUNTA(条幅4分の1!$B$11:$B$310),INDEX(条幅4分の1!$I$11:$I$310,321-COUNTA(半紙!$B$11:$B$310)-COUNTA(条幅!$B$11:$B$310)),""))))</f>
        <v/>
      </c>
      <c r="J326" s="38" t="str">
        <f>IF(IF(321&lt;=COUNTA(半紙!$B$11:$B$310),INDEX(半紙!$J$11:$J$310,321),IF(321&lt;=COUNTA(半紙!$B$11:$B$310)+COUNTA(条幅!$B$11:$B$310),INDEX(条幅!$J$11:$J$310,321-COUNTA(半紙!$B$11:$B$310)),IF(321&lt;=COUNTA(半紙!$B$11:$B$310)+COUNTA(条幅!$B$11:$B$310)+COUNTA(条幅4分の1!$B$11:$B$310),INDEX(条幅4分の1!$J$11:$J$310,321-COUNTA(半紙!$B$11:$B$310)-COUNTA(条幅!$B$11:$B$310)),"")))=0,"",IF(321&lt;=COUNTA(半紙!$B$11:$B$310),INDEX(半紙!$J$11:$J$310,321),IF(321&lt;=COUNTA(半紙!$B$11:$B$310)+COUNTA(条幅!$B$11:$B$310),INDEX(条幅!$J$11:$J$310,321-COUNTA(半紙!$B$11:$B$310)),IF(321&lt;=COUNTA(半紙!$B$11:$B$310)+COUNTA(条幅!$B$11:$B$310)+COUNTA(条幅4分の1!$B$11:$B$310),INDEX(条幅4分の1!$J$11:$J$310,321-COUNTA(半紙!$B$11:$B$310)-COUNTA(条幅!$B$11:$B$310)),""))))</f>
        <v/>
      </c>
      <c r="K326" s="38" t="str">
        <f>IF(IF(321&lt;=COUNTA(半紙!$B$11:$B$310),INDEX(半紙!$K$11:$K$310,321),IF(321&lt;=COUNTA(半紙!$B$11:$B$310)+COUNTA(条幅!$B$11:$B$310),INDEX(条幅!$K$11:$K$310,321-COUNTA(半紙!$B$11:$B$310)),IF(321&lt;=COUNTA(半紙!$B$11:$B$310)+COUNTA(条幅!$B$11:$B$310)+COUNTA(条幅4分の1!$B$11:$B$310),INDEX(条幅4分の1!$K$11:$K$310,321-COUNTA(半紙!$B$11:$B$310)-COUNTA(条幅!$B$11:$B$310)),"")))=0,"",IF(321&lt;=COUNTA(半紙!$B$11:$B$310),INDEX(半紙!$K$11:$K$310,321),IF(321&lt;=COUNTA(半紙!$B$11:$B$310)+COUNTA(条幅!$B$11:$B$310),INDEX(条幅!$K$11:$K$310,321-COUNTA(半紙!$B$11:$B$310)),IF(321&lt;=COUNTA(半紙!$B$11:$B$310)+COUNTA(条幅!$B$11:$B$310)+COUNTA(条幅4分の1!$B$11:$B$310),INDEX(条幅4分の1!$K$11:$K$310,321-COUNTA(半紙!$B$11:$B$310)-COUNTA(条幅!$B$11:$B$310)),""))))</f>
        <v/>
      </c>
      <c r="L326" s="48" t="str">
        <f>IF($B326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321))</f>
        <v/>
      </c>
    </row>
    <row r="327" spans="1:12" ht="15" customHeight="1">
      <c r="A327" s="37" t="str">
        <f>IF(322&lt;=COUNTA(半紙!$B$11:$B$310),"半紙",IF(322&lt;=COUNTA(半紙!$B$11:$B$310)+COUNTA(条幅!$B$11:$B$310),"条幅(半切)",IF(322&lt;=COUNTA(半紙!$B$11:$B$310)+COUNTA(条幅!$B$11:$B$310)+COUNTA(条幅4分の1!$B$11:$B$310),"条幅(1/4)","")))</f>
        <v/>
      </c>
      <c r="B327" s="38" t="str">
        <f>IF(IF(322&lt;=COUNTA(半紙!$B$11:$B$310),INDEX(半紙!$B$11:$B$310,322),IF(322&lt;=COUNTA(半紙!$B$11:$B$310)+COUNTA(条幅!$B$11:$B$310),INDEX(条幅!$B$11:$B$310,322-COUNTA(半紙!$B$11:$B$310)),IF(322&lt;=COUNTA(半紙!$B$11:$B$310)+COUNTA(条幅!$B$11:$B$310)+COUNTA(条幅4分の1!$B$11:$B$310),INDEX(条幅4分の1!$B$11:$B$310,322-COUNTA(半紙!$B$11:$B$310)-COUNTA(条幅!$B$11:$B$310)),"")))=0,"",IF(322&lt;=COUNTA(半紙!$B$11:$B$310),INDEX(半紙!$B$11:$B$310,322),IF(322&lt;=COUNTA(半紙!$B$11:$B$310)+COUNTA(条幅!$B$11:$B$310),INDEX(条幅!$B$11:$B$310,322-COUNTA(半紙!$B$11:$B$310)),IF(322&lt;=COUNTA(半紙!$B$11:$B$310)+COUNTA(条幅!$B$11:$B$310)+COUNTA(条幅4分の1!$B$11:$B$310),INDEX(条幅4分の1!$B$11:$B$310,322-COUNTA(半紙!$B$11:$B$310)-COUNTA(条幅!$B$11:$B$310)),""))))</f>
        <v/>
      </c>
      <c r="C327" s="38" t="str">
        <f>IF(IF(322&lt;=COUNTA(半紙!$B$11:$B$310),INDEX(半紙!$C$11:$C$310,322),IF(322&lt;=COUNTA(半紙!$B$11:$B$310)+COUNTA(条幅!$B$11:$B$310),INDEX(条幅!$C$11:$C$310,322-COUNTA(半紙!$B$11:$B$310)),IF(322&lt;=COUNTA(半紙!$B$11:$B$310)+COUNTA(条幅!$B$11:$B$310)+COUNTA(条幅4分の1!$B$11:$B$310),INDEX(条幅4分の1!$C$11:$C$310,322-COUNTA(半紙!$B$11:$B$310)-COUNTA(条幅!$B$11:$B$310)),"")))=0,"",IF(322&lt;=COUNTA(半紙!$B$11:$B$310),INDEX(半紙!$C$11:$C$310,322),IF(322&lt;=COUNTA(半紙!$B$11:$B$310)+COUNTA(条幅!$B$11:$B$310),INDEX(条幅!$C$11:$C$310,322-COUNTA(半紙!$B$11:$B$310)),IF(322&lt;=COUNTA(半紙!$B$11:$B$310)+COUNTA(条幅!$B$11:$B$310)+COUNTA(条幅4分の1!$B$11:$B$310),INDEX(条幅4分の1!$C$11:$C$310,322-COUNTA(半紙!$B$11:$B$310)-COUNTA(条幅!$B$11:$B$310)),""))))</f>
        <v/>
      </c>
      <c r="D327" s="38" t="str">
        <f>IF(IF(322&lt;=COUNTA(半紙!$B$11:$B$310),INDEX(半紙!$D$11:$D$310,322),IF(322&lt;=COUNTA(半紙!$B$11:$B$310)+COUNTA(条幅!$B$11:$B$310),INDEX(条幅!$D$11:$D$310,322-COUNTA(半紙!$B$11:$B$310)),IF(322&lt;=COUNTA(半紙!$B$11:$B$310)+COUNTA(条幅!$B$11:$B$310)+COUNTA(条幅4分の1!$B$11:$B$310),INDEX(条幅4分の1!$D$11:$D$310,322-COUNTA(半紙!$B$11:$B$310)-COUNTA(条幅!$B$11:$B$310)),"")))=0,"",IF(322&lt;=COUNTA(半紙!$B$11:$B$310),INDEX(半紙!$D$11:$D$310,322),IF(322&lt;=COUNTA(半紙!$B$11:$B$310)+COUNTA(条幅!$B$11:$B$310),INDEX(条幅!$D$11:$D$310,322-COUNTA(半紙!$B$11:$B$310)),IF(322&lt;=COUNTA(半紙!$B$11:$B$310)+COUNTA(条幅!$B$11:$B$310)+COUNTA(条幅4分の1!$B$11:$B$310),INDEX(条幅4分の1!$D$11:$D$310,322-COUNTA(半紙!$B$11:$B$310)-COUNTA(条幅!$B$11:$B$310)),""))))</f>
        <v/>
      </c>
      <c r="E327" s="38" t="str">
        <f>IF(IF(322&lt;=COUNTA(半紙!$B$11:$B$310),INDEX(半紙!$E$11:$E$310,322),IF(322&lt;=COUNTA(半紙!$B$11:$B$310)+COUNTA(条幅!$B$11:$B$310),INDEX(条幅!$E$11:$E$310,322-COUNTA(半紙!$B$11:$B$310)),IF(322&lt;=COUNTA(半紙!$B$11:$B$310)+COUNTA(条幅!$B$11:$B$310)+COUNTA(条幅4分の1!$B$11:$B$310),INDEX(条幅4分の1!$E$11:$E$310,322-COUNTA(半紙!$B$11:$B$310)-COUNTA(条幅!$B$11:$B$310)),"")))=0,"",IF(322&lt;=COUNTA(半紙!$B$11:$B$310),INDEX(半紙!$E$11:$E$310,322),IF(322&lt;=COUNTA(半紙!$B$11:$B$310)+COUNTA(条幅!$B$11:$B$310),INDEX(条幅!$E$11:$E$310,322-COUNTA(半紙!$B$11:$B$310)),IF(322&lt;=COUNTA(半紙!$B$11:$B$310)+COUNTA(条幅!$B$11:$B$310)+COUNTA(条幅4分の1!$B$11:$B$310),INDEX(条幅4分の1!$E$11:$E$310,322-COUNTA(半紙!$B$11:$B$310)-COUNTA(条幅!$B$11:$B$310)),""))))</f>
        <v/>
      </c>
      <c r="F327" s="38" t="str">
        <f>IF(IF(322&lt;=COUNTA(半紙!$B$11:$B$310),INDEX(半紙!$F$11:$F$310,322),IF(322&lt;=COUNTA(半紙!$B$11:$B$310)+COUNTA(条幅!$B$11:$B$310),INDEX(条幅!$F$11:$F$310,322-COUNTA(半紙!$B$11:$B$310)),IF(322&lt;=COUNTA(半紙!$B$11:$B$310)+COUNTA(条幅!$B$11:$B$310)+COUNTA(条幅4分の1!$B$11:$B$310),INDEX(条幅4分の1!$F$11:$F$310,322-COUNTA(半紙!$B$11:$B$310)-COUNTA(条幅!$B$11:$B$310)),"")))=0,"",IF(322&lt;=COUNTA(半紙!$B$11:$B$310),INDEX(半紙!$F$11:$F$310,322),IF(322&lt;=COUNTA(半紙!$B$11:$B$310)+COUNTA(条幅!$B$11:$B$310),INDEX(条幅!$F$11:$F$310,322-COUNTA(半紙!$B$11:$B$310)),IF(322&lt;=COUNTA(半紙!$B$11:$B$310)+COUNTA(条幅!$B$11:$B$310)+COUNTA(条幅4分の1!$B$11:$B$310),INDEX(条幅4分の1!$F$11:$F$310,322-COUNTA(半紙!$B$11:$B$310)-COUNTA(条幅!$B$11:$B$310)),""))))</f>
        <v/>
      </c>
      <c r="G327" s="38" t="str">
        <f>IF(IF(322&lt;=COUNTA(半紙!$B$11:$B$310),INDEX(半紙!$G$11:$G$310,322),IF(322&lt;=COUNTA(半紙!$B$11:$B$310)+COUNTA(条幅!$B$11:$B$310),INDEX(条幅!$G$11:$G$310,322-COUNTA(半紙!$B$11:$B$310)),IF(322&lt;=COUNTA(半紙!$B$11:$B$310)+COUNTA(条幅!$B$11:$B$310)+COUNTA(条幅4分の1!$B$11:$B$310),INDEX(条幅4分の1!$G$11:$G$310,322-COUNTA(半紙!$B$11:$B$310)-COUNTA(条幅!$B$11:$B$310)),"")))=0,"",IF(322&lt;=COUNTA(半紙!$B$11:$B$310),INDEX(半紙!$G$11:$G$310,322),IF(322&lt;=COUNTA(半紙!$B$11:$B$310)+COUNTA(条幅!$B$11:$B$310),INDEX(条幅!$G$11:$G$310,322-COUNTA(半紙!$B$11:$B$310)),IF(322&lt;=COUNTA(半紙!$B$11:$B$310)+COUNTA(条幅!$B$11:$B$310)+COUNTA(条幅4分の1!$B$11:$B$310),INDEX(条幅4分の1!$G$11:$G$310,322-COUNTA(半紙!$B$11:$B$310)-COUNTA(条幅!$B$11:$B$310)),""))))</f>
        <v/>
      </c>
      <c r="H327" s="38" t="str">
        <f>IF(IF(322&lt;=COUNTA(半紙!$B$11:$B$310),INDEX(半紙!$H$11:$H$310,322),IF(322&lt;=COUNTA(半紙!$B$11:$B$310)+COUNTA(条幅!$B$11:$B$310),INDEX(条幅!$H$11:$H$310,322-COUNTA(半紙!$B$11:$B$310)),IF(322&lt;=COUNTA(半紙!$B$11:$B$310)+COUNTA(条幅!$B$11:$B$310)+COUNTA(条幅4分の1!$B$11:$B$310),INDEX(条幅4分の1!$H$11:$H$310,322-COUNTA(半紙!$B$11:$B$310)-COUNTA(条幅!$B$11:$B$310)),"")))=0,"",IF(322&lt;=COUNTA(半紙!$B$11:$B$310),INDEX(半紙!$H$11:$H$310,322),IF(322&lt;=COUNTA(半紙!$B$11:$B$310)+COUNTA(条幅!$B$11:$B$310),INDEX(条幅!$H$11:$H$310,322-COUNTA(半紙!$B$11:$B$310)),IF(322&lt;=COUNTA(半紙!$B$11:$B$310)+COUNTA(条幅!$B$11:$B$310)+COUNTA(条幅4分の1!$B$11:$B$310),INDEX(条幅4分の1!$H$11:$H$310,322-COUNTA(半紙!$B$11:$B$310)-COUNTA(条幅!$B$11:$B$310)),""))))</f>
        <v/>
      </c>
      <c r="I327" s="38" t="str">
        <f>IF(IF(322&lt;=COUNTA(半紙!$B$11:$B$310),INDEX(半紙!$I$11:$I$310,322),IF(322&lt;=COUNTA(半紙!$B$11:$B$310)+COUNTA(条幅!$B$11:$B$310),INDEX(条幅!$I$11:$I$310,322-COUNTA(半紙!$B$11:$B$310)),IF(322&lt;=COUNTA(半紙!$B$11:$B$310)+COUNTA(条幅!$B$11:$B$310)+COUNTA(条幅4分の1!$B$11:$B$310),INDEX(条幅4分の1!$I$11:$I$310,322-COUNTA(半紙!$B$11:$B$310)-COUNTA(条幅!$B$11:$B$310)),"")))=0,"",IF(322&lt;=COUNTA(半紙!$B$11:$B$310),INDEX(半紙!$I$11:$I$310,322),IF(322&lt;=COUNTA(半紙!$B$11:$B$310)+COUNTA(条幅!$B$11:$B$310),INDEX(条幅!$I$11:$I$310,322-COUNTA(半紙!$B$11:$B$310)),IF(322&lt;=COUNTA(半紙!$B$11:$B$310)+COUNTA(条幅!$B$11:$B$310)+COUNTA(条幅4分の1!$B$11:$B$310),INDEX(条幅4分の1!$I$11:$I$310,322-COUNTA(半紙!$B$11:$B$310)-COUNTA(条幅!$B$11:$B$310)),""))))</f>
        <v/>
      </c>
      <c r="J327" s="38" t="str">
        <f>IF(IF(322&lt;=COUNTA(半紙!$B$11:$B$310),INDEX(半紙!$J$11:$J$310,322),IF(322&lt;=COUNTA(半紙!$B$11:$B$310)+COUNTA(条幅!$B$11:$B$310),INDEX(条幅!$J$11:$J$310,322-COUNTA(半紙!$B$11:$B$310)),IF(322&lt;=COUNTA(半紙!$B$11:$B$310)+COUNTA(条幅!$B$11:$B$310)+COUNTA(条幅4分の1!$B$11:$B$310),INDEX(条幅4分の1!$J$11:$J$310,322-COUNTA(半紙!$B$11:$B$310)-COUNTA(条幅!$B$11:$B$310)),"")))=0,"",IF(322&lt;=COUNTA(半紙!$B$11:$B$310),INDEX(半紙!$J$11:$J$310,322),IF(322&lt;=COUNTA(半紙!$B$11:$B$310)+COUNTA(条幅!$B$11:$B$310),INDEX(条幅!$J$11:$J$310,322-COUNTA(半紙!$B$11:$B$310)),IF(322&lt;=COUNTA(半紙!$B$11:$B$310)+COUNTA(条幅!$B$11:$B$310)+COUNTA(条幅4分の1!$B$11:$B$310),INDEX(条幅4分の1!$J$11:$J$310,322-COUNTA(半紙!$B$11:$B$310)-COUNTA(条幅!$B$11:$B$310)),""))))</f>
        <v/>
      </c>
      <c r="K327" s="38" t="str">
        <f>IF(IF(322&lt;=COUNTA(半紙!$B$11:$B$310),INDEX(半紙!$K$11:$K$310,322),IF(322&lt;=COUNTA(半紙!$B$11:$B$310)+COUNTA(条幅!$B$11:$B$310),INDEX(条幅!$K$11:$K$310,322-COUNTA(半紙!$B$11:$B$310)),IF(322&lt;=COUNTA(半紙!$B$11:$B$310)+COUNTA(条幅!$B$11:$B$310)+COUNTA(条幅4分の1!$B$11:$B$310),INDEX(条幅4分の1!$K$11:$K$310,322-COUNTA(半紙!$B$11:$B$310)-COUNTA(条幅!$B$11:$B$310)),"")))=0,"",IF(322&lt;=COUNTA(半紙!$B$11:$B$310),INDEX(半紙!$K$11:$K$310,322),IF(322&lt;=COUNTA(半紙!$B$11:$B$310)+COUNTA(条幅!$B$11:$B$310),INDEX(条幅!$K$11:$K$310,322-COUNTA(半紙!$B$11:$B$310)),IF(322&lt;=COUNTA(半紙!$B$11:$B$310)+COUNTA(条幅!$B$11:$B$310)+COUNTA(条幅4分の1!$B$11:$B$310),INDEX(条幅4分の1!$K$11:$K$310,322-COUNTA(半紙!$B$11:$B$310)-COUNTA(条幅!$B$11:$B$310)),""))))</f>
        <v/>
      </c>
      <c r="L327" s="48" t="str">
        <f>IF($B327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322))</f>
        <v/>
      </c>
    </row>
    <row r="328" spans="1:12" ht="15" customHeight="1">
      <c r="A328" s="37" t="str">
        <f>IF(323&lt;=COUNTA(半紙!$B$11:$B$310),"半紙",IF(323&lt;=COUNTA(半紙!$B$11:$B$310)+COUNTA(条幅!$B$11:$B$310),"条幅(半切)",IF(323&lt;=COUNTA(半紙!$B$11:$B$310)+COUNTA(条幅!$B$11:$B$310)+COUNTA(条幅4分の1!$B$11:$B$310),"条幅(1/4)","")))</f>
        <v/>
      </c>
      <c r="B328" s="38" t="str">
        <f>IF(IF(323&lt;=COUNTA(半紙!$B$11:$B$310),INDEX(半紙!$B$11:$B$310,323),IF(323&lt;=COUNTA(半紙!$B$11:$B$310)+COUNTA(条幅!$B$11:$B$310),INDEX(条幅!$B$11:$B$310,323-COUNTA(半紙!$B$11:$B$310)),IF(323&lt;=COUNTA(半紙!$B$11:$B$310)+COUNTA(条幅!$B$11:$B$310)+COUNTA(条幅4分の1!$B$11:$B$310),INDEX(条幅4分の1!$B$11:$B$310,323-COUNTA(半紙!$B$11:$B$310)-COUNTA(条幅!$B$11:$B$310)),"")))=0,"",IF(323&lt;=COUNTA(半紙!$B$11:$B$310),INDEX(半紙!$B$11:$B$310,323),IF(323&lt;=COUNTA(半紙!$B$11:$B$310)+COUNTA(条幅!$B$11:$B$310),INDEX(条幅!$B$11:$B$310,323-COUNTA(半紙!$B$11:$B$310)),IF(323&lt;=COUNTA(半紙!$B$11:$B$310)+COUNTA(条幅!$B$11:$B$310)+COUNTA(条幅4分の1!$B$11:$B$310),INDEX(条幅4分の1!$B$11:$B$310,323-COUNTA(半紙!$B$11:$B$310)-COUNTA(条幅!$B$11:$B$310)),""))))</f>
        <v/>
      </c>
      <c r="C328" s="38" t="str">
        <f>IF(IF(323&lt;=COUNTA(半紙!$B$11:$B$310),INDEX(半紙!$C$11:$C$310,323),IF(323&lt;=COUNTA(半紙!$B$11:$B$310)+COUNTA(条幅!$B$11:$B$310),INDEX(条幅!$C$11:$C$310,323-COUNTA(半紙!$B$11:$B$310)),IF(323&lt;=COUNTA(半紙!$B$11:$B$310)+COUNTA(条幅!$B$11:$B$310)+COUNTA(条幅4分の1!$B$11:$B$310),INDEX(条幅4分の1!$C$11:$C$310,323-COUNTA(半紙!$B$11:$B$310)-COUNTA(条幅!$B$11:$B$310)),"")))=0,"",IF(323&lt;=COUNTA(半紙!$B$11:$B$310),INDEX(半紙!$C$11:$C$310,323),IF(323&lt;=COUNTA(半紙!$B$11:$B$310)+COUNTA(条幅!$B$11:$B$310),INDEX(条幅!$C$11:$C$310,323-COUNTA(半紙!$B$11:$B$310)),IF(323&lt;=COUNTA(半紙!$B$11:$B$310)+COUNTA(条幅!$B$11:$B$310)+COUNTA(条幅4分の1!$B$11:$B$310),INDEX(条幅4分の1!$C$11:$C$310,323-COUNTA(半紙!$B$11:$B$310)-COUNTA(条幅!$B$11:$B$310)),""))))</f>
        <v/>
      </c>
      <c r="D328" s="38" t="str">
        <f>IF(IF(323&lt;=COUNTA(半紙!$B$11:$B$310),INDEX(半紙!$D$11:$D$310,323),IF(323&lt;=COUNTA(半紙!$B$11:$B$310)+COUNTA(条幅!$B$11:$B$310),INDEX(条幅!$D$11:$D$310,323-COUNTA(半紙!$B$11:$B$310)),IF(323&lt;=COUNTA(半紙!$B$11:$B$310)+COUNTA(条幅!$B$11:$B$310)+COUNTA(条幅4分の1!$B$11:$B$310),INDEX(条幅4分の1!$D$11:$D$310,323-COUNTA(半紙!$B$11:$B$310)-COUNTA(条幅!$B$11:$B$310)),"")))=0,"",IF(323&lt;=COUNTA(半紙!$B$11:$B$310),INDEX(半紙!$D$11:$D$310,323),IF(323&lt;=COUNTA(半紙!$B$11:$B$310)+COUNTA(条幅!$B$11:$B$310),INDEX(条幅!$D$11:$D$310,323-COUNTA(半紙!$B$11:$B$310)),IF(323&lt;=COUNTA(半紙!$B$11:$B$310)+COUNTA(条幅!$B$11:$B$310)+COUNTA(条幅4分の1!$B$11:$B$310),INDEX(条幅4分の1!$D$11:$D$310,323-COUNTA(半紙!$B$11:$B$310)-COUNTA(条幅!$B$11:$B$310)),""))))</f>
        <v/>
      </c>
      <c r="E328" s="38" t="str">
        <f>IF(IF(323&lt;=COUNTA(半紙!$B$11:$B$310),INDEX(半紙!$E$11:$E$310,323),IF(323&lt;=COUNTA(半紙!$B$11:$B$310)+COUNTA(条幅!$B$11:$B$310),INDEX(条幅!$E$11:$E$310,323-COUNTA(半紙!$B$11:$B$310)),IF(323&lt;=COUNTA(半紙!$B$11:$B$310)+COUNTA(条幅!$B$11:$B$310)+COUNTA(条幅4分の1!$B$11:$B$310),INDEX(条幅4分の1!$E$11:$E$310,323-COUNTA(半紙!$B$11:$B$310)-COUNTA(条幅!$B$11:$B$310)),"")))=0,"",IF(323&lt;=COUNTA(半紙!$B$11:$B$310),INDEX(半紙!$E$11:$E$310,323),IF(323&lt;=COUNTA(半紙!$B$11:$B$310)+COUNTA(条幅!$B$11:$B$310),INDEX(条幅!$E$11:$E$310,323-COUNTA(半紙!$B$11:$B$310)),IF(323&lt;=COUNTA(半紙!$B$11:$B$310)+COUNTA(条幅!$B$11:$B$310)+COUNTA(条幅4分の1!$B$11:$B$310),INDEX(条幅4分の1!$E$11:$E$310,323-COUNTA(半紙!$B$11:$B$310)-COUNTA(条幅!$B$11:$B$310)),""))))</f>
        <v/>
      </c>
      <c r="F328" s="38" t="str">
        <f>IF(IF(323&lt;=COUNTA(半紙!$B$11:$B$310),INDEX(半紙!$F$11:$F$310,323),IF(323&lt;=COUNTA(半紙!$B$11:$B$310)+COUNTA(条幅!$B$11:$B$310),INDEX(条幅!$F$11:$F$310,323-COUNTA(半紙!$B$11:$B$310)),IF(323&lt;=COUNTA(半紙!$B$11:$B$310)+COUNTA(条幅!$B$11:$B$310)+COUNTA(条幅4分の1!$B$11:$B$310),INDEX(条幅4分の1!$F$11:$F$310,323-COUNTA(半紙!$B$11:$B$310)-COUNTA(条幅!$B$11:$B$310)),"")))=0,"",IF(323&lt;=COUNTA(半紙!$B$11:$B$310),INDEX(半紙!$F$11:$F$310,323),IF(323&lt;=COUNTA(半紙!$B$11:$B$310)+COUNTA(条幅!$B$11:$B$310),INDEX(条幅!$F$11:$F$310,323-COUNTA(半紙!$B$11:$B$310)),IF(323&lt;=COUNTA(半紙!$B$11:$B$310)+COUNTA(条幅!$B$11:$B$310)+COUNTA(条幅4分の1!$B$11:$B$310),INDEX(条幅4分の1!$F$11:$F$310,323-COUNTA(半紙!$B$11:$B$310)-COUNTA(条幅!$B$11:$B$310)),""))))</f>
        <v/>
      </c>
      <c r="G328" s="38" t="str">
        <f>IF(IF(323&lt;=COUNTA(半紙!$B$11:$B$310),INDEX(半紙!$G$11:$G$310,323),IF(323&lt;=COUNTA(半紙!$B$11:$B$310)+COUNTA(条幅!$B$11:$B$310),INDEX(条幅!$G$11:$G$310,323-COUNTA(半紙!$B$11:$B$310)),IF(323&lt;=COUNTA(半紙!$B$11:$B$310)+COUNTA(条幅!$B$11:$B$310)+COUNTA(条幅4分の1!$B$11:$B$310),INDEX(条幅4分の1!$G$11:$G$310,323-COUNTA(半紙!$B$11:$B$310)-COUNTA(条幅!$B$11:$B$310)),"")))=0,"",IF(323&lt;=COUNTA(半紙!$B$11:$B$310),INDEX(半紙!$G$11:$G$310,323),IF(323&lt;=COUNTA(半紙!$B$11:$B$310)+COUNTA(条幅!$B$11:$B$310),INDEX(条幅!$G$11:$G$310,323-COUNTA(半紙!$B$11:$B$310)),IF(323&lt;=COUNTA(半紙!$B$11:$B$310)+COUNTA(条幅!$B$11:$B$310)+COUNTA(条幅4分の1!$B$11:$B$310),INDEX(条幅4分の1!$G$11:$G$310,323-COUNTA(半紙!$B$11:$B$310)-COUNTA(条幅!$B$11:$B$310)),""))))</f>
        <v/>
      </c>
      <c r="H328" s="38" t="str">
        <f>IF(IF(323&lt;=COUNTA(半紙!$B$11:$B$310),INDEX(半紙!$H$11:$H$310,323),IF(323&lt;=COUNTA(半紙!$B$11:$B$310)+COUNTA(条幅!$B$11:$B$310),INDEX(条幅!$H$11:$H$310,323-COUNTA(半紙!$B$11:$B$310)),IF(323&lt;=COUNTA(半紙!$B$11:$B$310)+COUNTA(条幅!$B$11:$B$310)+COUNTA(条幅4分の1!$B$11:$B$310),INDEX(条幅4分の1!$H$11:$H$310,323-COUNTA(半紙!$B$11:$B$310)-COUNTA(条幅!$B$11:$B$310)),"")))=0,"",IF(323&lt;=COUNTA(半紙!$B$11:$B$310),INDEX(半紙!$H$11:$H$310,323),IF(323&lt;=COUNTA(半紙!$B$11:$B$310)+COUNTA(条幅!$B$11:$B$310),INDEX(条幅!$H$11:$H$310,323-COUNTA(半紙!$B$11:$B$310)),IF(323&lt;=COUNTA(半紙!$B$11:$B$310)+COUNTA(条幅!$B$11:$B$310)+COUNTA(条幅4分の1!$B$11:$B$310),INDEX(条幅4分の1!$H$11:$H$310,323-COUNTA(半紙!$B$11:$B$310)-COUNTA(条幅!$B$11:$B$310)),""))))</f>
        <v/>
      </c>
      <c r="I328" s="38" t="str">
        <f>IF(IF(323&lt;=COUNTA(半紙!$B$11:$B$310),INDEX(半紙!$I$11:$I$310,323),IF(323&lt;=COUNTA(半紙!$B$11:$B$310)+COUNTA(条幅!$B$11:$B$310),INDEX(条幅!$I$11:$I$310,323-COUNTA(半紙!$B$11:$B$310)),IF(323&lt;=COUNTA(半紙!$B$11:$B$310)+COUNTA(条幅!$B$11:$B$310)+COUNTA(条幅4分の1!$B$11:$B$310),INDEX(条幅4分の1!$I$11:$I$310,323-COUNTA(半紙!$B$11:$B$310)-COUNTA(条幅!$B$11:$B$310)),"")))=0,"",IF(323&lt;=COUNTA(半紙!$B$11:$B$310),INDEX(半紙!$I$11:$I$310,323),IF(323&lt;=COUNTA(半紙!$B$11:$B$310)+COUNTA(条幅!$B$11:$B$310),INDEX(条幅!$I$11:$I$310,323-COUNTA(半紙!$B$11:$B$310)),IF(323&lt;=COUNTA(半紙!$B$11:$B$310)+COUNTA(条幅!$B$11:$B$310)+COUNTA(条幅4分の1!$B$11:$B$310),INDEX(条幅4分の1!$I$11:$I$310,323-COUNTA(半紙!$B$11:$B$310)-COUNTA(条幅!$B$11:$B$310)),""))))</f>
        <v/>
      </c>
      <c r="J328" s="38" t="str">
        <f>IF(IF(323&lt;=COUNTA(半紙!$B$11:$B$310),INDEX(半紙!$J$11:$J$310,323),IF(323&lt;=COUNTA(半紙!$B$11:$B$310)+COUNTA(条幅!$B$11:$B$310),INDEX(条幅!$J$11:$J$310,323-COUNTA(半紙!$B$11:$B$310)),IF(323&lt;=COUNTA(半紙!$B$11:$B$310)+COUNTA(条幅!$B$11:$B$310)+COUNTA(条幅4分の1!$B$11:$B$310),INDEX(条幅4分の1!$J$11:$J$310,323-COUNTA(半紙!$B$11:$B$310)-COUNTA(条幅!$B$11:$B$310)),"")))=0,"",IF(323&lt;=COUNTA(半紙!$B$11:$B$310),INDEX(半紙!$J$11:$J$310,323),IF(323&lt;=COUNTA(半紙!$B$11:$B$310)+COUNTA(条幅!$B$11:$B$310),INDEX(条幅!$J$11:$J$310,323-COUNTA(半紙!$B$11:$B$310)),IF(323&lt;=COUNTA(半紙!$B$11:$B$310)+COUNTA(条幅!$B$11:$B$310)+COUNTA(条幅4分の1!$B$11:$B$310),INDEX(条幅4分の1!$J$11:$J$310,323-COUNTA(半紙!$B$11:$B$310)-COUNTA(条幅!$B$11:$B$310)),""))))</f>
        <v/>
      </c>
      <c r="K328" s="38" t="str">
        <f>IF(IF(323&lt;=COUNTA(半紙!$B$11:$B$310),INDEX(半紙!$K$11:$K$310,323),IF(323&lt;=COUNTA(半紙!$B$11:$B$310)+COUNTA(条幅!$B$11:$B$310),INDEX(条幅!$K$11:$K$310,323-COUNTA(半紙!$B$11:$B$310)),IF(323&lt;=COUNTA(半紙!$B$11:$B$310)+COUNTA(条幅!$B$11:$B$310)+COUNTA(条幅4分の1!$B$11:$B$310),INDEX(条幅4分の1!$K$11:$K$310,323-COUNTA(半紙!$B$11:$B$310)-COUNTA(条幅!$B$11:$B$310)),"")))=0,"",IF(323&lt;=COUNTA(半紙!$B$11:$B$310),INDEX(半紙!$K$11:$K$310,323),IF(323&lt;=COUNTA(半紙!$B$11:$B$310)+COUNTA(条幅!$B$11:$B$310),INDEX(条幅!$K$11:$K$310,323-COUNTA(半紙!$B$11:$B$310)),IF(323&lt;=COUNTA(半紙!$B$11:$B$310)+COUNTA(条幅!$B$11:$B$310)+COUNTA(条幅4分の1!$B$11:$B$310),INDEX(条幅4分の1!$K$11:$K$310,323-COUNTA(半紙!$B$11:$B$310)-COUNTA(条幅!$B$11:$B$310)),""))))</f>
        <v/>
      </c>
      <c r="L328" s="48" t="str">
        <f>IF($B328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323))</f>
        <v/>
      </c>
    </row>
    <row r="329" spans="1:12" ht="15" customHeight="1">
      <c r="A329" s="37" t="str">
        <f>IF(324&lt;=COUNTA(半紙!$B$11:$B$310),"半紙",IF(324&lt;=COUNTA(半紙!$B$11:$B$310)+COUNTA(条幅!$B$11:$B$310),"条幅(半切)",IF(324&lt;=COUNTA(半紙!$B$11:$B$310)+COUNTA(条幅!$B$11:$B$310)+COUNTA(条幅4分の1!$B$11:$B$310),"条幅(1/4)","")))</f>
        <v/>
      </c>
      <c r="B329" s="38" t="str">
        <f>IF(IF(324&lt;=COUNTA(半紙!$B$11:$B$310),INDEX(半紙!$B$11:$B$310,324),IF(324&lt;=COUNTA(半紙!$B$11:$B$310)+COUNTA(条幅!$B$11:$B$310),INDEX(条幅!$B$11:$B$310,324-COUNTA(半紙!$B$11:$B$310)),IF(324&lt;=COUNTA(半紙!$B$11:$B$310)+COUNTA(条幅!$B$11:$B$310)+COUNTA(条幅4分の1!$B$11:$B$310),INDEX(条幅4分の1!$B$11:$B$310,324-COUNTA(半紙!$B$11:$B$310)-COUNTA(条幅!$B$11:$B$310)),"")))=0,"",IF(324&lt;=COUNTA(半紙!$B$11:$B$310),INDEX(半紙!$B$11:$B$310,324),IF(324&lt;=COUNTA(半紙!$B$11:$B$310)+COUNTA(条幅!$B$11:$B$310),INDEX(条幅!$B$11:$B$310,324-COUNTA(半紙!$B$11:$B$310)),IF(324&lt;=COUNTA(半紙!$B$11:$B$310)+COUNTA(条幅!$B$11:$B$310)+COUNTA(条幅4分の1!$B$11:$B$310),INDEX(条幅4分の1!$B$11:$B$310,324-COUNTA(半紙!$B$11:$B$310)-COUNTA(条幅!$B$11:$B$310)),""))))</f>
        <v/>
      </c>
      <c r="C329" s="38" t="str">
        <f>IF(IF(324&lt;=COUNTA(半紙!$B$11:$B$310),INDEX(半紙!$C$11:$C$310,324),IF(324&lt;=COUNTA(半紙!$B$11:$B$310)+COUNTA(条幅!$B$11:$B$310),INDEX(条幅!$C$11:$C$310,324-COUNTA(半紙!$B$11:$B$310)),IF(324&lt;=COUNTA(半紙!$B$11:$B$310)+COUNTA(条幅!$B$11:$B$310)+COUNTA(条幅4分の1!$B$11:$B$310),INDEX(条幅4分の1!$C$11:$C$310,324-COUNTA(半紙!$B$11:$B$310)-COUNTA(条幅!$B$11:$B$310)),"")))=0,"",IF(324&lt;=COUNTA(半紙!$B$11:$B$310),INDEX(半紙!$C$11:$C$310,324),IF(324&lt;=COUNTA(半紙!$B$11:$B$310)+COUNTA(条幅!$B$11:$B$310),INDEX(条幅!$C$11:$C$310,324-COUNTA(半紙!$B$11:$B$310)),IF(324&lt;=COUNTA(半紙!$B$11:$B$310)+COUNTA(条幅!$B$11:$B$310)+COUNTA(条幅4分の1!$B$11:$B$310),INDEX(条幅4分の1!$C$11:$C$310,324-COUNTA(半紙!$B$11:$B$310)-COUNTA(条幅!$B$11:$B$310)),""))))</f>
        <v/>
      </c>
      <c r="D329" s="38" t="str">
        <f>IF(IF(324&lt;=COUNTA(半紙!$B$11:$B$310),INDEX(半紙!$D$11:$D$310,324),IF(324&lt;=COUNTA(半紙!$B$11:$B$310)+COUNTA(条幅!$B$11:$B$310),INDEX(条幅!$D$11:$D$310,324-COUNTA(半紙!$B$11:$B$310)),IF(324&lt;=COUNTA(半紙!$B$11:$B$310)+COUNTA(条幅!$B$11:$B$310)+COUNTA(条幅4分の1!$B$11:$B$310),INDEX(条幅4分の1!$D$11:$D$310,324-COUNTA(半紙!$B$11:$B$310)-COUNTA(条幅!$B$11:$B$310)),"")))=0,"",IF(324&lt;=COUNTA(半紙!$B$11:$B$310),INDEX(半紙!$D$11:$D$310,324),IF(324&lt;=COUNTA(半紙!$B$11:$B$310)+COUNTA(条幅!$B$11:$B$310),INDEX(条幅!$D$11:$D$310,324-COUNTA(半紙!$B$11:$B$310)),IF(324&lt;=COUNTA(半紙!$B$11:$B$310)+COUNTA(条幅!$B$11:$B$310)+COUNTA(条幅4分の1!$B$11:$B$310),INDEX(条幅4分の1!$D$11:$D$310,324-COUNTA(半紙!$B$11:$B$310)-COUNTA(条幅!$B$11:$B$310)),""))))</f>
        <v/>
      </c>
      <c r="E329" s="38" t="str">
        <f>IF(IF(324&lt;=COUNTA(半紙!$B$11:$B$310),INDEX(半紙!$E$11:$E$310,324),IF(324&lt;=COUNTA(半紙!$B$11:$B$310)+COUNTA(条幅!$B$11:$B$310),INDEX(条幅!$E$11:$E$310,324-COUNTA(半紙!$B$11:$B$310)),IF(324&lt;=COUNTA(半紙!$B$11:$B$310)+COUNTA(条幅!$B$11:$B$310)+COUNTA(条幅4分の1!$B$11:$B$310),INDEX(条幅4分の1!$E$11:$E$310,324-COUNTA(半紙!$B$11:$B$310)-COUNTA(条幅!$B$11:$B$310)),"")))=0,"",IF(324&lt;=COUNTA(半紙!$B$11:$B$310),INDEX(半紙!$E$11:$E$310,324),IF(324&lt;=COUNTA(半紙!$B$11:$B$310)+COUNTA(条幅!$B$11:$B$310),INDEX(条幅!$E$11:$E$310,324-COUNTA(半紙!$B$11:$B$310)),IF(324&lt;=COUNTA(半紙!$B$11:$B$310)+COUNTA(条幅!$B$11:$B$310)+COUNTA(条幅4分の1!$B$11:$B$310),INDEX(条幅4分の1!$E$11:$E$310,324-COUNTA(半紙!$B$11:$B$310)-COUNTA(条幅!$B$11:$B$310)),""))))</f>
        <v/>
      </c>
      <c r="F329" s="38" t="str">
        <f>IF(IF(324&lt;=COUNTA(半紙!$B$11:$B$310),INDEX(半紙!$F$11:$F$310,324),IF(324&lt;=COUNTA(半紙!$B$11:$B$310)+COUNTA(条幅!$B$11:$B$310),INDEX(条幅!$F$11:$F$310,324-COUNTA(半紙!$B$11:$B$310)),IF(324&lt;=COUNTA(半紙!$B$11:$B$310)+COUNTA(条幅!$B$11:$B$310)+COUNTA(条幅4分の1!$B$11:$B$310),INDEX(条幅4分の1!$F$11:$F$310,324-COUNTA(半紙!$B$11:$B$310)-COUNTA(条幅!$B$11:$B$310)),"")))=0,"",IF(324&lt;=COUNTA(半紙!$B$11:$B$310),INDEX(半紙!$F$11:$F$310,324),IF(324&lt;=COUNTA(半紙!$B$11:$B$310)+COUNTA(条幅!$B$11:$B$310),INDEX(条幅!$F$11:$F$310,324-COUNTA(半紙!$B$11:$B$310)),IF(324&lt;=COUNTA(半紙!$B$11:$B$310)+COUNTA(条幅!$B$11:$B$310)+COUNTA(条幅4分の1!$B$11:$B$310),INDEX(条幅4分の1!$F$11:$F$310,324-COUNTA(半紙!$B$11:$B$310)-COUNTA(条幅!$B$11:$B$310)),""))))</f>
        <v/>
      </c>
      <c r="G329" s="38" t="str">
        <f>IF(IF(324&lt;=COUNTA(半紙!$B$11:$B$310),INDEX(半紙!$G$11:$G$310,324),IF(324&lt;=COUNTA(半紙!$B$11:$B$310)+COUNTA(条幅!$B$11:$B$310),INDEX(条幅!$G$11:$G$310,324-COUNTA(半紙!$B$11:$B$310)),IF(324&lt;=COUNTA(半紙!$B$11:$B$310)+COUNTA(条幅!$B$11:$B$310)+COUNTA(条幅4分の1!$B$11:$B$310),INDEX(条幅4分の1!$G$11:$G$310,324-COUNTA(半紙!$B$11:$B$310)-COUNTA(条幅!$B$11:$B$310)),"")))=0,"",IF(324&lt;=COUNTA(半紙!$B$11:$B$310),INDEX(半紙!$G$11:$G$310,324),IF(324&lt;=COUNTA(半紙!$B$11:$B$310)+COUNTA(条幅!$B$11:$B$310),INDEX(条幅!$G$11:$G$310,324-COUNTA(半紙!$B$11:$B$310)),IF(324&lt;=COUNTA(半紙!$B$11:$B$310)+COUNTA(条幅!$B$11:$B$310)+COUNTA(条幅4分の1!$B$11:$B$310),INDEX(条幅4分の1!$G$11:$G$310,324-COUNTA(半紙!$B$11:$B$310)-COUNTA(条幅!$B$11:$B$310)),""))))</f>
        <v/>
      </c>
      <c r="H329" s="38" t="str">
        <f>IF(IF(324&lt;=COUNTA(半紙!$B$11:$B$310),INDEX(半紙!$H$11:$H$310,324),IF(324&lt;=COUNTA(半紙!$B$11:$B$310)+COUNTA(条幅!$B$11:$B$310),INDEX(条幅!$H$11:$H$310,324-COUNTA(半紙!$B$11:$B$310)),IF(324&lt;=COUNTA(半紙!$B$11:$B$310)+COUNTA(条幅!$B$11:$B$310)+COUNTA(条幅4分の1!$B$11:$B$310),INDEX(条幅4分の1!$H$11:$H$310,324-COUNTA(半紙!$B$11:$B$310)-COUNTA(条幅!$B$11:$B$310)),"")))=0,"",IF(324&lt;=COUNTA(半紙!$B$11:$B$310),INDEX(半紙!$H$11:$H$310,324),IF(324&lt;=COUNTA(半紙!$B$11:$B$310)+COUNTA(条幅!$B$11:$B$310),INDEX(条幅!$H$11:$H$310,324-COUNTA(半紙!$B$11:$B$310)),IF(324&lt;=COUNTA(半紙!$B$11:$B$310)+COUNTA(条幅!$B$11:$B$310)+COUNTA(条幅4分の1!$B$11:$B$310),INDEX(条幅4分の1!$H$11:$H$310,324-COUNTA(半紙!$B$11:$B$310)-COUNTA(条幅!$B$11:$B$310)),""))))</f>
        <v/>
      </c>
      <c r="I329" s="38" t="str">
        <f>IF(IF(324&lt;=COUNTA(半紙!$B$11:$B$310),INDEX(半紙!$I$11:$I$310,324),IF(324&lt;=COUNTA(半紙!$B$11:$B$310)+COUNTA(条幅!$B$11:$B$310),INDEX(条幅!$I$11:$I$310,324-COUNTA(半紙!$B$11:$B$310)),IF(324&lt;=COUNTA(半紙!$B$11:$B$310)+COUNTA(条幅!$B$11:$B$310)+COUNTA(条幅4分の1!$B$11:$B$310),INDEX(条幅4分の1!$I$11:$I$310,324-COUNTA(半紙!$B$11:$B$310)-COUNTA(条幅!$B$11:$B$310)),"")))=0,"",IF(324&lt;=COUNTA(半紙!$B$11:$B$310),INDEX(半紙!$I$11:$I$310,324),IF(324&lt;=COUNTA(半紙!$B$11:$B$310)+COUNTA(条幅!$B$11:$B$310),INDEX(条幅!$I$11:$I$310,324-COUNTA(半紙!$B$11:$B$310)),IF(324&lt;=COUNTA(半紙!$B$11:$B$310)+COUNTA(条幅!$B$11:$B$310)+COUNTA(条幅4分の1!$B$11:$B$310),INDEX(条幅4分の1!$I$11:$I$310,324-COUNTA(半紙!$B$11:$B$310)-COUNTA(条幅!$B$11:$B$310)),""))))</f>
        <v/>
      </c>
      <c r="J329" s="38" t="str">
        <f>IF(IF(324&lt;=COUNTA(半紙!$B$11:$B$310),INDEX(半紙!$J$11:$J$310,324),IF(324&lt;=COUNTA(半紙!$B$11:$B$310)+COUNTA(条幅!$B$11:$B$310),INDEX(条幅!$J$11:$J$310,324-COUNTA(半紙!$B$11:$B$310)),IF(324&lt;=COUNTA(半紙!$B$11:$B$310)+COUNTA(条幅!$B$11:$B$310)+COUNTA(条幅4分の1!$B$11:$B$310),INDEX(条幅4分の1!$J$11:$J$310,324-COUNTA(半紙!$B$11:$B$310)-COUNTA(条幅!$B$11:$B$310)),"")))=0,"",IF(324&lt;=COUNTA(半紙!$B$11:$B$310),INDEX(半紙!$J$11:$J$310,324),IF(324&lt;=COUNTA(半紙!$B$11:$B$310)+COUNTA(条幅!$B$11:$B$310),INDEX(条幅!$J$11:$J$310,324-COUNTA(半紙!$B$11:$B$310)),IF(324&lt;=COUNTA(半紙!$B$11:$B$310)+COUNTA(条幅!$B$11:$B$310)+COUNTA(条幅4分の1!$B$11:$B$310),INDEX(条幅4分の1!$J$11:$J$310,324-COUNTA(半紙!$B$11:$B$310)-COUNTA(条幅!$B$11:$B$310)),""))))</f>
        <v/>
      </c>
      <c r="K329" s="38" t="str">
        <f>IF(IF(324&lt;=COUNTA(半紙!$B$11:$B$310),INDEX(半紙!$K$11:$K$310,324),IF(324&lt;=COUNTA(半紙!$B$11:$B$310)+COUNTA(条幅!$B$11:$B$310),INDEX(条幅!$K$11:$K$310,324-COUNTA(半紙!$B$11:$B$310)),IF(324&lt;=COUNTA(半紙!$B$11:$B$310)+COUNTA(条幅!$B$11:$B$310)+COUNTA(条幅4分の1!$B$11:$B$310),INDEX(条幅4分の1!$K$11:$K$310,324-COUNTA(半紙!$B$11:$B$310)-COUNTA(条幅!$B$11:$B$310)),"")))=0,"",IF(324&lt;=COUNTA(半紙!$B$11:$B$310),INDEX(半紙!$K$11:$K$310,324),IF(324&lt;=COUNTA(半紙!$B$11:$B$310)+COUNTA(条幅!$B$11:$B$310),INDEX(条幅!$K$11:$K$310,324-COUNTA(半紙!$B$11:$B$310)),IF(324&lt;=COUNTA(半紙!$B$11:$B$310)+COUNTA(条幅!$B$11:$B$310)+COUNTA(条幅4分の1!$B$11:$B$310),INDEX(条幅4分の1!$K$11:$K$310,324-COUNTA(半紙!$B$11:$B$310)-COUNTA(条幅!$B$11:$B$310)),""))))</f>
        <v/>
      </c>
      <c r="L329" s="48" t="str">
        <f>IF($B329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324))</f>
        <v/>
      </c>
    </row>
    <row r="330" spans="1:12" ht="15" customHeight="1">
      <c r="A330" s="37" t="str">
        <f>IF(325&lt;=COUNTA(半紙!$B$11:$B$310),"半紙",IF(325&lt;=COUNTA(半紙!$B$11:$B$310)+COUNTA(条幅!$B$11:$B$310),"条幅(半切)",IF(325&lt;=COUNTA(半紙!$B$11:$B$310)+COUNTA(条幅!$B$11:$B$310)+COUNTA(条幅4分の1!$B$11:$B$310),"条幅(1/4)","")))</f>
        <v/>
      </c>
      <c r="B330" s="38" t="str">
        <f>IF(IF(325&lt;=COUNTA(半紙!$B$11:$B$310),INDEX(半紙!$B$11:$B$310,325),IF(325&lt;=COUNTA(半紙!$B$11:$B$310)+COUNTA(条幅!$B$11:$B$310),INDEX(条幅!$B$11:$B$310,325-COUNTA(半紙!$B$11:$B$310)),IF(325&lt;=COUNTA(半紙!$B$11:$B$310)+COUNTA(条幅!$B$11:$B$310)+COUNTA(条幅4分の1!$B$11:$B$310),INDEX(条幅4分の1!$B$11:$B$310,325-COUNTA(半紙!$B$11:$B$310)-COUNTA(条幅!$B$11:$B$310)),"")))=0,"",IF(325&lt;=COUNTA(半紙!$B$11:$B$310),INDEX(半紙!$B$11:$B$310,325),IF(325&lt;=COUNTA(半紙!$B$11:$B$310)+COUNTA(条幅!$B$11:$B$310),INDEX(条幅!$B$11:$B$310,325-COUNTA(半紙!$B$11:$B$310)),IF(325&lt;=COUNTA(半紙!$B$11:$B$310)+COUNTA(条幅!$B$11:$B$310)+COUNTA(条幅4分の1!$B$11:$B$310),INDEX(条幅4分の1!$B$11:$B$310,325-COUNTA(半紙!$B$11:$B$310)-COUNTA(条幅!$B$11:$B$310)),""))))</f>
        <v/>
      </c>
      <c r="C330" s="38" t="str">
        <f>IF(IF(325&lt;=COUNTA(半紙!$B$11:$B$310),INDEX(半紙!$C$11:$C$310,325),IF(325&lt;=COUNTA(半紙!$B$11:$B$310)+COUNTA(条幅!$B$11:$B$310),INDEX(条幅!$C$11:$C$310,325-COUNTA(半紙!$B$11:$B$310)),IF(325&lt;=COUNTA(半紙!$B$11:$B$310)+COUNTA(条幅!$B$11:$B$310)+COUNTA(条幅4分の1!$B$11:$B$310),INDEX(条幅4分の1!$C$11:$C$310,325-COUNTA(半紙!$B$11:$B$310)-COUNTA(条幅!$B$11:$B$310)),"")))=0,"",IF(325&lt;=COUNTA(半紙!$B$11:$B$310),INDEX(半紙!$C$11:$C$310,325),IF(325&lt;=COUNTA(半紙!$B$11:$B$310)+COUNTA(条幅!$B$11:$B$310),INDEX(条幅!$C$11:$C$310,325-COUNTA(半紙!$B$11:$B$310)),IF(325&lt;=COUNTA(半紙!$B$11:$B$310)+COUNTA(条幅!$B$11:$B$310)+COUNTA(条幅4分の1!$B$11:$B$310),INDEX(条幅4分の1!$C$11:$C$310,325-COUNTA(半紙!$B$11:$B$310)-COUNTA(条幅!$B$11:$B$310)),""))))</f>
        <v/>
      </c>
      <c r="D330" s="38" t="str">
        <f>IF(IF(325&lt;=COUNTA(半紙!$B$11:$B$310),INDEX(半紙!$D$11:$D$310,325),IF(325&lt;=COUNTA(半紙!$B$11:$B$310)+COUNTA(条幅!$B$11:$B$310),INDEX(条幅!$D$11:$D$310,325-COUNTA(半紙!$B$11:$B$310)),IF(325&lt;=COUNTA(半紙!$B$11:$B$310)+COUNTA(条幅!$B$11:$B$310)+COUNTA(条幅4分の1!$B$11:$B$310),INDEX(条幅4分の1!$D$11:$D$310,325-COUNTA(半紙!$B$11:$B$310)-COUNTA(条幅!$B$11:$B$310)),"")))=0,"",IF(325&lt;=COUNTA(半紙!$B$11:$B$310),INDEX(半紙!$D$11:$D$310,325),IF(325&lt;=COUNTA(半紙!$B$11:$B$310)+COUNTA(条幅!$B$11:$B$310),INDEX(条幅!$D$11:$D$310,325-COUNTA(半紙!$B$11:$B$310)),IF(325&lt;=COUNTA(半紙!$B$11:$B$310)+COUNTA(条幅!$B$11:$B$310)+COUNTA(条幅4分の1!$B$11:$B$310),INDEX(条幅4分の1!$D$11:$D$310,325-COUNTA(半紙!$B$11:$B$310)-COUNTA(条幅!$B$11:$B$310)),""))))</f>
        <v/>
      </c>
      <c r="E330" s="38" t="str">
        <f>IF(IF(325&lt;=COUNTA(半紙!$B$11:$B$310),INDEX(半紙!$E$11:$E$310,325),IF(325&lt;=COUNTA(半紙!$B$11:$B$310)+COUNTA(条幅!$B$11:$B$310),INDEX(条幅!$E$11:$E$310,325-COUNTA(半紙!$B$11:$B$310)),IF(325&lt;=COUNTA(半紙!$B$11:$B$310)+COUNTA(条幅!$B$11:$B$310)+COUNTA(条幅4分の1!$B$11:$B$310),INDEX(条幅4分の1!$E$11:$E$310,325-COUNTA(半紙!$B$11:$B$310)-COUNTA(条幅!$B$11:$B$310)),"")))=0,"",IF(325&lt;=COUNTA(半紙!$B$11:$B$310),INDEX(半紙!$E$11:$E$310,325),IF(325&lt;=COUNTA(半紙!$B$11:$B$310)+COUNTA(条幅!$B$11:$B$310),INDEX(条幅!$E$11:$E$310,325-COUNTA(半紙!$B$11:$B$310)),IF(325&lt;=COUNTA(半紙!$B$11:$B$310)+COUNTA(条幅!$B$11:$B$310)+COUNTA(条幅4分の1!$B$11:$B$310),INDEX(条幅4分の1!$E$11:$E$310,325-COUNTA(半紙!$B$11:$B$310)-COUNTA(条幅!$B$11:$B$310)),""))))</f>
        <v/>
      </c>
      <c r="F330" s="38" t="str">
        <f>IF(IF(325&lt;=COUNTA(半紙!$B$11:$B$310),INDEX(半紙!$F$11:$F$310,325),IF(325&lt;=COUNTA(半紙!$B$11:$B$310)+COUNTA(条幅!$B$11:$B$310),INDEX(条幅!$F$11:$F$310,325-COUNTA(半紙!$B$11:$B$310)),IF(325&lt;=COUNTA(半紙!$B$11:$B$310)+COUNTA(条幅!$B$11:$B$310)+COUNTA(条幅4分の1!$B$11:$B$310),INDEX(条幅4分の1!$F$11:$F$310,325-COUNTA(半紙!$B$11:$B$310)-COUNTA(条幅!$B$11:$B$310)),"")))=0,"",IF(325&lt;=COUNTA(半紙!$B$11:$B$310),INDEX(半紙!$F$11:$F$310,325),IF(325&lt;=COUNTA(半紙!$B$11:$B$310)+COUNTA(条幅!$B$11:$B$310),INDEX(条幅!$F$11:$F$310,325-COUNTA(半紙!$B$11:$B$310)),IF(325&lt;=COUNTA(半紙!$B$11:$B$310)+COUNTA(条幅!$B$11:$B$310)+COUNTA(条幅4分の1!$B$11:$B$310),INDEX(条幅4分の1!$F$11:$F$310,325-COUNTA(半紙!$B$11:$B$310)-COUNTA(条幅!$B$11:$B$310)),""))))</f>
        <v/>
      </c>
      <c r="G330" s="38" t="str">
        <f>IF(IF(325&lt;=COUNTA(半紙!$B$11:$B$310),INDEX(半紙!$G$11:$G$310,325),IF(325&lt;=COUNTA(半紙!$B$11:$B$310)+COUNTA(条幅!$B$11:$B$310),INDEX(条幅!$G$11:$G$310,325-COUNTA(半紙!$B$11:$B$310)),IF(325&lt;=COUNTA(半紙!$B$11:$B$310)+COUNTA(条幅!$B$11:$B$310)+COUNTA(条幅4分の1!$B$11:$B$310),INDEX(条幅4分の1!$G$11:$G$310,325-COUNTA(半紙!$B$11:$B$310)-COUNTA(条幅!$B$11:$B$310)),"")))=0,"",IF(325&lt;=COUNTA(半紙!$B$11:$B$310),INDEX(半紙!$G$11:$G$310,325),IF(325&lt;=COUNTA(半紙!$B$11:$B$310)+COUNTA(条幅!$B$11:$B$310),INDEX(条幅!$G$11:$G$310,325-COUNTA(半紙!$B$11:$B$310)),IF(325&lt;=COUNTA(半紙!$B$11:$B$310)+COUNTA(条幅!$B$11:$B$310)+COUNTA(条幅4分の1!$B$11:$B$310),INDEX(条幅4分の1!$G$11:$G$310,325-COUNTA(半紙!$B$11:$B$310)-COUNTA(条幅!$B$11:$B$310)),""))))</f>
        <v/>
      </c>
      <c r="H330" s="38" t="str">
        <f>IF(IF(325&lt;=COUNTA(半紙!$B$11:$B$310),INDEX(半紙!$H$11:$H$310,325),IF(325&lt;=COUNTA(半紙!$B$11:$B$310)+COUNTA(条幅!$B$11:$B$310),INDEX(条幅!$H$11:$H$310,325-COUNTA(半紙!$B$11:$B$310)),IF(325&lt;=COUNTA(半紙!$B$11:$B$310)+COUNTA(条幅!$B$11:$B$310)+COUNTA(条幅4分の1!$B$11:$B$310),INDEX(条幅4分の1!$H$11:$H$310,325-COUNTA(半紙!$B$11:$B$310)-COUNTA(条幅!$B$11:$B$310)),"")))=0,"",IF(325&lt;=COUNTA(半紙!$B$11:$B$310),INDEX(半紙!$H$11:$H$310,325),IF(325&lt;=COUNTA(半紙!$B$11:$B$310)+COUNTA(条幅!$B$11:$B$310),INDEX(条幅!$H$11:$H$310,325-COUNTA(半紙!$B$11:$B$310)),IF(325&lt;=COUNTA(半紙!$B$11:$B$310)+COUNTA(条幅!$B$11:$B$310)+COUNTA(条幅4分の1!$B$11:$B$310),INDEX(条幅4分の1!$H$11:$H$310,325-COUNTA(半紙!$B$11:$B$310)-COUNTA(条幅!$B$11:$B$310)),""))))</f>
        <v/>
      </c>
      <c r="I330" s="38" t="str">
        <f>IF(IF(325&lt;=COUNTA(半紙!$B$11:$B$310),INDEX(半紙!$I$11:$I$310,325),IF(325&lt;=COUNTA(半紙!$B$11:$B$310)+COUNTA(条幅!$B$11:$B$310),INDEX(条幅!$I$11:$I$310,325-COUNTA(半紙!$B$11:$B$310)),IF(325&lt;=COUNTA(半紙!$B$11:$B$310)+COUNTA(条幅!$B$11:$B$310)+COUNTA(条幅4分の1!$B$11:$B$310),INDEX(条幅4分の1!$I$11:$I$310,325-COUNTA(半紙!$B$11:$B$310)-COUNTA(条幅!$B$11:$B$310)),"")))=0,"",IF(325&lt;=COUNTA(半紙!$B$11:$B$310),INDEX(半紙!$I$11:$I$310,325),IF(325&lt;=COUNTA(半紙!$B$11:$B$310)+COUNTA(条幅!$B$11:$B$310),INDEX(条幅!$I$11:$I$310,325-COUNTA(半紙!$B$11:$B$310)),IF(325&lt;=COUNTA(半紙!$B$11:$B$310)+COUNTA(条幅!$B$11:$B$310)+COUNTA(条幅4分の1!$B$11:$B$310),INDEX(条幅4分の1!$I$11:$I$310,325-COUNTA(半紙!$B$11:$B$310)-COUNTA(条幅!$B$11:$B$310)),""))))</f>
        <v/>
      </c>
      <c r="J330" s="38" t="str">
        <f>IF(IF(325&lt;=COUNTA(半紙!$B$11:$B$310),INDEX(半紙!$J$11:$J$310,325),IF(325&lt;=COUNTA(半紙!$B$11:$B$310)+COUNTA(条幅!$B$11:$B$310),INDEX(条幅!$J$11:$J$310,325-COUNTA(半紙!$B$11:$B$310)),IF(325&lt;=COUNTA(半紙!$B$11:$B$310)+COUNTA(条幅!$B$11:$B$310)+COUNTA(条幅4分の1!$B$11:$B$310),INDEX(条幅4分の1!$J$11:$J$310,325-COUNTA(半紙!$B$11:$B$310)-COUNTA(条幅!$B$11:$B$310)),"")))=0,"",IF(325&lt;=COUNTA(半紙!$B$11:$B$310),INDEX(半紙!$J$11:$J$310,325),IF(325&lt;=COUNTA(半紙!$B$11:$B$310)+COUNTA(条幅!$B$11:$B$310),INDEX(条幅!$J$11:$J$310,325-COUNTA(半紙!$B$11:$B$310)),IF(325&lt;=COUNTA(半紙!$B$11:$B$310)+COUNTA(条幅!$B$11:$B$310)+COUNTA(条幅4分の1!$B$11:$B$310),INDEX(条幅4分の1!$J$11:$J$310,325-COUNTA(半紙!$B$11:$B$310)-COUNTA(条幅!$B$11:$B$310)),""))))</f>
        <v/>
      </c>
      <c r="K330" s="38" t="str">
        <f>IF(IF(325&lt;=COUNTA(半紙!$B$11:$B$310),INDEX(半紙!$K$11:$K$310,325),IF(325&lt;=COUNTA(半紙!$B$11:$B$310)+COUNTA(条幅!$B$11:$B$310),INDEX(条幅!$K$11:$K$310,325-COUNTA(半紙!$B$11:$B$310)),IF(325&lt;=COUNTA(半紙!$B$11:$B$310)+COUNTA(条幅!$B$11:$B$310)+COUNTA(条幅4分の1!$B$11:$B$310),INDEX(条幅4分の1!$K$11:$K$310,325-COUNTA(半紙!$B$11:$B$310)-COUNTA(条幅!$B$11:$B$310)),"")))=0,"",IF(325&lt;=COUNTA(半紙!$B$11:$B$310),INDEX(半紙!$K$11:$K$310,325),IF(325&lt;=COUNTA(半紙!$B$11:$B$310)+COUNTA(条幅!$B$11:$B$310),INDEX(条幅!$K$11:$K$310,325-COUNTA(半紙!$B$11:$B$310)),IF(325&lt;=COUNTA(半紙!$B$11:$B$310)+COUNTA(条幅!$B$11:$B$310)+COUNTA(条幅4分の1!$B$11:$B$310),INDEX(条幅4分の1!$K$11:$K$310,325-COUNTA(半紙!$B$11:$B$310)-COUNTA(条幅!$B$11:$B$310)),""))))</f>
        <v/>
      </c>
      <c r="L330" s="48" t="str">
        <f>IF($B330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325))</f>
        <v/>
      </c>
    </row>
    <row r="331" spans="1:12" ht="15" customHeight="1">
      <c r="A331" s="37" t="str">
        <f>IF(326&lt;=COUNTA(半紙!$B$11:$B$310),"半紙",IF(326&lt;=COUNTA(半紙!$B$11:$B$310)+COUNTA(条幅!$B$11:$B$310),"条幅(半切)",IF(326&lt;=COUNTA(半紙!$B$11:$B$310)+COUNTA(条幅!$B$11:$B$310)+COUNTA(条幅4分の1!$B$11:$B$310),"条幅(1/4)","")))</f>
        <v/>
      </c>
      <c r="B331" s="38" t="str">
        <f>IF(IF(326&lt;=COUNTA(半紙!$B$11:$B$310),INDEX(半紙!$B$11:$B$310,326),IF(326&lt;=COUNTA(半紙!$B$11:$B$310)+COUNTA(条幅!$B$11:$B$310),INDEX(条幅!$B$11:$B$310,326-COUNTA(半紙!$B$11:$B$310)),IF(326&lt;=COUNTA(半紙!$B$11:$B$310)+COUNTA(条幅!$B$11:$B$310)+COUNTA(条幅4分の1!$B$11:$B$310),INDEX(条幅4分の1!$B$11:$B$310,326-COUNTA(半紙!$B$11:$B$310)-COUNTA(条幅!$B$11:$B$310)),"")))=0,"",IF(326&lt;=COUNTA(半紙!$B$11:$B$310),INDEX(半紙!$B$11:$B$310,326),IF(326&lt;=COUNTA(半紙!$B$11:$B$310)+COUNTA(条幅!$B$11:$B$310),INDEX(条幅!$B$11:$B$310,326-COUNTA(半紙!$B$11:$B$310)),IF(326&lt;=COUNTA(半紙!$B$11:$B$310)+COUNTA(条幅!$B$11:$B$310)+COUNTA(条幅4分の1!$B$11:$B$310),INDEX(条幅4分の1!$B$11:$B$310,326-COUNTA(半紙!$B$11:$B$310)-COUNTA(条幅!$B$11:$B$310)),""))))</f>
        <v/>
      </c>
      <c r="C331" s="38" t="str">
        <f>IF(IF(326&lt;=COUNTA(半紙!$B$11:$B$310),INDEX(半紙!$C$11:$C$310,326),IF(326&lt;=COUNTA(半紙!$B$11:$B$310)+COUNTA(条幅!$B$11:$B$310),INDEX(条幅!$C$11:$C$310,326-COUNTA(半紙!$B$11:$B$310)),IF(326&lt;=COUNTA(半紙!$B$11:$B$310)+COUNTA(条幅!$B$11:$B$310)+COUNTA(条幅4分の1!$B$11:$B$310),INDEX(条幅4分の1!$C$11:$C$310,326-COUNTA(半紙!$B$11:$B$310)-COUNTA(条幅!$B$11:$B$310)),"")))=0,"",IF(326&lt;=COUNTA(半紙!$B$11:$B$310),INDEX(半紙!$C$11:$C$310,326),IF(326&lt;=COUNTA(半紙!$B$11:$B$310)+COUNTA(条幅!$B$11:$B$310),INDEX(条幅!$C$11:$C$310,326-COUNTA(半紙!$B$11:$B$310)),IF(326&lt;=COUNTA(半紙!$B$11:$B$310)+COUNTA(条幅!$B$11:$B$310)+COUNTA(条幅4分の1!$B$11:$B$310),INDEX(条幅4分の1!$C$11:$C$310,326-COUNTA(半紙!$B$11:$B$310)-COUNTA(条幅!$B$11:$B$310)),""))))</f>
        <v/>
      </c>
      <c r="D331" s="38" t="str">
        <f>IF(IF(326&lt;=COUNTA(半紙!$B$11:$B$310),INDEX(半紙!$D$11:$D$310,326),IF(326&lt;=COUNTA(半紙!$B$11:$B$310)+COUNTA(条幅!$B$11:$B$310),INDEX(条幅!$D$11:$D$310,326-COUNTA(半紙!$B$11:$B$310)),IF(326&lt;=COUNTA(半紙!$B$11:$B$310)+COUNTA(条幅!$B$11:$B$310)+COUNTA(条幅4分の1!$B$11:$B$310),INDEX(条幅4分の1!$D$11:$D$310,326-COUNTA(半紙!$B$11:$B$310)-COUNTA(条幅!$B$11:$B$310)),"")))=0,"",IF(326&lt;=COUNTA(半紙!$B$11:$B$310),INDEX(半紙!$D$11:$D$310,326),IF(326&lt;=COUNTA(半紙!$B$11:$B$310)+COUNTA(条幅!$B$11:$B$310),INDEX(条幅!$D$11:$D$310,326-COUNTA(半紙!$B$11:$B$310)),IF(326&lt;=COUNTA(半紙!$B$11:$B$310)+COUNTA(条幅!$B$11:$B$310)+COUNTA(条幅4分の1!$B$11:$B$310),INDEX(条幅4分の1!$D$11:$D$310,326-COUNTA(半紙!$B$11:$B$310)-COUNTA(条幅!$B$11:$B$310)),""))))</f>
        <v/>
      </c>
      <c r="E331" s="38" t="str">
        <f>IF(IF(326&lt;=COUNTA(半紙!$B$11:$B$310),INDEX(半紙!$E$11:$E$310,326),IF(326&lt;=COUNTA(半紙!$B$11:$B$310)+COUNTA(条幅!$B$11:$B$310),INDEX(条幅!$E$11:$E$310,326-COUNTA(半紙!$B$11:$B$310)),IF(326&lt;=COUNTA(半紙!$B$11:$B$310)+COUNTA(条幅!$B$11:$B$310)+COUNTA(条幅4分の1!$B$11:$B$310),INDEX(条幅4分の1!$E$11:$E$310,326-COUNTA(半紙!$B$11:$B$310)-COUNTA(条幅!$B$11:$B$310)),"")))=0,"",IF(326&lt;=COUNTA(半紙!$B$11:$B$310),INDEX(半紙!$E$11:$E$310,326),IF(326&lt;=COUNTA(半紙!$B$11:$B$310)+COUNTA(条幅!$B$11:$B$310),INDEX(条幅!$E$11:$E$310,326-COUNTA(半紙!$B$11:$B$310)),IF(326&lt;=COUNTA(半紙!$B$11:$B$310)+COUNTA(条幅!$B$11:$B$310)+COUNTA(条幅4分の1!$B$11:$B$310),INDEX(条幅4分の1!$E$11:$E$310,326-COUNTA(半紙!$B$11:$B$310)-COUNTA(条幅!$B$11:$B$310)),""))))</f>
        <v/>
      </c>
      <c r="F331" s="38" t="str">
        <f>IF(IF(326&lt;=COUNTA(半紙!$B$11:$B$310),INDEX(半紙!$F$11:$F$310,326),IF(326&lt;=COUNTA(半紙!$B$11:$B$310)+COUNTA(条幅!$B$11:$B$310),INDEX(条幅!$F$11:$F$310,326-COUNTA(半紙!$B$11:$B$310)),IF(326&lt;=COUNTA(半紙!$B$11:$B$310)+COUNTA(条幅!$B$11:$B$310)+COUNTA(条幅4分の1!$B$11:$B$310),INDEX(条幅4分の1!$F$11:$F$310,326-COUNTA(半紙!$B$11:$B$310)-COUNTA(条幅!$B$11:$B$310)),"")))=0,"",IF(326&lt;=COUNTA(半紙!$B$11:$B$310),INDEX(半紙!$F$11:$F$310,326),IF(326&lt;=COUNTA(半紙!$B$11:$B$310)+COUNTA(条幅!$B$11:$B$310),INDEX(条幅!$F$11:$F$310,326-COUNTA(半紙!$B$11:$B$310)),IF(326&lt;=COUNTA(半紙!$B$11:$B$310)+COUNTA(条幅!$B$11:$B$310)+COUNTA(条幅4分の1!$B$11:$B$310),INDEX(条幅4分の1!$F$11:$F$310,326-COUNTA(半紙!$B$11:$B$310)-COUNTA(条幅!$B$11:$B$310)),""))))</f>
        <v/>
      </c>
      <c r="G331" s="38" t="str">
        <f>IF(IF(326&lt;=COUNTA(半紙!$B$11:$B$310),INDEX(半紙!$G$11:$G$310,326),IF(326&lt;=COUNTA(半紙!$B$11:$B$310)+COUNTA(条幅!$B$11:$B$310),INDEX(条幅!$G$11:$G$310,326-COUNTA(半紙!$B$11:$B$310)),IF(326&lt;=COUNTA(半紙!$B$11:$B$310)+COUNTA(条幅!$B$11:$B$310)+COUNTA(条幅4分の1!$B$11:$B$310),INDEX(条幅4分の1!$G$11:$G$310,326-COUNTA(半紙!$B$11:$B$310)-COUNTA(条幅!$B$11:$B$310)),"")))=0,"",IF(326&lt;=COUNTA(半紙!$B$11:$B$310),INDEX(半紙!$G$11:$G$310,326),IF(326&lt;=COUNTA(半紙!$B$11:$B$310)+COUNTA(条幅!$B$11:$B$310),INDEX(条幅!$G$11:$G$310,326-COUNTA(半紙!$B$11:$B$310)),IF(326&lt;=COUNTA(半紙!$B$11:$B$310)+COUNTA(条幅!$B$11:$B$310)+COUNTA(条幅4分の1!$B$11:$B$310),INDEX(条幅4分の1!$G$11:$G$310,326-COUNTA(半紙!$B$11:$B$310)-COUNTA(条幅!$B$11:$B$310)),""))))</f>
        <v/>
      </c>
      <c r="H331" s="38" t="str">
        <f>IF(IF(326&lt;=COUNTA(半紙!$B$11:$B$310),INDEX(半紙!$H$11:$H$310,326),IF(326&lt;=COUNTA(半紙!$B$11:$B$310)+COUNTA(条幅!$B$11:$B$310),INDEX(条幅!$H$11:$H$310,326-COUNTA(半紙!$B$11:$B$310)),IF(326&lt;=COUNTA(半紙!$B$11:$B$310)+COUNTA(条幅!$B$11:$B$310)+COUNTA(条幅4分の1!$B$11:$B$310),INDEX(条幅4分の1!$H$11:$H$310,326-COUNTA(半紙!$B$11:$B$310)-COUNTA(条幅!$B$11:$B$310)),"")))=0,"",IF(326&lt;=COUNTA(半紙!$B$11:$B$310),INDEX(半紙!$H$11:$H$310,326),IF(326&lt;=COUNTA(半紙!$B$11:$B$310)+COUNTA(条幅!$B$11:$B$310),INDEX(条幅!$H$11:$H$310,326-COUNTA(半紙!$B$11:$B$310)),IF(326&lt;=COUNTA(半紙!$B$11:$B$310)+COUNTA(条幅!$B$11:$B$310)+COUNTA(条幅4分の1!$B$11:$B$310),INDEX(条幅4分の1!$H$11:$H$310,326-COUNTA(半紙!$B$11:$B$310)-COUNTA(条幅!$B$11:$B$310)),""))))</f>
        <v/>
      </c>
      <c r="I331" s="38" t="str">
        <f>IF(IF(326&lt;=COUNTA(半紙!$B$11:$B$310),INDEX(半紙!$I$11:$I$310,326),IF(326&lt;=COUNTA(半紙!$B$11:$B$310)+COUNTA(条幅!$B$11:$B$310),INDEX(条幅!$I$11:$I$310,326-COUNTA(半紙!$B$11:$B$310)),IF(326&lt;=COUNTA(半紙!$B$11:$B$310)+COUNTA(条幅!$B$11:$B$310)+COUNTA(条幅4分の1!$B$11:$B$310),INDEX(条幅4分の1!$I$11:$I$310,326-COUNTA(半紙!$B$11:$B$310)-COUNTA(条幅!$B$11:$B$310)),"")))=0,"",IF(326&lt;=COUNTA(半紙!$B$11:$B$310),INDEX(半紙!$I$11:$I$310,326),IF(326&lt;=COUNTA(半紙!$B$11:$B$310)+COUNTA(条幅!$B$11:$B$310),INDEX(条幅!$I$11:$I$310,326-COUNTA(半紙!$B$11:$B$310)),IF(326&lt;=COUNTA(半紙!$B$11:$B$310)+COUNTA(条幅!$B$11:$B$310)+COUNTA(条幅4分の1!$B$11:$B$310),INDEX(条幅4分の1!$I$11:$I$310,326-COUNTA(半紙!$B$11:$B$310)-COUNTA(条幅!$B$11:$B$310)),""))))</f>
        <v/>
      </c>
      <c r="J331" s="38" t="str">
        <f>IF(IF(326&lt;=COUNTA(半紙!$B$11:$B$310),INDEX(半紙!$J$11:$J$310,326),IF(326&lt;=COUNTA(半紙!$B$11:$B$310)+COUNTA(条幅!$B$11:$B$310),INDEX(条幅!$J$11:$J$310,326-COUNTA(半紙!$B$11:$B$310)),IF(326&lt;=COUNTA(半紙!$B$11:$B$310)+COUNTA(条幅!$B$11:$B$310)+COUNTA(条幅4分の1!$B$11:$B$310),INDEX(条幅4分の1!$J$11:$J$310,326-COUNTA(半紙!$B$11:$B$310)-COUNTA(条幅!$B$11:$B$310)),"")))=0,"",IF(326&lt;=COUNTA(半紙!$B$11:$B$310),INDEX(半紙!$J$11:$J$310,326),IF(326&lt;=COUNTA(半紙!$B$11:$B$310)+COUNTA(条幅!$B$11:$B$310),INDEX(条幅!$J$11:$J$310,326-COUNTA(半紙!$B$11:$B$310)),IF(326&lt;=COUNTA(半紙!$B$11:$B$310)+COUNTA(条幅!$B$11:$B$310)+COUNTA(条幅4分の1!$B$11:$B$310),INDEX(条幅4分の1!$J$11:$J$310,326-COUNTA(半紙!$B$11:$B$310)-COUNTA(条幅!$B$11:$B$310)),""))))</f>
        <v/>
      </c>
      <c r="K331" s="38" t="str">
        <f>IF(IF(326&lt;=COUNTA(半紙!$B$11:$B$310),INDEX(半紙!$K$11:$K$310,326),IF(326&lt;=COUNTA(半紙!$B$11:$B$310)+COUNTA(条幅!$B$11:$B$310),INDEX(条幅!$K$11:$K$310,326-COUNTA(半紙!$B$11:$B$310)),IF(326&lt;=COUNTA(半紙!$B$11:$B$310)+COUNTA(条幅!$B$11:$B$310)+COUNTA(条幅4分の1!$B$11:$B$310),INDEX(条幅4分の1!$K$11:$K$310,326-COUNTA(半紙!$B$11:$B$310)-COUNTA(条幅!$B$11:$B$310)),"")))=0,"",IF(326&lt;=COUNTA(半紙!$B$11:$B$310),INDEX(半紙!$K$11:$K$310,326),IF(326&lt;=COUNTA(半紙!$B$11:$B$310)+COUNTA(条幅!$B$11:$B$310),INDEX(条幅!$K$11:$K$310,326-COUNTA(半紙!$B$11:$B$310)),IF(326&lt;=COUNTA(半紙!$B$11:$B$310)+COUNTA(条幅!$B$11:$B$310)+COUNTA(条幅4分の1!$B$11:$B$310),INDEX(条幅4分の1!$K$11:$K$310,326-COUNTA(半紙!$B$11:$B$310)-COUNTA(条幅!$B$11:$B$310)),""))))</f>
        <v/>
      </c>
      <c r="L331" s="48" t="str">
        <f>IF($B331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326))</f>
        <v/>
      </c>
    </row>
    <row r="332" spans="1:12" ht="15" customHeight="1">
      <c r="A332" s="37" t="str">
        <f>IF(327&lt;=COUNTA(半紙!$B$11:$B$310),"半紙",IF(327&lt;=COUNTA(半紙!$B$11:$B$310)+COUNTA(条幅!$B$11:$B$310),"条幅(半切)",IF(327&lt;=COUNTA(半紙!$B$11:$B$310)+COUNTA(条幅!$B$11:$B$310)+COUNTA(条幅4分の1!$B$11:$B$310),"条幅(1/4)","")))</f>
        <v/>
      </c>
      <c r="B332" s="38" t="str">
        <f>IF(IF(327&lt;=COUNTA(半紙!$B$11:$B$310),INDEX(半紙!$B$11:$B$310,327),IF(327&lt;=COUNTA(半紙!$B$11:$B$310)+COUNTA(条幅!$B$11:$B$310),INDEX(条幅!$B$11:$B$310,327-COUNTA(半紙!$B$11:$B$310)),IF(327&lt;=COUNTA(半紙!$B$11:$B$310)+COUNTA(条幅!$B$11:$B$310)+COUNTA(条幅4分の1!$B$11:$B$310),INDEX(条幅4分の1!$B$11:$B$310,327-COUNTA(半紙!$B$11:$B$310)-COUNTA(条幅!$B$11:$B$310)),"")))=0,"",IF(327&lt;=COUNTA(半紙!$B$11:$B$310),INDEX(半紙!$B$11:$B$310,327),IF(327&lt;=COUNTA(半紙!$B$11:$B$310)+COUNTA(条幅!$B$11:$B$310),INDEX(条幅!$B$11:$B$310,327-COUNTA(半紙!$B$11:$B$310)),IF(327&lt;=COUNTA(半紙!$B$11:$B$310)+COUNTA(条幅!$B$11:$B$310)+COUNTA(条幅4分の1!$B$11:$B$310),INDEX(条幅4分の1!$B$11:$B$310,327-COUNTA(半紙!$B$11:$B$310)-COUNTA(条幅!$B$11:$B$310)),""))))</f>
        <v/>
      </c>
      <c r="C332" s="38" t="str">
        <f>IF(IF(327&lt;=COUNTA(半紙!$B$11:$B$310),INDEX(半紙!$C$11:$C$310,327),IF(327&lt;=COUNTA(半紙!$B$11:$B$310)+COUNTA(条幅!$B$11:$B$310),INDEX(条幅!$C$11:$C$310,327-COUNTA(半紙!$B$11:$B$310)),IF(327&lt;=COUNTA(半紙!$B$11:$B$310)+COUNTA(条幅!$B$11:$B$310)+COUNTA(条幅4分の1!$B$11:$B$310),INDEX(条幅4分の1!$C$11:$C$310,327-COUNTA(半紙!$B$11:$B$310)-COUNTA(条幅!$B$11:$B$310)),"")))=0,"",IF(327&lt;=COUNTA(半紙!$B$11:$B$310),INDEX(半紙!$C$11:$C$310,327),IF(327&lt;=COUNTA(半紙!$B$11:$B$310)+COUNTA(条幅!$B$11:$B$310),INDEX(条幅!$C$11:$C$310,327-COUNTA(半紙!$B$11:$B$310)),IF(327&lt;=COUNTA(半紙!$B$11:$B$310)+COUNTA(条幅!$B$11:$B$310)+COUNTA(条幅4分の1!$B$11:$B$310),INDEX(条幅4分の1!$C$11:$C$310,327-COUNTA(半紙!$B$11:$B$310)-COUNTA(条幅!$B$11:$B$310)),""))))</f>
        <v/>
      </c>
      <c r="D332" s="38" t="str">
        <f>IF(IF(327&lt;=COUNTA(半紙!$B$11:$B$310),INDEX(半紙!$D$11:$D$310,327),IF(327&lt;=COUNTA(半紙!$B$11:$B$310)+COUNTA(条幅!$B$11:$B$310),INDEX(条幅!$D$11:$D$310,327-COUNTA(半紙!$B$11:$B$310)),IF(327&lt;=COUNTA(半紙!$B$11:$B$310)+COUNTA(条幅!$B$11:$B$310)+COUNTA(条幅4分の1!$B$11:$B$310),INDEX(条幅4分の1!$D$11:$D$310,327-COUNTA(半紙!$B$11:$B$310)-COUNTA(条幅!$B$11:$B$310)),"")))=0,"",IF(327&lt;=COUNTA(半紙!$B$11:$B$310),INDEX(半紙!$D$11:$D$310,327),IF(327&lt;=COUNTA(半紙!$B$11:$B$310)+COUNTA(条幅!$B$11:$B$310),INDEX(条幅!$D$11:$D$310,327-COUNTA(半紙!$B$11:$B$310)),IF(327&lt;=COUNTA(半紙!$B$11:$B$310)+COUNTA(条幅!$B$11:$B$310)+COUNTA(条幅4分の1!$B$11:$B$310),INDEX(条幅4分の1!$D$11:$D$310,327-COUNTA(半紙!$B$11:$B$310)-COUNTA(条幅!$B$11:$B$310)),""))))</f>
        <v/>
      </c>
      <c r="E332" s="38" t="str">
        <f>IF(IF(327&lt;=COUNTA(半紙!$B$11:$B$310),INDEX(半紙!$E$11:$E$310,327),IF(327&lt;=COUNTA(半紙!$B$11:$B$310)+COUNTA(条幅!$B$11:$B$310),INDEX(条幅!$E$11:$E$310,327-COUNTA(半紙!$B$11:$B$310)),IF(327&lt;=COUNTA(半紙!$B$11:$B$310)+COUNTA(条幅!$B$11:$B$310)+COUNTA(条幅4分の1!$B$11:$B$310),INDEX(条幅4分の1!$E$11:$E$310,327-COUNTA(半紙!$B$11:$B$310)-COUNTA(条幅!$B$11:$B$310)),"")))=0,"",IF(327&lt;=COUNTA(半紙!$B$11:$B$310),INDEX(半紙!$E$11:$E$310,327),IF(327&lt;=COUNTA(半紙!$B$11:$B$310)+COUNTA(条幅!$B$11:$B$310),INDEX(条幅!$E$11:$E$310,327-COUNTA(半紙!$B$11:$B$310)),IF(327&lt;=COUNTA(半紙!$B$11:$B$310)+COUNTA(条幅!$B$11:$B$310)+COUNTA(条幅4分の1!$B$11:$B$310),INDEX(条幅4分の1!$E$11:$E$310,327-COUNTA(半紙!$B$11:$B$310)-COUNTA(条幅!$B$11:$B$310)),""))))</f>
        <v/>
      </c>
      <c r="F332" s="38" t="str">
        <f>IF(IF(327&lt;=COUNTA(半紙!$B$11:$B$310),INDEX(半紙!$F$11:$F$310,327),IF(327&lt;=COUNTA(半紙!$B$11:$B$310)+COUNTA(条幅!$B$11:$B$310),INDEX(条幅!$F$11:$F$310,327-COUNTA(半紙!$B$11:$B$310)),IF(327&lt;=COUNTA(半紙!$B$11:$B$310)+COUNTA(条幅!$B$11:$B$310)+COUNTA(条幅4分の1!$B$11:$B$310),INDEX(条幅4分の1!$F$11:$F$310,327-COUNTA(半紙!$B$11:$B$310)-COUNTA(条幅!$B$11:$B$310)),"")))=0,"",IF(327&lt;=COUNTA(半紙!$B$11:$B$310),INDEX(半紙!$F$11:$F$310,327),IF(327&lt;=COUNTA(半紙!$B$11:$B$310)+COUNTA(条幅!$B$11:$B$310),INDEX(条幅!$F$11:$F$310,327-COUNTA(半紙!$B$11:$B$310)),IF(327&lt;=COUNTA(半紙!$B$11:$B$310)+COUNTA(条幅!$B$11:$B$310)+COUNTA(条幅4分の1!$B$11:$B$310),INDEX(条幅4分の1!$F$11:$F$310,327-COUNTA(半紙!$B$11:$B$310)-COUNTA(条幅!$B$11:$B$310)),""))))</f>
        <v/>
      </c>
      <c r="G332" s="38" t="str">
        <f>IF(IF(327&lt;=COUNTA(半紙!$B$11:$B$310),INDEX(半紙!$G$11:$G$310,327),IF(327&lt;=COUNTA(半紙!$B$11:$B$310)+COUNTA(条幅!$B$11:$B$310),INDEX(条幅!$G$11:$G$310,327-COUNTA(半紙!$B$11:$B$310)),IF(327&lt;=COUNTA(半紙!$B$11:$B$310)+COUNTA(条幅!$B$11:$B$310)+COUNTA(条幅4分の1!$B$11:$B$310),INDEX(条幅4分の1!$G$11:$G$310,327-COUNTA(半紙!$B$11:$B$310)-COUNTA(条幅!$B$11:$B$310)),"")))=0,"",IF(327&lt;=COUNTA(半紙!$B$11:$B$310),INDEX(半紙!$G$11:$G$310,327),IF(327&lt;=COUNTA(半紙!$B$11:$B$310)+COUNTA(条幅!$B$11:$B$310),INDEX(条幅!$G$11:$G$310,327-COUNTA(半紙!$B$11:$B$310)),IF(327&lt;=COUNTA(半紙!$B$11:$B$310)+COUNTA(条幅!$B$11:$B$310)+COUNTA(条幅4分の1!$B$11:$B$310),INDEX(条幅4分の1!$G$11:$G$310,327-COUNTA(半紙!$B$11:$B$310)-COUNTA(条幅!$B$11:$B$310)),""))))</f>
        <v/>
      </c>
      <c r="H332" s="38" t="str">
        <f>IF(IF(327&lt;=COUNTA(半紙!$B$11:$B$310),INDEX(半紙!$H$11:$H$310,327),IF(327&lt;=COUNTA(半紙!$B$11:$B$310)+COUNTA(条幅!$B$11:$B$310),INDEX(条幅!$H$11:$H$310,327-COUNTA(半紙!$B$11:$B$310)),IF(327&lt;=COUNTA(半紙!$B$11:$B$310)+COUNTA(条幅!$B$11:$B$310)+COUNTA(条幅4分の1!$B$11:$B$310),INDEX(条幅4分の1!$H$11:$H$310,327-COUNTA(半紙!$B$11:$B$310)-COUNTA(条幅!$B$11:$B$310)),"")))=0,"",IF(327&lt;=COUNTA(半紙!$B$11:$B$310),INDEX(半紙!$H$11:$H$310,327),IF(327&lt;=COUNTA(半紙!$B$11:$B$310)+COUNTA(条幅!$B$11:$B$310),INDEX(条幅!$H$11:$H$310,327-COUNTA(半紙!$B$11:$B$310)),IF(327&lt;=COUNTA(半紙!$B$11:$B$310)+COUNTA(条幅!$B$11:$B$310)+COUNTA(条幅4分の1!$B$11:$B$310),INDEX(条幅4分の1!$H$11:$H$310,327-COUNTA(半紙!$B$11:$B$310)-COUNTA(条幅!$B$11:$B$310)),""))))</f>
        <v/>
      </c>
      <c r="I332" s="38" t="str">
        <f>IF(IF(327&lt;=COUNTA(半紙!$B$11:$B$310),INDEX(半紙!$I$11:$I$310,327),IF(327&lt;=COUNTA(半紙!$B$11:$B$310)+COUNTA(条幅!$B$11:$B$310),INDEX(条幅!$I$11:$I$310,327-COUNTA(半紙!$B$11:$B$310)),IF(327&lt;=COUNTA(半紙!$B$11:$B$310)+COUNTA(条幅!$B$11:$B$310)+COUNTA(条幅4分の1!$B$11:$B$310),INDEX(条幅4分の1!$I$11:$I$310,327-COUNTA(半紙!$B$11:$B$310)-COUNTA(条幅!$B$11:$B$310)),"")))=0,"",IF(327&lt;=COUNTA(半紙!$B$11:$B$310),INDEX(半紙!$I$11:$I$310,327),IF(327&lt;=COUNTA(半紙!$B$11:$B$310)+COUNTA(条幅!$B$11:$B$310),INDEX(条幅!$I$11:$I$310,327-COUNTA(半紙!$B$11:$B$310)),IF(327&lt;=COUNTA(半紙!$B$11:$B$310)+COUNTA(条幅!$B$11:$B$310)+COUNTA(条幅4分の1!$B$11:$B$310),INDEX(条幅4分の1!$I$11:$I$310,327-COUNTA(半紙!$B$11:$B$310)-COUNTA(条幅!$B$11:$B$310)),""))))</f>
        <v/>
      </c>
      <c r="J332" s="38" t="str">
        <f>IF(IF(327&lt;=COUNTA(半紙!$B$11:$B$310),INDEX(半紙!$J$11:$J$310,327),IF(327&lt;=COUNTA(半紙!$B$11:$B$310)+COUNTA(条幅!$B$11:$B$310),INDEX(条幅!$J$11:$J$310,327-COUNTA(半紙!$B$11:$B$310)),IF(327&lt;=COUNTA(半紙!$B$11:$B$310)+COUNTA(条幅!$B$11:$B$310)+COUNTA(条幅4分の1!$B$11:$B$310),INDEX(条幅4分の1!$J$11:$J$310,327-COUNTA(半紙!$B$11:$B$310)-COUNTA(条幅!$B$11:$B$310)),"")))=0,"",IF(327&lt;=COUNTA(半紙!$B$11:$B$310),INDEX(半紙!$J$11:$J$310,327),IF(327&lt;=COUNTA(半紙!$B$11:$B$310)+COUNTA(条幅!$B$11:$B$310),INDEX(条幅!$J$11:$J$310,327-COUNTA(半紙!$B$11:$B$310)),IF(327&lt;=COUNTA(半紙!$B$11:$B$310)+COUNTA(条幅!$B$11:$B$310)+COUNTA(条幅4分の1!$B$11:$B$310),INDEX(条幅4分の1!$J$11:$J$310,327-COUNTA(半紙!$B$11:$B$310)-COUNTA(条幅!$B$11:$B$310)),""))))</f>
        <v/>
      </c>
      <c r="K332" s="38" t="str">
        <f>IF(IF(327&lt;=COUNTA(半紙!$B$11:$B$310),INDEX(半紙!$K$11:$K$310,327),IF(327&lt;=COUNTA(半紙!$B$11:$B$310)+COUNTA(条幅!$B$11:$B$310),INDEX(条幅!$K$11:$K$310,327-COUNTA(半紙!$B$11:$B$310)),IF(327&lt;=COUNTA(半紙!$B$11:$B$310)+COUNTA(条幅!$B$11:$B$310)+COUNTA(条幅4分の1!$B$11:$B$310),INDEX(条幅4分の1!$K$11:$K$310,327-COUNTA(半紙!$B$11:$B$310)-COUNTA(条幅!$B$11:$B$310)),"")))=0,"",IF(327&lt;=COUNTA(半紙!$B$11:$B$310),INDEX(半紙!$K$11:$K$310,327),IF(327&lt;=COUNTA(半紙!$B$11:$B$310)+COUNTA(条幅!$B$11:$B$310),INDEX(条幅!$K$11:$K$310,327-COUNTA(半紙!$B$11:$B$310)),IF(327&lt;=COUNTA(半紙!$B$11:$B$310)+COUNTA(条幅!$B$11:$B$310)+COUNTA(条幅4分の1!$B$11:$B$310),INDEX(条幅4分の1!$K$11:$K$310,327-COUNTA(半紙!$B$11:$B$310)-COUNTA(条幅!$B$11:$B$310)),""))))</f>
        <v/>
      </c>
      <c r="L332" s="48" t="str">
        <f>IF($B332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327))</f>
        <v/>
      </c>
    </row>
    <row r="333" spans="1:12" ht="15" customHeight="1">
      <c r="A333" s="37" t="str">
        <f>IF(328&lt;=COUNTA(半紙!$B$11:$B$310),"半紙",IF(328&lt;=COUNTA(半紙!$B$11:$B$310)+COUNTA(条幅!$B$11:$B$310),"条幅(半切)",IF(328&lt;=COUNTA(半紙!$B$11:$B$310)+COUNTA(条幅!$B$11:$B$310)+COUNTA(条幅4分の1!$B$11:$B$310),"条幅(1/4)","")))</f>
        <v/>
      </c>
      <c r="B333" s="38" t="str">
        <f>IF(IF(328&lt;=COUNTA(半紙!$B$11:$B$310),INDEX(半紙!$B$11:$B$310,328),IF(328&lt;=COUNTA(半紙!$B$11:$B$310)+COUNTA(条幅!$B$11:$B$310),INDEX(条幅!$B$11:$B$310,328-COUNTA(半紙!$B$11:$B$310)),IF(328&lt;=COUNTA(半紙!$B$11:$B$310)+COUNTA(条幅!$B$11:$B$310)+COUNTA(条幅4分の1!$B$11:$B$310),INDEX(条幅4分の1!$B$11:$B$310,328-COUNTA(半紙!$B$11:$B$310)-COUNTA(条幅!$B$11:$B$310)),"")))=0,"",IF(328&lt;=COUNTA(半紙!$B$11:$B$310),INDEX(半紙!$B$11:$B$310,328),IF(328&lt;=COUNTA(半紙!$B$11:$B$310)+COUNTA(条幅!$B$11:$B$310),INDEX(条幅!$B$11:$B$310,328-COUNTA(半紙!$B$11:$B$310)),IF(328&lt;=COUNTA(半紙!$B$11:$B$310)+COUNTA(条幅!$B$11:$B$310)+COUNTA(条幅4分の1!$B$11:$B$310),INDEX(条幅4分の1!$B$11:$B$310,328-COUNTA(半紙!$B$11:$B$310)-COUNTA(条幅!$B$11:$B$310)),""))))</f>
        <v/>
      </c>
      <c r="C333" s="38" t="str">
        <f>IF(IF(328&lt;=COUNTA(半紙!$B$11:$B$310),INDEX(半紙!$C$11:$C$310,328),IF(328&lt;=COUNTA(半紙!$B$11:$B$310)+COUNTA(条幅!$B$11:$B$310),INDEX(条幅!$C$11:$C$310,328-COUNTA(半紙!$B$11:$B$310)),IF(328&lt;=COUNTA(半紙!$B$11:$B$310)+COUNTA(条幅!$B$11:$B$310)+COUNTA(条幅4分の1!$B$11:$B$310),INDEX(条幅4分の1!$C$11:$C$310,328-COUNTA(半紙!$B$11:$B$310)-COUNTA(条幅!$B$11:$B$310)),"")))=0,"",IF(328&lt;=COUNTA(半紙!$B$11:$B$310),INDEX(半紙!$C$11:$C$310,328),IF(328&lt;=COUNTA(半紙!$B$11:$B$310)+COUNTA(条幅!$B$11:$B$310),INDEX(条幅!$C$11:$C$310,328-COUNTA(半紙!$B$11:$B$310)),IF(328&lt;=COUNTA(半紙!$B$11:$B$310)+COUNTA(条幅!$B$11:$B$310)+COUNTA(条幅4分の1!$B$11:$B$310),INDEX(条幅4分の1!$C$11:$C$310,328-COUNTA(半紙!$B$11:$B$310)-COUNTA(条幅!$B$11:$B$310)),""))))</f>
        <v/>
      </c>
      <c r="D333" s="38" t="str">
        <f>IF(IF(328&lt;=COUNTA(半紙!$B$11:$B$310),INDEX(半紙!$D$11:$D$310,328),IF(328&lt;=COUNTA(半紙!$B$11:$B$310)+COUNTA(条幅!$B$11:$B$310),INDEX(条幅!$D$11:$D$310,328-COUNTA(半紙!$B$11:$B$310)),IF(328&lt;=COUNTA(半紙!$B$11:$B$310)+COUNTA(条幅!$B$11:$B$310)+COUNTA(条幅4分の1!$B$11:$B$310),INDEX(条幅4分の1!$D$11:$D$310,328-COUNTA(半紙!$B$11:$B$310)-COUNTA(条幅!$B$11:$B$310)),"")))=0,"",IF(328&lt;=COUNTA(半紙!$B$11:$B$310),INDEX(半紙!$D$11:$D$310,328),IF(328&lt;=COUNTA(半紙!$B$11:$B$310)+COUNTA(条幅!$B$11:$B$310),INDEX(条幅!$D$11:$D$310,328-COUNTA(半紙!$B$11:$B$310)),IF(328&lt;=COUNTA(半紙!$B$11:$B$310)+COUNTA(条幅!$B$11:$B$310)+COUNTA(条幅4分の1!$B$11:$B$310),INDEX(条幅4分の1!$D$11:$D$310,328-COUNTA(半紙!$B$11:$B$310)-COUNTA(条幅!$B$11:$B$310)),""))))</f>
        <v/>
      </c>
      <c r="E333" s="38" t="str">
        <f>IF(IF(328&lt;=COUNTA(半紙!$B$11:$B$310),INDEX(半紙!$E$11:$E$310,328),IF(328&lt;=COUNTA(半紙!$B$11:$B$310)+COUNTA(条幅!$B$11:$B$310),INDEX(条幅!$E$11:$E$310,328-COUNTA(半紙!$B$11:$B$310)),IF(328&lt;=COUNTA(半紙!$B$11:$B$310)+COUNTA(条幅!$B$11:$B$310)+COUNTA(条幅4分の1!$B$11:$B$310),INDEX(条幅4分の1!$E$11:$E$310,328-COUNTA(半紙!$B$11:$B$310)-COUNTA(条幅!$B$11:$B$310)),"")))=0,"",IF(328&lt;=COUNTA(半紙!$B$11:$B$310),INDEX(半紙!$E$11:$E$310,328),IF(328&lt;=COUNTA(半紙!$B$11:$B$310)+COUNTA(条幅!$B$11:$B$310),INDEX(条幅!$E$11:$E$310,328-COUNTA(半紙!$B$11:$B$310)),IF(328&lt;=COUNTA(半紙!$B$11:$B$310)+COUNTA(条幅!$B$11:$B$310)+COUNTA(条幅4分の1!$B$11:$B$310),INDEX(条幅4分の1!$E$11:$E$310,328-COUNTA(半紙!$B$11:$B$310)-COUNTA(条幅!$B$11:$B$310)),""))))</f>
        <v/>
      </c>
      <c r="F333" s="38" t="str">
        <f>IF(IF(328&lt;=COUNTA(半紙!$B$11:$B$310),INDEX(半紙!$F$11:$F$310,328),IF(328&lt;=COUNTA(半紙!$B$11:$B$310)+COUNTA(条幅!$B$11:$B$310),INDEX(条幅!$F$11:$F$310,328-COUNTA(半紙!$B$11:$B$310)),IF(328&lt;=COUNTA(半紙!$B$11:$B$310)+COUNTA(条幅!$B$11:$B$310)+COUNTA(条幅4分の1!$B$11:$B$310),INDEX(条幅4分の1!$F$11:$F$310,328-COUNTA(半紙!$B$11:$B$310)-COUNTA(条幅!$B$11:$B$310)),"")))=0,"",IF(328&lt;=COUNTA(半紙!$B$11:$B$310),INDEX(半紙!$F$11:$F$310,328),IF(328&lt;=COUNTA(半紙!$B$11:$B$310)+COUNTA(条幅!$B$11:$B$310),INDEX(条幅!$F$11:$F$310,328-COUNTA(半紙!$B$11:$B$310)),IF(328&lt;=COUNTA(半紙!$B$11:$B$310)+COUNTA(条幅!$B$11:$B$310)+COUNTA(条幅4分の1!$B$11:$B$310),INDEX(条幅4分の1!$F$11:$F$310,328-COUNTA(半紙!$B$11:$B$310)-COUNTA(条幅!$B$11:$B$310)),""))))</f>
        <v/>
      </c>
      <c r="G333" s="38" t="str">
        <f>IF(IF(328&lt;=COUNTA(半紙!$B$11:$B$310),INDEX(半紙!$G$11:$G$310,328),IF(328&lt;=COUNTA(半紙!$B$11:$B$310)+COUNTA(条幅!$B$11:$B$310),INDEX(条幅!$G$11:$G$310,328-COUNTA(半紙!$B$11:$B$310)),IF(328&lt;=COUNTA(半紙!$B$11:$B$310)+COUNTA(条幅!$B$11:$B$310)+COUNTA(条幅4分の1!$B$11:$B$310),INDEX(条幅4分の1!$G$11:$G$310,328-COUNTA(半紙!$B$11:$B$310)-COUNTA(条幅!$B$11:$B$310)),"")))=0,"",IF(328&lt;=COUNTA(半紙!$B$11:$B$310),INDEX(半紙!$G$11:$G$310,328),IF(328&lt;=COUNTA(半紙!$B$11:$B$310)+COUNTA(条幅!$B$11:$B$310),INDEX(条幅!$G$11:$G$310,328-COUNTA(半紙!$B$11:$B$310)),IF(328&lt;=COUNTA(半紙!$B$11:$B$310)+COUNTA(条幅!$B$11:$B$310)+COUNTA(条幅4分の1!$B$11:$B$310),INDEX(条幅4分の1!$G$11:$G$310,328-COUNTA(半紙!$B$11:$B$310)-COUNTA(条幅!$B$11:$B$310)),""))))</f>
        <v/>
      </c>
      <c r="H333" s="38" t="str">
        <f>IF(IF(328&lt;=COUNTA(半紙!$B$11:$B$310),INDEX(半紙!$H$11:$H$310,328),IF(328&lt;=COUNTA(半紙!$B$11:$B$310)+COUNTA(条幅!$B$11:$B$310),INDEX(条幅!$H$11:$H$310,328-COUNTA(半紙!$B$11:$B$310)),IF(328&lt;=COUNTA(半紙!$B$11:$B$310)+COUNTA(条幅!$B$11:$B$310)+COUNTA(条幅4分の1!$B$11:$B$310),INDEX(条幅4分の1!$H$11:$H$310,328-COUNTA(半紙!$B$11:$B$310)-COUNTA(条幅!$B$11:$B$310)),"")))=0,"",IF(328&lt;=COUNTA(半紙!$B$11:$B$310),INDEX(半紙!$H$11:$H$310,328),IF(328&lt;=COUNTA(半紙!$B$11:$B$310)+COUNTA(条幅!$B$11:$B$310),INDEX(条幅!$H$11:$H$310,328-COUNTA(半紙!$B$11:$B$310)),IF(328&lt;=COUNTA(半紙!$B$11:$B$310)+COUNTA(条幅!$B$11:$B$310)+COUNTA(条幅4分の1!$B$11:$B$310),INDEX(条幅4分の1!$H$11:$H$310,328-COUNTA(半紙!$B$11:$B$310)-COUNTA(条幅!$B$11:$B$310)),""))))</f>
        <v/>
      </c>
      <c r="I333" s="38" t="str">
        <f>IF(IF(328&lt;=COUNTA(半紙!$B$11:$B$310),INDEX(半紙!$I$11:$I$310,328),IF(328&lt;=COUNTA(半紙!$B$11:$B$310)+COUNTA(条幅!$B$11:$B$310),INDEX(条幅!$I$11:$I$310,328-COUNTA(半紙!$B$11:$B$310)),IF(328&lt;=COUNTA(半紙!$B$11:$B$310)+COUNTA(条幅!$B$11:$B$310)+COUNTA(条幅4分の1!$B$11:$B$310),INDEX(条幅4分の1!$I$11:$I$310,328-COUNTA(半紙!$B$11:$B$310)-COUNTA(条幅!$B$11:$B$310)),"")))=0,"",IF(328&lt;=COUNTA(半紙!$B$11:$B$310),INDEX(半紙!$I$11:$I$310,328),IF(328&lt;=COUNTA(半紙!$B$11:$B$310)+COUNTA(条幅!$B$11:$B$310),INDEX(条幅!$I$11:$I$310,328-COUNTA(半紙!$B$11:$B$310)),IF(328&lt;=COUNTA(半紙!$B$11:$B$310)+COUNTA(条幅!$B$11:$B$310)+COUNTA(条幅4分の1!$B$11:$B$310),INDEX(条幅4分の1!$I$11:$I$310,328-COUNTA(半紙!$B$11:$B$310)-COUNTA(条幅!$B$11:$B$310)),""))))</f>
        <v/>
      </c>
      <c r="J333" s="38" t="str">
        <f>IF(IF(328&lt;=COUNTA(半紙!$B$11:$B$310),INDEX(半紙!$J$11:$J$310,328),IF(328&lt;=COUNTA(半紙!$B$11:$B$310)+COUNTA(条幅!$B$11:$B$310),INDEX(条幅!$J$11:$J$310,328-COUNTA(半紙!$B$11:$B$310)),IF(328&lt;=COUNTA(半紙!$B$11:$B$310)+COUNTA(条幅!$B$11:$B$310)+COUNTA(条幅4分の1!$B$11:$B$310),INDEX(条幅4分の1!$J$11:$J$310,328-COUNTA(半紙!$B$11:$B$310)-COUNTA(条幅!$B$11:$B$310)),"")))=0,"",IF(328&lt;=COUNTA(半紙!$B$11:$B$310),INDEX(半紙!$J$11:$J$310,328),IF(328&lt;=COUNTA(半紙!$B$11:$B$310)+COUNTA(条幅!$B$11:$B$310),INDEX(条幅!$J$11:$J$310,328-COUNTA(半紙!$B$11:$B$310)),IF(328&lt;=COUNTA(半紙!$B$11:$B$310)+COUNTA(条幅!$B$11:$B$310)+COUNTA(条幅4分の1!$B$11:$B$310),INDEX(条幅4分の1!$J$11:$J$310,328-COUNTA(半紙!$B$11:$B$310)-COUNTA(条幅!$B$11:$B$310)),""))))</f>
        <v/>
      </c>
      <c r="K333" s="38" t="str">
        <f>IF(IF(328&lt;=COUNTA(半紙!$B$11:$B$310),INDEX(半紙!$K$11:$K$310,328),IF(328&lt;=COUNTA(半紙!$B$11:$B$310)+COUNTA(条幅!$B$11:$B$310),INDEX(条幅!$K$11:$K$310,328-COUNTA(半紙!$B$11:$B$310)),IF(328&lt;=COUNTA(半紙!$B$11:$B$310)+COUNTA(条幅!$B$11:$B$310)+COUNTA(条幅4分の1!$B$11:$B$310),INDEX(条幅4分の1!$K$11:$K$310,328-COUNTA(半紙!$B$11:$B$310)-COUNTA(条幅!$B$11:$B$310)),"")))=0,"",IF(328&lt;=COUNTA(半紙!$B$11:$B$310),INDEX(半紙!$K$11:$K$310,328),IF(328&lt;=COUNTA(半紙!$B$11:$B$310)+COUNTA(条幅!$B$11:$B$310),INDEX(条幅!$K$11:$K$310,328-COUNTA(半紙!$B$11:$B$310)),IF(328&lt;=COUNTA(半紙!$B$11:$B$310)+COUNTA(条幅!$B$11:$B$310)+COUNTA(条幅4分の1!$B$11:$B$310),INDEX(条幅4分の1!$K$11:$K$310,328-COUNTA(半紙!$B$11:$B$310)-COUNTA(条幅!$B$11:$B$310)),""))))</f>
        <v/>
      </c>
      <c r="L333" s="48" t="str">
        <f>IF($B333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328))</f>
        <v/>
      </c>
    </row>
    <row r="334" spans="1:12" ht="15" customHeight="1">
      <c r="A334" s="37" t="str">
        <f>IF(329&lt;=COUNTA(半紙!$B$11:$B$310),"半紙",IF(329&lt;=COUNTA(半紙!$B$11:$B$310)+COUNTA(条幅!$B$11:$B$310),"条幅(半切)",IF(329&lt;=COUNTA(半紙!$B$11:$B$310)+COUNTA(条幅!$B$11:$B$310)+COUNTA(条幅4分の1!$B$11:$B$310),"条幅(1/4)","")))</f>
        <v/>
      </c>
      <c r="B334" s="38" t="str">
        <f>IF(IF(329&lt;=COUNTA(半紙!$B$11:$B$310),INDEX(半紙!$B$11:$B$310,329),IF(329&lt;=COUNTA(半紙!$B$11:$B$310)+COUNTA(条幅!$B$11:$B$310),INDEX(条幅!$B$11:$B$310,329-COUNTA(半紙!$B$11:$B$310)),IF(329&lt;=COUNTA(半紙!$B$11:$B$310)+COUNTA(条幅!$B$11:$B$310)+COUNTA(条幅4分の1!$B$11:$B$310),INDEX(条幅4分の1!$B$11:$B$310,329-COUNTA(半紙!$B$11:$B$310)-COUNTA(条幅!$B$11:$B$310)),"")))=0,"",IF(329&lt;=COUNTA(半紙!$B$11:$B$310),INDEX(半紙!$B$11:$B$310,329),IF(329&lt;=COUNTA(半紙!$B$11:$B$310)+COUNTA(条幅!$B$11:$B$310),INDEX(条幅!$B$11:$B$310,329-COUNTA(半紙!$B$11:$B$310)),IF(329&lt;=COUNTA(半紙!$B$11:$B$310)+COUNTA(条幅!$B$11:$B$310)+COUNTA(条幅4分の1!$B$11:$B$310),INDEX(条幅4分の1!$B$11:$B$310,329-COUNTA(半紙!$B$11:$B$310)-COUNTA(条幅!$B$11:$B$310)),""))))</f>
        <v/>
      </c>
      <c r="C334" s="38" t="str">
        <f>IF(IF(329&lt;=COUNTA(半紙!$B$11:$B$310),INDEX(半紙!$C$11:$C$310,329),IF(329&lt;=COUNTA(半紙!$B$11:$B$310)+COUNTA(条幅!$B$11:$B$310),INDEX(条幅!$C$11:$C$310,329-COUNTA(半紙!$B$11:$B$310)),IF(329&lt;=COUNTA(半紙!$B$11:$B$310)+COUNTA(条幅!$B$11:$B$310)+COUNTA(条幅4分の1!$B$11:$B$310),INDEX(条幅4分の1!$C$11:$C$310,329-COUNTA(半紙!$B$11:$B$310)-COUNTA(条幅!$B$11:$B$310)),"")))=0,"",IF(329&lt;=COUNTA(半紙!$B$11:$B$310),INDEX(半紙!$C$11:$C$310,329),IF(329&lt;=COUNTA(半紙!$B$11:$B$310)+COUNTA(条幅!$B$11:$B$310),INDEX(条幅!$C$11:$C$310,329-COUNTA(半紙!$B$11:$B$310)),IF(329&lt;=COUNTA(半紙!$B$11:$B$310)+COUNTA(条幅!$B$11:$B$310)+COUNTA(条幅4分の1!$B$11:$B$310),INDEX(条幅4分の1!$C$11:$C$310,329-COUNTA(半紙!$B$11:$B$310)-COUNTA(条幅!$B$11:$B$310)),""))))</f>
        <v/>
      </c>
      <c r="D334" s="38" t="str">
        <f>IF(IF(329&lt;=COUNTA(半紙!$B$11:$B$310),INDEX(半紙!$D$11:$D$310,329),IF(329&lt;=COUNTA(半紙!$B$11:$B$310)+COUNTA(条幅!$B$11:$B$310),INDEX(条幅!$D$11:$D$310,329-COUNTA(半紙!$B$11:$B$310)),IF(329&lt;=COUNTA(半紙!$B$11:$B$310)+COUNTA(条幅!$B$11:$B$310)+COUNTA(条幅4分の1!$B$11:$B$310),INDEX(条幅4分の1!$D$11:$D$310,329-COUNTA(半紙!$B$11:$B$310)-COUNTA(条幅!$B$11:$B$310)),"")))=0,"",IF(329&lt;=COUNTA(半紙!$B$11:$B$310),INDEX(半紙!$D$11:$D$310,329),IF(329&lt;=COUNTA(半紙!$B$11:$B$310)+COUNTA(条幅!$B$11:$B$310),INDEX(条幅!$D$11:$D$310,329-COUNTA(半紙!$B$11:$B$310)),IF(329&lt;=COUNTA(半紙!$B$11:$B$310)+COUNTA(条幅!$B$11:$B$310)+COUNTA(条幅4分の1!$B$11:$B$310),INDEX(条幅4分の1!$D$11:$D$310,329-COUNTA(半紙!$B$11:$B$310)-COUNTA(条幅!$B$11:$B$310)),""))))</f>
        <v/>
      </c>
      <c r="E334" s="38" t="str">
        <f>IF(IF(329&lt;=COUNTA(半紙!$B$11:$B$310),INDEX(半紙!$E$11:$E$310,329),IF(329&lt;=COUNTA(半紙!$B$11:$B$310)+COUNTA(条幅!$B$11:$B$310),INDEX(条幅!$E$11:$E$310,329-COUNTA(半紙!$B$11:$B$310)),IF(329&lt;=COUNTA(半紙!$B$11:$B$310)+COUNTA(条幅!$B$11:$B$310)+COUNTA(条幅4分の1!$B$11:$B$310),INDEX(条幅4分の1!$E$11:$E$310,329-COUNTA(半紙!$B$11:$B$310)-COUNTA(条幅!$B$11:$B$310)),"")))=0,"",IF(329&lt;=COUNTA(半紙!$B$11:$B$310),INDEX(半紙!$E$11:$E$310,329),IF(329&lt;=COUNTA(半紙!$B$11:$B$310)+COUNTA(条幅!$B$11:$B$310),INDEX(条幅!$E$11:$E$310,329-COUNTA(半紙!$B$11:$B$310)),IF(329&lt;=COUNTA(半紙!$B$11:$B$310)+COUNTA(条幅!$B$11:$B$310)+COUNTA(条幅4分の1!$B$11:$B$310),INDEX(条幅4分の1!$E$11:$E$310,329-COUNTA(半紙!$B$11:$B$310)-COUNTA(条幅!$B$11:$B$310)),""))))</f>
        <v/>
      </c>
      <c r="F334" s="38" t="str">
        <f>IF(IF(329&lt;=COUNTA(半紙!$B$11:$B$310),INDEX(半紙!$F$11:$F$310,329),IF(329&lt;=COUNTA(半紙!$B$11:$B$310)+COUNTA(条幅!$B$11:$B$310),INDEX(条幅!$F$11:$F$310,329-COUNTA(半紙!$B$11:$B$310)),IF(329&lt;=COUNTA(半紙!$B$11:$B$310)+COUNTA(条幅!$B$11:$B$310)+COUNTA(条幅4分の1!$B$11:$B$310),INDEX(条幅4分の1!$F$11:$F$310,329-COUNTA(半紙!$B$11:$B$310)-COUNTA(条幅!$B$11:$B$310)),"")))=0,"",IF(329&lt;=COUNTA(半紙!$B$11:$B$310),INDEX(半紙!$F$11:$F$310,329),IF(329&lt;=COUNTA(半紙!$B$11:$B$310)+COUNTA(条幅!$B$11:$B$310),INDEX(条幅!$F$11:$F$310,329-COUNTA(半紙!$B$11:$B$310)),IF(329&lt;=COUNTA(半紙!$B$11:$B$310)+COUNTA(条幅!$B$11:$B$310)+COUNTA(条幅4分の1!$B$11:$B$310),INDEX(条幅4分の1!$F$11:$F$310,329-COUNTA(半紙!$B$11:$B$310)-COUNTA(条幅!$B$11:$B$310)),""))))</f>
        <v/>
      </c>
      <c r="G334" s="38" t="str">
        <f>IF(IF(329&lt;=COUNTA(半紙!$B$11:$B$310),INDEX(半紙!$G$11:$G$310,329),IF(329&lt;=COUNTA(半紙!$B$11:$B$310)+COUNTA(条幅!$B$11:$B$310),INDEX(条幅!$G$11:$G$310,329-COUNTA(半紙!$B$11:$B$310)),IF(329&lt;=COUNTA(半紙!$B$11:$B$310)+COUNTA(条幅!$B$11:$B$310)+COUNTA(条幅4分の1!$B$11:$B$310),INDEX(条幅4分の1!$G$11:$G$310,329-COUNTA(半紙!$B$11:$B$310)-COUNTA(条幅!$B$11:$B$310)),"")))=0,"",IF(329&lt;=COUNTA(半紙!$B$11:$B$310),INDEX(半紙!$G$11:$G$310,329),IF(329&lt;=COUNTA(半紙!$B$11:$B$310)+COUNTA(条幅!$B$11:$B$310),INDEX(条幅!$G$11:$G$310,329-COUNTA(半紙!$B$11:$B$310)),IF(329&lt;=COUNTA(半紙!$B$11:$B$310)+COUNTA(条幅!$B$11:$B$310)+COUNTA(条幅4分の1!$B$11:$B$310),INDEX(条幅4分の1!$G$11:$G$310,329-COUNTA(半紙!$B$11:$B$310)-COUNTA(条幅!$B$11:$B$310)),""))))</f>
        <v/>
      </c>
      <c r="H334" s="38" t="str">
        <f>IF(IF(329&lt;=COUNTA(半紙!$B$11:$B$310),INDEX(半紙!$H$11:$H$310,329),IF(329&lt;=COUNTA(半紙!$B$11:$B$310)+COUNTA(条幅!$B$11:$B$310),INDEX(条幅!$H$11:$H$310,329-COUNTA(半紙!$B$11:$B$310)),IF(329&lt;=COUNTA(半紙!$B$11:$B$310)+COUNTA(条幅!$B$11:$B$310)+COUNTA(条幅4分の1!$B$11:$B$310),INDEX(条幅4分の1!$H$11:$H$310,329-COUNTA(半紙!$B$11:$B$310)-COUNTA(条幅!$B$11:$B$310)),"")))=0,"",IF(329&lt;=COUNTA(半紙!$B$11:$B$310),INDEX(半紙!$H$11:$H$310,329),IF(329&lt;=COUNTA(半紙!$B$11:$B$310)+COUNTA(条幅!$B$11:$B$310),INDEX(条幅!$H$11:$H$310,329-COUNTA(半紙!$B$11:$B$310)),IF(329&lt;=COUNTA(半紙!$B$11:$B$310)+COUNTA(条幅!$B$11:$B$310)+COUNTA(条幅4分の1!$B$11:$B$310),INDEX(条幅4分の1!$H$11:$H$310,329-COUNTA(半紙!$B$11:$B$310)-COUNTA(条幅!$B$11:$B$310)),""))))</f>
        <v/>
      </c>
      <c r="I334" s="38" t="str">
        <f>IF(IF(329&lt;=COUNTA(半紙!$B$11:$B$310),INDEX(半紙!$I$11:$I$310,329),IF(329&lt;=COUNTA(半紙!$B$11:$B$310)+COUNTA(条幅!$B$11:$B$310),INDEX(条幅!$I$11:$I$310,329-COUNTA(半紙!$B$11:$B$310)),IF(329&lt;=COUNTA(半紙!$B$11:$B$310)+COUNTA(条幅!$B$11:$B$310)+COUNTA(条幅4分の1!$B$11:$B$310),INDEX(条幅4分の1!$I$11:$I$310,329-COUNTA(半紙!$B$11:$B$310)-COUNTA(条幅!$B$11:$B$310)),"")))=0,"",IF(329&lt;=COUNTA(半紙!$B$11:$B$310),INDEX(半紙!$I$11:$I$310,329),IF(329&lt;=COUNTA(半紙!$B$11:$B$310)+COUNTA(条幅!$B$11:$B$310),INDEX(条幅!$I$11:$I$310,329-COUNTA(半紙!$B$11:$B$310)),IF(329&lt;=COUNTA(半紙!$B$11:$B$310)+COUNTA(条幅!$B$11:$B$310)+COUNTA(条幅4分の1!$B$11:$B$310),INDEX(条幅4分の1!$I$11:$I$310,329-COUNTA(半紙!$B$11:$B$310)-COUNTA(条幅!$B$11:$B$310)),""))))</f>
        <v/>
      </c>
      <c r="J334" s="38" t="str">
        <f>IF(IF(329&lt;=COUNTA(半紙!$B$11:$B$310),INDEX(半紙!$J$11:$J$310,329),IF(329&lt;=COUNTA(半紙!$B$11:$B$310)+COUNTA(条幅!$B$11:$B$310),INDEX(条幅!$J$11:$J$310,329-COUNTA(半紙!$B$11:$B$310)),IF(329&lt;=COUNTA(半紙!$B$11:$B$310)+COUNTA(条幅!$B$11:$B$310)+COUNTA(条幅4分の1!$B$11:$B$310),INDEX(条幅4分の1!$J$11:$J$310,329-COUNTA(半紙!$B$11:$B$310)-COUNTA(条幅!$B$11:$B$310)),"")))=0,"",IF(329&lt;=COUNTA(半紙!$B$11:$B$310),INDEX(半紙!$J$11:$J$310,329),IF(329&lt;=COUNTA(半紙!$B$11:$B$310)+COUNTA(条幅!$B$11:$B$310),INDEX(条幅!$J$11:$J$310,329-COUNTA(半紙!$B$11:$B$310)),IF(329&lt;=COUNTA(半紙!$B$11:$B$310)+COUNTA(条幅!$B$11:$B$310)+COUNTA(条幅4分の1!$B$11:$B$310),INDEX(条幅4分の1!$J$11:$J$310,329-COUNTA(半紙!$B$11:$B$310)-COUNTA(条幅!$B$11:$B$310)),""))))</f>
        <v/>
      </c>
      <c r="K334" s="38" t="str">
        <f>IF(IF(329&lt;=COUNTA(半紙!$B$11:$B$310),INDEX(半紙!$K$11:$K$310,329),IF(329&lt;=COUNTA(半紙!$B$11:$B$310)+COUNTA(条幅!$B$11:$B$310),INDEX(条幅!$K$11:$K$310,329-COUNTA(半紙!$B$11:$B$310)),IF(329&lt;=COUNTA(半紙!$B$11:$B$310)+COUNTA(条幅!$B$11:$B$310)+COUNTA(条幅4分の1!$B$11:$B$310),INDEX(条幅4分の1!$K$11:$K$310,329-COUNTA(半紙!$B$11:$B$310)-COUNTA(条幅!$B$11:$B$310)),"")))=0,"",IF(329&lt;=COUNTA(半紙!$B$11:$B$310),INDEX(半紙!$K$11:$K$310,329),IF(329&lt;=COUNTA(半紙!$B$11:$B$310)+COUNTA(条幅!$B$11:$B$310),INDEX(条幅!$K$11:$K$310,329-COUNTA(半紙!$B$11:$B$310)),IF(329&lt;=COUNTA(半紙!$B$11:$B$310)+COUNTA(条幅!$B$11:$B$310)+COUNTA(条幅4分の1!$B$11:$B$310),INDEX(条幅4分の1!$K$11:$K$310,329-COUNTA(半紙!$B$11:$B$310)-COUNTA(条幅!$B$11:$B$310)),""))))</f>
        <v/>
      </c>
      <c r="L334" s="48" t="str">
        <f>IF($B334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329))</f>
        <v/>
      </c>
    </row>
    <row r="335" spans="1:12" ht="15" customHeight="1">
      <c r="A335" s="37" t="str">
        <f>IF(330&lt;=COUNTA(半紙!$B$11:$B$310),"半紙",IF(330&lt;=COUNTA(半紙!$B$11:$B$310)+COUNTA(条幅!$B$11:$B$310),"条幅(半切)",IF(330&lt;=COUNTA(半紙!$B$11:$B$310)+COUNTA(条幅!$B$11:$B$310)+COUNTA(条幅4分の1!$B$11:$B$310),"条幅(1/4)","")))</f>
        <v/>
      </c>
      <c r="B335" s="38" t="str">
        <f>IF(IF(330&lt;=COUNTA(半紙!$B$11:$B$310),INDEX(半紙!$B$11:$B$310,330),IF(330&lt;=COUNTA(半紙!$B$11:$B$310)+COUNTA(条幅!$B$11:$B$310),INDEX(条幅!$B$11:$B$310,330-COUNTA(半紙!$B$11:$B$310)),IF(330&lt;=COUNTA(半紙!$B$11:$B$310)+COUNTA(条幅!$B$11:$B$310)+COUNTA(条幅4分の1!$B$11:$B$310),INDEX(条幅4分の1!$B$11:$B$310,330-COUNTA(半紙!$B$11:$B$310)-COUNTA(条幅!$B$11:$B$310)),"")))=0,"",IF(330&lt;=COUNTA(半紙!$B$11:$B$310),INDEX(半紙!$B$11:$B$310,330),IF(330&lt;=COUNTA(半紙!$B$11:$B$310)+COUNTA(条幅!$B$11:$B$310),INDEX(条幅!$B$11:$B$310,330-COUNTA(半紙!$B$11:$B$310)),IF(330&lt;=COUNTA(半紙!$B$11:$B$310)+COUNTA(条幅!$B$11:$B$310)+COUNTA(条幅4分の1!$B$11:$B$310),INDEX(条幅4分の1!$B$11:$B$310,330-COUNTA(半紙!$B$11:$B$310)-COUNTA(条幅!$B$11:$B$310)),""))))</f>
        <v/>
      </c>
      <c r="C335" s="38" t="str">
        <f>IF(IF(330&lt;=COUNTA(半紙!$B$11:$B$310),INDEX(半紙!$C$11:$C$310,330),IF(330&lt;=COUNTA(半紙!$B$11:$B$310)+COUNTA(条幅!$B$11:$B$310),INDEX(条幅!$C$11:$C$310,330-COUNTA(半紙!$B$11:$B$310)),IF(330&lt;=COUNTA(半紙!$B$11:$B$310)+COUNTA(条幅!$B$11:$B$310)+COUNTA(条幅4分の1!$B$11:$B$310),INDEX(条幅4分の1!$C$11:$C$310,330-COUNTA(半紙!$B$11:$B$310)-COUNTA(条幅!$B$11:$B$310)),"")))=0,"",IF(330&lt;=COUNTA(半紙!$B$11:$B$310),INDEX(半紙!$C$11:$C$310,330),IF(330&lt;=COUNTA(半紙!$B$11:$B$310)+COUNTA(条幅!$B$11:$B$310),INDEX(条幅!$C$11:$C$310,330-COUNTA(半紙!$B$11:$B$310)),IF(330&lt;=COUNTA(半紙!$B$11:$B$310)+COUNTA(条幅!$B$11:$B$310)+COUNTA(条幅4分の1!$B$11:$B$310),INDEX(条幅4分の1!$C$11:$C$310,330-COUNTA(半紙!$B$11:$B$310)-COUNTA(条幅!$B$11:$B$310)),""))))</f>
        <v/>
      </c>
      <c r="D335" s="38" t="str">
        <f>IF(IF(330&lt;=COUNTA(半紙!$B$11:$B$310),INDEX(半紙!$D$11:$D$310,330),IF(330&lt;=COUNTA(半紙!$B$11:$B$310)+COUNTA(条幅!$B$11:$B$310),INDEX(条幅!$D$11:$D$310,330-COUNTA(半紙!$B$11:$B$310)),IF(330&lt;=COUNTA(半紙!$B$11:$B$310)+COUNTA(条幅!$B$11:$B$310)+COUNTA(条幅4分の1!$B$11:$B$310),INDEX(条幅4分の1!$D$11:$D$310,330-COUNTA(半紙!$B$11:$B$310)-COUNTA(条幅!$B$11:$B$310)),"")))=0,"",IF(330&lt;=COUNTA(半紙!$B$11:$B$310),INDEX(半紙!$D$11:$D$310,330),IF(330&lt;=COUNTA(半紙!$B$11:$B$310)+COUNTA(条幅!$B$11:$B$310),INDEX(条幅!$D$11:$D$310,330-COUNTA(半紙!$B$11:$B$310)),IF(330&lt;=COUNTA(半紙!$B$11:$B$310)+COUNTA(条幅!$B$11:$B$310)+COUNTA(条幅4分の1!$B$11:$B$310),INDEX(条幅4分の1!$D$11:$D$310,330-COUNTA(半紙!$B$11:$B$310)-COUNTA(条幅!$B$11:$B$310)),""))))</f>
        <v/>
      </c>
      <c r="E335" s="38" t="str">
        <f>IF(IF(330&lt;=COUNTA(半紙!$B$11:$B$310),INDEX(半紙!$E$11:$E$310,330),IF(330&lt;=COUNTA(半紙!$B$11:$B$310)+COUNTA(条幅!$B$11:$B$310),INDEX(条幅!$E$11:$E$310,330-COUNTA(半紙!$B$11:$B$310)),IF(330&lt;=COUNTA(半紙!$B$11:$B$310)+COUNTA(条幅!$B$11:$B$310)+COUNTA(条幅4分の1!$B$11:$B$310),INDEX(条幅4分の1!$E$11:$E$310,330-COUNTA(半紙!$B$11:$B$310)-COUNTA(条幅!$B$11:$B$310)),"")))=0,"",IF(330&lt;=COUNTA(半紙!$B$11:$B$310),INDEX(半紙!$E$11:$E$310,330),IF(330&lt;=COUNTA(半紙!$B$11:$B$310)+COUNTA(条幅!$B$11:$B$310),INDEX(条幅!$E$11:$E$310,330-COUNTA(半紙!$B$11:$B$310)),IF(330&lt;=COUNTA(半紙!$B$11:$B$310)+COUNTA(条幅!$B$11:$B$310)+COUNTA(条幅4分の1!$B$11:$B$310),INDEX(条幅4分の1!$E$11:$E$310,330-COUNTA(半紙!$B$11:$B$310)-COUNTA(条幅!$B$11:$B$310)),""))))</f>
        <v/>
      </c>
      <c r="F335" s="38" t="str">
        <f>IF(IF(330&lt;=COUNTA(半紙!$B$11:$B$310),INDEX(半紙!$F$11:$F$310,330),IF(330&lt;=COUNTA(半紙!$B$11:$B$310)+COUNTA(条幅!$B$11:$B$310),INDEX(条幅!$F$11:$F$310,330-COUNTA(半紙!$B$11:$B$310)),IF(330&lt;=COUNTA(半紙!$B$11:$B$310)+COUNTA(条幅!$B$11:$B$310)+COUNTA(条幅4分の1!$B$11:$B$310),INDEX(条幅4分の1!$F$11:$F$310,330-COUNTA(半紙!$B$11:$B$310)-COUNTA(条幅!$B$11:$B$310)),"")))=0,"",IF(330&lt;=COUNTA(半紙!$B$11:$B$310),INDEX(半紙!$F$11:$F$310,330),IF(330&lt;=COUNTA(半紙!$B$11:$B$310)+COUNTA(条幅!$B$11:$B$310),INDEX(条幅!$F$11:$F$310,330-COUNTA(半紙!$B$11:$B$310)),IF(330&lt;=COUNTA(半紙!$B$11:$B$310)+COUNTA(条幅!$B$11:$B$310)+COUNTA(条幅4分の1!$B$11:$B$310),INDEX(条幅4分の1!$F$11:$F$310,330-COUNTA(半紙!$B$11:$B$310)-COUNTA(条幅!$B$11:$B$310)),""))))</f>
        <v/>
      </c>
      <c r="G335" s="38" t="str">
        <f>IF(IF(330&lt;=COUNTA(半紙!$B$11:$B$310),INDEX(半紙!$G$11:$G$310,330),IF(330&lt;=COUNTA(半紙!$B$11:$B$310)+COUNTA(条幅!$B$11:$B$310),INDEX(条幅!$G$11:$G$310,330-COUNTA(半紙!$B$11:$B$310)),IF(330&lt;=COUNTA(半紙!$B$11:$B$310)+COUNTA(条幅!$B$11:$B$310)+COUNTA(条幅4分の1!$B$11:$B$310),INDEX(条幅4分の1!$G$11:$G$310,330-COUNTA(半紙!$B$11:$B$310)-COUNTA(条幅!$B$11:$B$310)),"")))=0,"",IF(330&lt;=COUNTA(半紙!$B$11:$B$310),INDEX(半紙!$G$11:$G$310,330),IF(330&lt;=COUNTA(半紙!$B$11:$B$310)+COUNTA(条幅!$B$11:$B$310),INDEX(条幅!$G$11:$G$310,330-COUNTA(半紙!$B$11:$B$310)),IF(330&lt;=COUNTA(半紙!$B$11:$B$310)+COUNTA(条幅!$B$11:$B$310)+COUNTA(条幅4分の1!$B$11:$B$310),INDEX(条幅4分の1!$G$11:$G$310,330-COUNTA(半紙!$B$11:$B$310)-COUNTA(条幅!$B$11:$B$310)),""))))</f>
        <v/>
      </c>
      <c r="H335" s="38" t="str">
        <f>IF(IF(330&lt;=COUNTA(半紙!$B$11:$B$310),INDEX(半紙!$H$11:$H$310,330),IF(330&lt;=COUNTA(半紙!$B$11:$B$310)+COUNTA(条幅!$B$11:$B$310),INDEX(条幅!$H$11:$H$310,330-COUNTA(半紙!$B$11:$B$310)),IF(330&lt;=COUNTA(半紙!$B$11:$B$310)+COUNTA(条幅!$B$11:$B$310)+COUNTA(条幅4分の1!$B$11:$B$310),INDEX(条幅4分の1!$H$11:$H$310,330-COUNTA(半紙!$B$11:$B$310)-COUNTA(条幅!$B$11:$B$310)),"")))=0,"",IF(330&lt;=COUNTA(半紙!$B$11:$B$310),INDEX(半紙!$H$11:$H$310,330),IF(330&lt;=COUNTA(半紙!$B$11:$B$310)+COUNTA(条幅!$B$11:$B$310),INDEX(条幅!$H$11:$H$310,330-COUNTA(半紙!$B$11:$B$310)),IF(330&lt;=COUNTA(半紙!$B$11:$B$310)+COUNTA(条幅!$B$11:$B$310)+COUNTA(条幅4分の1!$B$11:$B$310),INDEX(条幅4分の1!$H$11:$H$310,330-COUNTA(半紙!$B$11:$B$310)-COUNTA(条幅!$B$11:$B$310)),""))))</f>
        <v/>
      </c>
      <c r="I335" s="38" t="str">
        <f>IF(IF(330&lt;=COUNTA(半紙!$B$11:$B$310),INDEX(半紙!$I$11:$I$310,330),IF(330&lt;=COUNTA(半紙!$B$11:$B$310)+COUNTA(条幅!$B$11:$B$310),INDEX(条幅!$I$11:$I$310,330-COUNTA(半紙!$B$11:$B$310)),IF(330&lt;=COUNTA(半紙!$B$11:$B$310)+COUNTA(条幅!$B$11:$B$310)+COUNTA(条幅4分の1!$B$11:$B$310),INDEX(条幅4分の1!$I$11:$I$310,330-COUNTA(半紙!$B$11:$B$310)-COUNTA(条幅!$B$11:$B$310)),"")))=0,"",IF(330&lt;=COUNTA(半紙!$B$11:$B$310),INDEX(半紙!$I$11:$I$310,330),IF(330&lt;=COUNTA(半紙!$B$11:$B$310)+COUNTA(条幅!$B$11:$B$310),INDEX(条幅!$I$11:$I$310,330-COUNTA(半紙!$B$11:$B$310)),IF(330&lt;=COUNTA(半紙!$B$11:$B$310)+COUNTA(条幅!$B$11:$B$310)+COUNTA(条幅4分の1!$B$11:$B$310),INDEX(条幅4分の1!$I$11:$I$310,330-COUNTA(半紙!$B$11:$B$310)-COUNTA(条幅!$B$11:$B$310)),""))))</f>
        <v/>
      </c>
      <c r="J335" s="38" t="str">
        <f>IF(IF(330&lt;=COUNTA(半紙!$B$11:$B$310),INDEX(半紙!$J$11:$J$310,330),IF(330&lt;=COUNTA(半紙!$B$11:$B$310)+COUNTA(条幅!$B$11:$B$310),INDEX(条幅!$J$11:$J$310,330-COUNTA(半紙!$B$11:$B$310)),IF(330&lt;=COUNTA(半紙!$B$11:$B$310)+COUNTA(条幅!$B$11:$B$310)+COUNTA(条幅4分の1!$B$11:$B$310),INDEX(条幅4分の1!$J$11:$J$310,330-COUNTA(半紙!$B$11:$B$310)-COUNTA(条幅!$B$11:$B$310)),"")))=0,"",IF(330&lt;=COUNTA(半紙!$B$11:$B$310),INDEX(半紙!$J$11:$J$310,330),IF(330&lt;=COUNTA(半紙!$B$11:$B$310)+COUNTA(条幅!$B$11:$B$310),INDEX(条幅!$J$11:$J$310,330-COUNTA(半紙!$B$11:$B$310)),IF(330&lt;=COUNTA(半紙!$B$11:$B$310)+COUNTA(条幅!$B$11:$B$310)+COUNTA(条幅4分の1!$B$11:$B$310),INDEX(条幅4分の1!$J$11:$J$310,330-COUNTA(半紙!$B$11:$B$310)-COUNTA(条幅!$B$11:$B$310)),""))))</f>
        <v/>
      </c>
      <c r="K335" s="38" t="str">
        <f>IF(IF(330&lt;=COUNTA(半紙!$B$11:$B$310),INDEX(半紙!$K$11:$K$310,330),IF(330&lt;=COUNTA(半紙!$B$11:$B$310)+COUNTA(条幅!$B$11:$B$310),INDEX(条幅!$K$11:$K$310,330-COUNTA(半紙!$B$11:$B$310)),IF(330&lt;=COUNTA(半紙!$B$11:$B$310)+COUNTA(条幅!$B$11:$B$310)+COUNTA(条幅4分の1!$B$11:$B$310),INDEX(条幅4分の1!$K$11:$K$310,330-COUNTA(半紙!$B$11:$B$310)-COUNTA(条幅!$B$11:$B$310)),"")))=0,"",IF(330&lt;=COUNTA(半紙!$B$11:$B$310),INDEX(半紙!$K$11:$K$310,330),IF(330&lt;=COUNTA(半紙!$B$11:$B$310)+COUNTA(条幅!$B$11:$B$310),INDEX(条幅!$K$11:$K$310,330-COUNTA(半紙!$B$11:$B$310)),IF(330&lt;=COUNTA(半紙!$B$11:$B$310)+COUNTA(条幅!$B$11:$B$310)+COUNTA(条幅4分の1!$B$11:$B$310),INDEX(条幅4分の1!$K$11:$K$310,330-COUNTA(半紙!$B$11:$B$310)-COUNTA(条幅!$B$11:$B$310)),""))))</f>
        <v/>
      </c>
      <c r="L335" s="48" t="str">
        <f>IF($B335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330))</f>
        <v/>
      </c>
    </row>
    <row r="336" spans="1:12" ht="15" customHeight="1">
      <c r="A336" s="37" t="str">
        <f>IF(331&lt;=COUNTA(半紙!$B$11:$B$310),"半紙",IF(331&lt;=COUNTA(半紙!$B$11:$B$310)+COUNTA(条幅!$B$11:$B$310),"条幅(半切)",IF(331&lt;=COUNTA(半紙!$B$11:$B$310)+COUNTA(条幅!$B$11:$B$310)+COUNTA(条幅4分の1!$B$11:$B$310),"条幅(1/4)","")))</f>
        <v/>
      </c>
      <c r="B336" s="38" t="str">
        <f>IF(IF(331&lt;=COUNTA(半紙!$B$11:$B$310),INDEX(半紙!$B$11:$B$310,331),IF(331&lt;=COUNTA(半紙!$B$11:$B$310)+COUNTA(条幅!$B$11:$B$310),INDEX(条幅!$B$11:$B$310,331-COUNTA(半紙!$B$11:$B$310)),IF(331&lt;=COUNTA(半紙!$B$11:$B$310)+COUNTA(条幅!$B$11:$B$310)+COUNTA(条幅4分の1!$B$11:$B$310),INDEX(条幅4分の1!$B$11:$B$310,331-COUNTA(半紙!$B$11:$B$310)-COUNTA(条幅!$B$11:$B$310)),"")))=0,"",IF(331&lt;=COUNTA(半紙!$B$11:$B$310),INDEX(半紙!$B$11:$B$310,331),IF(331&lt;=COUNTA(半紙!$B$11:$B$310)+COUNTA(条幅!$B$11:$B$310),INDEX(条幅!$B$11:$B$310,331-COUNTA(半紙!$B$11:$B$310)),IF(331&lt;=COUNTA(半紙!$B$11:$B$310)+COUNTA(条幅!$B$11:$B$310)+COUNTA(条幅4分の1!$B$11:$B$310),INDEX(条幅4分の1!$B$11:$B$310,331-COUNTA(半紙!$B$11:$B$310)-COUNTA(条幅!$B$11:$B$310)),""))))</f>
        <v/>
      </c>
      <c r="C336" s="38" t="str">
        <f>IF(IF(331&lt;=COUNTA(半紙!$B$11:$B$310),INDEX(半紙!$C$11:$C$310,331),IF(331&lt;=COUNTA(半紙!$B$11:$B$310)+COUNTA(条幅!$B$11:$B$310),INDEX(条幅!$C$11:$C$310,331-COUNTA(半紙!$B$11:$B$310)),IF(331&lt;=COUNTA(半紙!$B$11:$B$310)+COUNTA(条幅!$B$11:$B$310)+COUNTA(条幅4分の1!$B$11:$B$310),INDEX(条幅4分の1!$C$11:$C$310,331-COUNTA(半紙!$B$11:$B$310)-COUNTA(条幅!$B$11:$B$310)),"")))=0,"",IF(331&lt;=COUNTA(半紙!$B$11:$B$310),INDEX(半紙!$C$11:$C$310,331),IF(331&lt;=COUNTA(半紙!$B$11:$B$310)+COUNTA(条幅!$B$11:$B$310),INDEX(条幅!$C$11:$C$310,331-COUNTA(半紙!$B$11:$B$310)),IF(331&lt;=COUNTA(半紙!$B$11:$B$310)+COUNTA(条幅!$B$11:$B$310)+COUNTA(条幅4分の1!$B$11:$B$310),INDEX(条幅4分の1!$C$11:$C$310,331-COUNTA(半紙!$B$11:$B$310)-COUNTA(条幅!$B$11:$B$310)),""))))</f>
        <v/>
      </c>
      <c r="D336" s="38" t="str">
        <f>IF(IF(331&lt;=COUNTA(半紙!$B$11:$B$310),INDEX(半紙!$D$11:$D$310,331),IF(331&lt;=COUNTA(半紙!$B$11:$B$310)+COUNTA(条幅!$B$11:$B$310),INDEX(条幅!$D$11:$D$310,331-COUNTA(半紙!$B$11:$B$310)),IF(331&lt;=COUNTA(半紙!$B$11:$B$310)+COUNTA(条幅!$B$11:$B$310)+COUNTA(条幅4分の1!$B$11:$B$310),INDEX(条幅4分の1!$D$11:$D$310,331-COUNTA(半紙!$B$11:$B$310)-COUNTA(条幅!$B$11:$B$310)),"")))=0,"",IF(331&lt;=COUNTA(半紙!$B$11:$B$310),INDEX(半紙!$D$11:$D$310,331),IF(331&lt;=COUNTA(半紙!$B$11:$B$310)+COUNTA(条幅!$B$11:$B$310),INDEX(条幅!$D$11:$D$310,331-COUNTA(半紙!$B$11:$B$310)),IF(331&lt;=COUNTA(半紙!$B$11:$B$310)+COUNTA(条幅!$B$11:$B$310)+COUNTA(条幅4分の1!$B$11:$B$310),INDEX(条幅4分の1!$D$11:$D$310,331-COUNTA(半紙!$B$11:$B$310)-COUNTA(条幅!$B$11:$B$310)),""))))</f>
        <v/>
      </c>
      <c r="E336" s="38" t="str">
        <f>IF(IF(331&lt;=COUNTA(半紙!$B$11:$B$310),INDEX(半紙!$E$11:$E$310,331),IF(331&lt;=COUNTA(半紙!$B$11:$B$310)+COUNTA(条幅!$B$11:$B$310),INDEX(条幅!$E$11:$E$310,331-COUNTA(半紙!$B$11:$B$310)),IF(331&lt;=COUNTA(半紙!$B$11:$B$310)+COUNTA(条幅!$B$11:$B$310)+COUNTA(条幅4分の1!$B$11:$B$310),INDEX(条幅4分の1!$E$11:$E$310,331-COUNTA(半紙!$B$11:$B$310)-COUNTA(条幅!$B$11:$B$310)),"")))=0,"",IF(331&lt;=COUNTA(半紙!$B$11:$B$310),INDEX(半紙!$E$11:$E$310,331),IF(331&lt;=COUNTA(半紙!$B$11:$B$310)+COUNTA(条幅!$B$11:$B$310),INDEX(条幅!$E$11:$E$310,331-COUNTA(半紙!$B$11:$B$310)),IF(331&lt;=COUNTA(半紙!$B$11:$B$310)+COUNTA(条幅!$B$11:$B$310)+COUNTA(条幅4分の1!$B$11:$B$310),INDEX(条幅4分の1!$E$11:$E$310,331-COUNTA(半紙!$B$11:$B$310)-COUNTA(条幅!$B$11:$B$310)),""))))</f>
        <v/>
      </c>
      <c r="F336" s="38" t="str">
        <f>IF(IF(331&lt;=COUNTA(半紙!$B$11:$B$310),INDEX(半紙!$F$11:$F$310,331),IF(331&lt;=COUNTA(半紙!$B$11:$B$310)+COUNTA(条幅!$B$11:$B$310),INDEX(条幅!$F$11:$F$310,331-COUNTA(半紙!$B$11:$B$310)),IF(331&lt;=COUNTA(半紙!$B$11:$B$310)+COUNTA(条幅!$B$11:$B$310)+COUNTA(条幅4分の1!$B$11:$B$310),INDEX(条幅4分の1!$F$11:$F$310,331-COUNTA(半紙!$B$11:$B$310)-COUNTA(条幅!$B$11:$B$310)),"")))=0,"",IF(331&lt;=COUNTA(半紙!$B$11:$B$310),INDEX(半紙!$F$11:$F$310,331),IF(331&lt;=COUNTA(半紙!$B$11:$B$310)+COUNTA(条幅!$B$11:$B$310),INDEX(条幅!$F$11:$F$310,331-COUNTA(半紙!$B$11:$B$310)),IF(331&lt;=COUNTA(半紙!$B$11:$B$310)+COUNTA(条幅!$B$11:$B$310)+COUNTA(条幅4分の1!$B$11:$B$310),INDEX(条幅4分の1!$F$11:$F$310,331-COUNTA(半紙!$B$11:$B$310)-COUNTA(条幅!$B$11:$B$310)),""))))</f>
        <v/>
      </c>
      <c r="G336" s="38" t="str">
        <f>IF(IF(331&lt;=COUNTA(半紙!$B$11:$B$310),INDEX(半紙!$G$11:$G$310,331),IF(331&lt;=COUNTA(半紙!$B$11:$B$310)+COUNTA(条幅!$B$11:$B$310),INDEX(条幅!$G$11:$G$310,331-COUNTA(半紙!$B$11:$B$310)),IF(331&lt;=COUNTA(半紙!$B$11:$B$310)+COUNTA(条幅!$B$11:$B$310)+COUNTA(条幅4分の1!$B$11:$B$310),INDEX(条幅4分の1!$G$11:$G$310,331-COUNTA(半紙!$B$11:$B$310)-COUNTA(条幅!$B$11:$B$310)),"")))=0,"",IF(331&lt;=COUNTA(半紙!$B$11:$B$310),INDEX(半紙!$G$11:$G$310,331),IF(331&lt;=COUNTA(半紙!$B$11:$B$310)+COUNTA(条幅!$B$11:$B$310),INDEX(条幅!$G$11:$G$310,331-COUNTA(半紙!$B$11:$B$310)),IF(331&lt;=COUNTA(半紙!$B$11:$B$310)+COUNTA(条幅!$B$11:$B$310)+COUNTA(条幅4分の1!$B$11:$B$310),INDEX(条幅4分の1!$G$11:$G$310,331-COUNTA(半紙!$B$11:$B$310)-COUNTA(条幅!$B$11:$B$310)),""))))</f>
        <v/>
      </c>
      <c r="H336" s="38" t="str">
        <f>IF(IF(331&lt;=COUNTA(半紙!$B$11:$B$310),INDEX(半紙!$H$11:$H$310,331),IF(331&lt;=COUNTA(半紙!$B$11:$B$310)+COUNTA(条幅!$B$11:$B$310),INDEX(条幅!$H$11:$H$310,331-COUNTA(半紙!$B$11:$B$310)),IF(331&lt;=COUNTA(半紙!$B$11:$B$310)+COUNTA(条幅!$B$11:$B$310)+COUNTA(条幅4分の1!$B$11:$B$310),INDEX(条幅4分の1!$H$11:$H$310,331-COUNTA(半紙!$B$11:$B$310)-COUNTA(条幅!$B$11:$B$310)),"")))=0,"",IF(331&lt;=COUNTA(半紙!$B$11:$B$310),INDEX(半紙!$H$11:$H$310,331),IF(331&lt;=COUNTA(半紙!$B$11:$B$310)+COUNTA(条幅!$B$11:$B$310),INDEX(条幅!$H$11:$H$310,331-COUNTA(半紙!$B$11:$B$310)),IF(331&lt;=COUNTA(半紙!$B$11:$B$310)+COUNTA(条幅!$B$11:$B$310)+COUNTA(条幅4分の1!$B$11:$B$310),INDEX(条幅4分の1!$H$11:$H$310,331-COUNTA(半紙!$B$11:$B$310)-COUNTA(条幅!$B$11:$B$310)),""))))</f>
        <v/>
      </c>
      <c r="I336" s="38" t="str">
        <f>IF(IF(331&lt;=COUNTA(半紙!$B$11:$B$310),INDEX(半紙!$I$11:$I$310,331),IF(331&lt;=COUNTA(半紙!$B$11:$B$310)+COUNTA(条幅!$B$11:$B$310),INDEX(条幅!$I$11:$I$310,331-COUNTA(半紙!$B$11:$B$310)),IF(331&lt;=COUNTA(半紙!$B$11:$B$310)+COUNTA(条幅!$B$11:$B$310)+COUNTA(条幅4分の1!$B$11:$B$310),INDEX(条幅4分の1!$I$11:$I$310,331-COUNTA(半紙!$B$11:$B$310)-COUNTA(条幅!$B$11:$B$310)),"")))=0,"",IF(331&lt;=COUNTA(半紙!$B$11:$B$310),INDEX(半紙!$I$11:$I$310,331),IF(331&lt;=COUNTA(半紙!$B$11:$B$310)+COUNTA(条幅!$B$11:$B$310),INDEX(条幅!$I$11:$I$310,331-COUNTA(半紙!$B$11:$B$310)),IF(331&lt;=COUNTA(半紙!$B$11:$B$310)+COUNTA(条幅!$B$11:$B$310)+COUNTA(条幅4分の1!$B$11:$B$310),INDEX(条幅4分の1!$I$11:$I$310,331-COUNTA(半紙!$B$11:$B$310)-COUNTA(条幅!$B$11:$B$310)),""))))</f>
        <v/>
      </c>
      <c r="J336" s="38" t="str">
        <f>IF(IF(331&lt;=COUNTA(半紙!$B$11:$B$310),INDEX(半紙!$J$11:$J$310,331),IF(331&lt;=COUNTA(半紙!$B$11:$B$310)+COUNTA(条幅!$B$11:$B$310),INDEX(条幅!$J$11:$J$310,331-COUNTA(半紙!$B$11:$B$310)),IF(331&lt;=COUNTA(半紙!$B$11:$B$310)+COUNTA(条幅!$B$11:$B$310)+COUNTA(条幅4分の1!$B$11:$B$310),INDEX(条幅4分の1!$J$11:$J$310,331-COUNTA(半紙!$B$11:$B$310)-COUNTA(条幅!$B$11:$B$310)),"")))=0,"",IF(331&lt;=COUNTA(半紙!$B$11:$B$310),INDEX(半紙!$J$11:$J$310,331),IF(331&lt;=COUNTA(半紙!$B$11:$B$310)+COUNTA(条幅!$B$11:$B$310),INDEX(条幅!$J$11:$J$310,331-COUNTA(半紙!$B$11:$B$310)),IF(331&lt;=COUNTA(半紙!$B$11:$B$310)+COUNTA(条幅!$B$11:$B$310)+COUNTA(条幅4分の1!$B$11:$B$310),INDEX(条幅4分の1!$J$11:$J$310,331-COUNTA(半紙!$B$11:$B$310)-COUNTA(条幅!$B$11:$B$310)),""))))</f>
        <v/>
      </c>
      <c r="K336" s="38" t="str">
        <f>IF(IF(331&lt;=COUNTA(半紙!$B$11:$B$310),INDEX(半紙!$K$11:$K$310,331),IF(331&lt;=COUNTA(半紙!$B$11:$B$310)+COUNTA(条幅!$B$11:$B$310),INDEX(条幅!$K$11:$K$310,331-COUNTA(半紙!$B$11:$B$310)),IF(331&lt;=COUNTA(半紙!$B$11:$B$310)+COUNTA(条幅!$B$11:$B$310)+COUNTA(条幅4分の1!$B$11:$B$310),INDEX(条幅4分の1!$K$11:$K$310,331-COUNTA(半紙!$B$11:$B$310)-COUNTA(条幅!$B$11:$B$310)),"")))=0,"",IF(331&lt;=COUNTA(半紙!$B$11:$B$310),INDEX(半紙!$K$11:$K$310,331),IF(331&lt;=COUNTA(半紙!$B$11:$B$310)+COUNTA(条幅!$B$11:$B$310),INDEX(条幅!$K$11:$K$310,331-COUNTA(半紙!$B$11:$B$310)),IF(331&lt;=COUNTA(半紙!$B$11:$B$310)+COUNTA(条幅!$B$11:$B$310)+COUNTA(条幅4分の1!$B$11:$B$310),INDEX(条幅4分の1!$K$11:$K$310,331-COUNTA(半紙!$B$11:$B$310)-COUNTA(条幅!$B$11:$B$310)),""))))</f>
        <v/>
      </c>
      <c r="L336" s="48" t="str">
        <f>IF($B336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331))</f>
        <v/>
      </c>
    </row>
    <row r="337" spans="1:12" ht="15" customHeight="1">
      <c r="A337" s="37" t="str">
        <f>IF(332&lt;=COUNTA(半紙!$B$11:$B$310),"半紙",IF(332&lt;=COUNTA(半紙!$B$11:$B$310)+COUNTA(条幅!$B$11:$B$310),"条幅(半切)",IF(332&lt;=COUNTA(半紙!$B$11:$B$310)+COUNTA(条幅!$B$11:$B$310)+COUNTA(条幅4分の1!$B$11:$B$310),"条幅(1/4)","")))</f>
        <v/>
      </c>
      <c r="B337" s="38" t="str">
        <f>IF(IF(332&lt;=COUNTA(半紙!$B$11:$B$310),INDEX(半紙!$B$11:$B$310,332),IF(332&lt;=COUNTA(半紙!$B$11:$B$310)+COUNTA(条幅!$B$11:$B$310),INDEX(条幅!$B$11:$B$310,332-COUNTA(半紙!$B$11:$B$310)),IF(332&lt;=COUNTA(半紙!$B$11:$B$310)+COUNTA(条幅!$B$11:$B$310)+COUNTA(条幅4分の1!$B$11:$B$310),INDEX(条幅4分の1!$B$11:$B$310,332-COUNTA(半紙!$B$11:$B$310)-COUNTA(条幅!$B$11:$B$310)),"")))=0,"",IF(332&lt;=COUNTA(半紙!$B$11:$B$310),INDEX(半紙!$B$11:$B$310,332),IF(332&lt;=COUNTA(半紙!$B$11:$B$310)+COUNTA(条幅!$B$11:$B$310),INDEX(条幅!$B$11:$B$310,332-COUNTA(半紙!$B$11:$B$310)),IF(332&lt;=COUNTA(半紙!$B$11:$B$310)+COUNTA(条幅!$B$11:$B$310)+COUNTA(条幅4分の1!$B$11:$B$310),INDEX(条幅4分の1!$B$11:$B$310,332-COUNTA(半紙!$B$11:$B$310)-COUNTA(条幅!$B$11:$B$310)),""))))</f>
        <v/>
      </c>
      <c r="C337" s="38" t="str">
        <f>IF(IF(332&lt;=COUNTA(半紙!$B$11:$B$310),INDEX(半紙!$C$11:$C$310,332),IF(332&lt;=COUNTA(半紙!$B$11:$B$310)+COUNTA(条幅!$B$11:$B$310),INDEX(条幅!$C$11:$C$310,332-COUNTA(半紙!$B$11:$B$310)),IF(332&lt;=COUNTA(半紙!$B$11:$B$310)+COUNTA(条幅!$B$11:$B$310)+COUNTA(条幅4分の1!$B$11:$B$310),INDEX(条幅4分の1!$C$11:$C$310,332-COUNTA(半紙!$B$11:$B$310)-COUNTA(条幅!$B$11:$B$310)),"")))=0,"",IF(332&lt;=COUNTA(半紙!$B$11:$B$310),INDEX(半紙!$C$11:$C$310,332),IF(332&lt;=COUNTA(半紙!$B$11:$B$310)+COUNTA(条幅!$B$11:$B$310),INDEX(条幅!$C$11:$C$310,332-COUNTA(半紙!$B$11:$B$310)),IF(332&lt;=COUNTA(半紙!$B$11:$B$310)+COUNTA(条幅!$B$11:$B$310)+COUNTA(条幅4分の1!$B$11:$B$310),INDEX(条幅4分の1!$C$11:$C$310,332-COUNTA(半紙!$B$11:$B$310)-COUNTA(条幅!$B$11:$B$310)),""))))</f>
        <v/>
      </c>
      <c r="D337" s="38" t="str">
        <f>IF(IF(332&lt;=COUNTA(半紙!$B$11:$B$310),INDEX(半紙!$D$11:$D$310,332),IF(332&lt;=COUNTA(半紙!$B$11:$B$310)+COUNTA(条幅!$B$11:$B$310),INDEX(条幅!$D$11:$D$310,332-COUNTA(半紙!$B$11:$B$310)),IF(332&lt;=COUNTA(半紙!$B$11:$B$310)+COUNTA(条幅!$B$11:$B$310)+COUNTA(条幅4分の1!$B$11:$B$310),INDEX(条幅4分の1!$D$11:$D$310,332-COUNTA(半紙!$B$11:$B$310)-COUNTA(条幅!$B$11:$B$310)),"")))=0,"",IF(332&lt;=COUNTA(半紙!$B$11:$B$310),INDEX(半紙!$D$11:$D$310,332),IF(332&lt;=COUNTA(半紙!$B$11:$B$310)+COUNTA(条幅!$B$11:$B$310),INDEX(条幅!$D$11:$D$310,332-COUNTA(半紙!$B$11:$B$310)),IF(332&lt;=COUNTA(半紙!$B$11:$B$310)+COUNTA(条幅!$B$11:$B$310)+COUNTA(条幅4分の1!$B$11:$B$310),INDEX(条幅4分の1!$D$11:$D$310,332-COUNTA(半紙!$B$11:$B$310)-COUNTA(条幅!$B$11:$B$310)),""))))</f>
        <v/>
      </c>
      <c r="E337" s="38" t="str">
        <f>IF(IF(332&lt;=COUNTA(半紙!$B$11:$B$310),INDEX(半紙!$E$11:$E$310,332),IF(332&lt;=COUNTA(半紙!$B$11:$B$310)+COUNTA(条幅!$B$11:$B$310),INDEX(条幅!$E$11:$E$310,332-COUNTA(半紙!$B$11:$B$310)),IF(332&lt;=COUNTA(半紙!$B$11:$B$310)+COUNTA(条幅!$B$11:$B$310)+COUNTA(条幅4分の1!$B$11:$B$310),INDEX(条幅4分の1!$E$11:$E$310,332-COUNTA(半紙!$B$11:$B$310)-COUNTA(条幅!$B$11:$B$310)),"")))=0,"",IF(332&lt;=COUNTA(半紙!$B$11:$B$310),INDEX(半紙!$E$11:$E$310,332),IF(332&lt;=COUNTA(半紙!$B$11:$B$310)+COUNTA(条幅!$B$11:$B$310),INDEX(条幅!$E$11:$E$310,332-COUNTA(半紙!$B$11:$B$310)),IF(332&lt;=COUNTA(半紙!$B$11:$B$310)+COUNTA(条幅!$B$11:$B$310)+COUNTA(条幅4分の1!$B$11:$B$310),INDEX(条幅4分の1!$E$11:$E$310,332-COUNTA(半紙!$B$11:$B$310)-COUNTA(条幅!$B$11:$B$310)),""))))</f>
        <v/>
      </c>
      <c r="F337" s="38" t="str">
        <f>IF(IF(332&lt;=COUNTA(半紙!$B$11:$B$310),INDEX(半紙!$F$11:$F$310,332),IF(332&lt;=COUNTA(半紙!$B$11:$B$310)+COUNTA(条幅!$B$11:$B$310),INDEX(条幅!$F$11:$F$310,332-COUNTA(半紙!$B$11:$B$310)),IF(332&lt;=COUNTA(半紙!$B$11:$B$310)+COUNTA(条幅!$B$11:$B$310)+COUNTA(条幅4分の1!$B$11:$B$310),INDEX(条幅4分の1!$F$11:$F$310,332-COUNTA(半紙!$B$11:$B$310)-COUNTA(条幅!$B$11:$B$310)),"")))=0,"",IF(332&lt;=COUNTA(半紙!$B$11:$B$310),INDEX(半紙!$F$11:$F$310,332),IF(332&lt;=COUNTA(半紙!$B$11:$B$310)+COUNTA(条幅!$B$11:$B$310),INDEX(条幅!$F$11:$F$310,332-COUNTA(半紙!$B$11:$B$310)),IF(332&lt;=COUNTA(半紙!$B$11:$B$310)+COUNTA(条幅!$B$11:$B$310)+COUNTA(条幅4分の1!$B$11:$B$310),INDEX(条幅4分の1!$F$11:$F$310,332-COUNTA(半紙!$B$11:$B$310)-COUNTA(条幅!$B$11:$B$310)),""))))</f>
        <v/>
      </c>
      <c r="G337" s="38" t="str">
        <f>IF(IF(332&lt;=COUNTA(半紙!$B$11:$B$310),INDEX(半紙!$G$11:$G$310,332),IF(332&lt;=COUNTA(半紙!$B$11:$B$310)+COUNTA(条幅!$B$11:$B$310),INDEX(条幅!$G$11:$G$310,332-COUNTA(半紙!$B$11:$B$310)),IF(332&lt;=COUNTA(半紙!$B$11:$B$310)+COUNTA(条幅!$B$11:$B$310)+COUNTA(条幅4分の1!$B$11:$B$310),INDEX(条幅4分の1!$G$11:$G$310,332-COUNTA(半紙!$B$11:$B$310)-COUNTA(条幅!$B$11:$B$310)),"")))=0,"",IF(332&lt;=COUNTA(半紙!$B$11:$B$310),INDEX(半紙!$G$11:$G$310,332),IF(332&lt;=COUNTA(半紙!$B$11:$B$310)+COUNTA(条幅!$B$11:$B$310),INDEX(条幅!$G$11:$G$310,332-COUNTA(半紙!$B$11:$B$310)),IF(332&lt;=COUNTA(半紙!$B$11:$B$310)+COUNTA(条幅!$B$11:$B$310)+COUNTA(条幅4分の1!$B$11:$B$310),INDEX(条幅4分の1!$G$11:$G$310,332-COUNTA(半紙!$B$11:$B$310)-COUNTA(条幅!$B$11:$B$310)),""))))</f>
        <v/>
      </c>
      <c r="H337" s="38" t="str">
        <f>IF(IF(332&lt;=COUNTA(半紙!$B$11:$B$310),INDEX(半紙!$H$11:$H$310,332),IF(332&lt;=COUNTA(半紙!$B$11:$B$310)+COUNTA(条幅!$B$11:$B$310),INDEX(条幅!$H$11:$H$310,332-COUNTA(半紙!$B$11:$B$310)),IF(332&lt;=COUNTA(半紙!$B$11:$B$310)+COUNTA(条幅!$B$11:$B$310)+COUNTA(条幅4分の1!$B$11:$B$310),INDEX(条幅4分の1!$H$11:$H$310,332-COUNTA(半紙!$B$11:$B$310)-COUNTA(条幅!$B$11:$B$310)),"")))=0,"",IF(332&lt;=COUNTA(半紙!$B$11:$B$310),INDEX(半紙!$H$11:$H$310,332),IF(332&lt;=COUNTA(半紙!$B$11:$B$310)+COUNTA(条幅!$B$11:$B$310),INDEX(条幅!$H$11:$H$310,332-COUNTA(半紙!$B$11:$B$310)),IF(332&lt;=COUNTA(半紙!$B$11:$B$310)+COUNTA(条幅!$B$11:$B$310)+COUNTA(条幅4分の1!$B$11:$B$310),INDEX(条幅4分の1!$H$11:$H$310,332-COUNTA(半紙!$B$11:$B$310)-COUNTA(条幅!$B$11:$B$310)),""))))</f>
        <v/>
      </c>
      <c r="I337" s="38" t="str">
        <f>IF(IF(332&lt;=COUNTA(半紙!$B$11:$B$310),INDEX(半紙!$I$11:$I$310,332),IF(332&lt;=COUNTA(半紙!$B$11:$B$310)+COUNTA(条幅!$B$11:$B$310),INDEX(条幅!$I$11:$I$310,332-COUNTA(半紙!$B$11:$B$310)),IF(332&lt;=COUNTA(半紙!$B$11:$B$310)+COUNTA(条幅!$B$11:$B$310)+COUNTA(条幅4分の1!$B$11:$B$310),INDEX(条幅4分の1!$I$11:$I$310,332-COUNTA(半紙!$B$11:$B$310)-COUNTA(条幅!$B$11:$B$310)),"")))=0,"",IF(332&lt;=COUNTA(半紙!$B$11:$B$310),INDEX(半紙!$I$11:$I$310,332),IF(332&lt;=COUNTA(半紙!$B$11:$B$310)+COUNTA(条幅!$B$11:$B$310),INDEX(条幅!$I$11:$I$310,332-COUNTA(半紙!$B$11:$B$310)),IF(332&lt;=COUNTA(半紙!$B$11:$B$310)+COUNTA(条幅!$B$11:$B$310)+COUNTA(条幅4分の1!$B$11:$B$310),INDEX(条幅4分の1!$I$11:$I$310,332-COUNTA(半紙!$B$11:$B$310)-COUNTA(条幅!$B$11:$B$310)),""))))</f>
        <v/>
      </c>
      <c r="J337" s="38" t="str">
        <f>IF(IF(332&lt;=COUNTA(半紙!$B$11:$B$310),INDEX(半紙!$J$11:$J$310,332),IF(332&lt;=COUNTA(半紙!$B$11:$B$310)+COUNTA(条幅!$B$11:$B$310),INDEX(条幅!$J$11:$J$310,332-COUNTA(半紙!$B$11:$B$310)),IF(332&lt;=COUNTA(半紙!$B$11:$B$310)+COUNTA(条幅!$B$11:$B$310)+COUNTA(条幅4分の1!$B$11:$B$310),INDEX(条幅4分の1!$J$11:$J$310,332-COUNTA(半紙!$B$11:$B$310)-COUNTA(条幅!$B$11:$B$310)),"")))=0,"",IF(332&lt;=COUNTA(半紙!$B$11:$B$310),INDEX(半紙!$J$11:$J$310,332),IF(332&lt;=COUNTA(半紙!$B$11:$B$310)+COUNTA(条幅!$B$11:$B$310),INDEX(条幅!$J$11:$J$310,332-COUNTA(半紙!$B$11:$B$310)),IF(332&lt;=COUNTA(半紙!$B$11:$B$310)+COUNTA(条幅!$B$11:$B$310)+COUNTA(条幅4分の1!$B$11:$B$310),INDEX(条幅4分の1!$J$11:$J$310,332-COUNTA(半紙!$B$11:$B$310)-COUNTA(条幅!$B$11:$B$310)),""))))</f>
        <v/>
      </c>
      <c r="K337" s="38" t="str">
        <f>IF(IF(332&lt;=COUNTA(半紙!$B$11:$B$310),INDEX(半紙!$K$11:$K$310,332),IF(332&lt;=COUNTA(半紙!$B$11:$B$310)+COUNTA(条幅!$B$11:$B$310),INDEX(条幅!$K$11:$K$310,332-COUNTA(半紙!$B$11:$B$310)),IF(332&lt;=COUNTA(半紙!$B$11:$B$310)+COUNTA(条幅!$B$11:$B$310)+COUNTA(条幅4分の1!$B$11:$B$310),INDEX(条幅4分の1!$K$11:$K$310,332-COUNTA(半紙!$B$11:$B$310)-COUNTA(条幅!$B$11:$B$310)),"")))=0,"",IF(332&lt;=COUNTA(半紙!$B$11:$B$310),INDEX(半紙!$K$11:$K$310,332),IF(332&lt;=COUNTA(半紙!$B$11:$B$310)+COUNTA(条幅!$B$11:$B$310),INDEX(条幅!$K$11:$K$310,332-COUNTA(半紙!$B$11:$B$310)),IF(332&lt;=COUNTA(半紙!$B$11:$B$310)+COUNTA(条幅!$B$11:$B$310)+COUNTA(条幅4分の1!$B$11:$B$310),INDEX(条幅4分の1!$K$11:$K$310,332-COUNTA(半紙!$B$11:$B$310)-COUNTA(条幅!$B$11:$B$310)),""))))</f>
        <v/>
      </c>
      <c r="L337" s="48" t="str">
        <f>IF($B337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332))</f>
        <v/>
      </c>
    </row>
    <row r="338" spans="1:12" ht="15" customHeight="1">
      <c r="A338" s="37" t="str">
        <f>IF(333&lt;=COUNTA(半紙!$B$11:$B$310),"半紙",IF(333&lt;=COUNTA(半紙!$B$11:$B$310)+COUNTA(条幅!$B$11:$B$310),"条幅(半切)",IF(333&lt;=COUNTA(半紙!$B$11:$B$310)+COUNTA(条幅!$B$11:$B$310)+COUNTA(条幅4分の1!$B$11:$B$310),"条幅(1/4)","")))</f>
        <v/>
      </c>
      <c r="B338" s="38" t="str">
        <f>IF(IF(333&lt;=COUNTA(半紙!$B$11:$B$310),INDEX(半紙!$B$11:$B$310,333),IF(333&lt;=COUNTA(半紙!$B$11:$B$310)+COUNTA(条幅!$B$11:$B$310),INDEX(条幅!$B$11:$B$310,333-COUNTA(半紙!$B$11:$B$310)),IF(333&lt;=COUNTA(半紙!$B$11:$B$310)+COUNTA(条幅!$B$11:$B$310)+COUNTA(条幅4分の1!$B$11:$B$310),INDEX(条幅4分の1!$B$11:$B$310,333-COUNTA(半紙!$B$11:$B$310)-COUNTA(条幅!$B$11:$B$310)),"")))=0,"",IF(333&lt;=COUNTA(半紙!$B$11:$B$310),INDEX(半紙!$B$11:$B$310,333),IF(333&lt;=COUNTA(半紙!$B$11:$B$310)+COUNTA(条幅!$B$11:$B$310),INDEX(条幅!$B$11:$B$310,333-COUNTA(半紙!$B$11:$B$310)),IF(333&lt;=COUNTA(半紙!$B$11:$B$310)+COUNTA(条幅!$B$11:$B$310)+COUNTA(条幅4分の1!$B$11:$B$310),INDEX(条幅4分の1!$B$11:$B$310,333-COUNTA(半紙!$B$11:$B$310)-COUNTA(条幅!$B$11:$B$310)),""))))</f>
        <v/>
      </c>
      <c r="C338" s="38" t="str">
        <f>IF(IF(333&lt;=COUNTA(半紙!$B$11:$B$310),INDEX(半紙!$C$11:$C$310,333),IF(333&lt;=COUNTA(半紙!$B$11:$B$310)+COUNTA(条幅!$B$11:$B$310),INDEX(条幅!$C$11:$C$310,333-COUNTA(半紙!$B$11:$B$310)),IF(333&lt;=COUNTA(半紙!$B$11:$B$310)+COUNTA(条幅!$B$11:$B$310)+COUNTA(条幅4分の1!$B$11:$B$310),INDEX(条幅4分の1!$C$11:$C$310,333-COUNTA(半紙!$B$11:$B$310)-COUNTA(条幅!$B$11:$B$310)),"")))=0,"",IF(333&lt;=COUNTA(半紙!$B$11:$B$310),INDEX(半紙!$C$11:$C$310,333),IF(333&lt;=COUNTA(半紙!$B$11:$B$310)+COUNTA(条幅!$B$11:$B$310),INDEX(条幅!$C$11:$C$310,333-COUNTA(半紙!$B$11:$B$310)),IF(333&lt;=COUNTA(半紙!$B$11:$B$310)+COUNTA(条幅!$B$11:$B$310)+COUNTA(条幅4分の1!$B$11:$B$310),INDEX(条幅4分の1!$C$11:$C$310,333-COUNTA(半紙!$B$11:$B$310)-COUNTA(条幅!$B$11:$B$310)),""))))</f>
        <v/>
      </c>
      <c r="D338" s="38" t="str">
        <f>IF(IF(333&lt;=COUNTA(半紙!$B$11:$B$310),INDEX(半紙!$D$11:$D$310,333),IF(333&lt;=COUNTA(半紙!$B$11:$B$310)+COUNTA(条幅!$B$11:$B$310),INDEX(条幅!$D$11:$D$310,333-COUNTA(半紙!$B$11:$B$310)),IF(333&lt;=COUNTA(半紙!$B$11:$B$310)+COUNTA(条幅!$B$11:$B$310)+COUNTA(条幅4分の1!$B$11:$B$310),INDEX(条幅4分の1!$D$11:$D$310,333-COUNTA(半紙!$B$11:$B$310)-COUNTA(条幅!$B$11:$B$310)),"")))=0,"",IF(333&lt;=COUNTA(半紙!$B$11:$B$310),INDEX(半紙!$D$11:$D$310,333),IF(333&lt;=COUNTA(半紙!$B$11:$B$310)+COUNTA(条幅!$B$11:$B$310),INDEX(条幅!$D$11:$D$310,333-COUNTA(半紙!$B$11:$B$310)),IF(333&lt;=COUNTA(半紙!$B$11:$B$310)+COUNTA(条幅!$B$11:$B$310)+COUNTA(条幅4分の1!$B$11:$B$310),INDEX(条幅4分の1!$D$11:$D$310,333-COUNTA(半紙!$B$11:$B$310)-COUNTA(条幅!$B$11:$B$310)),""))))</f>
        <v/>
      </c>
      <c r="E338" s="38" t="str">
        <f>IF(IF(333&lt;=COUNTA(半紙!$B$11:$B$310),INDEX(半紙!$E$11:$E$310,333),IF(333&lt;=COUNTA(半紙!$B$11:$B$310)+COUNTA(条幅!$B$11:$B$310),INDEX(条幅!$E$11:$E$310,333-COUNTA(半紙!$B$11:$B$310)),IF(333&lt;=COUNTA(半紙!$B$11:$B$310)+COUNTA(条幅!$B$11:$B$310)+COUNTA(条幅4分の1!$B$11:$B$310),INDEX(条幅4分の1!$E$11:$E$310,333-COUNTA(半紙!$B$11:$B$310)-COUNTA(条幅!$B$11:$B$310)),"")))=0,"",IF(333&lt;=COUNTA(半紙!$B$11:$B$310),INDEX(半紙!$E$11:$E$310,333),IF(333&lt;=COUNTA(半紙!$B$11:$B$310)+COUNTA(条幅!$B$11:$B$310),INDEX(条幅!$E$11:$E$310,333-COUNTA(半紙!$B$11:$B$310)),IF(333&lt;=COUNTA(半紙!$B$11:$B$310)+COUNTA(条幅!$B$11:$B$310)+COUNTA(条幅4分の1!$B$11:$B$310),INDEX(条幅4分の1!$E$11:$E$310,333-COUNTA(半紙!$B$11:$B$310)-COUNTA(条幅!$B$11:$B$310)),""))))</f>
        <v/>
      </c>
      <c r="F338" s="38" t="str">
        <f>IF(IF(333&lt;=COUNTA(半紙!$B$11:$B$310),INDEX(半紙!$F$11:$F$310,333),IF(333&lt;=COUNTA(半紙!$B$11:$B$310)+COUNTA(条幅!$B$11:$B$310),INDEX(条幅!$F$11:$F$310,333-COUNTA(半紙!$B$11:$B$310)),IF(333&lt;=COUNTA(半紙!$B$11:$B$310)+COUNTA(条幅!$B$11:$B$310)+COUNTA(条幅4分の1!$B$11:$B$310),INDEX(条幅4分の1!$F$11:$F$310,333-COUNTA(半紙!$B$11:$B$310)-COUNTA(条幅!$B$11:$B$310)),"")))=0,"",IF(333&lt;=COUNTA(半紙!$B$11:$B$310),INDEX(半紙!$F$11:$F$310,333),IF(333&lt;=COUNTA(半紙!$B$11:$B$310)+COUNTA(条幅!$B$11:$B$310),INDEX(条幅!$F$11:$F$310,333-COUNTA(半紙!$B$11:$B$310)),IF(333&lt;=COUNTA(半紙!$B$11:$B$310)+COUNTA(条幅!$B$11:$B$310)+COUNTA(条幅4分の1!$B$11:$B$310),INDEX(条幅4分の1!$F$11:$F$310,333-COUNTA(半紙!$B$11:$B$310)-COUNTA(条幅!$B$11:$B$310)),""))))</f>
        <v/>
      </c>
      <c r="G338" s="38" t="str">
        <f>IF(IF(333&lt;=COUNTA(半紙!$B$11:$B$310),INDEX(半紙!$G$11:$G$310,333),IF(333&lt;=COUNTA(半紙!$B$11:$B$310)+COUNTA(条幅!$B$11:$B$310),INDEX(条幅!$G$11:$G$310,333-COUNTA(半紙!$B$11:$B$310)),IF(333&lt;=COUNTA(半紙!$B$11:$B$310)+COUNTA(条幅!$B$11:$B$310)+COUNTA(条幅4分の1!$B$11:$B$310),INDEX(条幅4分の1!$G$11:$G$310,333-COUNTA(半紙!$B$11:$B$310)-COUNTA(条幅!$B$11:$B$310)),"")))=0,"",IF(333&lt;=COUNTA(半紙!$B$11:$B$310),INDEX(半紙!$G$11:$G$310,333),IF(333&lt;=COUNTA(半紙!$B$11:$B$310)+COUNTA(条幅!$B$11:$B$310),INDEX(条幅!$G$11:$G$310,333-COUNTA(半紙!$B$11:$B$310)),IF(333&lt;=COUNTA(半紙!$B$11:$B$310)+COUNTA(条幅!$B$11:$B$310)+COUNTA(条幅4分の1!$B$11:$B$310),INDEX(条幅4分の1!$G$11:$G$310,333-COUNTA(半紙!$B$11:$B$310)-COUNTA(条幅!$B$11:$B$310)),""))))</f>
        <v/>
      </c>
      <c r="H338" s="38" t="str">
        <f>IF(IF(333&lt;=COUNTA(半紙!$B$11:$B$310),INDEX(半紙!$H$11:$H$310,333),IF(333&lt;=COUNTA(半紙!$B$11:$B$310)+COUNTA(条幅!$B$11:$B$310),INDEX(条幅!$H$11:$H$310,333-COUNTA(半紙!$B$11:$B$310)),IF(333&lt;=COUNTA(半紙!$B$11:$B$310)+COUNTA(条幅!$B$11:$B$310)+COUNTA(条幅4分の1!$B$11:$B$310),INDEX(条幅4分の1!$H$11:$H$310,333-COUNTA(半紙!$B$11:$B$310)-COUNTA(条幅!$B$11:$B$310)),"")))=0,"",IF(333&lt;=COUNTA(半紙!$B$11:$B$310),INDEX(半紙!$H$11:$H$310,333),IF(333&lt;=COUNTA(半紙!$B$11:$B$310)+COUNTA(条幅!$B$11:$B$310),INDEX(条幅!$H$11:$H$310,333-COUNTA(半紙!$B$11:$B$310)),IF(333&lt;=COUNTA(半紙!$B$11:$B$310)+COUNTA(条幅!$B$11:$B$310)+COUNTA(条幅4分の1!$B$11:$B$310),INDEX(条幅4分の1!$H$11:$H$310,333-COUNTA(半紙!$B$11:$B$310)-COUNTA(条幅!$B$11:$B$310)),""))))</f>
        <v/>
      </c>
      <c r="I338" s="38" t="str">
        <f>IF(IF(333&lt;=COUNTA(半紙!$B$11:$B$310),INDEX(半紙!$I$11:$I$310,333),IF(333&lt;=COUNTA(半紙!$B$11:$B$310)+COUNTA(条幅!$B$11:$B$310),INDEX(条幅!$I$11:$I$310,333-COUNTA(半紙!$B$11:$B$310)),IF(333&lt;=COUNTA(半紙!$B$11:$B$310)+COUNTA(条幅!$B$11:$B$310)+COUNTA(条幅4分の1!$B$11:$B$310),INDEX(条幅4分の1!$I$11:$I$310,333-COUNTA(半紙!$B$11:$B$310)-COUNTA(条幅!$B$11:$B$310)),"")))=0,"",IF(333&lt;=COUNTA(半紙!$B$11:$B$310),INDEX(半紙!$I$11:$I$310,333),IF(333&lt;=COUNTA(半紙!$B$11:$B$310)+COUNTA(条幅!$B$11:$B$310),INDEX(条幅!$I$11:$I$310,333-COUNTA(半紙!$B$11:$B$310)),IF(333&lt;=COUNTA(半紙!$B$11:$B$310)+COUNTA(条幅!$B$11:$B$310)+COUNTA(条幅4分の1!$B$11:$B$310),INDEX(条幅4分の1!$I$11:$I$310,333-COUNTA(半紙!$B$11:$B$310)-COUNTA(条幅!$B$11:$B$310)),""))))</f>
        <v/>
      </c>
      <c r="J338" s="38" t="str">
        <f>IF(IF(333&lt;=COUNTA(半紙!$B$11:$B$310),INDEX(半紙!$J$11:$J$310,333),IF(333&lt;=COUNTA(半紙!$B$11:$B$310)+COUNTA(条幅!$B$11:$B$310),INDEX(条幅!$J$11:$J$310,333-COUNTA(半紙!$B$11:$B$310)),IF(333&lt;=COUNTA(半紙!$B$11:$B$310)+COUNTA(条幅!$B$11:$B$310)+COUNTA(条幅4分の1!$B$11:$B$310),INDEX(条幅4分の1!$J$11:$J$310,333-COUNTA(半紙!$B$11:$B$310)-COUNTA(条幅!$B$11:$B$310)),"")))=0,"",IF(333&lt;=COUNTA(半紙!$B$11:$B$310),INDEX(半紙!$J$11:$J$310,333),IF(333&lt;=COUNTA(半紙!$B$11:$B$310)+COUNTA(条幅!$B$11:$B$310),INDEX(条幅!$J$11:$J$310,333-COUNTA(半紙!$B$11:$B$310)),IF(333&lt;=COUNTA(半紙!$B$11:$B$310)+COUNTA(条幅!$B$11:$B$310)+COUNTA(条幅4分の1!$B$11:$B$310),INDEX(条幅4分の1!$J$11:$J$310,333-COUNTA(半紙!$B$11:$B$310)-COUNTA(条幅!$B$11:$B$310)),""))))</f>
        <v/>
      </c>
      <c r="K338" s="38" t="str">
        <f>IF(IF(333&lt;=COUNTA(半紙!$B$11:$B$310),INDEX(半紙!$K$11:$K$310,333),IF(333&lt;=COUNTA(半紙!$B$11:$B$310)+COUNTA(条幅!$B$11:$B$310),INDEX(条幅!$K$11:$K$310,333-COUNTA(半紙!$B$11:$B$310)),IF(333&lt;=COUNTA(半紙!$B$11:$B$310)+COUNTA(条幅!$B$11:$B$310)+COUNTA(条幅4分の1!$B$11:$B$310),INDEX(条幅4分の1!$K$11:$K$310,333-COUNTA(半紙!$B$11:$B$310)-COUNTA(条幅!$B$11:$B$310)),"")))=0,"",IF(333&lt;=COUNTA(半紙!$B$11:$B$310),INDEX(半紙!$K$11:$K$310,333),IF(333&lt;=COUNTA(半紙!$B$11:$B$310)+COUNTA(条幅!$B$11:$B$310),INDEX(条幅!$K$11:$K$310,333-COUNTA(半紙!$B$11:$B$310)),IF(333&lt;=COUNTA(半紙!$B$11:$B$310)+COUNTA(条幅!$B$11:$B$310)+COUNTA(条幅4分の1!$B$11:$B$310),INDEX(条幅4分の1!$K$11:$K$310,333-COUNTA(半紙!$B$11:$B$310)-COUNTA(条幅!$B$11:$B$310)),""))))</f>
        <v/>
      </c>
      <c r="L338" s="48" t="str">
        <f>IF($B338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333))</f>
        <v/>
      </c>
    </row>
    <row r="339" spans="1:12" ht="15" customHeight="1">
      <c r="A339" s="37" t="str">
        <f>IF(334&lt;=COUNTA(半紙!$B$11:$B$310),"半紙",IF(334&lt;=COUNTA(半紙!$B$11:$B$310)+COUNTA(条幅!$B$11:$B$310),"条幅(半切)",IF(334&lt;=COUNTA(半紙!$B$11:$B$310)+COUNTA(条幅!$B$11:$B$310)+COUNTA(条幅4分の1!$B$11:$B$310),"条幅(1/4)","")))</f>
        <v/>
      </c>
      <c r="B339" s="38" t="str">
        <f>IF(IF(334&lt;=COUNTA(半紙!$B$11:$B$310),INDEX(半紙!$B$11:$B$310,334),IF(334&lt;=COUNTA(半紙!$B$11:$B$310)+COUNTA(条幅!$B$11:$B$310),INDEX(条幅!$B$11:$B$310,334-COUNTA(半紙!$B$11:$B$310)),IF(334&lt;=COUNTA(半紙!$B$11:$B$310)+COUNTA(条幅!$B$11:$B$310)+COUNTA(条幅4分の1!$B$11:$B$310),INDEX(条幅4分の1!$B$11:$B$310,334-COUNTA(半紙!$B$11:$B$310)-COUNTA(条幅!$B$11:$B$310)),"")))=0,"",IF(334&lt;=COUNTA(半紙!$B$11:$B$310),INDEX(半紙!$B$11:$B$310,334),IF(334&lt;=COUNTA(半紙!$B$11:$B$310)+COUNTA(条幅!$B$11:$B$310),INDEX(条幅!$B$11:$B$310,334-COUNTA(半紙!$B$11:$B$310)),IF(334&lt;=COUNTA(半紙!$B$11:$B$310)+COUNTA(条幅!$B$11:$B$310)+COUNTA(条幅4分の1!$B$11:$B$310),INDEX(条幅4分の1!$B$11:$B$310,334-COUNTA(半紙!$B$11:$B$310)-COUNTA(条幅!$B$11:$B$310)),""))))</f>
        <v/>
      </c>
      <c r="C339" s="38" t="str">
        <f>IF(IF(334&lt;=COUNTA(半紙!$B$11:$B$310),INDEX(半紙!$C$11:$C$310,334),IF(334&lt;=COUNTA(半紙!$B$11:$B$310)+COUNTA(条幅!$B$11:$B$310),INDEX(条幅!$C$11:$C$310,334-COUNTA(半紙!$B$11:$B$310)),IF(334&lt;=COUNTA(半紙!$B$11:$B$310)+COUNTA(条幅!$B$11:$B$310)+COUNTA(条幅4分の1!$B$11:$B$310),INDEX(条幅4分の1!$C$11:$C$310,334-COUNTA(半紙!$B$11:$B$310)-COUNTA(条幅!$B$11:$B$310)),"")))=0,"",IF(334&lt;=COUNTA(半紙!$B$11:$B$310),INDEX(半紙!$C$11:$C$310,334),IF(334&lt;=COUNTA(半紙!$B$11:$B$310)+COUNTA(条幅!$B$11:$B$310),INDEX(条幅!$C$11:$C$310,334-COUNTA(半紙!$B$11:$B$310)),IF(334&lt;=COUNTA(半紙!$B$11:$B$310)+COUNTA(条幅!$B$11:$B$310)+COUNTA(条幅4分の1!$B$11:$B$310),INDEX(条幅4分の1!$C$11:$C$310,334-COUNTA(半紙!$B$11:$B$310)-COUNTA(条幅!$B$11:$B$310)),""))))</f>
        <v/>
      </c>
      <c r="D339" s="38" t="str">
        <f>IF(IF(334&lt;=COUNTA(半紙!$B$11:$B$310),INDEX(半紙!$D$11:$D$310,334),IF(334&lt;=COUNTA(半紙!$B$11:$B$310)+COUNTA(条幅!$B$11:$B$310),INDEX(条幅!$D$11:$D$310,334-COUNTA(半紙!$B$11:$B$310)),IF(334&lt;=COUNTA(半紙!$B$11:$B$310)+COUNTA(条幅!$B$11:$B$310)+COUNTA(条幅4分の1!$B$11:$B$310),INDEX(条幅4分の1!$D$11:$D$310,334-COUNTA(半紙!$B$11:$B$310)-COUNTA(条幅!$B$11:$B$310)),"")))=0,"",IF(334&lt;=COUNTA(半紙!$B$11:$B$310),INDEX(半紙!$D$11:$D$310,334),IF(334&lt;=COUNTA(半紙!$B$11:$B$310)+COUNTA(条幅!$B$11:$B$310),INDEX(条幅!$D$11:$D$310,334-COUNTA(半紙!$B$11:$B$310)),IF(334&lt;=COUNTA(半紙!$B$11:$B$310)+COUNTA(条幅!$B$11:$B$310)+COUNTA(条幅4分の1!$B$11:$B$310),INDEX(条幅4分の1!$D$11:$D$310,334-COUNTA(半紙!$B$11:$B$310)-COUNTA(条幅!$B$11:$B$310)),""))))</f>
        <v/>
      </c>
      <c r="E339" s="38" t="str">
        <f>IF(IF(334&lt;=COUNTA(半紙!$B$11:$B$310),INDEX(半紙!$E$11:$E$310,334),IF(334&lt;=COUNTA(半紙!$B$11:$B$310)+COUNTA(条幅!$B$11:$B$310),INDEX(条幅!$E$11:$E$310,334-COUNTA(半紙!$B$11:$B$310)),IF(334&lt;=COUNTA(半紙!$B$11:$B$310)+COUNTA(条幅!$B$11:$B$310)+COUNTA(条幅4分の1!$B$11:$B$310),INDEX(条幅4分の1!$E$11:$E$310,334-COUNTA(半紙!$B$11:$B$310)-COUNTA(条幅!$B$11:$B$310)),"")))=0,"",IF(334&lt;=COUNTA(半紙!$B$11:$B$310),INDEX(半紙!$E$11:$E$310,334),IF(334&lt;=COUNTA(半紙!$B$11:$B$310)+COUNTA(条幅!$B$11:$B$310),INDEX(条幅!$E$11:$E$310,334-COUNTA(半紙!$B$11:$B$310)),IF(334&lt;=COUNTA(半紙!$B$11:$B$310)+COUNTA(条幅!$B$11:$B$310)+COUNTA(条幅4分の1!$B$11:$B$310),INDEX(条幅4分の1!$E$11:$E$310,334-COUNTA(半紙!$B$11:$B$310)-COUNTA(条幅!$B$11:$B$310)),""))))</f>
        <v/>
      </c>
      <c r="F339" s="38" t="str">
        <f>IF(IF(334&lt;=COUNTA(半紙!$B$11:$B$310),INDEX(半紙!$F$11:$F$310,334),IF(334&lt;=COUNTA(半紙!$B$11:$B$310)+COUNTA(条幅!$B$11:$B$310),INDEX(条幅!$F$11:$F$310,334-COUNTA(半紙!$B$11:$B$310)),IF(334&lt;=COUNTA(半紙!$B$11:$B$310)+COUNTA(条幅!$B$11:$B$310)+COUNTA(条幅4分の1!$B$11:$B$310),INDEX(条幅4分の1!$F$11:$F$310,334-COUNTA(半紙!$B$11:$B$310)-COUNTA(条幅!$B$11:$B$310)),"")))=0,"",IF(334&lt;=COUNTA(半紙!$B$11:$B$310),INDEX(半紙!$F$11:$F$310,334),IF(334&lt;=COUNTA(半紙!$B$11:$B$310)+COUNTA(条幅!$B$11:$B$310),INDEX(条幅!$F$11:$F$310,334-COUNTA(半紙!$B$11:$B$310)),IF(334&lt;=COUNTA(半紙!$B$11:$B$310)+COUNTA(条幅!$B$11:$B$310)+COUNTA(条幅4分の1!$B$11:$B$310),INDEX(条幅4分の1!$F$11:$F$310,334-COUNTA(半紙!$B$11:$B$310)-COUNTA(条幅!$B$11:$B$310)),""))))</f>
        <v/>
      </c>
      <c r="G339" s="38" t="str">
        <f>IF(IF(334&lt;=COUNTA(半紙!$B$11:$B$310),INDEX(半紙!$G$11:$G$310,334),IF(334&lt;=COUNTA(半紙!$B$11:$B$310)+COUNTA(条幅!$B$11:$B$310),INDEX(条幅!$G$11:$G$310,334-COUNTA(半紙!$B$11:$B$310)),IF(334&lt;=COUNTA(半紙!$B$11:$B$310)+COUNTA(条幅!$B$11:$B$310)+COUNTA(条幅4分の1!$B$11:$B$310),INDEX(条幅4分の1!$G$11:$G$310,334-COUNTA(半紙!$B$11:$B$310)-COUNTA(条幅!$B$11:$B$310)),"")))=0,"",IF(334&lt;=COUNTA(半紙!$B$11:$B$310),INDEX(半紙!$G$11:$G$310,334),IF(334&lt;=COUNTA(半紙!$B$11:$B$310)+COUNTA(条幅!$B$11:$B$310),INDEX(条幅!$G$11:$G$310,334-COUNTA(半紙!$B$11:$B$310)),IF(334&lt;=COUNTA(半紙!$B$11:$B$310)+COUNTA(条幅!$B$11:$B$310)+COUNTA(条幅4分の1!$B$11:$B$310),INDEX(条幅4分の1!$G$11:$G$310,334-COUNTA(半紙!$B$11:$B$310)-COUNTA(条幅!$B$11:$B$310)),""))))</f>
        <v/>
      </c>
      <c r="H339" s="38" t="str">
        <f>IF(IF(334&lt;=COUNTA(半紙!$B$11:$B$310),INDEX(半紙!$H$11:$H$310,334),IF(334&lt;=COUNTA(半紙!$B$11:$B$310)+COUNTA(条幅!$B$11:$B$310),INDEX(条幅!$H$11:$H$310,334-COUNTA(半紙!$B$11:$B$310)),IF(334&lt;=COUNTA(半紙!$B$11:$B$310)+COUNTA(条幅!$B$11:$B$310)+COUNTA(条幅4分の1!$B$11:$B$310),INDEX(条幅4分の1!$H$11:$H$310,334-COUNTA(半紙!$B$11:$B$310)-COUNTA(条幅!$B$11:$B$310)),"")))=0,"",IF(334&lt;=COUNTA(半紙!$B$11:$B$310),INDEX(半紙!$H$11:$H$310,334),IF(334&lt;=COUNTA(半紙!$B$11:$B$310)+COUNTA(条幅!$B$11:$B$310),INDEX(条幅!$H$11:$H$310,334-COUNTA(半紙!$B$11:$B$310)),IF(334&lt;=COUNTA(半紙!$B$11:$B$310)+COUNTA(条幅!$B$11:$B$310)+COUNTA(条幅4分の1!$B$11:$B$310),INDEX(条幅4分の1!$H$11:$H$310,334-COUNTA(半紙!$B$11:$B$310)-COUNTA(条幅!$B$11:$B$310)),""))))</f>
        <v/>
      </c>
      <c r="I339" s="38" t="str">
        <f>IF(IF(334&lt;=COUNTA(半紙!$B$11:$B$310),INDEX(半紙!$I$11:$I$310,334),IF(334&lt;=COUNTA(半紙!$B$11:$B$310)+COUNTA(条幅!$B$11:$B$310),INDEX(条幅!$I$11:$I$310,334-COUNTA(半紙!$B$11:$B$310)),IF(334&lt;=COUNTA(半紙!$B$11:$B$310)+COUNTA(条幅!$B$11:$B$310)+COUNTA(条幅4分の1!$B$11:$B$310),INDEX(条幅4分の1!$I$11:$I$310,334-COUNTA(半紙!$B$11:$B$310)-COUNTA(条幅!$B$11:$B$310)),"")))=0,"",IF(334&lt;=COUNTA(半紙!$B$11:$B$310),INDEX(半紙!$I$11:$I$310,334),IF(334&lt;=COUNTA(半紙!$B$11:$B$310)+COUNTA(条幅!$B$11:$B$310),INDEX(条幅!$I$11:$I$310,334-COUNTA(半紙!$B$11:$B$310)),IF(334&lt;=COUNTA(半紙!$B$11:$B$310)+COUNTA(条幅!$B$11:$B$310)+COUNTA(条幅4分の1!$B$11:$B$310),INDEX(条幅4分の1!$I$11:$I$310,334-COUNTA(半紙!$B$11:$B$310)-COUNTA(条幅!$B$11:$B$310)),""))))</f>
        <v/>
      </c>
      <c r="J339" s="38" t="str">
        <f>IF(IF(334&lt;=COUNTA(半紙!$B$11:$B$310),INDEX(半紙!$J$11:$J$310,334),IF(334&lt;=COUNTA(半紙!$B$11:$B$310)+COUNTA(条幅!$B$11:$B$310),INDEX(条幅!$J$11:$J$310,334-COUNTA(半紙!$B$11:$B$310)),IF(334&lt;=COUNTA(半紙!$B$11:$B$310)+COUNTA(条幅!$B$11:$B$310)+COUNTA(条幅4分の1!$B$11:$B$310),INDEX(条幅4分の1!$J$11:$J$310,334-COUNTA(半紙!$B$11:$B$310)-COUNTA(条幅!$B$11:$B$310)),"")))=0,"",IF(334&lt;=COUNTA(半紙!$B$11:$B$310),INDEX(半紙!$J$11:$J$310,334),IF(334&lt;=COUNTA(半紙!$B$11:$B$310)+COUNTA(条幅!$B$11:$B$310),INDEX(条幅!$J$11:$J$310,334-COUNTA(半紙!$B$11:$B$310)),IF(334&lt;=COUNTA(半紙!$B$11:$B$310)+COUNTA(条幅!$B$11:$B$310)+COUNTA(条幅4分の1!$B$11:$B$310),INDEX(条幅4分の1!$J$11:$J$310,334-COUNTA(半紙!$B$11:$B$310)-COUNTA(条幅!$B$11:$B$310)),""))))</f>
        <v/>
      </c>
      <c r="K339" s="38" t="str">
        <f>IF(IF(334&lt;=COUNTA(半紙!$B$11:$B$310),INDEX(半紙!$K$11:$K$310,334),IF(334&lt;=COUNTA(半紙!$B$11:$B$310)+COUNTA(条幅!$B$11:$B$310),INDEX(条幅!$K$11:$K$310,334-COUNTA(半紙!$B$11:$B$310)),IF(334&lt;=COUNTA(半紙!$B$11:$B$310)+COUNTA(条幅!$B$11:$B$310)+COUNTA(条幅4分の1!$B$11:$B$310),INDEX(条幅4分の1!$K$11:$K$310,334-COUNTA(半紙!$B$11:$B$310)-COUNTA(条幅!$B$11:$B$310)),"")))=0,"",IF(334&lt;=COUNTA(半紙!$B$11:$B$310),INDEX(半紙!$K$11:$K$310,334),IF(334&lt;=COUNTA(半紙!$B$11:$B$310)+COUNTA(条幅!$B$11:$B$310),INDEX(条幅!$K$11:$K$310,334-COUNTA(半紙!$B$11:$B$310)),IF(334&lt;=COUNTA(半紙!$B$11:$B$310)+COUNTA(条幅!$B$11:$B$310)+COUNTA(条幅4分の1!$B$11:$B$310),INDEX(条幅4分の1!$K$11:$K$310,334-COUNTA(半紙!$B$11:$B$310)-COUNTA(条幅!$B$11:$B$310)),""))))</f>
        <v/>
      </c>
      <c r="L339" s="48" t="str">
        <f>IF($B339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334))</f>
        <v/>
      </c>
    </row>
    <row r="340" spans="1:12" ht="15" customHeight="1">
      <c r="A340" s="37" t="str">
        <f>IF(335&lt;=COUNTA(半紙!$B$11:$B$310),"半紙",IF(335&lt;=COUNTA(半紙!$B$11:$B$310)+COUNTA(条幅!$B$11:$B$310),"条幅(半切)",IF(335&lt;=COUNTA(半紙!$B$11:$B$310)+COUNTA(条幅!$B$11:$B$310)+COUNTA(条幅4分の1!$B$11:$B$310),"条幅(1/4)","")))</f>
        <v/>
      </c>
      <c r="B340" s="38" t="str">
        <f>IF(IF(335&lt;=COUNTA(半紙!$B$11:$B$310),INDEX(半紙!$B$11:$B$310,335),IF(335&lt;=COUNTA(半紙!$B$11:$B$310)+COUNTA(条幅!$B$11:$B$310),INDEX(条幅!$B$11:$B$310,335-COUNTA(半紙!$B$11:$B$310)),IF(335&lt;=COUNTA(半紙!$B$11:$B$310)+COUNTA(条幅!$B$11:$B$310)+COUNTA(条幅4分の1!$B$11:$B$310),INDEX(条幅4分の1!$B$11:$B$310,335-COUNTA(半紙!$B$11:$B$310)-COUNTA(条幅!$B$11:$B$310)),"")))=0,"",IF(335&lt;=COUNTA(半紙!$B$11:$B$310),INDEX(半紙!$B$11:$B$310,335),IF(335&lt;=COUNTA(半紙!$B$11:$B$310)+COUNTA(条幅!$B$11:$B$310),INDEX(条幅!$B$11:$B$310,335-COUNTA(半紙!$B$11:$B$310)),IF(335&lt;=COUNTA(半紙!$B$11:$B$310)+COUNTA(条幅!$B$11:$B$310)+COUNTA(条幅4分の1!$B$11:$B$310),INDEX(条幅4分の1!$B$11:$B$310,335-COUNTA(半紙!$B$11:$B$310)-COUNTA(条幅!$B$11:$B$310)),""))))</f>
        <v/>
      </c>
      <c r="C340" s="38" t="str">
        <f>IF(IF(335&lt;=COUNTA(半紙!$B$11:$B$310),INDEX(半紙!$C$11:$C$310,335),IF(335&lt;=COUNTA(半紙!$B$11:$B$310)+COUNTA(条幅!$B$11:$B$310),INDEX(条幅!$C$11:$C$310,335-COUNTA(半紙!$B$11:$B$310)),IF(335&lt;=COUNTA(半紙!$B$11:$B$310)+COUNTA(条幅!$B$11:$B$310)+COUNTA(条幅4分の1!$B$11:$B$310),INDEX(条幅4分の1!$C$11:$C$310,335-COUNTA(半紙!$B$11:$B$310)-COUNTA(条幅!$B$11:$B$310)),"")))=0,"",IF(335&lt;=COUNTA(半紙!$B$11:$B$310),INDEX(半紙!$C$11:$C$310,335),IF(335&lt;=COUNTA(半紙!$B$11:$B$310)+COUNTA(条幅!$B$11:$B$310),INDEX(条幅!$C$11:$C$310,335-COUNTA(半紙!$B$11:$B$310)),IF(335&lt;=COUNTA(半紙!$B$11:$B$310)+COUNTA(条幅!$B$11:$B$310)+COUNTA(条幅4分の1!$B$11:$B$310),INDEX(条幅4分の1!$C$11:$C$310,335-COUNTA(半紙!$B$11:$B$310)-COUNTA(条幅!$B$11:$B$310)),""))))</f>
        <v/>
      </c>
      <c r="D340" s="38" t="str">
        <f>IF(IF(335&lt;=COUNTA(半紙!$B$11:$B$310),INDEX(半紙!$D$11:$D$310,335),IF(335&lt;=COUNTA(半紙!$B$11:$B$310)+COUNTA(条幅!$B$11:$B$310),INDEX(条幅!$D$11:$D$310,335-COUNTA(半紙!$B$11:$B$310)),IF(335&lt;=COUNTA(半紙!$B$11:$B$310)+COUNTA(条幅!$B$11:$B$310)+COUNTA(条幅4分の1!$B$11:$B$310),INDEX(条幅4分の1!$D$11:$D$310,335-COUNTA(半紙!$B$11:$B$310)-COUNTA(条幅!$B$11:$B$310)),"")))=0,"",IF(335&lt;=COUNTA(半紙!$B$11:$B$310),INDEX(半紙!$D$11:$D$310,335),IF(335&lt;=COUNTA(半紙!$B$11:$B$310)+COUNTA(条幅!$B$11:$B$310),INDEX(条幅!$D$11:$D$310,335-COUNTA(半紙!$B$11:$B$310)),IF(335&lt;=COUNTA(半紙!$B$11:$B$310)+COUNTA(条幅!$B$11:$B$310)+COUNTA(条幅4分の1!$B$11:$B$310),INDEX(条幅4分の1!$D$11:$D$310,335-COUNTA(半紙!$B$11:$B$310)-COUNTA(条幅!$B$11:$B$310)),""))))</f>
        <v/>
      </c>
      <c r="E340" s="38" t="str">
        <f>IF(IF(335&lt;=COUNTA(半紙!$B$11:$B$310),INDEX(半紙!$E$11:$E$310,335),IF(335&lt;=COUNTA(半紙!$B$11:$B$310)+COUNTA(条幅!$B$11:$B$310),INDEX(条幅!$E$11:$E$310,335-COUNTA(半紙!$B$11:$B$310)),IF(335&lt;=COUNTA(半紙!$B$11:$B$310)+COUNTA(条幅!$B$11:$B$310)+COUNTA(条幅4分の1!$B$11:$B$310),INDEX(条幅4分の1!$E$11:$E$310,335-COUNTA(半紙!$B$11:$B$310)-COUNTA(条幅!$B$11:$B$310)),"")))=0,"",IF(335&lt;=COUNTA(半紙!$B$11:$B$310),INDEX(半紙!$E$11:$E$310,335),IF(335&lt;=COUNTA(半紙!$B$11:$B$310)+COUNTA(条幅!$B$11:$B$310),INDEX(条幅!$E$11:$E$310,335-COUNTA(半紙!$B$11:$B$310)),IF(335&lt;=COUNTA(半紙!$B$11:$B$310)+COUNTA(条幅!$B$11:$B$310)+COUNTA(条幅4分の1!$B$11:$B$310),INDEX(条幅4分の1!$E$11:$E$310,335-COUNTA(半紙!$B$11:$B$310)-COUNTA(条幅!$B$11:$B$310)),""))))</f>
        <v/>
      </c>
      <c r="F340" s="38" t="str">
        <f>IF(IF(335&lt;=COUNTA(半紙!$B$11:$B$310),INDEX(半紙!$F$11:$F$310,335),IF(335&lt;=COUNTA(半紙!$B$11:$B$310)+COUNTA(条幅!$B$11:$B$310),INDEX(条幅!$F$11:$F$310,335-COUNTA(半紙!$B$11:$B$310)),IF(335&lt;=COUNTA(半紙!$B$11:$B$310)+COUNTA(条幅!$B$11:$B$310)+COUNTA(条幅4分の1!$B$11:$B$310),INDEX(条幅4分の1!$F$11:$F$310,335-COUNTA(半紙!$B$11:$B$310)-COUNTA(条幅!$B$11:$B$310)),"")))=0,"",IF(335&lt;=COUNTA(半紙!$B$11:$B$310),INDEX(半紙!$F$11:$F$310,335),IF(335&lt;=COUNTA(半紙!$B$11:$B$310)+COUNTA(条幅!$B$11:$B$310),INDEX(条幅!$F$11:$F$310,335-COUNTA(半紙!$B$11:$B$310)),IF(335&lt;=COUNTA(半紙!$B$11:$B$310)+COUNTA(条幅!$B$11:$B$310)+COUNTA(条幅4分の1!$B$11:$B$310),INDEX(条幅4分の1!$F$11:$F$310,335-COUNTA(半紙!$B$11:$B$310)-COUNTA(条幅!$B$11:$B$310)),""))))</f>
        <v/>
      </c>
      <c r="G340" s="38" t="str">
        <f>IF(IF(335&lt;=COUNTA(半紙!$B$11:$B$310),INDEX(半紙!$G$11:$G$310,335),IF(335&lt;=COUNTA(半紙!$B$11:$B$310)+COUNTA(条幅!$B$11:$B$310),INDEX(条幅!$G$11:$G$310,335-COUNTA(半紙!$B$11:$B$310)),IF(335&lt;=COUNTA(半紙!$B$11:$B$310)+COUNTA(条幅!$B$11:$B$310)+COUNTA(条幅4分の1!$B$11:$B$310),INDEX(条幅4分の1!$G$11:$G$310,335-COUNTA(半紙!$B$11:$B$310)-COUNTA(条幅!$B$11:$B$310)),"")))=0,"",IF(335&lt;=COUNTA(半紙!$B$11:$B$310),INDEX(半紙!$G$11:$G$310,335),IF(335&lt;=COUNTA(半紙!$B$11:$B$310)+COUNTA(条幅!$B$11:$B$310),INDEX(条幅!$G$11:$G$310,335-COUNTA(半紙!$B$11:$B$310)),IF(335&lt;=COUNTA(半紙!$B$11:$B$310)+COUNTA(条幅!$B$11:$B$310)+COUNTA(条幅4分の1!$B$11:$B$310),INDEX(条幅4分の1!$G$11:$G$310,335-COUNTA(半紙!$B$11:$B$310)-COUNTA(条幅!$B$11:$B$310)),""))))</f>
        <v/>
      </c>
      <c r="H340" s="38" t="str">
        <f>IF(IF(335&lt;=COUNTA(半紙!$B$11:$B$310),INDEX(半紙!$H$11:$H$310,335),IF(335&lt;=COUNTA(半紙!$B$11:$B$310)+COUNTA(条幅!$B$11:$B$310),INDEX(条幅!$H$11:$H$310,335-COUNTA(半紙!$B$11:$B$310)),IF(335&lt;=COUNTA(半紙!$B$11:$B$310)+COUNTA(条幅!$B$11:$B$310)+COUNTA(条幅4分の1!$B$11:$B$310),INDEX(条幅4分の1!$H$11:$H$310,335-COUNTA(半紙!$B$11:$B$310)-COUNTA(条幅!$B$11:$B$310)),"")))=0,"",IF(335&lt;=COUNTA(半紙!$B$11:$B$310),INDEX(半紙!$H$11:$H$310,335),IF(335&lt;=COUNTA(半紙!$B$11:$B$310)+COUNTA(条幅!$B$11:$B$310),INDEX(条幅!$H$11:$H$310,335-COUNTA(半紙!$B$11:$B$310)),IF(335&lt;=COUNTA(半紙!$B$11:$B$310)+COUNTA(条幅!$B$11:$B$310)+COUNTA(条幅4分の1!$B$11:$B$310),INDEX(条幅4分の1!$H$11:$H$310,335-COUNTA(半紙!$B$11:$B$310)-COUNTA(条幅!$B$11:$B$310)),""))))</f>
        <v/>
      </c>
      <c r="I340" s="38" t="str">
        <f>IF(IF(335&lt;=COUNTA(半紙!$B$11:$B$310),INDEX(半紙!$I$11:$I$310,335),IF(335&lt;=COUNTA(半紙!$B$11:$B$310)+COUNTA(条幅!$B$11:$B$310),INDEX(条幅!$I$11:$I$310,335-COUNTA(半紙!$B$11:$B$310)),IF(335&lt;=COUNTA(半紙!$B$11:$B$310)+COUNTA(条幅!$B$11:$B$310)+COUNTA(条幅4分の1!$B$11:$B$310),INDEX(条幅4分の1!$I$11:$I$310,335-COUNTA(半紙!$B$11:$B$310)-COUNTA(条幅!$B$11:$B$310)),"")))=0,"",IF(335&lt;=COUNTA(半紙!$B$11:$B$310),INDEX(半紙!$I$11:$I$310,335),IF(335&lt;=COUNTA(半紙!$B$11:$B$310)+COUNTA(条幅!$B$11:$B$310),INDEX(条幅!$I$11:$I$310,335-COUNTA(半紙!$B$11:$B$310)),IF(335&lt;=COUNTA(半紙!$B$11:$B$310)+COUNTA(条幅!$B$11:$B$310)+COUNTA(条幅4分の1!$B$11:$B$310),INDEX(条幅4分の1!$I$11:$I$310,335-COUNTA(半紙!$B$11:$B$310)-COUNTA(条幅!$B$11:$B$310)),""))))</f>
        <v/>
      </c>
      <c r="J340" s="38" t="str">
        <f>IF(IF(335&lt;=COUNTA(半紙!$B$11:$B$310),INDEX(半紙!$J$11:$J$310,335),IF(335&lt;=COUNTA(半紙!$B$11:$B$310)+COUNTA(条幅!$B$11:$B$310),INDEX(条幅!$J$11:$J$310,335-COUNTA(半紙!$B$11:$B$310)),IF(335&lt;=COUNTA(半紙!$B$11:$B$310)+COUNTA(条幅!$B$11:$B$310)+COUNTA(条幅4分の1!$B$11:$B$310),INDEX(条幅4分の1!$J$11:$J$310,335-COUNTA(半紙!$B$11:$B$310)-COUNTA(条幅!$B$11:$B$310)),"")))=0,"",IF(335&lt;=COUNTA(半紙!$B$11:$B$310),INDEX(半紙!$J$11:$J$310,335),IF(335&lt;=COUNTA(半紙!$B$11:$B$310)+COUNTA(条幅!$B$11:$B$310),INDEX(条幅!$J$11:$J$310,335-COUNTA(半紙!$B$11:$B$310)),IF(335&lt;=COUNTA(半紙!$B$11:$B$310)+COUNTA(条幅!$B$11:$B$310)+COUNTA(条幅4分の1!$B$11:$B$310),INDEX(条幅4分の1!$J$11:$J$310,335-COUNTA(半紙!$B$11:$B$310)-COUNTA(条幅!$B$11:$B$310)),""))))</f>
        <v/>
      </c>
      <c r="K340" s="38" t="str">
        <f>IF(IF(335&lt;=COUNTA(半紙!$B$11:$B$310),INDEX(半紙!$K$11:$K$310,335),IF(335&lt;=COUNTA(半紙!$B$11:$B$310)+COUNTA(条幅!$B$11:$B$310),INDEX(条幅!$K$11:$K$310,335-COUNTA(半紙!$B$11:$B$310)),IF(335&lt;=COUNTA(半紙!$B$11:$B$310)+COUNTA(条幅!$B$11:$B$310)+COUNTA(条幅4分の1!$B$11:$B$310),INDEX(条幅4分の1!$K$11:$K$310,335-COUNTA(半紙!$B$11:$B$310)-COUNTA(条幅!$B$11:$B$310)),"")))=0,"",IF(335&lt;=COUNTA(半紙!$B$11:$B$310),INDEX(半紙!$K$11:$K$310,335),IF(335&lt;=COUNTA(半紙!$B$11:$B$310)+COUNTA(条幅!$B$11:$B$310),INDEX(条幅!$K$11:$K$310,335-COUNTA(半紙!$B$11:$B$310)),IF(335&lt;=COUNTA(半紙!$B$11:$B$310)+COUNTA(条幅!$B$11:$B$310)+COUNTA(条幅4分の1!$B$11:$B$310),INDEX(条幅4分の1!$K$11:$K$310,335-COUNTA(半紙!$B$11:$B$310)-COUNTA(条幅!$B$11:$B$310)),""))))</f>
        <v/>
      </c>
      <c r="L340" s="48" t="str">
        <f>IF($B340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335))</f>
        <v/>
      </c>
    </row>
    <row r="341" spans="1:12" ht="15" customHeight="1">
      <c r="A341" s="37" t="str">
        <f>IF(336&lt;=COUNTA(半紙!$B$11:$B$310),"半紙",IF(336&lt;=COUNTA(半紙!$B$11:$B$310)+COUNTA(条幅!$B$11:$B$310),"条幅(半切)",IF(336&lt;=COUNTA(半紙!$B$11:$B$310)+COUNTA(条幅!$B$11:$B$310)+COUNTA(条幅4分の1!$B$11:$B$310),"条幅(1/4)","")))</f>
        <v/>
      </c>
      <c r="B341" s="38" t="str">
        <f>IF(IF(336&lt;=COUNTA(半紙!$B$11:$B$310),INDEX(半紙!$B$11:$B$310,336),IF(336&lt;=COUNTA(半紙!$B$11:$B$310)+COUNTA(条幅!$B$11:$B$310),INDEX(条幅!$B$11:$B$310,336-COUNTA(半紙!$B$11:$B$310)),IF(336&lt;=COUNTA(半紙!$B$11:$B$310)+COUNTA(条幅!$B$11:$B$310)+COUNTA(条幅4分の1!$B$11:$B$310),INDEX(条幅4分の1!$B$11:$B$310,336-COUNTA(半紙!$B$11:$B$310)-COUNTA(条幅!$B$11:$B$310)),"")))=0,"",IF(336&lt;=COUNTA(半紙!$B$11:$B$310),INDEX(半紙!$B$11:$B$310,336),IF(336&lt;=COUNTA(半紙!$B$11:$B$310)+COUNTA(条幅!$B$11:$B$310),INDEX(条幅!$B$11:$B$310,336-COUNTA(半紙!$B$11:$B$310)),IF(336&lt;=COUNTA(半紙!$B$11:$B$310)+COUNTA(条幅!$B$11:$B$310)+COUNTA(条幅4分の1!$B$11:$B$310),INDEX(条幅4分の1!$B$11:$B$310,336-COUNTA(半紙!$B$11:$B$310)-COUNTA(条幅!$B$11:$B$310)),""))))</f>
        <v/>
      </c>
      <c r="C341" s="38" t="str">
        <f>IF(IF(336&lt;=COUNTA(半紙!$B$11:$B$310),INDEX(半紙!$C$11:$C$310,336),IF(336&lt;=COUNTA(半紙!$B$11:$B$310)+COUNTA(条幅!$B$11:$B$310),INDEX(条幅!$C$11:$C$310,336-COUNTA(半紙!$B$11:$B$310)),IF(336&lt;=COUNTA(半紙!$B$11:$B$310)+COUNTA(条幅!$B$11:$B$310)+COUNTA(条幅4分の1!$B$11:$B$310),INDEX(条幅4分の1!$C$11:$C$310,336-COUNTA(半紙!$B$11:$B$310)-COUNTA(条幅!$B$11:$B$310)),"")))=0,"",IF(336&lt;=COUNTA(半紙!$B$11:$B$310),INDEX(半紙!$C$11:$C$310,336),IF(336&lt;=COUNTA(半紙!$B$11:$B$310)+COUNTA(条幅!$B$11:$B$310),INDEX(条幅!$C$11:$C$310,336-COUNTA(半紙!$B$11:$B$310)),IF(336&lt;=COUNTA(半紙!$B$11:$B$310)+COUNTA(条幅!$B$11:$B$310)+COUNTA(条幅4分の1!$B$11:$B$310),INDEX(条幅4分の1!$C$11:$C$310,336-COUNTA(半紙!$B$11:$B$310)-COUNTA(条幅!$B$11:$B$310)),""))))</f>
        <v/>
      </c>
      <c r="D341" s="38" t="str">
        <f>IF(IF(336&lt;=COUNTA(半紙!$B$11:$B$310),INDEX(半紙!$D$11:$D$310,336),IF(336&lt;=COUNTA(半紙!$B$11:$B$310)+COUNTA(条幅!$B$11:$B$310),INDEX(条幅!$D$11:$D$310,336-COUNTA(半紙!$B$11:$B$310)),IF(336&lt;=COUNTA(半紙!$B$11:$B$310)+COUNTA(条幅!$B$11:$B$310)+COUNTA(条幅4分の1!$B$11:$B$310),INDEX(条幅4分の1!$D$11:$D$310,336-COUNTA(半紙!$B$11:$B$310)-COUNTA(条幅!$B$11:$B$310)),"")))=0,"",IF(336&lt;=COUNTA(半紙!$B$11:$B$310),INDEX(半紙!$D$11:$D$310,336),IF(336&lt;=COUNTA(半紙!$B$11:$B$310)+COUNTA(条幅!$B$11:$B$310),INDEX(条幅!$D$11:$D$310,336-COUNTA(半紙!$B$11:$B$310)),IF(336&lt;=COUNTA(半紙!$B$11:$B$310)+COUNTA(条幅!$B$11:$B$310)+COUNTA(条幅4分の1!$B$11:$B$310),INDEX(条幅4分の1!$D$11:$D$310,336-COUNTA(半紙!$B$11:$B$310)-COUNTA(条幅!$B$11:$B$310)),""))))</f>
        <v/>
      </c>
      <c r="E341" s="38" t="str">
        <f>IF(IF(336&lt;=COUNTA(半紙!$B$11:$B$310),INDEX(半紙!$E$11:$E$310,336),IF(336&lt;=COUNTA(半紙!$B$11:$B$310)+COUNTA(条幅!$B$11:$B$310),INDEX(条幅!$E$11:$E$310,336-COUNTA(半紙!$B$11:$B$310)),IF(336&lt;=COUNTA(半紙!$B$11:$B$310)+COUNTA(条幅!$B$11:$B$310)+COUNTA(条幅4分の1!$B$11:$B$310),INDEX(条幅4分の1!$E$11:$E$310,336-COUNTA(半紙!$B$11:$B$310)-COUNTA(条幅!$B$11:$B$310)),"")))=0,"",IF(336&lt;=COUNTA(半紙!$B$11:$B$310),INDEX(半紙!$E$11:$E$310,336),IF(336&lt;=COUNTA(半紙!$B$11:$B$310)+COUNTA(条幅!$B$11:$B$310),INDEX(条幅!$E$11:$E$310,336-COUNTA(半紙!$B$11:$B$310)),IF(336&lt;=COUNTA(半紙!$B$11:$B$310)+COUNTA(条幅!$B$11:$B$310)+COUNTA(条幅4分の1!$B$11:$B$310),INDEX(条幅4分の1!$E$11:$E$310,336-COUNTA(半紙!$B$11:$B$310)-COUNTA(条幅!$B$11:$B$310)),""))))</f>
        <v/>
      </c>
      <c r="F341" s="38" t="str">
        <f>IF(IF(336&lt;=COUNTA(半紙!$B$11:$B$310),INDEX(半紙!$F$11:$F$310,336),IF(336&lt;=COUNTA(半紙!$B$11:$B$310)+COUNTA(条幅!$B$11:$B$310),INDEX(条幅!$F$11:$F$310,336-COUNTA(半紙!$B$11:$B$310)),IF(336&lt;=COUNTA(半紙!$B$11:$B$310)+COUNTA(条幅!$B$11:$B$310)+COUNTA(条幅4分の1!$B$11:$B$310),INDEX(条幅4分の1!$F$11:$F$310,336-COUNTA(半紙!$B$11:$B$310)-COUNTA(条幅!$B$11:$B$310)),"")))=0,"",IF(336&lt;=COUNTA(半紙!$B$11:$B$310),INDEX(半紙!$F$11:$F$310,336),IF(336&lt;=COUNTA(半紙!$B$11:$B$310)+COUNTA(条幅!$B$11:$B$310),INDEX(条幅!$F$11:$F$310,336-COUNTA(半紙!$B$11:$B$310)),IF(336&lt;=COUNTA(半紙!$B$11:$B$310)+COUNTA(条幅!$B$11:$B$310)+COUNTA(条幅4分の1!$B$11:$B$310),INDEX(条幅4分の1!$F$11:$F$310,336-COUNTA(半紙!$B$11:$B$310)-COUNTA(条幅!$B$11:$B$310)),""))))</f>
        <v/>
      </c>
      <c r="G341" s="38" t="str">
        <f>IF(IF(336&lt;=COUNTA(半紙!$B$11:$B$310),INDEX(半紙!$G$11:$G$310,336),IF(336&lt;=COUNTA(半紙!$B$11:$B$310)+COUNTA(条幅!$B$11:$B$310),INDEX(条幅!$G$11:$G$310,336-COUNTA(半紙!$B$11:$B$310)),IF(336&lt;=COUNTA(半紙!$B$11:$B$310)+COUNTA(条幅!$B$11:$B$310)+COUNTA(条幅4分の1!$B$11:$B$310),INDEX(条幅4分の1!$G$11:$G$310,336-COUNTA(半紙!$B$11:$B$310)-COUNTA(条幅!$B$11:$B$310)),"")))=0,"",IF(336&lt;=COUNTA(半紙!$B$11:$B$310),INDEX(半紙!$G$11:$G$310,336),IF(336&lt;=COUNTA(半紙!$B$11:$B$310)+COUNTA(条幅!$B$11:$B$310),INDEX(条幅!$G$11:$G$310,336-COUNTA(半紙!$B$11:$B$310)),IF(336&lt;=COUNTA(半紙!$B$11:$B$310)+COUNTA(条幅!$B$11:$B$310)+COUNTA(条幅4分の1!$B$11:$B$310),INDEX(条幅4分の1!$G$11:$G$310,336-COUNTA(半紙!$B$11:$B$310)-COUNTA(条幅!$B$11:$B$310)),""))))</f>
        <v/>
      </c>
      <c r="H341" s="38" t="str">
        <f>IF(IF(336&lt;=COUNTA(半紙!$B$11:$B$310),INDEX(半紙!$H$11:$H$310,336),IF(336&lt;=COUNTA(半紙!$B$11:$B$310)+COUNTA(条幅!$B$11:$B$310),INDEX(条幅!$H$11:$H$310,336-COUNTA(半紙!$B$11:$B$310)),IF(336&lt;=COUNTA(半紙!$B$11:$B$310)+COUNTA(条幅!$B$11:$B$310)+COUNTA(条幅4分の1!$B$11:$B$310),INDEX(条幅4分の1!$H$11:$H$310,336-COUNTA(半紙!$B$11:$B$310)-COUNTA(条幅!$B$11:$B$310)),"")))=0,"",IF(336&lt;=COUNTA(半紙!$B$11:$B$310),INDEX(半紙!$H$11:$H$310,336),IF(336&lt;=COUNTA(半紙!$B$11:$B$310)+COUNTA(条幅!$B$11:$B$310),INDEX(条幅!$H$11:$H$310,336-COUNTA(半紙!$B$11:$B$310)),IF(336&lt;=COUNTA(半紙!$B$11:$B$310)+COUNTA(条幅!$B$11:$B$310)+COUNTA(条幅4分の1!$B$11:$B$310),INDEX(条幅4分の1!$H$11:$H$310,336-COUNTA(半紙!$B$11:$B$310)-COUNTA(条幅!$B$11:$B$310)),""))))</f>
        <v/>
      </c>
      <c r="I341" s="38" t="str">
        <f>IF(IF(336&lt;=COUNTA(半紙!$B$11:$B$310),INDEX(半紙!$I$11:$I$310,336),IF(336&lt;=COUNTA(半紙!$B$11:$B$310)+COUNTA(条幅!$B$11:$B$310),INDEX(条幅!$I$11:$I$310,336-COUNTA(半紙!$B$11:$B$310)),IF(336&lt;=COUNTA(半紙!$B$11:$B$310)+COUNTA(条幅!$B$11:$B$310)+COUNTA(条幅4分の1!$B$11:$B$310),INDEX(条幅4分の1!$I$11:$I$310,336-COUNTA(半紙!$B$11:$B$310)-COUNTA(条幅!$B$11:$B$310)),"")))=0,"",IF(336&lt;=COUNTA(半紙!$B$11:$B$310),INDEX(半紙!$I$11:$I$310,336),IF(336&lt;=COUNTA(半紙!$B$11:$B$310)+COUNTA(条幅!$B$11:$B$310),INDEX(条幅!$I$11:$I$310,336-COUNTA(半紙!$B$11:$B$310)),IF(336&lt;=COUNTA(半紙!$B$11:$B$310)+COUNTA(条幅!$B$11:$B$310)+COUNTA(条幅4分の1!$B$11:$B$310),INDEX(条幅4分の1!$I$11:$I$310,336-COUNTA(半紙!$B$11:$B$310)-COUNTA(条幅!$B$11:$B$310)),""))))</f>
        <v/>
      </c>
      <c r="J341" s="38" t="str">
        <f>IF(IF(336&lt;=COUNTA(半紙!$B$11:$B$310),INDEX(半紙!$J$11:$J$310,336),IF(336&lt;=COUNTA(半紙!$B$11:$B$310)+COUNTA(条幅!$B$11:$B$310),INDEX(条幅!$J$11:$J$310,336-COUNTA(半紙!$B$11:$B$310)),IF(336&lt;=COUNTA(半紙!$B$11:$B$310)+COUNTA(条幅!$B$11:$B$310)+COUNTA(条幅4分の1!$B$11:$B$310),INDEX(条幅4分の1!$J$11:$J$310,336-COUNTA(半紙!$B$11:$B$310)-COUNTA(条幅!$B$11:$B$310)),"")))=0,"",IF(336&lt;=COUNTA(半紙!$B$11:$B$310),INDEX(半紙!$J$11:$J$310,336),IF(336&lt;=COUNTA(半紙!$B$11:$B$310)+COUNTA(条幅!$B$11:$B$310),INDEX(条幅!$J$11:$J$310,336-COUNTA(半紙!$B$11:$B$310)),IF(336&lt;=COUNTA(半紙!$B$11:$B$310)+COUNTA(条幅!$B$11:$B$310)+COUNTA(条幅4分の1!$B$11:$B$310),INDEX(条幅4分の1!$J$11:$J$310,336-COUNTA(半紙!$B$11:$B$310)-COUNTA(条幅!$B$11:$B$310)),""))))</f>
        <v/>
      </c>
      <c r="K341" s="38" t="str">
        <f>IF(IF(336&lt;=COUNTA(半紙!$B$11:$B$310),INDEX(半紙!$K$11:$K$310,336),IF(336&lt;=COUNTA(半紙!$B$11:$B$310)+COUNTA(条幅!$B$11:$B$310),INDEX(条幅!$K$11:$K$310,336-COUNTA(半紙!$B$11:$B$310)),IF(336&lt;=COUNTA(半紙!$B$11:$B$310)+COUNTA(条幅!$B$11:$B$310)+COUNTA(条幅4分の1!$B$11:$B$310),INDEX(条幅4分の1!$K$11:$K$310,336-COUNTA(半紙!$B$11:$B$310)-COUNTA(条幅!$B$11:$B$310)),"")))=0,"",IF(336&lt;=COUNTA(半紙!$B$11:$B$310),INDEX(半紙!$K$11:$K$310,336),IF(336&lt;=COUNTA(半紙!$B$11:$B$310)+COUNTA(条幅!$B$11:$B$310),INDEX(条幅!$K$11:$K$310,336-COUNTA(半紙!$B$11:$B$310)),IF(336&lt;=COUNTA(半紙!$B$11:$B$310)+COUNTA(条幅!$B$11:$B$310)+COUNTA(条幅4分の1!$B$11:$B$310),INDEX(条幅4分の1!$K$11:$K$310,336-COUNTA(半紙!$B$11:$B$310)-COUNTA(条幅!$B$11:$B$310)),""))))</f>
        <v/>
      </c>
      <c r="L341" s="48" t="str">
        <f>IF($B341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336))</f>
        <v/>
      </c>
    </row>
    <row r="342" spans="1:12" ht="15" customHeight="1">
      <c r="A342" s="37" t="str">
        <f>IF(337&lt;=COUNTA(半紙!$B$11:$B$310),"半紙",IF(337&lt;=COUNTA(半紙!$B$11:$B$310)+COUNTA(条幅!$B$11:$B$310),"条幅(半切)",IF(337&lt;=COUNTA(半紙!$B$11:$B$310)+COUNTA(条幅!$B$11:$B$310)+COUNTA(条幅4分の1!$B$11:$B$310),"条幅(1/4)","")))</f>
        <v/>
      </c>
      <c r="B342" s="38" t="str">
        <f>IF(IF(337&lt;=COUNTA(半紙!$B$11:$B$310),INDEX(半紙!$B$11:$B$310,337),IF(337&lt;=COUNTA(半紙!$B$11:$B$310)+COUNTA(条幅!$B$11:$B$310),INDEX(条幅!$B$11:$B$310,337-COUNTA(半紙!$B$11:$B$310)),IF(337&lt;=COUNTA(半紙!$B$11:$B$310)+COUNTA(条幅!$B$11:$B$310)+COUNTA(条幅4分の1!$B$11:$B$310),INDEX(条幅4分の1!$B$11:$B$310,337-COUNTA(半紙!$B$11:$B$310)-COUNTA(条幅!$B$11:$B$310)),"")))=0,"",IF(337&lt;=COUNTA(半紙!$B$11:$B$310),INDEX(半紙!$B$11:$B$310,337),IF(337&lt;=COUNTA(半紙!$B$11:$B$310)+COUNTA(条幅!$B$11:$B$310),INDEX(条幅!$B$11:$B$310,337-COUNTA(半紙!$B$11:$B$310)),IF(337&lt;=COUNTA(半紙!$B$11:$B$310)+COUNTA(条幅!$B$11:$B$310)+COUNTA(条幅4分の1!$B$11:$B$310),INDEX(条幅4分の1!$B$11:$B$310,337-COUNTA(半紙!$B$11:$B$310)-COUNTA(条幅!$B$11:$B$310)),""))))</f>
        <v/>
      </c>
      <c r="C342" s="38" t="str">
        <f>IF(IF(337&lt;=COUNTA(半紙!$B$11:$B$310),INDEX(半紙!$C$11:$C$310,337),IF(337&lt;=COUNTA(半紙!$B$11:$B$310)+COUNTA(条幅!$B$11:$B$310),INDEX(条幅!$C$11:$C$310,337-COUNTA(半紙!$B$11:$B$310)),IF(337&lt;=COUNTA(半紙!$B$11:$B$310)+COUNTA(条幅!$B$11:$B$310)+COUNTA(条幅4分の1!$B$11:$B$310),INDEX(条幅4分の1!$C$11:$C$310,337-COUNTA(半紙!$B$11:$B$310)-COUNTA(条幅!$B$11:$B$310)),"")))=0,"",IF(337&lt;=COUNTA(半紙!$B$11:$B$310),INDEX(半紙!$C$11:$C$310,337),IF(337&lt;=COUNTA(半紙!$B$11:$B$310)+COUNTA(条幅!$B$11:$B$310),INDEX(条幅!$C$11:$C$310,337-COUNTA(半紙!$B$11:$B$310)),IF(337&lt;=COUNTA(半紙!$B$11:$B$310)+COUNTA(条幅!$B$11:$B$310)+COUNTA(条幅4分の1!$B$11:$B$310),INDEX(条幅4分の1!$C$11:$C$310,337-COUNTA(半紙!$B$11:$B$310)-COUNTA(条幅!$B$11:$B$310)),""))))</f>
        <v/>
      </c>
      <c r="D342" s="38" t="str">
        <f>IF(IF(337&lt;=COUNTA(半紙!$B$11:$B$310),INDEX(半紙!$D$11:$D$310,337),IF(337&lt;=COUNTA(半紙!$B$11:$B$310)+COUNTA(条幅!$B$11:$B$310),INDEX(条幅!$D$11:$D$310,337-COUNTA(半紙!$B$11:$B$310)),IF(337&lt;=COUNTA(半紙!$B$11:$B$310)+COUNTA(条幅!$B$11:$B$310)+COUNTA(条幅4分の1!$B$11:$B$310),INDEX(条幅4分の1!$D$11:$D$310,337-COUNTA(半紙!$B$11:$B$310)-COUNTA(条幅!$B$11:$B$310)),"")))=0,"",IF(337&lt;=COUNTA(半紙!$B$11:$B$310),INDEX(半紙!$D$11:$D$310,337),IF(337&lt;=COUNTA(半紙!$B$11:$B$310)+COUNTA(条幅!$B$11:$B$310),INDEX(条幅!$D$11:$D$310,337-COUNTA(半紙!$B$11:$B$310)),IF(337&lt;=COUNTA(半紙!$B$11:$B$310)+COUNTA(条幅!$B$11:$B$310)+COUNTA(条幅4分の1!$B$11:$B$310),INDEX(条幅4分の1!$D$11:$D$310,337-COUNTA(半紙!$B$11:$B$310)-COUNTA(条幅!$B$11:$B$310)),""))))</f>
        <v/>
      </c>
      <c r="E342" s="38" t="str">
        <f>IF(IF(337&lt;=COUNTA(半紙!$B$11:$B$310),INDEX(半紙!$E$11:$E$310,337),IF(337&lt;=COUNTA(半紙!$B$11:$B$310)+COUNTA(条幅!$B$11:$B$310),INDEX(条幅!$E$11:$E$310,337-COUNTA(半紙!$B$11:$B$310)),IF(337&lt;=COUNTA(半紙!$B$11:$B$310)+COUNTA(条幅!$B$11:$B$310)+COUNTA(条幅4分の1!$B$11:$B$310),INDEX(条幅4分の1!$E$11:$E$310,337-COUNTA(半紙!$B$11:$B$310)-COUNTA(条幅!$B$11:$B$310)),"")))=0,"",IF(337&lt;=COUNTA(半紙!$B$11:$B$310),INDEX(半紙!$E$11:$E$310,337),IF(337&lt;=COUNTA(半紙!$B$11:$B$310)+COUNTA(条幅!$B$11:$B$310),INDEX(条幅!$E$11:$E$310,337-COUNTA(半紙!$B$11:$B$310)),IF(337&lt;=COUNTA(半紙!$B$11:$B$310)+COUNTA(条幅!$B$11:$B$310)+COUNTA(条幅4分の1!$B$11:$B$310),INDEX(条幅4分の1!$E$11:$E$310,337-COUNTA(半紙!$B$11:$B$310)-COUNTA(条幅!$B$11:$B$310)),""))))</f>
        <v/>
      </c>
      <c r="F342" s="38" t="str">
        <f>IF(IF(337&lt;=COUNTA(半紙!$B$11:$B$310),INDEX(半紙!$F$11:$F$310,337),IF(337&lt;=COUNTA(半紙!$B$11:$B$310)+COUNTA(条幅!$B$11:$B$310),INDEX(条幅!$F$11:$F$310,337-COUNTA(半紙!$B$11:$B$310)),IF(337&lt;=COUNTA(半紙!$B$11:$B$310)+COUNTA(条幅!$B$11:$B$310)+COUNTA(条幅4分の1!$B$11:$B$310),INDEX(条幅4分の1!$F$11:$F$310,337-COUNTA(半紙!$B$11:$B$310)-COUNTA(条幅!$B$11:$B$310)),"")))=0,"",IF(337&lt;=COUNTA(半紙!$B$11:$B$310),INDEX(半紙!$F$11:$F$310,337),IF(337&lt;=COUNTA(半紙!$B$11:$B$310)+COUNTA(条幅!$B$11:$B$310),INDEX(条幅!$F$11:$F$310,337-COUNTA(半紙!$B$11:$B$310)),IF(337&lt;=COUNTA(半紙!$B$11:$B$310)+COUNTA(条幅!$B$11:$B$310)+COUNTA(条幅4分の1!$B$11:$B$310),INDEX(条幅4分の1!$F$11:$F$310,337-COUNTA(半紙!$B$11:$B$310)-COUNTA(条幅!$B$11:$B$310)),""))))</f>
        <v/>
      </c>
      <c r="G342" s="38" t="str">
        <f>IF(IF(337&lt;=COUNTA(半紙!$B$11:$B$310),INDEX(半紙!$G$11:$G$310,337),IF(337&lt;=COUNTA(半紙!$B$11:$B$310)+COUNTA(条幅!$B$11:$B$310),INDEX(条幅!$G$11:$G$310,337-COUNTA(半紙!$B$11:$B$310)),IF(337&lt;=COUNTA(半紙!$B$11:$B$310)+COUNTA(条幅!$B$11:$B$310)+COUNTA(条幅4分の1!$B$11:$B$310),INDEX(条幅4分の1!$G$11:$G$310,337-COUNTA(半紙!$B$11:$B$310)-COUNTA(条幅!$B$11:$B$310)),"")))=0,"",IF(337&lt;=COUNTA(半紙!$B$11:$B$310),INDEX(半紙!$G$11:$G$310,337),IF(337&lt;=COUNTA(半紙!$B$11:$B$310)+COUNTA(条幅!$B$11:$B$310),INDEX(条幅!$G$11:$G$310,337-COUNTA(半紙!$B$11:$B$310)),IF(337&lt;=COUNTA(半紙!$B$11:$B$310)+COUNTA(条幅!$B$11:$B$310)+COUNTA(条幅4分の1!$B$11:$B$310),INDEX(条幅4分の1!$G$11:$G$310,337-COUNTA(半紙!$B$11:$B$310)-COUNTA(条幅!$B$11:$B$310)),""))))</f>
        <v/>
      </c>
      <c r="H342" s="38" t="str">
        <f>IF(IF(337&lt;=COUNTA(半紙!$B$11:$B$310),INDEX(半紙!$H$11:$H$310,337),IF(337&lt;=COUNTA(半紙!$B$11:$B$310)+COUNTA(条幅!$B$11:$B$310),INDEX(条幅!$H$11:$H$310,337-COUNTA(半紙!$B$11:$B$310)),IF(337&lt;=COUNTA(半紙!$B$11:$B$310)+COUNTA(条幅!$B$11:$B$310)+COUNTA(条幅4分の1!$B$11:$B$310),INDEX(条幅4分の1!$H$11:$H$310,337-COUNTA(半紙!$B$11:$B$310)-COUNTA(条幅!$B$11:$B$310)),"")))=0,"",IF(337&lt;=COUNTA(半紙!$B$11:$B$310),INDEX(半紙!$H$11:$H$310,337),IF(337&lt;=COUNTA(半紙!$B$11:$B$310)+COUNTA(条幅!$B$11:$B$310),INDEX(条幅!$H$11:$H$310,337-COUNTA(半紙!$B$11:$B$310)),IF(337&lt;=COUNTA(半紙!$B$11:$B$310)+COUNTA(条幅!$B$11:$B$310)+COUNTA(条幅4分の1!$B$11:$B$310),INDEX(条幅4分の1!$H$11:$H$310,337-COUNTA(半紙!$B$11:$B$310)-COUNTA(条幅!$B$11:$B$310)),""))))</f>
        <v/>
      </c>
      <c r="I342" s="38" t="str">
        <f>IF(IF(337&lt;=COUNTA(半紙!$B$11:$B$310),INDEX(半紙!$I$11:$I$310,337),IF(337&lt;=COUNTA(半紙!$B$11:$B$310)+COUNTA(条幅!$B$11:$B$310),INDEX(条幅!$I$11:$I$310,337-COUNTA(半紙!$B$11:$B$310)),IF(337&lt;=COUNTA(半紙!$B$11:$B$310)+COUNTA(条幅!$B$11:$B$310)+COUNTA(条幅4分の1!$B$11:$B$310),INDEX(条幅4分の1!$I$11:$I$310,337-COUNTA(半紙!$B$11:$B$310)-COUNTA(条幅!$B$11:$B$310)),"")))=0,"",IF(337&lt;=COUNTA(半紙!$B$11:$B$310),INDEX(半紙!$I$11:$I$310,337),IF(337&lt;=COUNTA(半紙!$B$11:$B$310)+COUNTA(条幅!$B$11:$B$310),INDEX(条幅!$I$11:$I$310,337-COUNTA(半紙!$B$11:$B$310)),IF(337&lt;=COUNTA(半紙!$B$11:$B$310)+COUNTA(条幅!$B$11:$B$310)+COUNTA(条幅4分の1!$B$11:$B$310),INDEX(条幅4分の1!$I$11:$I$310,337-COUNTA(半紙!$B$11:$B$310)-COUNTA(条幅!$B$11:$B$310)),""))))</f>
        <v/>
      </c>
      <c r="J342" s="38" t="str">
        <f>IF(IF(337&lt;=COUNTA(半紙!$B$11:$B$310),INDEX(半紙!$J$11:$J$310,337),IF(337&lt;=COUNTA(半紙!$B$11:$B$310)+COUNTA(条幅!$B$11:$B$310),INDEX(条幅!$J$11:$J$310,337-COUNTA(半紙!$B$11:$B$310)),IF(337&lt;=COUNTA(半紙!$B$11:$B$310)+COUNTA(条幅!$B$11:$B$310)+COUNTA(条幅4分の1!$B$11:$B$310),INDEX(条幅4分の1!$J$11:$J$310,337-COUNTA(半紙!$B$11:$B$310)-COUNTA(条幅!$B$11:$B$310)),"")))=0,"",IF(337&lt;=COUNTA(半紙!$B$11:$B$310),INDEX(半紙!$J$11:$J$310,337),IF(337&lt;=COUNTA(半紙!$B$11:$B$310)+COUNTA(条幅!$B$11:$B$310),INDEX(条幅!$J$11:$J$310,337-COUNTA(半紙!$B$11:$B$310)),IF(337&lt;=COUNTA(半紙!$B$11:$B$310)+COUNTA(条幅!$B$11:$B$310)+COUNTA(条幅4分の1!$B$11:$B$310),INDEX(条幅4分の1!$J$11:$J$310,337-COUNTA(半紙!$B$11:$B$310)-COUNTA(条幅!$B$11:$B$310)),""))))</f>
        <v/>
      </c>
      <c r="K342" s="38" t="str">
        <f>IF(IF(337&lt;=COUNTA(半紙!$B$11:$B$310),INDEX(半紙!$K$11:$K$310,337),IF(337&lt;=COUNTA(半紙!$B$11:$B$310)+COUNTA(条幅!$B$11:$B$310),INDEX(条幅!$K$11:$K$310,337-COUNTA(半紙!$B$11:$B$310)),IF(337&lt;=COUNTA(半紙!$B$11:$B$310)+COUNTA(条幅!$B$11:$B$310)+COUNTA(条幅4分の1!$B$11:$B$310),INDEX(条幅4分の1!$K$11:$K$310,337-COUNTA(半紙!$B$11:$B$310)-COUNTA(条幅!$B$11:$B$310)),"")))=0,"",IF(337&lt;=COUNTA(半紙!$B$11:$B$310),INDEX(半紙!$K$11:$K$310,337),IF(337&lt;=COUNTA(半紙!$B$11:$B$310)+COUNTA(条幅!$B$11:$B$310),INDEX(条幅!$K$11:$K$310,337-COUNTA(半紙!$B$11:$B$310)),IF(337&lt;=COUNTA(半紙!$B$11:$B$310)+COUNTA(条幅!$B$11:$B$310)+COUNTA(条幅4分の1!$B$11:$B$310),INDEX(条幅4分の1!$K$11:$K$310,337-COUNTA(半紙!$B$11:$B$310)-COUNTA(条幅!$B$11:$B$310)),""))))</f>
        <v/>
      </c>
      <c r="L342" s="48" t="str">
        <f>IF($B342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337))</f>
        <v/>
      </c>
    </row>
    <row r="343" spans="1:12" ht="15" customHeight="1">
      <c r="A343" s="37" t="str">
        <f>IF(338&lt;=COUNTA(半紙!$B$11:$B$310),"半紙",IF(338&lt;=COUNTA(半紙!$B$11:$B$310)+COUNTA(条幅!$B$11:$B$310),"条幅(半切)",IF(338&lt;=COUNTA(半紙!$B$11:$B$310)+COUNTA(条幅!$B$11:$B$310)+COUNTA(条幅4分の1!$B$11:$B$310),"条幅(1/4)","")))</f>
        <v/>
      </c>
      <c r="B343" s="38" t="str">
        <f>IF(IF(338&lt;=COUNTA(半紙!$B$11:$B$310),INDEX(半紙!$B$11:$B$310,338),IF(338&lt;=COUNTA(半紙!$B$11:$B$310)+COUNTA(条幅!$B$11:$B$310),INDEX(条幅!$B$11:$B$310,338-COUNTA(半紙!$B$11:$B$310)),IF(338&lt;=COUNTA(半紙!$B$11:$B$310)+COUNTA(条幅!$B$11:$B$310)+COUNTA(条幅4分の1!$B$11:$B$310),INDEX(条幅4分の1!$B$11:$B$310,338-COUNTA(半紙!$B$11:$B$310)-COUNTA(条幅!$B$11:$B$310)),"")))=0,"",IF(338&lt;=COUNTA(半紙!$B$11:$B$310),INDEX(半紙!$B$11:$B$310,338),IF(338&lt;=COUNTA(半紙!$B$11:$B$310)+COUNTA(条幅!$B$11:$B$310),INDEX(条幅!$B$11:$B$310,338-COUNTA(半紙!$B$11:$B$310)),IF(338&lt;=COUNTA(半紙!$B$11:$B$310)+COUNTA(条幅!$B$11:$B$310)+COUNTA(条幅4分の1!$B$11:$B$310),INDEX(条幅4分の1!$B$11:$B$310,338-COUNTA(半紙!$B$11:$B$310)-COUNTA(条幅!$B$11:$B$310)),""))))</f>
        <v/>
      </c>
      <c r="C343" s="38" t="str">
        <f>IF(IF(338&lt;=COUNTA(半紙!$B$11:$B$310),INDEX(半紙!$C$11:$C$310,338),IF(338&lt;=COUNTA(半紙!$B$11:$B$310)+COUNTA(条幅!$B$11:$B$310),INDEX(条幅!$C$11:$C$310,338-COUNTA(半紙!$B$11:$B$310)),IF(338&lt;=COUNTA(半紙!$B$11:$B$310)+COUNTA(条幅!$B$11:$B$310)+COUNTA(条幅4分の1!$B$11:$B$310),INDEX(条幅4分の1!$C$11:$C$310,338-COUNTA(半紙!$B$11:$B$310)-COUNTA(条幅!$B$11:$B$310)),"")))=0,"",IF(338&lt;=COUNTA(半紙!$B$11:$B$310),INDEX(半紙!$C$11:$C$310,338),IF(338&lt;=COUNTA(半紙!$B$11:$B$310)+COUNTA(条幅!$B$11:$B$310),INDEX(条幅!$C$11:$C$310,338-COUNTA(半紙!$B$11:$B$310)),IF(338&lt;=COUNTA(半紙!$B$11:$B$310)+COUNTA(条幅!$B$11:$B$310)+COUNTA(条幅4分の1!$B$11:$B$310),INDEX(条幅4分の1!$C$11:$C$310,338-COUNTA(半紙!$B$11:$B$310)-COUNTA(条幅!$B$11:$B$310)),""))))</f>
        <v/>
      </c>
      <c r="D343" s="38" t="str">
        <f>IF(IF(338&lt;=COUNTA(半紙!$B$11:$B$310),INDEX(半紙!$D$11:$D$310,338),IF(338&lt;=COUNTA(半紙!$B$11:$B$310)+COUNTA(条幅!$B$11:$B$310),INDEX(条幅!$D$11:$D$310,338-COUNTA(半紙!$B$11:$B$310)),IF(338&lt;=COUNTA(半紙!$B$11:$B$310)+COUNTA(条幅!$B$11:$B$310)+COUNTA(条幅4分の1!$B$11:$B$310),INDEX(条幅4分の1!$D$11:$D$310,338-COUNTA(半紙!$B$11:$B$310)-COUNTA(条幅!$B$11:$B$310)),"")))=0,"",IF(338&lt;=COUNTA(半紙!$B$11:$B$310),INDEX(半紙!$D$11:$D$310,338),IF(338&lt;=COUNTA(半紙!$B$11:$B$310)+COUNTA(条幅!$B$11:$B$310),INDEX(条幅!$D$11:$D$310,338-COUNTA(半紙!$B$11:$B$310)),IF(338&lt;=COUNTA(半紙!$B$11:$B$310)+COUNTA(条幅!$B$11:$B$310)+COUNTA(条幅4分の1!$B$11:$B$310),INDEX(条幅4分の1!$D$11:$D$310,338-COUNTA(半紙!$B$11:$B$310)-COUNTA(条幅!$B$11:$B$310)),""))))</f>
        <v/>
      </c>
      <c r="E343" s="38" t="str">
        <f>IF(IF(338&lt;=COUNTA(半紙!$B$11:$B$310),INDEX(半紙!$E$11:$E$310,338),IF(338&lt;=COUNTA(半紙!$B$11:$B$310)+COUNTA(条幅!$B$11:$B$310),INDEX(条幅!$E$11:$E$310,338-COUNTA(半紙!$B$11:$B$310)),IF(338&lt;=COUNTA(半紙!$B$11:$B$310)+COUNTA(条幅!$B$11:$B$310)+COUNTA(条幅4分の1!$B$11:$B$310),INDEX(条幅4分の1!$E$11:$E$310,338-COUNTA(半紙!$B$11:$B$310)-COUNTA(条幅!$B$11:$B$310)),"")))=0,"",IF(338&lt;=COUNTA(半紙!$B$11:$B$310),INDEX(半紙!$E$11:$E$310,338),IF(338&lt;=COUNTA(半紙!$B$11:$B$310)+COUNTA(条幅!$B$11:$B$310),INDEX(条幅!$E$11:$E$310,338-COUNTA(半紙!$B$11:$B$310)),IF(338&lt;=COUNTA(半紙!$B$11:$B$310)+COUNTA(条幅!$B$11:$B$310)+COUNTA(条幅4分の1!$B$11:$B$310),INDEX(条幅4分の1!$E$11:$E$310,338-COUNTA(半紙!$B$11:$B$310)-COUNTA(条幅!$B$11:$B$310)),""))))</f>
        <v/>
      </c>
      <c r="F343" s="38" t="str">
        <f>IF(IF(338&lt;=COUNTA(半紙!$B$11:$B$310),INDEX(半紙!$F$11:$F$310,338),IF(338&lt;=COUNTA(半紙!$B$11:$B$310)+COUNTA(条幅!$B$11:$B$310),INDEX(条幅!$F$11:$F$310,338-COUNTA(半紙!$B$11:$B$310)),IF(338&lt;=COUNTA(半紙!$B$11:$B$310)+COUNTA(条幅!$B$11:$B$310)+COUNTA(条幅4分の1!$B$11:$B$310),INDEX(条幅4分の1!$F$11:$F$310,338-COUNTA(半紙!$B$11:$B$310)-COUNTA(条幅!$B$11:$B$310)),"")))=0,"",IF(338&lt;=COUNTA(半紙!$B$11:$B$310),INDEX(半紙!$F$11:$F$310,338),IF(338&lt;=COUNTA(半紙!$B$11:$B$310)+COUNTA(条幅!$B$11:$B$310),INDEX(条幅!$F$11:$F$310,338-COUNTA(半紙!$B$11:$B$310)),IF(338&lt;=COUNTA(半紙!$B$11:$B$310)+COUNTA(条幅!$B$11:$B$310)+COUNTA(条幅4分の1!$B$11:$B$310),INDEX(条幅4分の1!$F$11:$F$310,338-COUNTA(半紙!$B$11:$B$310)-COUNTA(条幅!$B$11:$B$310)),""))))</f>
        <v/>
      </c>
      <c r="G343" s="38" t="str">
        <f>IF(IF(338&lt;=COUNTA(半紙!$B$11:$B$310),INDEX(半紙!$G$11:$G$310,338),IF(338&lt;=COUNTA(半紙!$B$11:$B$310)+COUNTA(条幅!$B$11:$B$310),INDEX(条幅!$G$11:$G$310,338-COUNTA(半紙!$B$11:$B$310)),IF(338&lt;=COUNTA(半紙!$B$11:$B$310)+COUNTA(条幅!$B$11:$B$310)+COUNTA(条幅4分の1!$B$11:$B$310),INDEX(条幅4分の1!$G$11:$G$310,338-COUNTA(半紙!$B$11:$B$310)-COUNTA(条幅!$B$11:$B$310)),"")))=0,"",IF(338&lt;=COUNTA(半紙!$B$11:$B$310),INDEX(半紙!$G$11:$G$310,338),IF(338&lt;=COUNTA(半紙!$B$11:$B$310)+COUNTA(条幅!$B$11:$B$310),INDEX(条幅!$G$11:$G$310,338-COUNTA(半紙!$B$11:$B$310)),IF(338&lt;=COUNTA(半紙!$B$11:$B$310)+COUNTA(条幅!$B$11:$B$310)+COUNTA(条幅4分の1!$B$11:$B$310),INDEX(条幅4分の1!$G$11:$G$310,338-COUNTA(半紙!$B$11:$B$310)-COUNTA(条幅!$B$11:$B$310)),""))))</f>
        <v/>
      </c>
      <c r="H343" s="38" t="str">
        <f>IF(IF(338&lt;=COUNTA(半紙!$B$11:$B$310),INDEX(半紙!$H$11:$H$310,338),IF(338&lt;=COUNTA(半紙!$B$11:$B$310)+COUNTA(条幅!$B$11:$B$310),INDEX(条幅!$H$11:$H$310,338-COUNTA(半紙!$B$11:$B$310)),IF(338&lt;=COUNTA(半紙!$B$11:$B$310)+COUNTA(条幅!$B$11:$B$310)+COUNTA(条幅4分の1!$B$11:$B$310),INDEX(条幅4分の1!$H$11:$H$310,338-COUNTA(半紙!$B$11:$B$310)-COUNTA(条幅!$B$11:$B$310)),"")))=0,"",IF(338&lt;=COUNTA(半紙!$B$11:$B$310),INDEX(半紙!$H$11:$H$310,338),IF(338&lt;=COUNTA(半紙!$B$11:$B$310)+COUNTA(条幅!$B$11:$B$310),INDEX(条幅!$H$11:$H$310,338-COUNTA(半紙!$B$11:$B$310)),IF(338&lt;=COUNTA(半紙!$B$11:$B$310)+COUNTA(条幅!$B$11:$B$310)+COUNTA(条幅4分の1!$B$11:$B$310),INDEX(条幅4分の1!$H$11:$H$310,338-COUNTA(半紙!$B$11:$B$310)-COUNTA(条幅!$B$11:$B$310)),""))))</f>
        <v/>
      </c>
      <c r="I343" s="38" t="str">
        <f>IF(IF(338&lt;=COUNTA(半紙!$B$11:$B$310),INDEX(半紙!$I$11:$I$310,338),IF(338&lt;=COUNTA(半紙!$B$11:$B$310)+COUNTA(条幅!$B$11:$B$310),INDEX(条幅!$I$11:$I$310,338-COUNTA(半紙!$B$11:$B$310)),IF(338&lt;=COUNTA(半紙!$B$11:$B$310)+COUNTA(条幅!$B$11:$B$310)+COUNTA(条幅4分の1!$B$11:$B$310),INDEX(条幅4分の1!$I$11:$I$310,338-COUNTA(半紙!$B$11:$B$310)-COUNTA(条幅!$B$11:$B$310)),"")))=0,"",IF(338&lt;=COUNTA(半紙!$B$11:$B$310),INDEX(半紙!$I$11:$I$310,338),IF(338&lt;=COUNTA(半紙!$B$11:$B$310)+COUNTA(条幅!$B$11:$B$310),INDEX(条幅!$I$11:$I$310,338-COUNTA(半紙!$B$11:$B$310)),IF(338&lt;=COUNTA(半紙!$B$11:$B$310)+COUNTA(条幅!$B$11:$B$310)+COUNTA(条幅4分の1!$B$11:$B$310),INDEX(条幅4分の1!$I$11:$I$310,338-COUNTA(半紙!$B$11:$B$310)-COUNTA(条幅!$B$11:$B$310)),""))))</f>
        <v/>
      </c>
      <c r="J343" s="38" t="str">
        <f>IF(IF(338&lt;=COUNTA(半紙!$B$11:$B$310),INDEX(半紙!$J$11:$J$310,338),IF(338&lt;=COUNTA(半紙!$B$11:$B$310)+COUNTA(条幅!$B$11:$B$310),INDEX(条幅!$J$11:$J$310,338-COUNTA(半紙!$B$11:$B$310)),IF(338&lt;=COUNTA(半紙!$B$11:$B$310)+COUNTA(条幅!$B$11:$B$310)+COUNTA(条幅4分の1!$B$11:$B$310),INDEX(条幅4分の1!$J$11:$J$310,338-COUNTA(半紙!$B$11:$B$310)-COUNTA(条幅!$B$11:$B$310)),"")))=0,"",IF(338&lt;=COUNTA(半紙!$B$11:$B$310),INDEX(半紙!$J$11:$J$310,338),IF(338&lt;=COUNTA(半紙!$B$11:$B$310)+COUNTA(条幅!$B$11:$B$310),INDEX(条幅!$J$11:$J$310,338-COUNTA(半紙!$B$11:$B$310)),IF(338&lt;=COUNTA(半紙!$B$11:$B$310)+COUNTA(条幅!$B$11:$B$310)+COUNTA(条幅4分の1!$B$11:$B$310),INDEX(条幅4分の1!$J$11:$J$310,338-COUNTA(半紙!$B$11:$B$310)-COUNTA(条幅!$B$11:$B$310)),""))))</f>
        <v/>
      </c>
      <c r="K343" s="38" t="str">
        <f>IF(IF(338&lt;=COUNTA(半紙!$B$11:$B$310),INDEX(半紙!$K$11:$K$310,338),IF(338&lt;=COUNTA(半紙!$B$11:$B$310)+COUNTA(条幅!$B$11:$B$310),INDEX(条幅!$K$11:$K$310,338-COUNTA(半紙!$B$11:$B$310)),IF(338&lt;=COUNTA(半紙!$B$11:$B$310)+COUNTA(条幅!$B$11:$B$310)+COUNTA(条幅4分の1!$B$11:$B$310),INDEX(条幅4分の1!$K$11:$K$310,338-COUNTA(半紙!$B$11:$B$310)-COUNTA(条幅!$B$11:$B$310)),"")))=0,"",IF(338&lt;=COUNTA(半紙!$B$11:$B$310),INDEX(半紙!$K$11:$K$310,338),IF(338&lt;=COUNTA(半紙!$B$11:$B$310)+COUNTA(条幅!$B$11:$B$310),INDEX(条幅!$K$11:$K$310,338-COUNTA(半紙!$B$11:$B$310)),IF(338&lt;=COUNTA(半紙!$B$11:$B$310)+COUNTA(条幅!$B$11:$B$310)+COUNTA(条幅4分の1!$B$11:$B$310),INDEX(条幅4分の1!$K$11:$K$310,338-COUNTA(半紙!$B$11:$B$310)-COUNTA(条幅!$B$11:$B$310)),""))))</f>
        <v/>
      </c>
      <c r="L343" s="48" t="str">
        <f>IF($B343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338))</f>
        <v/>
      </c>
    </row>
    <row r="344" spans="1:12" ht="15" customHeight="1">
      <c r="A344" s="37" t="str">
        <f>IF(339&lt;=COUNTA(半紙!$B$11:$B$310),"半紙",IF(339&lt;=COUNTA(半紙!$B$11:$B$310)+COUNTA(条幅!$B$11:$B$310),"条幅(半切)",IF(339&lt;=COUNTA(半紙!$B$11:$B$310)+COUNTA(条幅!$B$11:$B$310)+COUNTA(条幅4分の1!$B$11:$B$310),"条幅(1/4)","")))</f>
        <v/>
      </c>
      <c r="B344" s="38" t="str">
        <f>IF(IF(339&lt;=COUNTA(半紙!$B$11:$B$310),INDEX(半紙!$B$11:$B$310,339),IF(339&lt;=COUNTA(半紙!$B$11:$B$310)+COUNTA(条幅!$B$11:$B$310),INDEX(条幅!$B$11:$B$310,339-COUNTA(半紙!$B$11:$B$310)),IF(339&lt;=COUNTA(半紙!$B$11:$B$310)+COUNTA(条幅!$B$11:$B$310)+COUNTA(条幅4分の1!$B$11:$B$310),INDEX(条幅4分の1!$B$11:$B$310,339-COUNTA(半紙!$B$11:$B$310)-COUNTA(条幅!$B$11:$B$310)),"")))=0,"",IF(339&lt;=COUNTA(半紙!$B$11:$B$310),INDEX(半紙!$B$11:$B$310,339),IF(339&lt;=COUNTA(半紙!$B$11:$B$310)+COUNTA(条幅!$B$11:$B$310),INDEX(条幅!$B$11:$B$310,339-COUNTA(半紙!$B$11:$B$310)),IF(339&lt;=COUNTA(半紙!$B$11:$B$310)+COUNTA(条幅!$B$11:$B$310)+COUNTA(条幅4分の1!$B$11:$B$310),INDEX(条幅4分の1!$B$11:$B$310,339-COUNTA(半紙!$B$11:$B$310)-COUNTA(条幅!$B$11:$B$310)),""))))</f>
        <v/>
      </c>
      <c r="C344" s="38" t="str">
        <f>IF(IF(339&lt;=COUNTA(半紙!$B$11:$B$310),INDEX(半紙!$C$11:$C$310,339),IF(339&lt;=COUNTA(半紙!$B$11:$B$310)+COUNTA(条幅!$B$11:$B$310),INDEX(条幅!$C$11:$C$310,339-COUNTA(半紙!$B$11:$B$310)),IF(339&lt;=COUNTA(半紙!$B$11:$B$310)+COUNTA(条幅!$B$11:$B$310)+COUNTA(条幅4分の1!$B$11:$B$310),INDEX(条幅4分の1!$C$11:$C$310,339-COUNTA(半紙!$B$11:$B$310)-COUNTA(条幅!$B$11:$B$310)),"")))=0,"",IF(339&lt;=COUNTA(半紙!$B$11:$B$310),INDEX(半紙!$C$11:$C$310,339),IF(339&lt;=COUNTA(半紙!$B$11:$B$310)+COUNTA(条幅!$B$11:$B$310),INDEX(条幅!$C$11:$C$310,339-COUNTA(半紙!$B$11:$B$310)),IF(339&lt;=COUNTA(半紙!$B$11:$B$310)+COUNTA(条幅!$B$11:$B$310)+COUNTA(条幅4分の1!$B$11:$B$310),INDEX(条幅4分の1!$C$11:$C$310,339-COUNTA(半紙!$B$11:$B$310)-COUNTA(条幅!$B$11:$B$310)),""))))</f>
        <v/>
      </c>
      <c r="D344" s="38" t="str">
        <f>IF(IF(339&lt;=COUNTA(半紙!$B$11:$B$310),INDEX(半紙!$D$11:$D$310,339),IF(339&lt;=COUNTA(半紙!$B$11:$B$310)+COUNTA(条幅!$B$11:$B$310),INDEX(条幅!$D$11:$D$310,339-COUNTA(半紙!$B$11:$B$310)),IF(339&lt;=COUNTA(半紙!$B$11:$B$310)+COUNTA(条幅!$B$11:$B$310)+COUNTA(条幅4分の1!$B$11:$B$310),INDEX(条幅4分の1!$D$11:$D$310,339-COUNTA(半紙!$B$11:$B$310)-COUNTA(条幅!$B$11:$B$310)),"")))=0,"",IF(339&lt;=COUNTA(半紙!$B$11:$B$310),INDEX(半紙!$D$11:$D$310,339),IF(339&lt;=COUNTA(半紙!$B$11:$B$310)+COUNTA(条幅!$B$11:$B$310),INDEX(条幅!$D$11:$D$310,339-COUNTA(半紙!$B$11:$B$310)),IF(339&lt;=COUNTA(半紙!$B$11:$B$310)+COUNTA(条幅!$B$11:$B$310)+COUNTA(条幅4分の1!$B$11:$B$310),INDEX(条幅4分の1!$D$11:$D$310,339-COUNTA(半紙!$B$11:$B$310)-COUNTA(条幅!$B$11:$B$310)),""))))</f>
        <v/>
      </c>
      <c r="E344" s="38" t="str">
        <f>IF(IF(339&lt;=COUNTA(半紙!$B$11:$B$310),INDEX(半紙!$E$11:$E$310,339),IF(339&lt;=COUNTA(半紙!$B$11:$B$310)+COUNTA(条幅!$B$11:$B$310),INDEX(条幅!$E$11:$E$310,339-COUNTA(半紙!$B$11:$B$310)),IF(339&lt;=COUNTA(半紙!$B$11:$B$310)+COUNTA(条幅!$B$11:$B$310)+COUNTA(条幅4分の1!$B$11:$B$310),INDEX(条幅4分の1!$E$11:$E$310,339-COUNTA(半紙!$B$11:$B$310)-COUNTA(条幅!$B$11:$B$310)),"")))=0,"",IF(339&lt;=COUNTA(半紙!$B$11:$B$310),INDEX(半紙!$E$11:$E$310,339),IF(339&lt;=COUNTA(半紙!$B$11:$B$310)+COUNTA(条幅!$B$11:$B$310),INDEX(条幅!$E$11:$E$310,339-COUNTA(半紙!$B$11:$B$310)),IF(339&lt;=COUNTA(半紙!$B$11:$B$310)+COUNTA(条幅!$B$11:$B$310)+COUNTA(条幅4分の1!$B$11:$B$310),INDEX(条幅4分の1!$E$11:$E$310,339-COUNTA(半紙!$B$11:$B$310)-COUNTA(条幅!$B$11:$B$310)),""))))</f>
        <v/>
      </c>
      <c r="F344" s="38" t="str">
        <f>IF(IF(339&lt;=COUNTA(半紙!$B$11:$B$310),INDEX(半紙!$F$11:$F$310,339),IF(339&lt;=COUNTA(半紙!$B$11:$B$310)+COUNTA(条幅!$B$11:$B$310),INDEX(条幅!$F$11:$F$310,339-COUNTA(半紙!$B$11:$B$310)),IF(339&lt;=COUNTA(半紙!$B$11:$B$310)+COUNTA(条幅!$B$11:$B$310)+COUNTA(条幅4分の1!$B$11:$B$310),INDEX(条幅4分の1!$F$11:$F$310,339-COUNTA(半紙!$B$11:$B$310)-COUNTA(条幅!$B$11:$B$310)),"")))=0,"",IF(339&lt;=COUNTA(半紙!$B$11:$B$310),INDEX(半紙!$F$11:$F$310,339),IF(339&lt;=COUNTA(半紙!$B$11:$B$310)+COUNTA(条幅!$B$11:$B$310),INDEX(条幅!$F$11:$F$310,339-COUNTA(半紙!$B$11:$B$310)),IF(339&lt;=COUNTA(半紙!$B$11:$B$310)+COUNTA(条幅!$B$11:$B$310)+COUNTA(条幅4分の1!$B$11:$B$310),INDEX(条幅4分の1!$F$11:$F$310,339-COUNTA(半紙!$B$11:$B$310)-COUNTA(条幅!$B$11:$B$310)),""))))</f>
        <v/>
      </c>
      <c r="G344" s="38" t="str">
        <f>IF(IF(339&lt;=COUNTA(半紙!$B$11:$B$310),INDEX(半紙!$G$11:$G$310,339),IF(339&lt;=COUNTA(半紙!$B$11:$B$310)+COUNTA(条幅!$B$11:$B$310),INDEX(条幅!$G$11:$G$310,339-COUNTA(半紙!$B$11:$B$310)),IF(339&lt;=COUNTA(半紙!$B$11:$B$310)+COUNTA(条幅!$B$11:$B$310)+COUNTA(条幅4分の1!$B$11:$B$310),INDEX(条幅4分の1!$G$11:$G$310,339-COUNTA(半紙!$B$11:$B$310)-COUNTA(条幅!$B$11:$B$310)),"")))=0,"",IF(339&lt;=COUNTA(半紙!$B$11:$B$310),INDEX(半紙!$G$11:$G$310,339),IF(339&lt;=COUNTA(半紙!$B$11:$B$310)+COUNTA(条幅!$B$11:$B$310),INDEX(条幅!$G$11:$G$310,339-COUNTA(半紙!$B$11:$B$310)),IF(339&lt;=COUNTA(半紙!$B$11:$B$310)+COUNTA(条幅!$B$11:$B$310)+COUNTA(条幅4分の1!$B$11:$B$310),INDEX(条幅4分の1!$G$11:$G$310,339-COUNTA(半紙!$B$11:$B$310)-COUNTA(条幅!$B$11:$B$310)),""))))</f>
        <v/>
      </c>
      <c r="H344" s="38" t="str">
        <f>IF(IF(339&lt;=COUNTA(半紙!$B$11:$B$310),INDEX(半紙!$H$11:$H$310,339),IF(339&lt;=COUNTA(半紙!$B$11:$B$310)+COUNTA(条幅!$B$11:$B$310),INDEX(条幅!$H$11:$H$310,339-COUNTA(半紙!$B$11:$B$310)),IF(339&lt;=COUNTA(半紙!$B$11:$B$310)+COUNTA(条幅!$B$11:$B$310)+COUNTA(条幅4分の1!$B$11:$B$310),INDEX(条幅4分の1!$H$11:$H$310,339-COUNTA(半紙!$B$11:$B$310)-COUNTA(条幅!$B$11:$B$310)),"")))=0,"",IF(339&lt;=COUNTA(半紙!$B$11:$B$310),INDEX(半紙!$H$11:$H$310,339),IF(339&lt;=COUNTA(半紙!$B$11:$B$310)+COUNTA(条幅!$B$11:$B$310),INDEX(条幅!$H$11:$H$310,339-COUNTA(半紙!$B$11:$B$310)),IF(339&lt;=COUNTA(半紙!$B$11:$B$310)+COUNTA(条幅!$B$11:$B$310)+COUNTA(条幅4分の1!$B$11:$B$310),INDEX(条幅4分の1!$H$11:$H$310,339-COUNTA(半紙!$B$11:$B$310)-COUNTA(条幅!$B$11:$B$310)),""))))</f>
        <v/>
      </c>
      <c r="I344" s="38" t="str">
        <f>IF(IF(339&lt;=COUNTA(半紙!$B$11:$B$310),INDEX(半紙!$I$11:$I$310,339),IF(339&lt;=COUNTA(半紙!$B$11:$B$310)+COUNTA(条幅!$B$11:$B$310),INDEX(条幅!$I$11:$I$310,339-COUNTA(半紙!$B$11:$B$310)),IF(339&lt;=COUNTA(半紙!$B$11:$B$310)+COUNTA(条幅!$B$11:$B$310)+COUNTA(条幅4分の1!$B$11:$B$310),INDEX(条幅4分の1!$I$11:$I$310,339-COUNTA(半紙!$B$11:$B$310)-COUNTA(条幅!$B$11:$B$310)),"")))=0,"",IF(339&lt;=COUNTA(半紙!$B$11:$B$310),INDEX(半紙!$I$11:$I$310,339),IF(339&lt;=COUNTA(半紙!$B$11:$B$310)+COUNTA(条幅!$B$11:$B$310),INDEX(条幅!$I$11:$I$310,339-COUNTA(半紙!$B$11:$B$310)),IF(339&lt;=COUNTA(半紙!$B$11:$B$310)+COUNTA(条幅!$B$11:$B$310)+COUNTA(条幅4分の1!$B$11:$B$310),INDEX(条幅4分の1!$I$11:$I$310,339-COUNTA(半紙!$B$11:$B$310)-COUNTA(条幅!$B$11:$B$310)),""))))</f>
        <v/>
      </c>
      <c r="J344" s="38" t="str">
        <f>IF(IF(339&lt;=COUNTA(半紙!$B$11:$B$310),INDEX(半紙!$J$11:$J$310,339),IF(339&lt;=COUNTA(半紙!$B$11:$B$310)+COUNTA(条幅!$B$11:$B$310),INDEX(条幅!$J$11:$J$310,339-COUNTA(半紙!$B$11:$B$310)),IF(339&lt;=COUNTA(半紙!$B$11:$B$310)+COUNTA(条幅!$B$11:$B$310)+COUNTA(条幅4分の1!$B$11:$B$310),INDEX(条幅4分の1!$J$11:$J$310,339-COUNTA(半紙!$B$11:$B$310)-COUNTA(条幅!$B$11:$B$310)),"")))=0,"",IF(339&lt;=COUNTA(半紙!$B$11:$B$310),INDEX(半紙!$J$11:$J$310,339),IF(339&lt;=COUNTA(半紙!$B$11:$B$310)+COUNTA(条幅!$B$11:$B$310),INDEX(条幅!$J$11:$J$310,339-COUNTA(半紙!$B$11:$B$310)),IF(339&lt;=COUNTA(半紙!$B$11:$B$310)+COUNTA(条幅!$B$11:$B$310)+COUNTA(条幅4分の1!$B$11:$B$310),INDEX(条幅4分の1!$J$11:$J$310,339-COUNTA(半紙!$B$11:$B$310)-COUNTA(条幅!$B$11:$B$310)),""))))</f>
        <v/>
      </c>
      <c r="K344" s="38" t="str">
        <f>IF(IF(339&lt;=COUNTA(半紙!$B$11:$B$310),INDEX(半紙!$K$11:$K$310,339),IF(339&lt;=COUNTA(半紙!$B$11:$B$310)+COUNTA(条幅!$B$11:$B$310),INDEX(条幅!$K$11:$K$310,339-COUNTA(半紙!$B$11:$B$310)),IF(339&lt;=COUNTA(半紙!$B$11:$B$310)+COUNTA(条幅!$B$11:$B$310)+COUNTA(条幅4分の1!$B$11:$B$310),INDEX(条幅4分の1!$K$11:$K$310,339-COUNTA(半紙!$B$11:$B$310)-COUNTA(条幅!$B$11:$B$310)),"")))=0,"",IF(339&lt;=COUNTA(半紙!$B$11:$B$310),INDEX(半紙!$K$11:$K$310,339),IF(339&lt;=COUNTA(半紙!$B$11:$B$310)+COUNTA(条幅!$B$11:$B$310),INDEX(条幅!$K$11:$K$310,339-COUNTA(半紙!$B$11:$B$310)),IF(339&lt;=COUNTA(半紙!$B$11:$B$310)+COUNTA(条幅!$B$11:$B$310)+COUNTA(条幅4分の1!$B$11:$B$310),INDEX(条幅4分の1!$K$11:$K$310,339-COUNTA(半紙!$B$11:$B$310)-COUNTA(条幅!$B$11:$B$310)),""))))</f>
        <v/>
      </c>
      <c r="L344" s="48" t="str">
        <f>IF($B344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339))</f>
        <v/>
      </c>
    </row>
    <row r="345" spans="1:12" ht="15" customHeight="1">
      <c r="A345" s="37" t="str">
        <f>IF(340&lt;=COUNTA(半紙!$B$11:$B$310),"半紙",IF(340&lt;=COUNTA(半紙!$B$11:$B$310)+COUNTA(条幅!$B$11:$B$310),"条幅(半切)",IF(340&lt;=COUNTA(半紙!$B$11:$B$310)+COUNTA(条幅!$B$11:$B$310)+COUNTA(条幅4分の1!$B$11:$B$310),"条幅(1/4)","")))</f>
        <v/>
      </c>
      <c r="B345" s="38" t="str">
        <f>IF(IF(340&lt;=COUNTA(半紙!$B$11:$B$310),INDEX(半紙!$B$11:$B$310,340),IF(340&lt;=COUNTA(半紙!$B$11:$B$310)+COUNTA(条幅!$B$11:$B$310),INDEX(条幅!$B$11:$B$310,340-COUNTA(半紙!$B$11:$B$310)),IF(340&lt;=COUNTA(半紙!$B$11:$B$310)+COUNTA(条幅!$B$11:$B$310)+COUNTA(条幅4分の1!$B$11:$B$310),INDEX(条幅4分の1!$B$11:$B$310,340-COUNTA(半紙!$B$11:$B$310)-COUNTA(条幅!$B$11:$B$310)),"")))=0,"",IF(340&lt;=COUNTA(半紙!$B$11:$B$310),INDEX(半紙!$B$11:$B$310,340),IF(340&lt;=COUNTA(半紙!$B$11:$B$310)+COUNTA(条幅!$B$11:$B$310),INDEX(条幅!$B$11:$B$310,340-COUNTA(半紙!$B$11:$B$310)),IF(340&lt;=COUNTA(半紙!$B$11:$B$310)+COUNTA(条幅!$B$11:$B$310)+COUNTA(条幅4分の1!$B$11:$B$310),INDEX(条幅4分の1!$B$11:$B$310,340-COUNTA(半紙!$B$11:$B$310)-COUNTA(条幅!$B$11:$B$310)),""))))</f>
        <v/>
      </c>
      <c r="C345" s="38" t="str">
        <f>IF(IF(340&lt;=COUNTA(半紙!$B$11:$B$310),INDEX(半紙!$C$11:$C$310,340),IF(340&lt;=COUNTA(半紙!$B$11:$B$310)+COUNTA(条幅!$B$11:$B$310),INDEX(条幅!$C$11:$C$310,340-COUNTA(半紙!$B$11:$B$310)),IF(340&lt;=COUNTA(半紙!$B$11:$B$310)+COUNTA(条幅!$B$11:$B$310)+COUNTA(条幅4分の1!$B$11:$B$310),INDEX(条幅4分の1!$C$11:$C$310,340-COUNTA(半紙!$B$11:$B$310)-COUNTA(条幅!$B$11:$B$310)),"")))=0,"",IF(340&lt;=COUNTA(半紙!$B$11:$B$310),INDEX(半紙!$C$11:$C$310,340),IF(340&lt;=COUNTA(半紙!$B$11:$B$310)+COUNTA(条幅!$B$11:$B$310),INDEX(条幅!$C$11:$C$310,340-COUNTA(半紙!$B$11:$B$310)),IF(340&lt;=COUNTA(半紙!$B$11:$B$310)+COUNTA(条幅!$B$11:$B$310)+COUNTA(条幅4分の1!$B$11:$B$310),INDEX(条幅4分の1!$C$11:$C$310,340-COUNTA(半紙!$B$11:$B$310)-COUNTA(条幅!$B$11:$B$310)),""))))</f>
        <v/>
      </c>
      <c r="D345" s="38" t="str">
        <f>IF(IF(340&lt;=COUNTA(半紙!$B$11:$B$310),INDEX(半紙!$D$11:$D$310,340),IF(340&lt;=COUNTA(半紙!$B$11:$B$310)+COUNTA(条幅!$B$11:$B$310),INDEX(条幅!$D$11:$D$310,340-COUNTA(半紙!$B$11:$B$310)),IF(340&lt;=COUNTA(半紙!$B$11:$B$310)+COUNTA(条幅!$B$11:$B$310)+COUNTA(条幅4分の1!$B$11:$B$310),INDEX(条幅4分の1!$D$11:$D$310,340-COUNTA(半紙!$B$11:$B$310)-COUNTA(条幅!$B$11:$B$310)),"")))=0,"",IF(340&lt;=COUNTA(半紙!$B$11:$B$310),INDEX(半紙!$D$11:$D$310,340),IF(340&lt;=COUNTA(半紙!$B$11:$B$310)+COUNTA(条幅!$B$11:$B$310),INDEX(条幅!$D$11:$D$310,340-COUNTA(半紙!$B$11:$B$310)),IF(340&lt;=COUNTA(半紙!$B$11:$B$310)+COUNTA(条幅!$B$11:$B$310)+COUNTA(条幅4分の1!$B$11:$B$310),INDEX(条幅4分の1!$D$11:$D$310,340-COUNTA(半紙!$B$11:$B$310)-COUNTA(条幅!$B$11:$B$310)),""))))</f>
        <v/>
      </c>
      <c r="E345" s="38" t="str">
        <f>IF(IF(340&lt;=COUNTA(半紙!$B$11:$B$310),INDEX(半紙!$E$11:$E$310,340),IF(340&lt;=COUNTA(半紙!$B$11:$B$310)+COUNTA(条幅!$B$11:$B$310),INDEX(条幅!$E$11:$E$310,340-COUNTA(半紙!$B$11:$B$310)),IF(340&lt;=COUNTA(半紙!$B$11:$B$310)+COUNTA(条幅!$B$11:$B$310)+COUNTA(条幅4分の1!$B$11:$B$310),INDEX(条幅4分の1!$E$11:$E$310,340-COUNTA(半紙!$B$11:$B$310)-COUNTA(条幅!$B$11:$B$310)),"")))=0,"",IF(340&lt;=COUNTA(半紙!$B$11:$B$310),INDEX(半紙!$E$11:$E$310,340),IF(340&lt;=COUNTA(半紙!$B$11:$B$310)+COUNTA(条幅!$B$11:$B$310),INDEX(条幅!$E$11:$E$310,340-COUNTA(半紙!$B$11:$B$310)),IF(340&lt;=COUNTA(半紙!$B$11:$B$310)+COUNTA(条幅!$B$11:$B$310)+COUNTA(条幅4分の1!$B$11:$B$310),INDEX(条幅4分の1!$E$11:$E$310,340-COUNTA(半紙!$B$11:$B$310)-COUNTA(条幅!$B$11:$B$310)),""))))</f>
        <v/>
      </c>
      <c r="F345" s="38" t="str">
        <f>IF(IF(340&lt;=COUNTA(半紙!$B$11:$B$310),INDEX(半紙!$F$11:$F$310,340),IF(340&lt;=COUNTA(半紙!$B$11:$B$310)+COUNTA(条幅!$B$11:$B$310),INDEX(条幅!$F$11:$F$310,340-COUNTA(半紙!$B$11:$B$310)),IF(340&lt;=COUNTA(半紙!$B$11:$B$310)+COUNTA(条幅!$B$11:$B$310)+COUNTA(条幅4分の1!$B$11:$B$310),INDEX(条幅4分の1!$F$11:$F$310,340-COUNTA(半紙!$B$11:$B$310)-COUNTA(条幅!$B$11:$B$310)),"")))=0,"",IF(340&lt;=COUNTA(半紙!$B$11:$B$310),INDEX(半紙!$F$11:$F$310,340),IF(340&lt;=COUNTA(半紙!$B$11:$B$310)+COUNTA(条幅!$B$11:$B$310),INDEX(条幅!$F$11:$F$310,340-COUNTA(半紙!$B$11:$B$310)),IF(340&lt;=COUNTA(半紙!$B$11:$B$310)+COUNTA(条幅!$B$11:$B$310)+COUNTA(条幅4分の1!$B$11:$B$310),INDEX(条幅4分の1!$F$11:$F$310,340-COUNTA(半紙!$B$11:$B$310)-COUNTA(条幅!$B$11:$B$310)),""))))</f>
        <v/>
      </c>
      <c r="G345" s="38" t="str">
        <f>IF(IF(340&lt;=COUNTA(半紙!$B$11:$B$310),INDEX(半紙!$G$11:$G$310,340),IF(340&lt;=COUNTA(半紙!$B$11:$B$310)+COUNTA(条幅!$B$11:$B$310),INDEX(条幅!$G$11:$G$310,340-COUNTA(半紙!$B$11:$B$310)),IF(340&lt;=COUNTA(半紙!$B$11:$B$310)+COUNTA(条幅!$B$11:$B$310)+COUNTA(条幅4分の1!$B$11:$B$310),INDEX(条幅4分の1!$G$11:$G$310,340-COUNTA(半紙!$B$11:$B$310)-COUNTA(条幅!$B$11:$B$310)),"")))=0,"",IF(340&lt;=COUNTA(半紙!$B$11:$B$310),INDEX(半紙!$G$11:$G$310,340),IF(340&lt;=COUNTA(半紙!$B$11:$B$310)+COUNTA(条幅!$B$11:$B$310),INDEX(条幅!$G$11:$G$310,340-COUNTA(半紙!$B$11:$B$310)),IF(340&lt;=COUNTA(半紙!$B$11:$B$310)+COUNTA(条幅!$B$11:$B$310)+COUNTA(条幅4分の1!$B$11:$B$310),INDEX(条幅4分の1!$G$11:$G$310,340-COUNTA(半紙!$B$11:$B$310)-COUNTA(条幅!$B$11:$B$310)),""))))</f>
        <v/>
      </c>
      <c r="H345" s="38" t="str">
        <f>IF(IF(340&lt;=COUNTA(半紙!$B$11:$B$310),INDEX(半紙!$H$11:$H$310,340),IF(340&lt;=COUNTA(半紙!$B$11:$B$310)+COUNTA(条幅!$B$11:$B$310),INDEX(条幅!$H$11:$H$310,340-COUNTA(半紙!$B$11:$B$310)),IF(340&lt;=COUNTA(半紙!$B$11:$B$310)+COUNTA(条幅!$B$11:$B$310)+COUNTA(条幅4分の1!$B$11:$B$310),INDEX(条幅4分の1!$H$11:$H$310,340-COUNTA(半紙!$B$11:$B$310)-COUNTA(条幅!$B$11:$B$310)),"")))=0,"",IF(340&lt;=COUNTA(半紙!$B$11:$B$310),INDEX(半紙!$H$11:$H$310,340),IF(340&lt;=COUNTA(半紙!$B$11:$B$310)+COUNTA(条幅!$B$11:$B$310),INDEX(条幅!$H$11:$H$310,340-COUNTA(半紙!$B$11:$B$310)),IF(340&lt;=COUNTA(半紙!$B$11:$B$310)+COUNTA(条幅!$B$11:$B$310)+COUNTA(条幅4分の1!$B$11:$B$310),INDEX(条幅4分の1!$H$11:$H$310,340-COUNTA(半紙!$B$11:$B$310)-COUNTA(条幅!$B$11:$B$310)),""))))</f>
        <v/>
      </c>
      <c r="I345" s="38" t="str">
        <f>IF(IF(340&lt;=COUNTA(半紙!$B$11:$B$310),INDEX(半紙!$I$11:$I$310,340),IF(340&lt;=COUNTA(半紙!$B$11:$B$310)+COUNTA(条幅!$B$11:$B$310),INDEX(条幅!$I$11:$I$310,340-COUNTA(半紙!$B$11:$B$310)),IF(340&lt;=COUNTA(半紙!$B$11:$B$310)+COUNTA(条幅!$B$11:$B$310)+COUNTA(条幅4分の1!$B$11:$B$310),INDEX(条幅4分の1!$I$11:$I$310,340-COUNTA(半紙!$B$11:$B$310)-COUNTA(条幅!$B$11:$B$310)),"")))=0,"",IF(340&lt;=COUNTA(半紙!$B$11:$B$310),INDEX(半紙!$I$11:$I$310,340),IF(340&lt;=COUNTA(半紙!$B$11:$B$310)+COUNTA(条幅!$B$11:$B$310),INDEX(条幅!$I$11:$I$310,340-COUNTA(半紙!$B$11:$B$310)),IF(340&lt;=COUNTA(半紙!$B$11:$B$310)+COUNTA(条幅!$B$11:$B$310)+COUNTA(条幅4分の1!$B$11:$B$310),INDEX(条幅4分の1!$I$11:$I$310,340-COUNTA(半紙!$B$11:$B$310)-COUNTA(条幅!$B$11:$B$310)),""))))</f>
        <v/>
      </c>
      <c r="J345" s="38" t="str">
        <f>IF(IF(340&lt;=COUNTA(半紙!$B$11:$B$310),INDEX(半紙!$J$11:$J$310,340),IF(340&lt;=COUNTA(半紙!$B$11:$B$310)+COUNTA(条幅!$B$11:$B$310),INDEX(条幅!$J$11:$J$310,340-COUNTA(半紙!$B$11:$B$310)),IF(340&lt;=COUNTA(半紙!$B$11:$B$310)+COUNTA(条幅!$B$11:$B$310)+COUNTA(条幅4分の1!$B$11:$B$310),INDEX(条幅4分の1!$J$11:$J$310,340-COUNTA(半紙!$B$11:$B$310)-COUNTA(条幅!$B$11:$B$310)),"")))=0,"",IF(340&lt;=COUNTA(半紙!$B$11:$B$310),INDEX(半紙!$J$11:$J$310,340),IF(340&lt;=COUNTA(半紙!$B$11:$B$310)+COUNTA(条幅!$B$11:$B$310),INDEX(条幅!$J$11:$J$310,340-COUNTA(半紙!$B$11:$B$310)),IF(340&lt;=COUNTA(半紙!$B$11:$B$310)+COUNTA(条幅!$B$11:$B$310)+COUNTA(条幅4分の1!$B$11:$B$310),INDEX(条幅4分の1!$J$11:$J$310,340-COUNTA(半紙!$B$11:$B$310)-COUNTA(条幅!$B$11:$B$310)),""))))</f>
        <v/>
      </c>
      <c r="K345" s="38" t="str">
        <f>IF(IF(340&lt;=COUNTA(半紙!$B$11:$B$310),INDEX(半紙!$K$11:$K$310,340),IF(340&lt;=COUNTA(半紙!$B$11:$B$310)+COUNTA(条幅!$B$11:$B$310),INDEX(条幅!$K$11:$K$310,340-COUNTA(半紙!$B$11:$B$310)),IF(340&lt;=COUNTA(半紙!$B$11:$B$310)+COUNTA(条幅!$B$11:$B$310)+COUNTA(条幅4分の1!$B$11:$B$310),INDEX(条幅4分の1!$K$11:$K$310,340-COUNTA(半紙!$B$11:$B$310)-COUNTA(条幅!$B$11:$B$310)),"")))=0,"",IF(340&lt;=COUNTA(半紙!$B$11:$B$310),INDEX(半紙!$K$11:$K$310,340),IF(340&lt;=COUNTA(半紙!$B$11:$B$310)+COUNTA(条幅!$B$11:$B$310),INDEX(条幅!$K$11:$K$310,340-COUNTA(半紙!$B$11:$B$310)),IF(340&lt;=COUNTA(半紙!$B$11:$B$310)+COUNTA(条幅!$B$11:$B$310)+COUNTA(条幅4分の1!$B$11:$B$310),INDEX(条幅4分の1!$K$11:$K$310,340-COUNTA(半紙!$B$11:$B$310)-COUNTA(条幅!$B$11:$B$310)),""))))</f>
        <v/>
      </c>
      <c r="L345" s="48" t="str">
        <f>IF($B345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340))</f>
        <v/>
      </c>
    </row>
    <row r="346" spans="1:12" ht="15" customHeight="1">
      <c r="A346" s="37" t="str">
        <f>IF(341&lt;=COUNTA(半紙!$B$11:$B$310),"半紙",IF(341&lt;=COUNTA(半紙!$B$11:$B$310)+COUNTA(条幅!$B$11:$B$310),"条幅(半切)",IF(341&lt;=COUNTA(半紙!$B$11:$B$310)+COUNTA(条幅!$B$11:$B$310)+COUNTA(条幅4分の1!$B$11:$B$310),"条幅(1/4)","")))</f>
        <v/>
      </c>
      <c r="B346" s="38" t="str">
        <f>IF(IF(341&lt;=COUNTA(半紙!$B$11:$B$310),INDEX(半紙!$B$11:$B$310,341),IF(341&lt;=COUNTA(半紙!$B$11:$B$310)+COUNTA(条幅!$B$11:$B$310),INDEX(条幅!$B$11:$B$310,341-COUNTA(半紙!$B$11:$B$310)),IF(341&lt;=COUNTA(半紙!$B$11:$B$310)+COUNTA(条幅!$B$11:$B$310)+COUNTA(条幅4分の1!$B$11:$B$310),INDEX(条幅4分の1!$B$11:$B$310,341-COUNTA(半紙!$B$11:$B$310)-COUNTA(条幅!$B$11:$B$310)),"")))=0,"",IF(341&lt;=COUNTA(半紙!$B$11:$B$310),INDEX(半紙!$B$11:$B$310,341),IF(341&lt;=COUNTA(半紙!$B$11:$B$310)+COUNTA(条幅!$B$11:$B$310),INDEX(条幅!$B$11:$B$310,341-COUNTA(半紙!$B$11:$B$310)),IF(341&lt;=COUNTA(半紙!$B$11:$B$310)+COUNTA(条幅!$B$11:$B$310)+COUNTA(条幅4分の1!$B$11:$B$310),INDEX(条幅4分の1!$B$11:$B$310,341-COUNTA(半紙!$B$11:$B$310)-COUNTA(条幅!$B$11:$B$310)),""))))</f>
        <v/>
      </c>
      <c r="C346" s="38" t="str">
        <f>IF(IF(341&lt;=COUNTA(半紙!$B$11:$B$310),INDEX(半紙!$C$11:$C$310,341),IF(341&lt;=COUNTA(半紙!$B$11:$B$310)+COUNTA(条幅!$B$11:$B$310),INDEX(条幅!$C$11:$C$310,341-COUNTA(半紙!$B$11:$B$310)),IF(341&lt;=COUNTA(半紙!$B$11:$B$310)+COUNTA(条幅!$B$11:$B$310)+COUNTA(条幅4分の1!$B$11:$B$310),INDEX(条幅4分の1!$C$11:$C$310,341-COUNTA(半紙!$B$11:$B$310)-COUNTA(条幅!$B$11:$B$310)),"")))=0,"",IF(341&lt;=COUNTA(半紙!$B$11:$B$310),INDEX(半紙!$C$11:$C$310,341),IF(341&lt;=COUNTA(半紙!$B$11:$B$310)+COUNTA(条幅!$B$11:$B$310),INDEX(条幅!$C$11:$C$310,341-COUNTA(半紙!$B$11:$B$310)),IF(341&lt;=COUNTA(半紙!$B$11:$B$310)+COUNTA(条幅!$B$11:$B$310)+COUNTA(条幅4分の1!$B$11:$B$310),INDEX(条幅4分の1!$C$11:$C$310,341-COUNTA(半紙!$B$11:$B$310)-COUNTA(条幅!$B$11:$B$310)),""))))</f>
        <v/>
      </c>
      <c r="D346" s="38" t="str">
        <f>IF(IF(341&lt;=COUNTA(半紙!$B$11:$B$310),INDEX(半紙!$D$11:$D$310,341),IF(341&lt;=COUNTA(半紙!$B$11:$B$310)+COUNTA(条幅!$B$11:$B$310),INDEX(条幅!$D$11:$D$310,341-COUNTA(半紙!$B$11:$B$310)),IF(341&lt;=COUNTA(半紙!$B$11:$B$310)+COUNTA(条幅!$B$11:$B$310)+COUNTA(条幅4分の1!$B$11:$B$310),INDEX(条幅4分の1!$D$11:$D$310,341-COUNTA(半紙!$B$11:$B$310)-COUNTA(条幅!$B$11:$B$310)),"")))=0,"",IF(341&lt;=COUNTA(半紙!$B$11:$B$310),INDEX(半紙!$D$11:$D$310,341),IF(341&lt;=COUNTA(半紙!$B$11:$B$310)+COUNTA(条幅!$B$11:$B$310),INDEX(条幅!$D$11:$D$310,341-COUNTA(半紙!$B$11:$B$310)),IF(341&lt;=COUNTA(半紙!$B$11:$B$310)+COUNTA(条幅!$B$11:$B$310)+COUNTA(条幅4分の1!$B$11:$B$310),INDEX(条幅4分の1!$D$11:$D$310,341-COUNTA(半紙!$B$11:$B$310)-COUNTA(条幅!$B$11:$B$310)),""))))</f>
        <v/>
      </c>
      <c r="E346" s="38" t="str">
        <f>IF(IF(341&lt;=COUNTA(半紙!$B$11:$B$310),INDEX(半紙!$E$11:$E$310,341),IF(341&lt;=COUNTA(半紙!$B$11:$B$310)+COUNTA(条幅!$B$11:$B$310),INDEX(条幅!$E$11:$E$310,341-COUNTA(半紙!$B$11:$B$310)),IF(341&lt;=COUNTA(半紙!$B$11:$B$310)+COUNTA(条幅!$B$11:$B$310)+COUNTA(条幅4分の1!$B$11:$B$310),INDEX(条幅4分の1!$E$11:$E$310,341-COUNTA(半紙!$B$11:$B$310)-COUNTA(条幅!$B$11:$B$310)),"")))=0,"",IF(341&lt;=COUNTA(半紙!$B$11:$B$310),INDEX(半紙!$E$11:$E$310,341),IF(341&lt;=COUNTA(半紙!$B$11:$B$310)+COUNTA(条幅!$B$11:$B$310),INDEX(条幅!$E$11:$E$310,341-COUNTA(半紙!$B$11:$B$310)),IF(341&lt;=COUNTA(半紙!$B$11:$B$310)+COUNTA(条幅!$B$11:$B$310)+COUNTA(条幅4分の1!$B$11:$B$310),INDEX(条幅4分の1!$E$11:$E$310,341-COUNTA(半紙!$B$11:$B$310)-COUNTA(条幅!$B$11:$B$310)),""))))</f>
        <v/>
      </c>
      <c r="F346" s="38" t="str">
        <f>IF(IF(341&lt;=COUNTA(半紙!$B$11:$B$310),INDEX(半紙!$F$11:$F$310,341),IF(341&lt;=COUNTA(半紙!$B$11:$B$310)+COUNTA(条幅!$B$11:$B$310),INDEX(条幅!$F$11:$F$310,341-COUNTA(半紙!$B$11:$B$310)),IF(341&lt;=COUNTA(半紙!$B$11:$B$310)+COUNTA(条幅!$B$11:$B$310)+COUNTA(条幅4分の1!$B$11:$B$310),INDEX(条幅4分の1!$F$11:$F$310,341-COUNTA(半紙!$B$11:$B$310)-COUNTA(条幅!$B$11:$B$310)),"")))=0,"",IF(341&lt;=COUNTA(半紙!$B$11:$B$310),INDEX(半紙!$F$11:$F$310,341),IF(341&lt;=COUNTA(半紙!$B$11:$B$310)+COUNTA(条幅!$B$11:$B$310),INDEX(条幅!$F$11:$F$310,341-COUNTA(半紙!$B$11:$B$310)),IF(341&lt;=COUNTA(半紙!$B$11:$B$310)+COUNTA(条幅!$B$11:$B$310)+COUNTA(条幅4分の1!$B$11:$B$310),INDEX(条幅4分の1!$F$11:$F$310,341-COUNTA(半紙!$B$11:$B$310)-COUNTA(条幅!$B$11:$B$310)),""))))</f>
        <v/>
      </c>
      <c r="G346" s="38" t="str">
        <f>IF(IF(341&lt;=COUNTA(半紙!$B$11:$B$310),INDEX(半紙!$G$11:$G$310,341),IF(341&lt;=COUNTA(半紙!$B$11:$B$310)+COUNTA(条幅!$B$11:$B$310),INDEX(条幅!$G$11:$G$310,341-COUNTA(半紙!$B$11:$B$310)),IF(341&lt;=COUNTA(半紙!$B$11:$B$310)+COUNTA(条幅!$B$11:$B$310)+COUNTA(条幅4分の1!$B$11:$B$310),INDEX(条幅4分の1!$G$11:$G$310,341-COUNTA(半紙!$B$11:$B$310)-COUNTA(条幅!$B$11:$B$310)),"")))=0,"",IF(341&lt;=COUNTA(半紙!$B$11:$B$310),INDEX(半紙!$G$11:$G$310,341),IF(341&lt;=COUNTA(半紙!$B$11:$B$310)+COUNTA(条幅!$B$11:$B$310),INDEX(条幅!$G$11:$G$310,341-COUNTA(半紙!$B$11:$B$310)),IF(341&lt;=COUNTA(半紙!$B$11:$B$310)+COUNTA(条幅!$B$11:$B$310)+COUNTA(条幅4分の1!$B$11:$B$310),INDEX(条幅4分の1!$G$11:$G$310,341-COUNTA(半紙!$B$11:$B$310)-COUNTA(条幅!$B$11:$B$310)),""))))</f>
        <v/>
      </c>
      <c r="H346" s="38" t="str">
        <f>IF(IF(341&lt;=COUNTA(半紙!$B$11:$B$310),INDEX(半紙!$H$11:$H$310,341),IF(341&lt;=COUNTA(半紙!$B$11:$B$310)+COUNTA(条幅!$B$11:$B$310),INDEX(条幅!$H$11:$H$310,341-COUNTA(半紙!$B$11:$B$310)),IF(341&lt;=COUNTA(半紙!$B$11:$B$310)+COUNTA(条幅!$B$11:$B$310)+COUNTA(条幅4分の1!$B$11:$B$310),INDEX(条幅4分の1!$H$11:$H$310,341-COUNTA(半紙!$B$11:$B$310)-COUNTA(条幅!$B$11:$B$310)),"")))=0,"",IF(341&lt;=COUNTA(半紙!$B$11:$B$310),INDEX(半紙!$H$11:$H$310,341),IF(341&lt;=COUNTA(半紙!$B$11:$B$310)+COUNTA(条幅!$B$11:$B$310),INDEX(条幅!$H$11:$H$310,341-COUNTA(半紙!$B$11:$B$310)),IF(341&lt;=COUNTA(半紙!$B$11:$B$310)+COUNTA(条幅!$B$11:$B$310)+COUNTA(条幅4分の1!$B$11:$B$310),INDEX(条幅4分の1!$H$11:$H$310,341-COUNTA(半紙!$B$11:$B$310)-COUNTA(条幅!$B$11:$B$310)),""))))</f>
        <v/>
      </c>
      <c r="I346" s="38" t="str">
        <f>IF(IF(341&lt;=COUNTA(半紙!$B$11:$B$310),INDEX(半紙!$I$11:$I$310,341),IF(341&lt;=COUNTA(半紙!$B$11:$B$310)+COUNTA(条幅!$B$11:$B$310),INDEX(条幅!$I$11:$I$310,341-COUNTA(半紙!$B$11:$B$310)),IF(341&lt;=COUNTA(半紙!$B$11:$B$310)+COUNTA(条幅!$B$11:$B$310)+COUNTA(条幅4分の1!$B$11:$B$310),INDEX(条幅4分の1!$I$11:$I$310,341-COUNTA(半紙!$B$11:$B$310)-COUNTA(条幅!$B$11:$B$310)),"")))=0,"",IF(341&lt;=COUNTA(半紙!$B$11:$B$310),INDEX(半紙!$I$11:$I$310,341),IF(341&lt;=COUNTA(半紙!$B$11:$B$310)+COUNTA(条幅!$B$11:$B$310),INDEX(条幅!$I$11:$I$310,341-COUNTA(半紙!$B$11:$B$310)),IF(341&lt;=COUNTA(半紙!$B$11:$B$310)+COUNTA(条幅!$B$11:$B$310)+COUNTA(条幅4分の1!$B$11:$B$310),INDEX(条幅4分の1!$I$11:$I$310,341-COUNTA(半紙!$B$11:$B$310)-COUNTA(条幅!$B$11:$B$310)),""))))</f>
        <v/>
      </c>
      <c r="J346" s="38" t="str">
        <f>IF(IF(341&lt;=COUNTA(半紙!$B$11:$B$310),INDEX(半紙!$J$11:$J$310,341),IF(341&lt;=COUNTA(半紙!$B$11:$B$310)+COUNTA(条幅!$B$11:$B$310),INDEX(条幅!$J$11:$J$310,341-COUNTA(半紙!$B$11:$B$310)),IF(341&lt;=COUNTA(半紙!$B$11:$B$310)+COUNTA(条幅!$B$11:$B$310)+COUNTA(条幅4分の1!$B$11:$B$310),INDEX(条幅4分の1!$J$11:$J$310,341-COUNTA(半紙!$B$11:$B$310)-COUNTA(条幅!$B$11:$B$310)),"")))=0,"",IF(341&lt;=COUNTA(半紙!$B$11:$B$310),INDEX(半紙!$J$11:$J$310,341),IF(341&lt;=COUNTA(半紙!$B$11:$B$310)+COUNTA(条幅!$B$11:$B$310),INDEX(条幅!$J$11:$J$310,341-COUNTA(半紙!$B$11:$B$310)),IF(341&lt;=COUNTA(半紙!$B$11:$B$310)+COUNTA(条幅!$B$11:$B$310)+COUNTA(条幅4分の1!$B$11:$B$310),INDEX(条幅4分の1!$J$11:$J$310,341-COUNTA(半紙!$B$11:$B$310)-COUNTA(条幅!$B$11:$B$310)),""))))</f>
        <v/>
      </c>
      <c r="K346" s="38" t="str">
        <f>IF(IF(341&lt;=COUNTA(半紙!$B$11:$B$310),INDEX(半紙!$K$11:$K$310,341),IF(341&lt;=COUNTA(半紙!$B$11:$B$310)+COUNTA(条幅!$B$11:$B$310),INDEX(条幅!$K$11:$K$310,341-COUNTA(半紙!$B$11:$B$310)),IF(341&lt;=COUNTA(半紙!$B$11:$B$310)+COUNTA(条幅!$B$11:$B$310)+COUNTA(条幅4分の1!$B$11:$B$310),INDEX(条幅4分の1!$K$11:$K$310,341-COUNTA(半紙!$B$11:$B$310)-COUNTA(条幅!$B$11:$B$310)),"")))=0,"",IF(341&lt;=COUNTA(半紙!$B$11:$B$310),INDEX(半紙!$K$11:$K$310,341),IF(341&lt;=COUNTA(半紙!$B$11:$B$310)+COUNTA(条幅!$B$11:$B$310),INDEX(条幅!$K$11:$K$310,341-COUNTA(半紙!$B$11:$B$310)),IF(341&lt;=COUNTA(半紙!$B$11:$B$310)+COUNTA(条幅!$B$11:$B$310)+COUNTA(条幅4分の1!$B$11:$B$310),INDEX(条幅4分の1!$K$11:$K$310,341-COUNTA(半紙!$B$11:$B$310)-COUNTA(条幅!$B$11:$B$310)),""))))</f>
        <v/>
      </c>
      <c r="L346" s="48" t="str">
        <f>IF($B346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341))</f>
        <v/>
      </c>
    </row>
    <row r="347" spans="1:12" ht="15" customHeight="1">
      <c r="A347" s="37" t="str">
        <f>IF(342&lt;=COUNTA(半紙!$B$11:$B$310),"半紙",IF(342&lt;=COUNTA(半紙!$B$11:$B$310)+COUNTA(条幅!$B$11:$B$310),"条幅(半切)",IF(342&lt;=COUNTA(半紙!$B$11:$B$310)+COUNTA(条幅!$B$11:$B$310)+COUNTA(条幅4分の1!$B$11:$B$310),"条幅(1/4)","")))</f>
        <v/>
      </c>
      <c r="B347" s="38" t="str">
        <f>IF(IF(342&lt;=COUNTA(半紙!$B$11:$B$310),INDEX(半紙!$B$11:$B$310,342),IF(342&lt;=COUNTA(半紙!$B$11:$B$310)+COUNTA(条幅!$B$11:$B$310),INDEX(条幅!$B$11:$B$310,342-COUNTA(半紙!$B$11:$B$310)),IF(342&lt;=COUNTA(半紙!$B$11:$B$310)+COUNTA(条幅!$B$11:$B$310)+COUNTA(条幅4分の1!$B$11:$B$310),INDEX(条幅4分の1!$B$11:$B$310,342-COUNTA(半紙!$B$11:$B$310)-COUNTA(条幅!$B$11:$B$310)),"")))=0,"",IF(342&lt;=COUNTA(半紙!$B$11:$B$310),INDEX(半紙!$B$11:$B$310,342),IF(342&lt;=COUNTA(半紙!$B$11:$B$310)+COUNTA(条幅!$B$11:$B$310),INDEX(条幅!$B$11:$B$310,342-COUNTA(半紙!$B$11:$B$310)),IF(342&lt;=COUNTA(半紙!$B$11:$B$310)+COUNTA(条幅!$B$11:$B$310)+COUNTA(条幅4分の1!$B$11:$B$310),INDEX(条幅4分の1!$B$11:$B$310,342-COUNTA(半紙!$B$11:$B$310)-COUNTA(条幅!$B$11:$B$310)),""))))</f>
        <v/>
      </c>
      <c r="C347" s="38" t="str">
        <f>IF(IF(342&lt;=COUNTA(半紙!$B$11:$B$310),INDEX(半紙!$C$11:$C$310,342),IF(342&lt;=COUNTA(半紙!$B$11:$B$310)+COUNTA(条幅!$B$11:$B$310),INDEX(条幅!$C$11:$C$310,342-COUNTA(半紙!$B$11:$B$310)),IF(342&lt;=COUNTA(半紙!$B$11:$B$310)+COUNTA(条幅!$B$11:$B$310)+COUNTA(条幅4分の1!$B$11:$B$310),INDEX(条幅4分の1!$C$11:$C$310,342-COUNTA(半紙!$B$11:$B$310)-COUNTA(条幅!$B$11:$B$310)),"")))=0,"",IF(342&lt;=COUNTA(半紙!$B$11:$B$310),INDEX(半紙!$C$11:$C$310,342),IF(342&lt;=COUNTA(半紙!$B$11:$B$310)+COUNTA(条幅!$B$11:$B$310),INDEX(条幅!$C$11:$C$310,342-COUNTA(半紙!$B$11:$B$310)),IF(342&lt;=COUNTA(半紙!$B$11:$B$310)+COUNTA(条幅!$B$11:$B$310)+COUNTA(条幅4分の1!$B$11:$B$310),INDEX(条幅4分の1!$C$11:$C$310,342-COUNTA(半紙!$B$11:$B$310)-COUNTA(条幅!$B$11:$B$310)),""))))</f>
        <v/>
      </c>
      <c r="D347" s="38" t="str">
        <f>IF(IF(342&lt;=COUNTA(半紙!$B$11:$B$310),INDEX(半紙!$D$11:$D$310,342),IF(342&lt;=COUNTA(半紙!$B$11:$B$310)+COUNTA(条幅!$B$11:$B$310),INDEX(条幅!$D$11:$D$310,342-COUNTA(半紙!$B$11:$B$310)),IF(342&lt;=COUNTA(半紙!$B$11:$B$310)+COUNTA(条幅!$B$11:$B$310)+COUNTA(条幅4分の1!$B$11:$B$310),INDEX(条幅4分の1!$D$11:$D$310,342-COUNTA(半紙!$B$11:$B$310)-COUNTA(条幅!$B$11:$B$310)),"")))=0,"",IF(342&lt;=COUNTA(半紙!$B$11:$B$310),INDEX(半紙!$D$11:$D$310,342),IF(342&lt;=COUNTA(半紙!$B$11:$B$310)+COUNTA(条幅!$B$11:$B$310),INDEX(条幅!$D$11:$D$310,342-COUNTA(半紙!$B$11:$B$310)),IF(342&lt;=COUNTA(半紙!$B$11:$B$310)+COUNTA(条幅!$B$11:$B$310)+COUNTA(条幅4分の1!$B$11:$B$310),INDEX(条幅4分の1!$D$11:$D$310,342-COUNTA(半紙!$B$11:$B$310)-COUNTA(条幅!$B$11:$B$310)),""))))</f>
        <v/>
      </c>
      <c r="E347" s="38" t="str">
        <f>IF(IF(342&lt;=COUNTA(半紙!$B$11:$B$310),INDEX(半紙!$E$11:$E$310,342),IF(342&lt;=COUNTA(半紙!$B$11:$B$310)+COUNTA(条幅!$B$11:$B$310),INDEX(条幅!$E$11:$E$310,342-COUNTA(半紙!$B$11:$B$310)),IF(342&lt;=COUNTA(半紙!$B$11:$B$310)+COUNTA(条幅!$B$11:$B$310)+COUNTA(条幅4分の1!$B$11:$B$310),INDEX(条幅4分の1!$E$11:$E$310,342-COUNTA(半紙!$B$11:$B$310)-COUNTA(条幅!$B$11:$B$310)),"")))=0,"",IF(342&lt;=COUNTA(半紙!$B$11:$B$310),INDEX(半紙!$E$11:$E$310,342),IF(342&lt;=COUNTA(半紙!$B$11:$B$310)+COUNTA(条幅!$B$11:$B$310),INDEX(条幅!$E$11:$E$310,342-COUNTA(半紙!$B$11:$B$310)),IF(342&lt;=COUNTA(半紙!$B$11:$B$310)+COUNTA(条幅!$B$11:$B$310)+COUNTA(条幅4分の1!$B$11:$B$310),INDEX(条幅4分の1!$E$11:$E$310,342-COUNTA(半紙!$B$11:$B$310)-COUNTA(条幅!$B$11:$B$310)),""))))</f>
        <v/>
      </c>
      <c r="F347" s="38" t="str">
        <f>IF(IF(342&lt;=COUNTA(半紙!$B$11:$B$310),INDEX(半紙!$F$11:$F$310,342),IF(342&lt;=COUNTA(半紙!$B$11:$B$310)+COUNTA(条幅!$B$11:$B$310),INDEX(条幅!$F$11:$F$310,342-COUNTA(半紙!$B$11:$B$310)),IF(342&lt;=COUNTA(半紙!$B$11:$B$310)+COUNTA(条幅!$B$11:$B$310)+COUNTA(条幅4分の1!$B$11:$B$310),INDEX(条幅4分の1!$F$11:$F$310,342-COUNTA(半紙!$B$11:$B$310)-COUNTA(条幅!$B$11:$B$310)),"")))=0,"",IF(342&lt;=COUNTA(半紙!$B$11:$B$310),INDEX(半紙!$F$11:$F$310,342),IF(342&lt;=COUNTA(半紙!$B$11:$B$310)+COUNTA(条幅!$B$11:$B$310),INDEX(条幅!$F$11:$F$310,342-COUNTA(半紙!$B$11:$B$310)),IF(342&lt;=COUNTA(半紙!$B$11:$B$310)+COUNTA(条幅!$B$11:$B$310)+COUNTA(条幅4分の1!$B$11:$B$310),INDEX(条幅4分の1!$F$11:$F$310,342-COUNTA(半紙!$B$11:$B$310)-COUNTA(条幅!$B$11:$B$310)),""))))</f>
        <v/>
      </c>
      <c r="G347" s="38" t="str">
        <f>IF(IF(342&lt;=COUNTA(半紙!$B$11:$B$310),INDEX(半紙!$G$11:$G$310,342),IF(342&lt;=COUNTA(半紙!$B$11:$B$310)+COUNTA(条幅!$B$11:$B$310),INDEX(条幅!$G$11:$G$310,342-COUNTA(半紙!$B$11:$B$310)),IF(342&lt;=COUNTA(半紙!$B$11:$B$310)+COUNTA(条幅!$B$11:$B$310)+COUNTA(条幅4分の1!$B$11:$B$310),INDEX(条幅4分の1!$G$11:$G$310,342-COUNTA(半紙!$B$11:$B$310)-COUNTA(条幅!$B$11:$B$310)),"")))=0,"",IF(342&lt;=COUNTA(半紙!$B$11:$B$310),INDEX(半紙!$G$11:$G$310,342),IF(342&lt;=COUNTA(半紙!$B$11:$B$310)+COUNTA(条幅!$B$11:$B$310),INDEX(条幅!$G$11:$G$310,342-COUNTA(半紙!$B$11:$B$310)),IF(342&lt;=COUNTA(半紙!$B$11:$B$310)+COUNTA(条幅!$B$11:$B$310)+COUNTA(条幅4分の1!$B$11:$B$310),INDEX(条幅4分の1!$G$11:$G$310,342-COUNTA(半紙!$B$11:$B$310)-COUNTA(条幅!$B$11:$B$310)),""))))</f>
        <v/>
      </c>
      <c r="H347" s="38" t="str">
        <f>IF(IF(342&lt;=COUNTA(半紙!$B$11:$B$310),INDEX(半紙!$H$11:$H$310,342),IF(342&lt;=COUNTA(半紙!$B$11:$B$310)+COUNTA(条幅!$B$11:$B$310),INDEX(条幅!$H$11:$H$310,342-COUNTA(半紙!$B$11:$B$310)),IF(342&lt;=COUNTA(半紙!$B$11:$B$310)+COUNTA(条幅!$B$11:$B$310)+COUNTA(条幅4分の1!$B$11:$B$310),INDEX(条幅4分の1!$H$11:$H$310,342-COUNTA(半紙!$B$11:$B$310)-COUNTA(条幅!$B$11:$B$310)),"")))=0,"",IF(342&lt;=COUNTA(半紙!$B$11:$B$310),INDEX(半紙!$H$11:$H$310,342),IF(342&lt;=COUNTA(半紙!$B$11:$B$310)+COUNTA(条幅!$B$11:$B$310),INDEX(条幅!$H$11:$H$310,342-COUNTA(半紙!$B$11:$B$310)),IF(342&lt;=COUNTA(半紙!$B$11:$B$310)+COUNTA(条幅!$B$11:$B$310)+COUNTA(条幅4分の1!$B$11:$B$310),INDEX(条幅4分の1!$H$11:$H$310,342-COUNTA(半紙!$B$11:$B$310)-COUNTA(条幅!$B$11:$B$310)),""))))</f>
        <v/>
      </c>
      <c r="I347" s="38" t="str">
        <f>IF(IF(342&lt;=COUNTA(半紙!$B$11:$B$310),INDEX(半紙!$I$11:$I$310,342),IF(342&lt;=COUNTA(半紙!$B$11:$B$310)+COUNTA(条幅!$B$11:$B$310),INDEX(条幅!$I$11:$I$310,342-COUNTA(半紙!$B$11:$B$310)),IF(342&lt;=COUNTA(半紙!$B$11:$B$310)+COUNTA(条幅!$B$11:$B$310)+COUNTA(条幅4分の1!$B$11:$B$310),INDEX(条幅4分の1!$I$11:$I$310,342-COUNTA(半紙!$B$11:$B$310)-COUNTA(条幅!$B$11:$B$310)),"")))=0,"",IF(342&lt;=COUNTA(半紙!$B$11:$B$310),INDEX(半紙!$I$11:$I$310,342),IF(342&lt;=COUNTA(半紙!$B$11:$B$310)+COUNTA(条幅!$B$11:$B$310),INDEX(条幅!$I$11:$I$310,342-COUNTA(半紙!$B$11:$B$310)),IF(342&lt;=COUNTA(半紙!$B$11:$B$310)+COUNTA(条幅!$B$11:$B$310)+COUNTA(条幅4分の1!$B$11:$B$310),INDEX(条幅4分の1!$I$11:$I$310,342-COUNTA(半紙!$B$11:$B$310)-COUNTA(条幅!$B$11:$B$310)),""))))</f>
        <v/>
      </c>
      <c r="J347" s="38" t="str">
        <f>IF(IF(342&lt;=COUNTA(半紙!$B$11:$B$310),INDEX(半紙!$J$11:$J$310,342),IF(342&lt;=COUNTA(半紙!$B$11:$B$310)+COUNTA(条幅!$B$11:$B$310),INDEX(条幅!$J$11:$J$310,342-COUNTA(半紙!$B$11:$B$310)),IF(342&lt;=COUNTA(半紙!$B$11:$B$310)+COUNTA(条幅!$B$11:$B$310)+COUNTA(条幅4分の1!$B$11:$B$310),INDEX(条幅4分の1!$J$11:$J$310,342-COUNTA(半紙!$B$11:$B$310)-COUNTA(条幅!$B$11:$B$310)),"")))=0,"",IF(342&lt;=COUNTA(半紙!$B$11:$B$310),INDEX(半紙!$J$11:$J$310,342),IF(342&lt;=COUNTA(半紙!$B$11:$B$310)+COUNTA(条幅!$B$11:$B$310),INDEX(条幅!$J$11:$J$310,342-COUNTA(半紙!$B$11:$B$310)),IF(342&lt;=COUNTA(半紙!$B$11:$B$310)+COUNTA(条幅!$B$11:$B$310)+COUNTA(条幅4分の1!$B$11:$B$310),INDEX(条幅4分の1!$J$11:$J$310,342-COUNTA(半紙!$B$11:$B$310)-COUNTA(条幅!$B$11:$B$310)),""))))</f>
        <v/>
      </c>
      <c r="K347" s="38" t="str">
        <f>IF(IF(342&lt;=COUNTA(半紙!$B$11:$B$310),INDEX(半紙!$K$11:$K$310,342),IF(342&lt;=COUNTA(半紙!$B$11:$B$310)+COUNTA(条幅!$B$11:$B$310),INDEX(条幅!$K$11:$K$310,342-COUNTA(半紙!$B$11:$B$310)),IF(342&lt;=COUNTA(半紙!$B$11:$B$310)+COUNTA(条幅!$B$11:$B$310)+COUNTA(条幅4分の1!$B$11:$B$310),INDEX(条幅4分の1!$K$11:$K$310,342-COUNTA(半紙!$B$11:$B$310)-COUNTA(条幅!$B$11:$B$310)),"")))=0,"",IF(342&lt;=COUNTA(半紙!$B$11:$B$310),INDEX(半紙!$K$11:$K$310,342),IF(342&lt;=COUNTA(半紙!$B$11:$B$310)+COUNTA(条幅!$B$11:$B$310),INDEX(条幅!$K$11:$K$310,342-COUNTA(半紙!$B$11:$B$310)),IF(342&lt;=COUNTA(半紙!$B$11:$B$310)+COUNTA(条幅!$B$11:$B$310)+COUNTA(条幅4分の1!$B$11:$B$310),INDEX(条幅4分の1!$K$11:$K$310,342-COUNTA(半紙!$B$11:$B$310)-COUNTA(条幅!$B$11:$B$310)),""))))</f>
        <v/>
      </c>
      <c r="L347" s="48" t="str">
        <f>IF($B347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342))</f>
        <v/>
      </c>
    </row>
    <row r="348" spans="1:12" ht="15" customHeight="1">
      <c r="A348" s="37" t="str">
        <f>IF(343&lt;=COUNTA(半紙!$B$11:$B$310),"半紙",IF(343&lt;=COUNTA(半紙!$B$11:$B$310)+COUNTA(条幅!$B$11:$B$310),"条幅(半切)",IF(343&lt;=COUNTA(半紙!$B$11:$B$310)+COUNTA(条幅!$B$11:$B$310)+COUNTA(条幅4分の1!$B$11:$B$310),"条幅(1/4)","")))</f>
        <v/>
      </c>
      <c r="B348" s="38" t="str">
        <f>IF(IF(343&lt;=COUNTA(半紙!$B$11:$B$310),INDEX(半紙!$B$11:$B$310,343),IF(343&lt;=COUNTA(半紙!$B$11:$B$310)+COUNTA(条幅!$B$11:$B$310),INDEX(条幅!$B$11:$B$310,343-COUNTA(半紙!$B$11:$B$310)),IF(343&lt;=COUNTA(半紙!$B$11:$B$310)+COUNTA(条幅!$B$11:$B$310)+COUNTA(条幅4分の1!$B$11:$B$310),INDEX(条幅4分の1!$B$11:$B$310,343-COUNTA(半紙!$B$11:$B$310)-COUNTA(条幅!$B$11:$B$310)),"")))=0,"",IF(343&lt;=COUNTA(半紙!$B$11:$B$310),INDEX(半紙!$B$11:$B$310,343),IF(343&lt;=COUNTA(半紙!$B$11:$B$310)+COUNTA(条幅!$B$11:$B$310),INDEX(条幅!$B$11:$B$310,343-COUNTA(半紙!$B$11:$B$310)),IF(343&lt;=COUNTA(半紙!$B$11:$B$310)+COUNTA(条幅!$B$11:$B$310)+COUNTA(条幅4分の1!$B$11:$B$310),INDEX(条幅4分の1!$B$11:$B$310,343-COUNTA(半紙!$B$11:$B$310)-COUNTA(条幅!$B$11:$B$310)),""))))</f>
        <v/>
      </c>
      <c r="C348" s="38" t="str">
        <f>IF(IF(343&lt;=COUNTA(半紙!$B$11:$B$310),INDEX(半紙!$C$11:$C$310,343),IF(343&lt;=COUNTA(半紙!$B$11:$B$310)+COUNTA(条幅!$B$11:$B$310),INDEX(条幅!$C$11:$C$310,343-COUNTA(半紙!$B$11:$B$310)),IF(343&lt;=COUNTA(半紙!$B$11:$B$310)+COUNTA(条幅!$B$11:$B$310)+COUNTA(条幅4分の1!$B$11:$B$310),INDEX(条幅4分の1!$C$11:$C$310,343-COUNTA(半紙!$B$11:$B$310)-COUNTA(条幅!$B$11:$B$310)),"")))=0,"",IF(343&lt;=COUNTA(半紙!$B$11:$B$310),INDEX(半紙!$C$11:$C$310,343),IF(343&lt;=COUNTA(半紙!$B$11:$B$310)+COUNTA(条幅!$B$11:$B$310),INDEX(条幅!$C$11:$C$310,343-COUNTA(半紙!$B$11:$B$310)),IF(343&lt;=COUNTA(半紙!$B$11:$B$310)+COUNTA(条幅!$B$11:$B$310)+COUNTA(条幅4分の1!$B$11:$B$310),INDEX(条幅4分の1!$C$11:$C$310,343-COUNTA(半紙!$B$11:$B$310)-COUNTA(条幅!$B$11:$B$310)),""))))</f>
        <v/>
      </c>
      <c r="D348" s="38" t="str">
        <f>IF(IF(343&lt;=COUNTA(半紙!$B$11:$B$310),INDEX(半紙!$D$11:$D$310,343),IF(343&lt;=COUNTA(半紙!$B$11:$B$310)+COUNTA(条幅!$B$11:$B$310),INDEX(条幅!$D$11:$D$310,343-COUNTA(半紙!$B$11:$B$310)),IF(343&lt;=COUNTA(半紙!$B$11:$B$310)+COUNTA(条幅!$B$11:$B$310)+COUNTA(条幅4分の1!$B$11:$B$310),INDEX(条幅4分の1!$D$11:$D$310,343-COUNTA(半紙!$B$11:$B$310)-COUNTA(条幅!$B$11:$B$310)),"")))=0,"",IF(343&lt;=COUNTA(半紙!$B$11:$B$310),INDEX(半紙!$D$11:$D$310,343),IF(343&lt;=COUNTA(半紙!$B$11:$B$310)+COUNTA(条幅!$B$11:$B$310),INDEX(条幅!$D$11:$D$310,343-COUNTA(半紙!$B$11:$B$310)),IF(343&lt;=COUNTA(半紙!$B$11:$B$310)+COUNTA(条幅!$B$11:$B$310)+COUNTA(条幅4分の1!$B$11:$B$310),INDEX(条幅4分の1!$D$11:$D$310,343-COUNTA(半紙!$B$11:$B$310)-COUNTA(条幅!$B$11:$B$310)),""))))</f>
        <v/>
      </c>
      <c r="E348" s="38" t="str">
        <f>IF(IF(343&lt;=COUNTA(半紙!$B$11:$B$310),INDEX(半紙!$E$11:$E$310,343),IF(343&lt;=COUNTA(半紙!$B$11:$B$310)+COUNTA(条幅!$B$11:$B$310),INDEX(条幅!$E$11:$E$310,343-COUNTA(半紙!$B$11:$B$310)),IF(343&lt;=COUNTA(半紙!$B$11:$B$310)+COUNTA(条幅!$B$11:$B$310)+COUNTA(条幅4分の1!$B$11:$B$310),INDEX(条幅4分の1!$E$11:$E$310,343-COUNTA(半紙!$B$11:$B$310)-COUNTA(条幅!$B$11:$B$310)),"")))=0,"",IF(343&lt;=COUNTA(半紙!$B$11:$B$310),INDEX(半紙!$E$11:$E$310,343),IF(343&lt;=COUNTA(半紙!$B$11:$B$310)+COUNTA(条幅!$B$11:$B$310),INDEX(条幅!$E$11:$E$310,343-COUNTA(半紙!$B$11:$B$310)),IF(343&lt;=COUNTA(半紙!$B$11:$B$310)+COUNTA(条幅!$B$11:$B$310)+COUNTA(条幅4分の1!$B$11:$B$310),INDEX(条幅4分の1!$E$11:$E$310,343-COUNTA(半紙!$B$11:$B$310)-COUNTA(条幅!$B$11:$B$310)),""))))</f>
        <v/>
      </c>
      <c r="F348" s="38" t="str">
        <f>IF(IF(343&lt;=COUNTA(半紙!$B$11:$B$310),INDEX(半紙!$F$11:$F$310,343),IF(343&lt;=COUNTA(半紙!$B$11:$B$310)+COUNTA(条幅!$B$11:$B$310),INDEX(条幅!$F$11:$F$310,343-COUNTA(半紙!$B$11:$B$310)),IF(343&lt;=COUNTA(半紙!$B$11:$B$310)+COUNTA(条幅!$B$11:$B$310)+COUNTA(条幅4分の1!$B$11:$B$310),INDEX(条幅4分の1!$F$11:$F$310,343-COUNTA(半紙!$B$11:$B$310)-COUNTA(条幅!$B$11:$B$310)),"")))=0,"",IF(343&lt;=COUNTA(半紙!$B$11:$B$310),INDEX(半紙!$F$11:$F$310,343),IF(343&lt;=COUNTA(半紙!$B$11:$B$310)+COUNTA(条幅!$B$11:$B$310),INDEX(条幅!$F$11:$F$310,343-COUNTA(半紙!$B$11:$B$310)),IF(343&lt;=COUNTA(半紙!$B$11:$B$310)+COUNTA(条幅!$B$11:$B$310)+COUNTA(条幅4分の1!$B$11:$B$310),INDEX(条幅4分の1!$F$11:$F$310,343-COUNTA(半紙!$B$11:$B$310)-COUNTA(条幅!$B$11:$B$310)),""))))</f>
        <v/>
      </c>
      <c r="G348" s="38" t="str">
        <f>IF(IF(343&lt;=COUNTA(半紙!$B$11:$B$310),INDEX(半紙!$G$11:$G$310,343),IF(343&lt;=COUNTA(半紙!$B$11:$B$310)+COUNTA(条幅!$B$11:$B$310),INDEX(条幅!$G$11:$G$310,343-COUNTA(半紙!$B$11:$B$310)),IF(343&lt;=COUNTA(半紙!$B$11:$B$310)+COUNTA(条幅!$B$11:$B$310)+COUNTA(条幅4分の1!$B$11:$B$310),INDEX(条幅4分の1!$G$11:$G$310,343-COUNTA(半紙!$B$11:$B$310)-COUNTA(条幅!$B$11:$B$310)),"")))=0,"",IF(343&lt;=COUNTA(半紙!$B$11:$B$310),INDEX(半紙!$G$11:$G$310,343),IF(343&lt;=COUNTA(半紙!$B$11:$B$310)+COUNTA(条幅!$B$11:$B$310),INDEX(条幅!$G$11:$G$310,343-COUNTA(半紙!$B$11:$B$310)),IF(343&lt;=COUNTA(半紙!$B$11:$B$310)+COUNTA(条幅!$B$11:$B$310)+COUNTA(条幅4分の1!$B$11:$B$310),INDEX(条幅4分の1!$G$11:$G$310,343-COUNTA(半紙!$B$11:$B$310)-COUNTA(条幅!$B$11:$B$310)),""))))</f>
        <v/>
      </c>
      <c r="H348" s="38" t="str">
        <f>IF(IF(343&lt;=COUNTA(半紙!$B$11:$B$310),INDEX(半紙!$H$11:$H$310,343),IF(343&lt;=COUNTA(半紙!$B$11:$B$310)+COUNTA(条幅!$B$11:$B$310),INDEX(条幅!$H$11:$H$310,343-COUNTA(半紙!$B$11:$B$310)),IF(343&lt;=COUNTA(半紙!$B$11:$B$310)+COUNTA(条幅!$B$11:$B$310)+COUNTA(条幅4分の1!$B$11:$B$310),INDEX(条幅4分の1!$H$11:$H$310,343-COUNTA(半紙!$B$11:$B$310)-COUNTA(条幅!$B$11:$B$310)),"")))=0,"",IF(343&lt;=COUNTA(半紙!$B$11:$B$310),INDEX(半紙!$H$11:$H$310,343),IF(343&lt;=COUNTA(半紙!$B$11:$B$310)+COUNTA(条幅!$B$11:$B$310),INDEX(条幅!$H$11:$H$310,343-COUNTA(半紙!$B$11:$B$310)),IF(343&lt;=COUNTA(半紙!$B$11:$B$310)+COUNTA(条幅!$B$11:$B$310)+COUNTA(条幅4分の1!$B$11:$B$310),INDEX(条幅4分の1!$H$11:$H$310,343-COUNTA(半紙!$B$11:$B$310)-COUNTA(条幅!$B$11:$B$310)),""))))</f>
        <v/>
      </c>
      <c r="I348" s="38" t="str">
        <f>IF(IF(343&lt;=COUNTA(半紙!$B$11:$B$310),INDEX(半紙!$I$11:$I$310,343),IF(343&lt;=COUNTA(半紙!$B$11:$B$310)+COUNTA(条幅!$B$11:$B$310),INDEX(条幅!$I$11:$I$310,343-COUNTA(半紙!$B$11:$B$310)),IF(343&lt;=COUNTA(半紙!$B$11:$B$310)+COUNTA(条幅!$B$11:$B$310)+COUNTA(条幅4分の1!$B$11:$B$310),INDEX(条幅4分の1!$I$11:$I$310,343-COUNTA(半紙!$B$11:$B$310)-COUNTA(条幅!$B$11:$B$310)),"")))=0,"",IF(343&lt;=COUNTA(半紙!$B$11:$B$310),INDEX(半紙!$I$11:$I$310,343),IF(343&lt;=COUNTA(半紙!$B$11:$B$310)+COUNTA(条幅!$B$11:$B$310),INDEX(条幅!$I$11:$I$310,343-COUNTA(半紙!$B$11:$B$310)),IF(343&lt;=COUNTA(半紙!$B$11:$B$310)+COUNTA(条幅!$B$11:$B$310)+COUNTA(条幅4分の1!$B$11:$B$310),INDEX(条幅4分の1!$I$11:$I$310,343-COUNTA(半紙!$B$11:$B$310)-COUNTA(条幅!$B$11:$B$310)),""))))</f>
        <v/>
      </c>
      <c r="J348" s="38" t="str">
        <f>IF(IF(343&lt;=COUNTA(半紙!$B$11:$B$310),INDEX(半紙!$J$11:$J$310,343),IF(343&lt;=COUNTA(半紙!$B$11:$B$310)+COUNTA(条幅!$B$11:$B$310),INDEX(条幅!$J$11:$J$310,343-COUNTA(半紙!$B$11:$B$310)),IF(343&lt;=COUNTA(半紙!$B$11:$B$310)+COUNTA(条幅!$B$11:$B$310)+COUNTA(条幅4分の1!$B$11:$B$310),INDEX(条幅4分の1!$J$11:$J$310,343-COUNTA(半紙!$B$11:$B$310)-COUNTA(条幅!$B$11:$B$310)),"")))=0,"",IF(343&lt;=COUNTA(半紙!$B$11:$B$310),INDEX(半紙!$J$11:$J$310,343),IF(343&lt;=COUNTA(半紙!$B$11:$B$310)+COUNTA(条幅!$B$11:$B$310),INDEX(条幅!$J$11:$J$310,343-COUNTA(半紙!$B$11:$B$310)),IF(343&lt;=COUNTA(半紙!$B$11:$B$310)+COUNTA(条幅!$B$11:$B$310)+COUNTA(条幅4分の1!$B$11:$B$310),INDEX(条幅4分の1!$J$11:$J$310,343-COUNTA(半紙!$B$11:$B$310)-COUNTA(条幅!$B$11:$B$310)),""))))</f>
        <v/>
      </c>
      <c r="K348" s="38" t="str">
        <f>IF(IF(343&lt;=COUNTA(半紙!$B$11:$B$310),INDEX(半紙!$K$11:$K$310,343),IF(343&lt;=COUNTA(半紙!$B$11:$B$310)+COUNTA(条幅!$B$11:$B$310),INDEX(条幅!$K$11:$K$310,343-COUNTA(半紙!$B$11:$B$310)),IF(343&lt;=COUNTA(半紙!$B$11:$B$310)+COUNTA(条幅!$B$11:$B$310)+COUNTA(条幅4分の1!$B$11:$B$310),INDEX(条幅4分の1!$K$11:$K$310,343-COUNTA(半紙!$B$11:$B$310)-COUNTA(条幅!$B$11:$B$310)),"")))=0,"",IF(343&lt;=COUNTA(半紙!$B$11:$B$310),INDEX(半紙!$K$11:$K$310,343),IF(343&lt;=COUNTA(半紙!$B$11:$B$310)+COUNTA(条幅!$B$11:$B$310),INDEX(条幅!$K$11:$K$310,343-COUNTA(半紙!$B$11:$B$310)),IF(343&lt;=COUNTA(半紙!$B$11:$B$310)+COUNTA(条幅!$B$11:$B$310)+COUNTA(条幅4分の1!$B$11:$B$310),INDEX(条幅4分の1!$K$11:$K$310,343-COUNTA(半紙!$B$11:$B$310)-COUNTA(条幅!$B$11:$B$310)),""))))</f>
        <v/>
      </c>
      <c r="L348" s="48" t="str">
        <f>IF($B348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343))</f>
        <v/>
      </c>
    </row>
    <row r="349" spans="1:12" ht="15" customHeight="1">
      <c r="A349" s="37" t="str">
        <f>IF(344&lt;=COUNTA(半紙!$B$11:$B$310),"半紙",IF(344&lt;=COUNTA(半紙!$B$11:$B$310)+COUNTA(条幅!$B$11:$B$310),"条幅(半切)",IF(344&lt;=COUNTA(半紙!$B$11:$B$310)+COUNTA(条幅!$B$11:$B$310)+COUNTA(条幅4分の1!$B$11:$B$310),"条幅(1/4)","")))</f>
        <v/>
      </c>
      <c r="B349" s="38" t="str">
        <f>IF(IF(344&lt;=COUNTA(半紙!$B$11:$B$310),INDEX(半紙!$B$11:$B$310,344),IF(344&lt;=COUNTA(半紙!$B$11:$B$310)+COUNTA(条幅!$B$11:$B$310),INDEX(条幅!$B$11:$B$310,344-COUNTA(半紙!$B$11:$B$310)),IF(344&lt;=COUNTA(半紙!$B$11:$B$310)+COUNTA(条幅!$B$11:$B$310)+COUNTA(条幅4分の1!$B$11:$B$310),INDEX(条幅4分の1!$B$11:$B$310,344-COUNTA(半紙!$B$11:$B$310)-COUNTA(条幅!$B$11:$B$310)),"")))=0,"",IF(344&lt;=COUNTA(半紙!$B$11:$B$310),INDEX(半紙!$B$11:$B$310,344),IF(344&lt;=COUNTA(半紙!$B$11:$B$310)+COUNTA(条幅!$B$11:$B$310),INDEX(条幅!$B$11:$B$310,344-COUNTA(半紙!$B$11:$B$310)),IF(344&lt;=COUNTA(半紙!$B$11:$B$310)+COUNTA(条幅!$B$11:$B$310)+COUNTA(条幅4分の1!$B$11:$B$310),INDEX(条幅4分の1!$B$11:$B$310,344-COUNTA(半紙!$B$11:$B$310)-COUNTA(条幅!$B$11:$B$310)),""))))</f>
        <v/>
      </c>
      <c r="C349" s="38" t="str">
        <f>IF(IF(344&lt;=COUNTA(半紙!$B$11:$B$310),INDEX(半紙!$C$11:$C$310,344),IF(344&lt;=COUNTA(半紙!$B$11:$B$310)+COUNTA(条幅!$B$11:$B$310),INDEX(条幅!$C$11:$C$310,344-COUNTA(半紙!$B$11:$B$310)),IF(344&lt;=COUNTA(半紙!$B$11:$B$310)+COUNTA(条幅!$B$11:$B$310)+COUNTA(条幅4分の1!$B$11:$B$310),INDEX(条幅4分の1!$C$11:$C$310,344-COUNTA(半紙!$B$11:$B$310)-COUNTA(条幅!$B$11:$B$310)),"")))=0,"",IF(344&lt;=COUNTA(半紙!$B$11:$B$310),INDEX(半紙!$C$11:$C$310,344),IF(344&lt;=COUNTA(半紙!$B$11:$B$310)+COUNTA(条幅!$B$11:$B$310),INDEX(条幅!$C$11:$C$310,344-COUNTA(半紙!$B$11:$B$310)),IF(344&lt;=COUNTA(半紙!$B$11:$B$310)+COUNTA(条幅!$B$11:$B$310)+COUNTA(条幅4分の1!$B$11:$B$310),INDEX(条幅4分の1!$C$11:$C$310,344-COUNTA(半紙!$B$11:$B$310)-COUNTA(条幅!$B$11:$B$310)),""))))</f>
        <v/>
      </c>
      <c r="D349" s="38" t="str">
        <f>IF(IF(344&lt;=COUNTA(半紙!$B$11:$B$310),INDEX(半紙!$D$11:$D$310,344),IF(344&lt;=COUNTA(半紙!$B$11:$B$310)+COUNTA(条幅!$B$11:$B$310),INDEX(条幅!$D$11:$D$310,344-COUNTA(半紙!$B$11:$B$310)),IF(344&lt;=COUNTA(半紙!$B$11:$B$310)+COUNTA(条幅!$B$11:$B$310)+COUNTA(条幅4分の1!$B$11:$B$310),INDEX(条幅4分の1!$D$11:$D$310,344-COUNTA(半紙!$B$11:$B$310)-COUNTA(条幅!$B$11:$B$310)),"")))=0,"",IF(344&lt;=COUNTA(半紙!$B$11:$B$310),INDEX(半紙!$D$11:$D$310,344),IF(344&lt;=COUNTA(半紙!$B$11:$B$310)+COUNTA(条幅!$B$11:$B$310),INDEX(条幅!$D$11:$D$310,344-COUNTA(半紙!$B$11:$B$310)),IF(344&lt;=COUNTA(半紙!$B$11:$B$310)+COUNTA(条幅!$B$11:$B$310)+COUNTA(条幅4分の1!$B$11:$B$310),INDEX(条幅4分の1!$D$11:$D$310,344-COUNTA(半紙!$B$11:$B$310)-COUNTA(条幅!$B$11:$B$310)),""))))</f>
        <v/>
      </c>
      <c r="E349" s="38" t="str">
        <f>IF(IF(344&lt;=COUNTA(半紙!$B$11:$B$310),INDEX(半紙!$E$11:$E$310,344),IF(344&lt;=COUNTA(半紙!$B$11:$B$310)+COUNTA(条幅!$B$11:$B$310),INDEX(条幅!$E$11:$E$310,344-COUNTA(半紙!$B$11:$B$310)),IF(344&lt;=COUNTA(半紙!$B$11:$B$310)+COUNTA(条幅!$B$11:$B$310)+COUNTA(条幅4分の1!$B$11:$B$310),INDEX(条幅4分の1!$E$11:$E$310,344-COUNTA(半紙!$B$11:$B$310)-COUNTA(条幅!$B$11:$B$310)),"")))=0,"",IF(344&lt;=COUNTA(半紙!$B$11:$B$310),INDEX(半紙!$E$11:$E$310,344),IF(344&lt;=COUNTA(半紙!$B$11:$B$310)+COUNTA(条幅!$B$11:$B$310),INDEX(条幅!$E$11:$E$310,344-COUNTA(半紙!$B$11:$B$310)),IF(344&lt;=COUNTA(半紙!$B$11:$B$310)+COUNTA(条幅!$B$11:$B$310)+COUNTA(条幅4分の1!$B$11:$B$310),INDEX(条幅4分の1!$E$11:$E$310,344-COUNTA(半紙!$B$11:$B$310)-COUNTA(条幅!$B$11:$B$310)),""))))</f>
        <v/>
      </c>
      <c r="F349" s="38" t="str">
        <f>IF(IF(344&lt;=COUNTA(半紙!$B$11:$B$310),INDEX(半紙!$F$11:$F$310,344),IF(344&lt;=COUNTA(半紙!$B$11:$B$310)+COUNTA(条幅!$B$11:$B$310),INDEX(条幅!$F$11:$F$310,344-COUNTA(半紙!$B$11:$B$310)),IF(344&lt;=COUNTA(半紙!$B$11:$B$310)+COUNTA(条幅!$B$11:$B$310)+COUNTA(条幅4分の1!$B$11:$B$310),INDEX(条幅4分の1!$F$11:$F$310,344-COUNTA(半紙!$B$11:$B$310)-COUNTA(条幅!$B$11:$B$310)),"")))=0,"",IF(344&lt;=COUNTA(半紙!$B$11:$B$310),INDEX(半紙!$F$11:$F$310,344),IF(344&lt;=COUNTA(半紙!$B$11:$B$310)+COUNTA(条幅!$B$11:$B$310),INDEX(条幅!$F$11:$F$310,344-COUNTA(半紙!$B$11:$B$310)),IF(344&lt;=COUNTA(半紙!$B$11:$B$310)+COUNTA(条幅!$B$11:$B$310)+COUNTA(条幅4分の1!$B$11:$B$310),INDEX(条幅4分の1!$F$11:$F$310,344-COUNTA(半紙!$B$11:$B$310)-COUNTA(条幅!$B$11:$B$310)),""))))</f>
        <v/>
      </c>
      <c r="G349" s="38" t="str">
        <f>IF(IF(344&lt;=COUNTA(半紙!$B$11:$B$310),INDEX(半紙!$G$11:$G$310,344),IF(344&lt;=COUNTA(半紙!$B$11:$B$310)+COUNTA(条幅!$B$11:$B$310),INDEX(条幅!$G$11:$G$310,344-COUNTA(半紙!$B$11:$B$310)),IF(344&lt;=COUNTA(半紙!$B$11:$B$310)+COUNTA(条幅!$B$11:$B$310)+COUNTA(条幅4分の1!$B$11:$B$310),INDEX(条幅4分の1!$G$11:$G$310,344-COUNTA(半紙!$B$11:$B$310)-COUNTA(条幅!$B$11:$B$310)),"")))=0,"",IF(344&lt;=COUNTA(半紙!$B$11:$B$310),INDEX(半紙!$G$11:$G$310,344),IF(344&lt;=COUNTA(半紙!$B$11:$B$310)+COUNTA(条幅!$B$11:$B$310),INDEX(条幅!$G$11:$G$310,344-COUNTA(半紙!$B$11:$B$310)),IF(344&lt;=COUNTA(半紙!$B$11:$B$310)+COUNTA(条幅!$B$11:$B$310)+COUNTA(条幅4分の1!$B$11:$B$310),INDEX(条幅4分の1!$G$11:$G$310,344-COUNTA(半紙!$B$11:$B$310)-COUNTA(条幅!$B$11:$B$310)),""))))</f>
        <v/>
      </c>
      <c r="H349" s="38" t="str">
        <f>IF(IF(344&lt;=COUNTA(半紙!$B$11:$B$310),INDEX(半紙!$H$11:$H$310,344),IF(344&lt;=COUNTA(半紙!$B$11:$B$310)+COUNTA(条幅!$B$11:$B$310),INDEX(条幅!$H$11:$H$310,344-COUNTA(半紙!$B$11:$B$310)),IF(344&lt;=COUNTA(半紙!$B$11:$B$310)+COUNTA(条幅!$B$11:$B$310)+COUNTA(条幅4分の1!$B$11:$B$310),INDEX(条幅4分の1!$H$11:$H$310,344-COUNTA(半紙!$B$11:$B$310)-COUNTA(条幅!$B$11:$B$310)),"")))=0,"",IF(344&lt;=COUNTA(半紙!$B$11:$B$310),INDEX(半紙!$H$11:$H$310,344),IF(344&lt;=COUNTA(半紙!$B$11:$B$310)+COUNTA(条幅!$B$11:$B$310),INDEX(条幅!$H$11:$H$310,344-COUNTA(半紙!$B$11:$B$310)),IF(344&lt;=COUNTA(半紙!$B$11:$B$310)+COUNTA(条幅!$B$11:$B$310)+COUNTA(条幅4分の1!$B$11:$B$310),INDEX(条幅4分の1!$H$11:$H$310,344-COUNTA(半紙!$B$11:$B$310)-COUNTA(条幅!$B$11:$B$310)),""))))</f>
        <v/>
      </c>
      <c r="I349" s="38" t="str">
        <f>IF(IF(344&lt;=COUNTA(半紙!$B$11:$B$310),INDEX(半紙!$I$11:$I$310,344),IF(344&lt;=COUNTA(半紙!$B$11:$B$310)+COUNTA(条幅!$B$11:$B$310),INDEX(条幅!$I$11:$I$310,344-COUNTA(半紙!$B$11:$B$310)),IF(344&lt;=COUNTA(半紙!$B$11:$B$310)+COUNTA(条幅!$B$11:$B$310)+COUNTA(条幅4分の1!$B$11:$B$310),INDEX(条幅4分の1!$I$11:$I$310,344-COUNTA(半紙!$B$11:$B$310)-COUNTA(条幅!$B$11:$B$310)),"")))=0,"",IF(344&lt;=COUNTA(半紙!$B$11:$B$310),INDEX(半紙!$I$11:$I$310,344),IF(344&lt;=COUNTA(半紙!$B$11:$B$310)+COUNTA(条幅!$B$11:$B$310),INDEX(条幅!$I$11:$I$310,344-COUNTA(半紙!$B$11:$B$310)),IF(344&lt;=COUNTA(半紙!$B$11:$B$310)+COUNTA(条幅!$B$11:$B$310)+COUNTA(条幅4分の1!$B$11:$B$310),INDEX(条幅4分の1!$I$11:$I$310,344-COUNTA(半紙!$B$11:$B$310)-COUNTA(条幅!$B$11:$B$310)),""))))</f>
        <v/>
      </c>
      <c r="J349" s="38" t="str">
        <f>IF(IF(344&lt;=COUNTA(半紙!$B$11:$B$310),INDEX(半紙!$J$11:$J$310,344),IF(344&lt;=COUNTA(半紙!$B$11:$B$310)+COUNTA(条幅!$B$11:$B$310),INDEX(条幅!$J$11:$J$310,344-COUNTA(半紙!$B$11:$B$310)),IF(344&lt;=COUNTA(半紙!$B$11:$B$310)+COUNTA(条幅!$B$11:$B$310)+COUNTA(条幅4分の1!$B$11:$B$310),INDEX(条幅4分の1!$J$11:$J$310,344-COUNTA(半紙!$B$11:$B$310)-COUNTA(条幅!$B$11:$B$310)),"")))=0,"",IF(344&lt;=COUNTA(半紙!$B$11:$B$310),INDEX(半紙!$J$11:$J$310,344),IF(344&lt;=COUNTA(半紙!$B$11:$B$310)+COUNTA(条幅!$B$11:$B$310),INDEX(条幅!$J$11:$J$310,344-COUNTA(半紙!$B$11:$B$310)),IF(344&lt;=COUNTA(半紙!$B$11:$B$310)+COUNTA(条幅!$B$11:$B$310)+COUNTA(条幅4分の1!$B$11:$B$310),INDEX(条幅4分の1!$J$11:$J$310,344-COUNTA(半紙!$B$11:$B$310)-COUNTA(条幅!$B$11:$B$310)),""))))</f>
        <v/>
      </c>
      <c r="K349" s="38" t="str">
        <f>IF(IF(344&lt;=COUNTA(半紙!$B$11:$B$310),INDEX(半紙!$K$11:$K$310,344),IF(344&lt;=COUNTA(半紙!$B$11:$B$310)+COUNTA(条幅!$B$11:$B$310),INDEX(条幅!$K$11:$K$310,344-COUNTA(半紙!$B$11:$B$310)),IF(344&lt;=COUNTA(半紙!$B$11:$B$310)+COUNTA(条幅!$B$11:$B$310)+COUNTA(条幅4分の1!$B$11:$B$310),INDEX(条幅4分の1!$K$11:$K$310,344-COUNTA(半紙!$B$11:$B$310)-COUNTA(条幅!$B$11:$B$310)),"")))=0,"",IF(344&lt;=COUNTA(半紙!$B$11:$B$310),INDEX(半紙!$K$11:$K$310,344),IF(344&lt;=COUNTA(半紙!$B$11:$B$310)+COUNTA(条幅!$B$11:$B$310),INDEX(条幅!$K$11:$K$310,344-COUNTA(半紙!$B$11:$B$310)),IF(344&lt;=COUNTA(半紙!$B$11:$B$310)+COUNTA(条幅!$B$11:$B$310)+COUNTA(条幅4分の1!$B$11:$B$310),INDEX(条幅4分の1!$K$11:$K$310,344-COUNTA(半紙!$B$11:$B$310)-COUNTA(条幅!$B$11:$B$310)),""))))</f>
        <v/>
      </c>
      <c r="L349" s="48" t="str">
        <f>IF($B349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344))</f>
        <v/>
      </c>
    </row>
    <row r="350" spans="1:12" ht="15" customHeight="1">
      <c r="A350" s="37" t="str">
        <f>IF(345&lt;=COUNTA(半紙!$B$11:$B$310),"半紙",IF(345&lt;=COUNTA(半紙!$B$11:$B$310)+COUNTA(条幅!$B$11:$B$310),"条幅(半切)",IF(345&lt;=COUNTA(半紙!$B$11:$B$310)+COUNTA(条幅!$B$11:$B$310)+COUNTA(条幅4分の1!$B$11:$B$310),"条幅(1/4)","")))</f>
        <v/>
      </c>
      <c r="B350" s="38" t="str">
        <f>IF(IF(345&lt;=COUNTA(半紙!$B$11:$B$310),INDEX(半紙!$B$11:$B$310,345),IF(345&lt;=COUNTA(半紙!$B$11:$B$310)+COUNTA(条幅!$B$11:$B$310),INDEX(条幅!$B$11:$B$310,345-COUNTA(半紙!$B$11:$B$310)),IF(345&lt;=COUNTA(半紙!$B$11:$B$310)+COUNTA(条幅!$B$11:$B$310)+COUNTA(条幅4分の1!$B$11:$B$310),INDEX(条幅4分の1!$B$11:$B$310,345-COUNTA(半紙!$B$11:$B$310)-COUNTA(条幅!$B$11:$B$310)),"")))=0,"",IF(345&lt;=COUNTA(半紙!$B$11:$B$310),INDEX(半紙!$B$11:$B$310,345),IF(345&lt;=COUNTA(半紙!$B$11:$B$310)+COUNTA(条幅!$B$11:$B$310),INDEX(条幅!$B$11:$B$310,345-COUNTA(半紙!$B$11:$B$310)),IF(345&lt;=COUNTA(半紙!$B$11:$B$310)+COUNTA(条幅!$B$11:$B$310)+COUNTA(条幅4分の1!$B$11:$B$310),INDEX(条幅4分の1!$B$11:$B$310,345-COUNTA(半紙!$B$11:$B$310)-COUNTA(条幅!$B$11:$B$310)),""))))</f>
        <v/>
      </c>
      <c r="C350" s="38" t="str">
        <f>IF(IF(345&lt;=COUNTA(半紙!$B$11:$B$310),INDEX(半紙!$C$11:$C$310,345),IF(345&lt;=COUNTA(半紙!$B$11:$B$310)+COUNTA(条幅!$B$11:$B$310),INDEX(条幅!$C$11:$C$310,345-COUNTA(半紙!$B$11:$B$310)),IF(345&lt;=COUNTA(半紙!$B$11:$B$310)+COUNTA(条幅!$B$11:$B$310)+COUNTA(条幅4分の1!$B$11:$B$310),INDEX(条幅4分の1!$C$11:$C$310,345-COUNTA(半紙!$B$11:$B$310)-COUNTA(条幅!$B$11:$B$310)),"")))=0,"",IF(345&lt;=COUNTA(半紙!$B$11:$B$310),INDEX(半紙!$C$11:$C$310,345),IF(345&lt;=COUNTA(半紙!$B$11:$B$310)+COUNTA(条幅!$B$11:$B$310),INDEX(条幅!$C$11:$C$310,345-COUNTA(半紙!$B$11:$B$310)),IF(345&lt;=COUNTA(半紙!$B$11:$B$310)+COUNTA(条幅!$B$11:$B$310)+COUNTA(条幅4分の1!$B$11:$B$310),INDEX(条幅4分の1!$C$11:$C$310,345-COUNTA(半紙!$B$11:$B$310)-COUNTA(条幅!$B$11:$B$310)),""))))</f>
        <v/>
      </c>
      <c r="D350" s="38" t="str">
        <f>IF(IF(345&lt;=COUNTA(半紙!$B$11:$B$310),INDEX(半紙!$D$11:$D$310,345),IF(345&lt;=COUNTA(半紙!$B$11:$B$310)+COUNTA(条幅!$B$11:$B$310),INDEX(条幅!$D$11:$D$310,345-COUNTA(半紙!$B$11:$B$310)),IF(345&lt;=COUNTA(半紙!$B$11:$B$310)+COUNTA(条幅!$B$11:$B$310)+COUNTA(条幅4分の1!$B$11:$B$310),INDEX(条幅4分の1!$D$11:$D$310,345-COUNTA(半紙!$B$11:$B$310)-COUNTA(条幅!$B$11:$B$310)),"")))=0,"",IF(345&lt;=COUNTA(半紙!$B$11:$B$310),INDEX(半紙!$D$11:$D$310,345),IF(345&lt;=COUNTA(半紙!$B$11:$B$310)+COUNTA(条幅!$B$11:$B$310),INDEX(条幅!$D$11:$D$310,345-COUNTA(半紙!$B$11:$B$310)),IF(345&lt;=COUNTA(半紙!$B$11:$B$310)+COUNTA(条幅!$B$11:$B$310)+COUNTA(条幅4分の1!$B$11:$B$310),INDEX(条幅4分の1!$D$11:$D$310,345-COUNTA(半紙!$B$11:$B$310)-COUNTA(条幅!$B$11:$B$310)),""))))</f>
        <v/>
      </c>
      <c r="E350" s="38" t="str">
        <f>IF(IF(345&lt;=COUNTA(半紙!$B$11:$B$310),INDEX(半紙!$E$11:$E$310,345),IF(345&lt;=COUNTA(半紙!$B$11:$B$310)+COUNTA(条幅!$B$11:$B$310),INDEX(条幅!$E$11:$E$310,345-COUNTA(半紙!$B$11:$B$310)),IF(345&lt;=COUNTA(半紙!$B$11:$B$310)+COUNTA(条幅!$B$11:$B$310)+COUNTA(条幅4分の1!$B$11:$B$310),INDEX(条幅4分の1!$E$11:$E$310,345-COUNTA(半紙!$B$11:$B$310)-COUNTA(条幅!$B$11:$B$310)),"")))=0,"",IF(345&lt;=COUNTA(半紙!$B$11:$B$310),INDEX(半紙!$E$11:$E$310,345),IF(345&lt;=COUNTA(半紙!$B$11:$B$310)+COUNTA(条幅!$B$11:$B$310),INDEX(条幅!$E$11:$E$310,345-COUNTA(半紙!$B$11:$B$310)),IF(345&lt;=COUNTA(半紙!$B$11:$B$310)+COUNTA(条幅!$B$11:$B$310)+COUNTA(条幅4分の1!$B$11:$B$310),INDEX(条幅4分の1!$E$11:$E$310,345-COUNTA(半紙!$B$11:$B$310)-COUNTA(条幅!$B$11:$B$310)),""))))</f>
        <v/>
      </c>
      <c r="F350" s="38" t="str">
        <f>IF(IF(345&lt;=COUNTA(半紙!$B$11:$B$310),INDEX(半紙!$F$11:$F$310,345),IF(345&lt;=COUNTA(半紙!$B$11:$B$310)+COUNTA(条幅!$B$11:$B$310),INDEX(条幅!$F$11:$F$310,345-COUNTA(半紙!$B$11:$B$310)),IF(345&lt;=COUNTA(半紙!$B$11:$B$310)+COUNTA(条幅!$B$11:$B$310)+COUNTA(条幅4分の1!$B$11:$B$310),INDEX(条幅4分の1!$F$11:$F$310,345-COUNTA(半紙!$B$11:$B$310)-COUNTA(条幅!$B$11:$B$310)),"")))=0,"",IF(345&lt;=COUNTA(半紙!$B$11:$B$310),INDEX(半紙!$F$11:$F$310,345),IF(345&lt;=COUNTA(半紙!$B$11:$B$310)+COUNTA(条幅!$B$11:$B$310),INDEX(条幅!$F$11:$F$310,345-COUNTA(半紙!$B$11:$B$310)),IF(345&lt;=COUNTA(半紙!$B$11:$B$310)+COUNTA(条幅!$B$11:$B$310)+COUNTA(条幅4分の1!$B$11:$B$310),INDEX(条幅4分の1!$F$11:$F$310,345-COUNTA(半紙!$B$11:$B$310)-COUNTA(条幅!$B$11:$B$310)),""))))</f>
        <v/>
      </c>
      <c r="G350" s="38" t="str">
        <f>IF(IF(345&lt;=COUNTA(半紙!$B$11:$B$310),INDEX(半紙!$G$11:$G$310,345),IF(345&lt;=COUNTA(半紙!$B$11:$B$310)+COUNTA(条幅!$B$11:$B$310),INDEX(条幅!$G$11:$G$310,345-COUNTA(半紙!$B$11:$B$310)),IF(345&lt;=COUNTA(半紙!$B$11:$B$310)+COUNTA(条幅!$B$11:$B$310)+COUNTA(条幅4分の1!$B$11:$B$310),INDEX(条幅4分の1!$G$11:$G$310,345-COUNTA(半紙!$B$11:$B$310)-COUNTA(条幅!$B$11:$B$310)),"")))=0,"",IF(345&lt;=COUNTA(半紙!$B$11:$B$310),INDEX(半紙!$G$11:$G$310,345),IF(345&lt;=COUNTA(半紙!$B$11:$B$310)+COUNTA(条幅!$B$11:$B$310),INDEX(条幅!$G$11:$G$310,345-COUNTA(半紙!$B$11:$B$310)),IF(345&lt;=COUNTA(半紙!$B$11:$B$310)+COUNTA(条幅!$B$11:$B$310)+COUNTA(条幅4分の1!$B$11:$B$310),INDEX(条幅4分の1!$G$11:$G$310,345-COUNTA(半紙!$B$11:$B$310)-COUNTA(条幅!$B$11:$B$310)),""))))</f>
        <v/>
      </c>
      <c r="H350" s="38" t="str">
        <f>IF(IF(345&lt;=COUNTA(半紙!$B$11:$B$310),INDEX(半紙!$H$11:$H$310,345),IF(345&lt;=COUNTA(半紙!$B$11:$B$310)+COUNTA(条幅!$B$11:$B$310),INDEX(条幅!$H$11:$H$310,345-COUNTA(半紙!$B$11:$B$310)),IF(345&lt;=COUNTA(半紙!$B$11:$B$310)+COUNTA(条幅!$B$11:$B$310)+COUNTA(条幅4分の1!$B$11:$B$310),INDEX(条幅4分の1!$H$11:$H$310,345-COUNTA(半紙!$B$11:$B$310)-COUNTA(条幅!$B$11:$B$310)),"")))=0,"",IF(345&lt;=COUNTA(半紙!$B$11:$B$310),INDEX(半紙!$H$11:$H$310,345),IF(345&lt;=COUNTA(半紙!$B$11:$B$310)+COUNTA(条幅!$B$11:$B$310),INDEX(条幅!$H$11:$H$310,345-COUNTA(半紙!$B$11:$B$310)),IF(345&lt;=COUNTA(半紙!$B$11:$B$310)+COUNTA(条幅!$B$11:$B$310)+COUNTA(条幅4分の1!$B$11:$B$310),INDEX(条幅4分の1!$H$11:$H$310,345-COUNTA(半紙!$B$11:$B$310)-COUNTA(条幅!$B$11:$B$310)),""))))</f>
        <v/>
      </c>
      <c r="I350" s="38" t="str">
        <f>IF(IF(345&lt;=COUNTA(半紙!$B$11:$B$310),INDEX(半紙!$I$11:$I$310,345),IF(345&lt;=COUNTA(半紙!$B$11:$B$310)+COUNTA(条幅!$B$11:$B$310),INDEX(条幅!$I$11:$I$310,345-COUNTA(半紙!$B$11:$B$310)),IF(345&lt;=COUNTA(半紙!$B$11:$B$310)+COUNTA(条幅!$B$11:$B$310)+COUNTA(条幅4分の1!$B$11:$B$310),INDEX(条幅4分の1!$I$11:$I$310,345-COUNTA(半紙!$B$11:$B$310)-COUNTA(条幅!$B$11:$B$310)),"")))=0,"",IF(345&lt;=COUNTA(半紙!$B$11:$B$310),INDEX(半紙!$I$11:$I$310,345),IF(345&lt;=COUNTA(半紙!$B$11:$B$310)+COUNTA(条幅!$B$11:$B$310),INDEX(条幅!$I$11:$I$310,345-COUNTA(半紙!$B$11:$B$310)),IF(345&lt;=COUNTA(半紙!$B$11:$B$310)+COUNTA(条幅!$B$11:$B$310)+COUNTA(条幅4分の1!$B$11:$B$310),INDEX(条幅4分の1!$I$11:$I$310,345-COUNTA(半紙!$B$11:$B$310)-COUNTA(条幅!$B$11:$B$310)),""))))</f>
        <v/>
      </c>
      <c r="J350" s="38" t="str">
        <f>IF(IF(345&lt;=COUNTA(半紙!$B$11:$B$310),INDEX(半紙!$J$11:$J$310,345),IF(345&lt;=COUNTA(半紙!$B$11:$B$310)+COUNTA(条幅!$B$11:$B$310),INDEX(条幅!$J$11:$J$310,345-COUNTA(半紙!$B$11:$B$310)),IF(345&lt;=COUNTA(半紙!$B$11:$B$310)+COUNTA(条幅!$B$11:$B$310)+COUNTA(条幅4分の1!$B$11:$B$310),INDEX(条幅4分の1!$J$11:$J$310,345-COUNTA(半紙!$B$11:$B$310)-COUNTA(条幅!$B$11:$B$310)),"")))=0,"",IF(345&lt;=COUNTA(半紙!$B$11:$B$310),INDEX(半紙!$J$11:$J$310,345),IF(345&lt;=COUNTA(半紙!$B$11:$B$310)+COUNTA(条幅!$B$11:$B$310),INDEX(条幅!$J$11:$J$310,345-COUNTA(半紙!$B$11:$B$310)),IF(345&lt;=COUNTA(半紙!$B$11:$B$310)+COUNTA(条幅!$B$11:$B$310)+COUNTA(条幅4分の1!$B$11:$B$310),INDEX(条幅4分の1!$J$11:$J$310,345-COUNTA(半紙!$B$11:$B$310)-COUNTA(条幅!$B$11:$B$310)),""))))</f>
        <v/>
      </c>
      <c r="K350" s="38" t="str">
        <f>IF(IF(345&lt;=COUNTA(半紙!$B$11:$B$310),INDEX(半紙!$K$11:$K$310,345),IF(345&lt;=COUNTA(半紙!$B$11:$B$310)+COUNTA(条幅!$B$11:$B$310),INDEX(条幅!$K$11:$K$310,345-COUNTA(半紙!$B$11:$B$310)),IF(345&lt;=COUNTA(半紙!$B$11:$B$310)+COUNTA(条幅!$B$11:$B$310)+COUNTA(条幅4分の1!$B$11:$B$310),INDEX(条幅4分の1!$K$11:$K$310,345-COUNTA(半紙!$B$11:$B$310)-COUNTA(条幅!$B$11:$B$310)),"")))=0,"",IF(345&lt;=COUNTA(半紙!$B$11:$B$310),INDEX(半紙!$K$11:$K$310,345),IF(345&lt;=COUNTA(半紙!$B$11:$B$310)+COUNTA(条幅!$B$11:$B$310),INDEX(条幅!$K$11:$K$310,345-COUNTA(半紙!$B$11:$B$310)),IF(345&lt;=COUNTA(半紙!$B$11:$B$310)+COUNTA(条幅!$B$11:$B$310)+COUNTA(条幅4分の1!$B$11:$B$310),INDEX(条幅4分の1!$K$11:$K$310,345-COUNTA(半紙!$B$11:$B$310)-COUNTA(条幅!$B$11:$B$310)),""))))</f>
        <v/>
      </c>
      <c r="L350" s="48" t="str">
        <f>IF($B350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345))</f>
        <v/>
      </c>
    </row>
    <row r="351" spans="1:12" ht="15" customHeight="1">
      <c r="A351" s="37" t="str">
        <f>IF(346&lt;=COUNTA(半紙!$B$11:$B$310),"半紙",IF(346&lt;=COUNTA(半紙!$B$11:$B$310)+COUNTA(条幅!$B$11:$B$310),"条幅(半切)",IF(346&lt;=COUNTA(半紙!$B$11:$B$310)+COUNTA(条幅!$B$11:$B$310)+COUNTA(条幅4分の1!$B$11:$B$310),"条幅(1/4)","")))</f>
        <v/>
      </c>
      <c r="B351" s="38" t="str">
        <f>IF(IF(346&lt;=COUNTA(半紙!$B$11:$B$310),INDEX(半紙!$B$11:$B$310,346),IF(346&lt;=COUNTA(半紙!$B$11:$B$310)+COUNTA(条幅!$B$11:$B$310),INDEX(条幅!$B$11:$B$310,346-COUNTA(半紙!$B$11:$B$310)),IF(346&lt;=COUNTA(半紙!$B$11:$B$310)+COUNTA(条幅!$B$11:$B$310)+COUNTA(条幅4分の1!$B$11:$B$310),INDEX(条幅4分の1!$B$11:$B$310,346-COUNTA(半紙!$B$11:$B$310)-COUNTA(条幅!$B$11:$B$310)),"")))=0,"",IF(346&lt;=COUNTA(半紙!$B$11:$B$310),INDEX(半紙!$B$11:$B$310,346),IF(346&lt;=COUNTA(半紙!$B$11:$B$310)+COUNTA(条幅!$B$11:$B$310),INDEX(条幅!$B$11:$B$310,346-COUNTA(半紙!$B$11:$B$310)),IF(346&lt;=COUNTA(半紙!$B$11:$B$310)+COUNTA(条幅!$B$11:$B$310)+COUNTA(条幅4分の1!$B$11:$B$310),INDEX(条幅4分の1!$B$11:$B$310,346-COUNTA(半紙!$B$11:$B$310)-COUNTA(条幅!$B$11:$B$310)),""))))</f>
        <v/>
      </c>
      <c r="C351" s="38" t="str">
        <f>IF(IF(346&lt;=COUNTA(半紙!$B$11:$B$310),INDEX(半紙!$C$11:$C$310,346),IF(346&lt;=COUNTA(半紙!$B$11:$B$310)+COUNTA(条幅!$B$11:$B$310),INDEX(条幅!$C$11:$C$310,346-COUNTA(半紙!$B$11:$B$310)),IF(346&lt;=COUNTA(半紙!$B$11:$B$310)+COUNTA(条幅!$B$11:$B$310)+COUNTA(条幅4分の1!$B$11:$B$310),INDEX(条幅4分の1!$C$11:$C$310,346-COUNTA(半紙!$B$11:$B$310)-COUNTA(条幅!$B$11:$B$310)),"")))=0,"",IF(346&lt;=COUNTA(半紙!$B$11:$B$310),INDEX(半紙!$C$11:$C$310,346),IF(346&lt;=COUNTA(半紙!$B$11:$B$310)+COUNTA(条幅!$B$11:$B$310),INDEX(条幅!$C$11:$C$310,346-COUNTA(半紙!$B$11:$B$310)),IF(346&lt;=COUNTA(半紙!$B$11:$B$310)+COUNTA(条幅!$B$11:$B$310)+COUNTA(条幅4分の1!$B$11:$B$310),INDEX(条幅4分の1!$C$11:$C$310,346-COUNTA(半紙!$B$11:$B$310)-COUNTA(条幅!$B$11:$B$310)),""))))</f>
        <v/>
      </c>
      <c r="D351" s="38" t="str">
        <f>IF(IF(346&lt;=COUNTA(半紙!$B$11:$B$310),INDEX(半紙!$D$11:$D$310,346),IF(346&lt;=COUNTA(半紙!$B$11:$B$310)+COUNTA(条幅!$B$11:$B$310),INDEX(条幅!$D$11:$D$310,346-COUNTA(半紙!$B$11:$B$310)),IF(346&lt;=COUNTA(半紙!$B$11:$B$310)+COUNTA(条幅!$B$11:$B$310)+COUNTA(条幅4分の1!$B$11:$B$310),INDEX(条幅4分の1!$D$11:$D$310,346-COUNTA(半紙!$B$11:$B$310)-COUNTA(条幅!$B$11:$B$310)),"")))=0,"",IF(346&lt;=COUNTA(半紙!$B$11:$B$310),INDEX(半紙!$D$11:$D$310,346),IF(346&lt;=COUNTA(半紙!$B$11:$B$310)+COUNTA(条幅!$B$11:$B$310),INDEX(条幅!$D$11:$D$310,346-COUNTA(半紙!$B$11:$B$310)),IF(346&lt;=COUNTA(半紙!$B$11:$B$310)+COUNTA(条幅!$B$11:$B$310)+COUNTA(条幅4分の1!$B$11:$B$310),INDEX(条幅4分の1!$D$11:$D$310,346-COUNTA(半紙!$B$11:$B$310)-COUNTA(条幅!$B$11:$B$310)),""))))</f>
        <v/>
      </c>
      <c r="E351" s="38" t="str">
        <f>IF(IF(346&lt;=COUNTA(半紙!$B$11:$B$310),INDEX(半紙!$E$11:$E$310,346),IF(346&lt;=COUNTA(半紙!$B$11:$B$310)+COUNTA(条幅!$B$11:$B$310),INDEX(条幅!$E$11:$E$310,346-COUNTA(半紙!$B$11:$B$310)),IF(346&lt;=COUNTA(半紙!$B$11:$B$310)+COUNTA(条幅!$B$11:$B$310)+COUNTA(条幅4分の1!$B$11:$B$310),INDEX(条幅4分の1!$E$11:$E$310,346-COUNTA(半紙!$B$11:$B$310)-COUNTA(条幅!$B$11:$B$310)),"")))=0,"",IF(346&lt;=COUNTA(半紙!$B$11:$B$310),INDEX(半紙!$E$11:$E$310,346),IF(346&lt;=COUNTA(半紙!$B$11:$B$310)+COUNTA(条幅!$B$11:$B$310),INDEX(条幅!$E$11:$E$310,346-COUNTA(半紙!$B$11:$B$310)),IF(346&lt;=COUNTA(半紙!$B$11:$B$310)+COUNTA(条幅!$B$11:$B$310)+COUNTA(条幅4分の1!$B$11:$B$310),INDEX(条幅4分の1!$E$11:$E$310,346-COUNTA(半紙!$B$11:$B$310)-COUNTA(条幅!$B$11:$B$310)),""))))</f>
        <v/>
      </c>
      <c r="F351" s="38" t="str">
        <f>IF(IF(346&lt;=COUNTA(半紙!$B$11:$B$310),INDEX(半紙!$F$11:$F$310,346),IF(346&lt;=COUNTA(半紙!$B$11:$B$310)+COUNTA(条幅!$B$11:$B$310),INDEX(条幅!$F$11:$F$310,346-COUNTA(半紙!$B$11:$B$310)),IF(346&lt;=COUNTA(半紙!$B$11:$B$310)+COUNTA(条幅!$B$11:$B$310)+COUNTA(条幅4分の1!$B$11:$B$310),INDEX(条幅4分の1!$F$11:$F$310,346-COUNTA(半紙!$B$11:$B$310)-COUNTA(条幅!$B$11:$B$310)),"")))=0,"",IF(346&lt;=COUNTA(半紙!$B$11:$B$310),INDEX(半紙!$F$11:$F$310,346),IF(346&lt;=COUNTA(半紙!$B$11:$B$310)+COUNTA(条幅!$B$11:$B$310),INDEX(条幅!$F$11:$F$310,346-COUNTA(半紙!$B$11:$B$310)),IF(346&lt;=COUNTA(半紙!$B$11:$B$310)+COUNTA(条幅!$B$11:$B$310)+COUNTA(条幅4分の1!$B$11:$B$310),INDEX(条幅4分の1!$F$11:$F$310,346-COUNTA(半紙!$B$11:$B$310)-COUNTA(条幅!$B$11:$B$310)),""))))</f>
        <v/>
      </c>
      <c r="G351" s="38" t="str">
        <f>IF(IF(346&lt;=COUNTA(半紙!$B$11:$B$310),INDEX(半紙!$G$11:$G$310,346),IF(346&lt;=COUNTA(半紙!$B$11:$B$310)+COUNTA(条幅!$B$11:$B$310),INDEX(条幅!$G$11:$G$310,346-COUNTA(半紙!$B$11:$B$310)),IF(346&lt;=COUNTA(半紙!$B$11:$B$310)+COUNTA(条幅!$B$11:$B$310)+COUNTA(条幅4分の1!$B$11:$B$310),INDEX(条幅4分の1!$G$11:$G$310,346-COUNTA(半紙!$B$11:$B$310)-COUNTA(条幅!$B$11:$B$310)),"")))=0,"",IF(346&lt;=COUNTA(半紙!$B$11:$B$310),INDEX(半紙!$G$11:$G$310,346),IF(346&lt;=COUNTA(半紙!$B$11:$B$310)+COUNTA(条幅!$B$11:$B$310),INDEX(条幅!$G$11:$G$310,346-COUNTA(半紙!$B$11:$B$310)),IF(346&lt;=COUNTA(半紙!$B$11:$B$310)+COUNTA(条幅!$B$11:$B$310)+COUNTA(条幅4分の1!$B$11:$B$310),INDEX(条幅4分の1!$G$11:$G$310,346-COUNTA(半紙!$B$11:$B$310)-COUNTA(条幅!$B$11:$B$310)),""))))</f>
        <v/>
      </c>
      <c r="H351" s="38" t="str">
        <f>IF(IF(346&lt;=COUNTA(半紙!$B$11:$B$310),INDEX(半紙!$H$11:$H$310,346),IF(346&lt;=COUNTA(半紙!$B$11:$B$310)+COUNTA(条幅!$B$11:$B$310),INDEX(条幅!$H$11:$H$310,346-COUNTA(半紙!$B$11:$B$310)),IF(346&lt;=COUNTA(半紙!$B$11:$B$310)+COUNTA(条幅!$B$11:$B$310)+COUNTA(条幅4分の1!$B$11:$B$310),INDEX(条幅4分の1!$H$11:$H$310,346-COUNTA(半紙!$B$11:$B$310)-COUNTA(条幅!$B$11:$B$310)),"")))=0,"",IF(346&lt;=COUNTA(半紙!$B$11:$B$310),INDEX(半紙!$H$11:$H$310,346),IF(346&lt;=COUNTA(半紙!$B$11:$B$310)+COUNTA(条幅!$B$11:$B$310),INDEX(条幅!$H$11:$H$310,346-COUNTA(半紙!$B$11:$B$310)),IF(346&lt;=COUNTA(半紙!$B$11:$B$310)+COUNTA(条幅!$B$11:$B$310)+COUNTA(条幅4分の1!$B$11:$B$310),INDEX(条幅4分の1!$H$11:$H$310,346-COUNTA(半紙!$B$11:$B$310)-COUNTA(条幅!$B$11:$B$310)),""))))</f>
        <v/>
      </c>
      <c r="I351" s="38" t="str">
        <f>IF(IF(346&lt;=COUNTA(半紙!$B$11:$B$310),INDEX(半紙!$I$11:$I$310,346),IF(346&lt;=COUNTA(半紙!$B$11:$B$310)+COUNTA(条幅!$B$11:$B$310),INDEX(条幅!$I$11:$I$310,346-COUNTA(半紙!$B$11:$B$310)),IF(346&lt;=COUNTA(半紙!$B$11:$B$310)+COUNTA(条幅!$B$11:$B$310)+COUNTA(条幅4分の1!$B$11:$B$310),INDEX(条幅4分の1!$I$11:$I$310,346-COUNTA(半紙!$B$11:$B$310)-COUNTA(条幅!$B$11:$B$310)),"")))=0,"",IF(346&lt;=COUNTA(半紙!$B$11:$B$310),INDEX(半紙!$I$11:$I$310,346),IF(346&lt;=COUNTA(半紙!$B$11:$B$310)+COUNTA(条幅!$B$11:$B$310),INDEX(条幅!$I$11:$I$310,346-COUNTA(半紙!$B$11:$B$310)),IF(346&lt;=COUNTA(半紙!$B$11:$B$310)+COUNTA(条幅!$B$11:$B$310)+COUNTA(条幅4分の1!$B$11:$B$310),INDEX(条幅4分の1!$I$11:$I$310,346-COUNTA(半紙!$B$11:$B$310)-COUNTA(条幅!$B$11:$B$310)),""))))</f>
        <v/>
      </c>
      <c r="J351" s="38" t="str">
        <f>IF(IF(346&lt;=COUNTA(半紙!$B$11:$B$310),INDEX(半紙!$J$11:$J$310,346),IF(346&lt;=COUNTA(半紙!$B$11:$B$310)+COUNTA(条幅!$B$11:$B$310),INDEX(条幅!$J$11:$J$310,346-COUNTA(半紙!$B$11:$B$310)),IF(346&lt;=COUNTA(半紙!$B$11:$B$310)+COUNTA(条幅!$B$11:$B$310)+COUNTA(条幅4分の1!$B$11:$B$310),INDEX(条幅4分の1!$J$11:$J$310,346-COUNTA(半紙!$B$11:$B$310)-COUNTA(条幅!$B$11:$B$310)),"")))=0,"",IF(346&lt;=COUNTA(半紙!$B$11:$B$310),INDEX(半紙!$J$11:$J$310,346),IF(346&lt;=COUNTA(半紙!$B$11:$B$310)+COUNTA(条幅!$B$11:$B$310),INDEX(条幅!$J$11:$J$310,346-COUNTA(半紙!$B$11:$B$310)),IF(346&lt;=COUNTA(半紙!$B$11:$B$310)+COUNTA(条幅!$B$11:$B$310)+COUNTA(条幅4分の1!$B$11:$B$310),INDEX(条幅4分の1!$J$11:$J$310,346-COUNTA(半紙!$B$11:$B$310)-COUNTA(条幅!$B$11:$B$310)),""))))</f>
        <v/>
      </c>
      <c r="K351" s="38" t="str">
        <f>IF(IF(346&lt;=COUNTA(半紙!$B$11:$B$310),INDEX(半紙!$K$11:$K$310,346),IF(346&lt;=COUNTA(半紙!$B$11:$B$310)+COUNTA(条幅!$B$11:$B$310),INDEX(条幅!$K$11:$K$310,346-COUNTA(半紙!$B$11:$B$310)),IF(346&lt;=COUNTA(半紙!$B$11:$B$310)+COUNTA(条幅!$B$11:$B$310)+COUNTA(条幅4分の1!$B$11:$B$310),INDEX(条幅4分の1!$K$11:$K$310,346-COUNTA(半紙!$B$11:$B$310)-COUNTA(条幅!$B$11:$B$310)),"")))=0,"",IF(346&lt;=COUNTA(半紙!$B$11:$B$310),INDEX(半紙!$K$11:$K$310,346),IF(346&lt;=COUNTA(半紙!$B$11:$B$310)+COUNTA(条幅!$B$11:$B$310),INDEX(条幅!$K$11:$K$310,346-COUNTA(半紙!$B$11:$B$310)),IF(346&lt;=COUNTA(半紙!$B$11:$B$310)+COUNTA(条幅!$B$11:$B$310)+COUNTA(条幅4分の1!$B$11:$B$310),INDEX(条幅4分の1!$K$11:$K$310,346-COUNTA(半紙!$B$11:$B$310)-COUNTA(条幅!$B$11:$B$310)),""))))</f>
        <v/>
      </c>
      <c r="L351" s="48" t="str">
        <f>IF($B351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346))</f>
        <v/>
      </c>
    </row>
    <row r="352" spans="1:12" ht="15" customHeight="1">
      <c r="A352" s="37" t="str">
        <f>IF(347&lt;=COUNTA(半紙!$B$11:$B$310),"半紙",IF(347&lt;=COUNTA(半紙!$B$11:$B$310)+COUNTA(条幅!$B$11:$B$310),"条幅(半切)",IF(347&lt;=COUNTA(半紙!$B$11:$B$310)+COUNTA(条幅!$B$11:$B$310)+COUNTA(条幅4分の1!$B$11:$B$310),"条幅(1/4)","")))</f>
        <v/>
      </c>
      <c r="B352" s="38" t="str">
        <f>IF(IF(347&lt;=COUNTA(半紙!$B$11:$B$310),INDEX(半紙!$B$11:$B$310,347),IF(347&lt;=COUNTA(半紙!$B$11:$B$310)+COUNTA(条幅!$B$11:$B$310),INDEX(条幅!$B$11:$B$310,347-COUNTA(半紙!$B$11:$B$310)),IF(347&lt;=COUNTA(半紙!$B$11:$B$310)+COUNTA(条幅!$B$11:$B$310)+COUNTA(条幅4分の1!$B$11:$B$310),INDEX(条幅4分の1!$B$11:$B$310,347-COUNTA(半紙!$B$11:$B$310)-COUNTA(条幅!$B$11:$B$310)),"")))=0,"",IF(347&lt;=COUNTA(半紙!$B$11:$B$310),INDEX(半紙!$B$11:$B$310,347),IF(347&lt;=COUNTA(半紙!$B$11:$B$310)+COUNTA(条幅!$B$11:$B$310),INDEX(条幅!$B$11:$B$310,347-COUNTA(半紙!$B$11:$B$310)),IF(347&lt;=COUNTA(半紙!$B$11:$B$310)+COUNTA(条幅!$B$11:$B$310)+COUNTA(条幅4分の1!$B$11:$B$310),INDEX(条幅4分の1!$B$11:$B$310,347-COUNTA(半紙!$B$11:$B$310)-COUNTA(条幅!$B$11:$B$310)),""))))</f>
        <v/>
      </c>
      <c r="C352" s="38" t="str">
        <f>IF(IF(347&lt;=COUNTA(半紙!$B$11:$B$310),INDEX(半紙!$C$11:$C$310,347),IF(347&lt;=COUNTA(半紙!$B$11:$B$310)+COUNTA(条幅!$B$11:$B$310),INDEX(条幅!$C$11:$C$310,347-COUNTA(半紙!$B$11:$B$310)),IF(347&lt;=COUNTA(半紙!$B$11:$B$310)+COUNTA(条幅!$B$11:$B$310)+COUNTA(条幅4分の1!$B$11:$B$310),INDEX(条幅4分の1!$C$11:$C$310,347-COUNTA(半紙!$B$11:$B$310)-COUNTA(条幅!$B$11:$B$310)),"")))=0,"",IF(347&lt;=COUNTA(半紙!$B$11:$B$310),INDEX(半紙!$C$11:$C$310,347),IF(347&lt;=COUNTA(半紙!$B$11:$B$310)+COUNTA(条幅!$B$11:$B$310),INDEX(条幅!$C$11:$C$310,347-COUNTA(半紙!$B$11:$B$310)),IF(347&lt;=COUNTA(半紙!$B$11:$B$310)+COUNTA(条幅!$B$11:$B$310)+COUNTA(条幅4分の1!$B$11:$B$310),INDEX(条幅4分の1!$C$11:$C$310,347-COUNTA(半紙!$B$11:$B$310)-COUNTA(条幅!$B$11:$B$310)),""))))</f>
        <v/>
      </c>
      <c r="D352" s="38" t="str">
        <f>IF(IF(347&lt;=COUNTA(半紙!$B$11:$B$310),INDEX(半紙!$D$11:$D$310,347),IF(347&lt;=COUNTA(半紙!$B$11:$B$310)+COUNTA(条幅!$B$11:$B$310),INDEX(条幅!$D$11:$D$310,347-COUNTA(半紙!$B$11:$B$310)),IF(347&lt;=COUNTA(半紙!$B$11:$B$310)+COUNTA(条幅!$B$11:$B$310)+COUNTA(条幅4分の1!$B$11:$B$310),INDEX(条幅4分の1!$D$11:$D$310,347-COUNTA(半紙!$B$11:$B$310)-COUNTA(条幅!$B$11:$B$310)),"")))=0,"",IF(347&lt;=COUNTA(半紙!$B$11:$B$310),INDEX(半紙!$D$11:$D$310,347),IF(347&lt;=COUNTA(半紙!$B$11:$B$310)+COUNTA(条幅!$B$11:$B$310),INDEX(条幅!$D$11:$D$310,347-COUNTA(半紙!$B$11:$B$310)),IF(347&lt;=COUNTA(半紙!$B$11:$B$310)+COUNTA(条幅!$B$11:$B$310)+COUNTA(条幅4分の1!$B$11:$B$310),INDEX(条幅4分の1!$D$11:$D$310,347-COUNTA(半紙!$B$11:$B$310)-COUNTA(条幅!$B$11:$B$310)),""))))</f>
        <v/>
      </c>
      <c r="E352" s="38" t="str">
        <f>IF(IF(347&lt;=COUNTA(半紙!$B$11:$B$310),INDEX(半紙!$E$11:$E$310,347),IF(347&lt;=COUNTA(半紙!$B$11:$B$310)+COUNTA(条幅!$B$11:$B$310),INDEX(条幅!$E$11:$E$310,347-COUNTA(半紙!$B$11:$B$310)),IF(347&lt;=COUNTA(半紙!$B$11:$B$310)+COUNTA(条幅!$B$11:$B$310)+COUNTA(条幅4分の1!$B$11:$B$310),INDEX(条幅4分の1!$E$11:$E$310,347-COUNTA(半紙!$B$11:$B$310)-COUNTA(条幅!$B$11:$B$310)),"")))=0,"",IF(347&lt;=COUNTA(半紙!$B$11:$B$310),INDEX(半紙!$E$11:$E$310,347),IF(347&lt;=COUNTA(半紙!$B$11:$B$310)+COUNTA(条幅!$B$11:$B$310),INDEX(条幅!$E$11:$E$310,347-COUNTA(半紙!$B$11:$B$310)),IF(347&lt;=COUNTA(半紙!$B$11:$B$310)+COUNTA(条幅!$B$11:$B$310)+COUNTA(条幅4分の1!$B$11:$B$310),INDEX(条幅4分の1!$E$11:$E$310,347-COUNTA(半紙!$B$11:$B$310)-COUNTA(条幅!$B$11:$B$310)),""))))</f>
        <v/>
      </c>
      <c r="F352" s="38" t="str">
        <f>IF(IF(347&lt;=COUNTA(半紙!$B$11:$B$310),INDEX(半紙!$F$11:$F$310,347),IF(347&lt;=COUNTA(半紙!$B$11:$B$310)+COUNTA(条幅!$B$11:$B$310),INDEX(条幅!$F$11:$F$310,347-COUNTA(半紙!$B$11:$B$310)),IF(347&lt;=COUNTA(半紙!$B$11:$B$310)+COUNTA(条幅!$B$11:$B$310)+COUNTA(条幅4分の1!$B$11:$B$310),INDEX(条幅4分の1!$F$11:$F$310,347-COUNTA(半紙!$B$11:$B$310)-COUNTA(条幅!$B$11:$B$310)),"")))=0,"",IF(347&lt;=COUNTA(半紙!$B$11:$B$310),INDEX(半紙!$F$11:$F$310,347),IF(347&lt;=COUNTA(半紙!$B$11:$B$310)+COUNTA(条幅!$B$11:$B$310),INDEX(条幅!$F$11:$F$310,347-COUNTA(半紙!$B$11:$B$310)),IF(347&lt;=COUNTA(半紙!$B$11:$B$310)+COUNTA(条幅!$B$11:$B$310)+COUNTA(条幅4分の1!$B$11:$B$310),INDEX(条幅4分の1!$F$11:$F$310,347-COUNTA(半紙!$B$11:$B$310)-COUNTA(条幅!$B$11:$B$310)),""))))</f>
        <v/>
      </c>
      <c r="G352" s="38" t="str">
        <f>IF(IF(347&lt;=COUNTA(半紙!$B$11:$B$310),INDEX(半紙!$G$11:$G$310,347),IF(347&lt;=COUNTA(半紙!$B$11:$B$310)+COUNTA(条幅!$B$11:$B$310),INDEX(条幅!$G$11:$G$310,347-COUNTA(半紙!$B$11:$B$310)),IF(347&lt;=COUNTA(半紙!$B$11:$B$310)+COUNTA(条幅!$B$11:$B$310)+COUNTA(条幅4分の1!$B$11:$B$310),INDEX(条幅4分の1!$G$11:$G$310,347-COUNTA(半紙!$B$11:$B$310)-COUNTA(条幅!$B$11:$B$310)),"")))=0,"",IF(347&lt;=COUNTA(半紙!$B$11:$B$310),INDEX(半紙!$G$11:$G$310,347),IF(347&lt;=COUNTA(半紙!$B$11:$B$310)+COUNTA(条幅!$B$11:$B$310),INDEX(条幅!$G$11:$G$310,347-COUNTA(半紙!$B$11:$B$310)),IF(347&lt;=COUNTA(半紙!$B$11:$B$310)+COUNTA(条幅!$B$11:$B$310)+COUNTA(条幅4分の1!$B$11:$B$310),INDEX(条幅4分の1!$G$11:$G$310,347-COUNTA(半紙!$B$11:$B$310)-COUNTA(条幅!$B$11:$B$310)),""))))</f>
        <v/>
      </c>
      <c r="H352" s="38" t="str">
        <f>IF(IF(347&lt;=COUNTA(半紙!$B$11:$B$310),INDEX(半紙!$H$11:$H$310,347),IF(347&lt;=COUNTA(半紙!$B$11:$B$310)+COUNTA(条幅!$B$11:$B$310),INDEX(条幅!$H$11:$H$310,347-COUNTA(半紙!$B$11:$B$310)),IF(347&lt;=COUNTA(半紙!$B$11:$B$310)+COUNTA(条幅!$B$11:$B$310)+COUNTA(条幅4分の1!$B$11:$B$310),INDEX(条幅4分の1!$H$11:$H$310,347-COUNTA(半紙!$B$11:$B$310)-COUNTA(条幅!$B$11:$B$310)),"")))=0,"",IF(347&lt;=COUNTA(半紙!$B$11:$B$310),INDEX(半紙!$H$11:$H$310,347),IF(347&lt;=COUNTA(半紙!$B$11:$B$310)+COUNTA(条幅!$B$11:$B$310),INDEX(条幅!$H$11:$H$310,347-COUNTA(半紙!$B$11:$B$310)),IF(347&lt;=COUNTA(半紙!$B$11:$B$310)+COUNTA(条幅!$B$11:$B$310)+COUNTA(条幅4分の1!$B$11:$B$310),INDEX(条幅4分の1!$H$11:$H$310,347-COUNTA(半紙!$B$11:$B$310)-COUNTA(条幅!$B$11:$B$310)),""))))</f>
        <v/>
      </c>
      <c r="I352" s="38" t="str">
        <f>IF(IF(347&lt;=COUNTA(半紙!$B$11:$B$310),INDEX(半紙!$I$11:$I$310,347),IF(347&lt;=COUNTA(半紙!$B$11:$B$310)+COUNTA(条幅!$B$11:$B$310),INDEX(条幅!$I$11:$I$310,347-COUNTA(半紙!$B$11:$B$310)),IF(347&lt;=COUNTA(半紙!$B$11:$B$310)+COUNTA(条幅!$B$11:$B$310)+COUNTA(条幅4分の1!$B$11:$B$310),INDEX(条幅4分の1!$I$11:$I$310,347-COUNTA(半紙!$B$11:$B$310)-COUNTA(条幅!$B$11:$B$310)),"")))=0,"",IF(347&lt;=COUNTA(半紙!$B$11:$B$310),INDEX(半紙!$I$11:$I$310,347),IF(347&lt;=COUNTA(半紙!$B$11:$B$310)+COUNTA(条幅!$B$11:$B$310),INDEX(条幅!$I$11:$I$310,347-COUNTA(半紙!$B$11:$B$310)),IF(347&lt;=COUNTA(半紙!$B$11:$B$310)+COUNTA(条幅!$B$11:$B$310)+COUNTA(条幅4分の1!$B$11:$B$310),INDEX(条幅4分の1!$I$11:$I$310,347-COUNTA(半紙!$B$11:$B$310)-COUNTA(条幅!$B$11:$B$310)),""))))</f>
        <v/>
      </c>
      <c r="J352" s="38" t="str">
        <f>IF(IF(347&lt;=COUNTA(半紙!$B$11:$B$310),INDEX(半紙!$J$11:$J$310,347),IF(347&lt;=COUNTA(半紙!$B$11:$B$310)+COUNTA(条幅!$B$11:$B$310),INDEX(条幅!$J$11:$J$310,347-COUNTA(半紙!$B$11:$B$310)),IF(347&lt;=COUNTA(半紙!$B$11:$B$310)+COUNTA(条幅!$B$11:$B$310)+COUNTA(条幅4分の1!$B$11:$B$310),INDEX(条幅4分の1!$J$11:$J$310,347-COUNTA(半紙!$B$11:$B$310)-COUNTA(条幅!$B$11:$B$310)),"")))=0,"",IF(347&lt;=COUNTA(半紙!$B$11:$B$310),INDEX(半紙!$J$11:$J$310,347),IF(347&lt;=COUNTA(半紙!$B$11:$B$310)+COUNTA(条幅!$B$11:$B$310),INDEX(条幅!$J$11:$J$310,347-COUNTA(半紙!$B$11:$B$310)),IF(347&lt;=COUNTA(半紙!$B$11:$B$310)+COUNTA(条幅!$B$11:$B$310)+COUNTA(条幅4分の1!$B$11:$B$310),INDEX(条幅4分の1!$J$11:$J$310,347-COUNTA(半紙!$B$11:$B$310)-COUNTA(条幅!$B$11:$B$310)),""))))</f>
        <v/>
      </c>
      <c r="K352" s="38" t="str">
        <f>IF(IF(347&lt;=COUNTA(半紙!$B$11:$B$310),INDEX(半紙!$K$11:$K$310,347),IF(347&lt;=COUNTA(半紙!$B$11:$B$310)+COUNTA(条幅!$B$11:$B$310),INDEX(条幅!$K$11:$K$310,347-COUNTA(半紙!$B$11:$B$310)),IF(347&lt;=COUNTA(半紙!$B$11:$B$310)+COUNTA(条幅!$B$11:$B$310)+COUNTA(条幅4分の1!$B$11:$B$310),INDEX(条幅4分の1!$K$11:$K$310,347-COUNTA(半紙!$B$11:$B$310)-COUNTA(条幅!$B$11:$B$310)),"")))=0,"",IF(347&lt;=COUNTA(半紙!$B$11:$B$310),INDEX(半紙!$K$11:$K$310,347),IF(347&lt;=COUNTA(半紙!$B$11:$B$310)+COUNTA(条幅!$B$11:$B$310),INDEX(条幅!$K$11:$K$310,347-COUNTA(半紙!$B$11:$B$310)),IF(347&lt;=COUNTA(半紙!$B$11:$B$310)+COUNTA(条幅!$B$11:$B$310)+COUNTA(条幅4分の1!$B$11:$B$310),INDEX(条幅4分の1!$K$11:$K$310,347-COUNTA(半紙!$B$11:$B$310)-COUNTA(条幅!$B$11:$B$310)),""))))</f>
        <v/>
      </c>
      <c r="L352" s="48" t="str">
        <f>IF($B352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347))</f>
        <v/>
      </c>
    </row>
    <row r="353" spans="1:12" ht="15" customHeight="1">
      <c r="A353" s="37" t="str">
        <f>IF(348&lt;=COUNTA(半紙!$B$11:$B$310),"半紙",IF(348&lt;=COUNTA(半紙!$B$11:$B$310)+COUNTA(条幅!$B$11:$B$310),"条幅(半切)",IF(348&lt;=COUNTA(半紙!$B$11:$B$310)+COUNTA(条幅!$B$11:$B$310)+COUNTA(条幅4分の1!$B$11:$B$310),"条幅(1/4)","")))</f>
        <v/>
      </c>
      <c r="B353" s="38" t="str">
        <f>IF(IF(348&lt;=COUNTA(半紙!$B$11:$B$310),INDEX(半紙!$B$11:$B$310,348),IF(348&lt;=COUNTA(半紙!$B$11:$B$310)+COUNTA(条幅!$B$11:$B$310),INDEX(条幅!$B$11:$B$310,348-COUNTA(半紙!$B$11:$B$310)),IF(348&lt;=COUNTA(半紙!$B$11:$B$310)+COUNTA(条幅!$B$11:$B$310)+COUNTA(条幅4分の1!$B$11:$B$310),INDEX(条幅4分の1!$B$11:$B$310,348-COUNTA(半紙!$B$11:$B$310)-COUNTA(条幅!$B$11:$B$310)),"")))=0,"",IF(348&lt;=COUNTA(半紙!$B$11:$B$310),INDEX(半紙!$B$11:$B$310,348),IF(348&lt;=COUNTA(半紙!$B$11:$B$310)+COUNTA(条幅!$B$11:$B$310),INDEX(条幅!$B$11:$B$310,348-COUNTA(半紙!$B$11:$B$310)),IF(348&lt;=COUNTA(半紙!$B$11:$B$310)+COUNTA(条幅!$B$11:$B$310)+COUNTA(条幅4分の1!$B$11:$B$310),INDEX(条幅4分の1!$B$11:$B$310,348-COUNTA(半紙!$B$11:$B$310)-COUNTA(条幅!$B$11:$B$310)),""))))</f>
        <v/>
      </c>
      <c r="C353" s="38" t="str">
        <f>IF(IF(348&lt;=COUNTA(半紙!$B$11:$B$310),INDEX(半紙!$C$11:$C$310,348),IF(348&lt;=COUNTA(半紙!$B$11:$B$310)+COUNTA(条幅!$B$11:$B$310),INDEX(条幅!$C$11:$C$310,348-COUNTA(半紙!$B$11:$B$310)),IF(348&lt;=COUNTA(半紙!$B$11:$B$310)+COUNTA(条幅!$B$11:$B$310)+COUNTA(条幅4分の1!$B$11:$B$310),INDEX(条幅4分の1!$C$11:$C$310,348-COUNTA(半紙!$B$11:$B$310)-COUNTA(条幅!$B$11:$B$310)),"")))=0,"",IF(348&lt;=COUNTA(半紙!$B$11:$B$310),INDEX(半紙!$C$11:$C$310,348),IF(348&lt;=COUNTA(半紙!$B$11:$B$310)+COUNTA(条幅!$B$11:$B$310),INDEX(条幅!$C$11:$C$310,348-COUNTA(半紙!$B$11:$B$310)),IF(348&lt;=COUNTA(半紙!$B$11:$B$310)+COUNTA(条幅!$B$11:$B$310)+COUNTA(条幅4分の1!$B$11:$B$310),INDEX(条幅4分の1!$C$11:$C$310,348-COUNTA(半紙!$B$11:$B$310)-COUNTA(条幅!$B$11:$B$310)),""))))</f>
        <v/>
      </c>
      <c r="D353" s="38" t="str">
        <f>IF(IF(348&lt;=COUNTA(半紙!$B$11:$B$310),INDEX(半紙!$D$11:$D$310,348),IF(348&lt;=COUNTA(半紙!$B$11:$B$310)+COUNTA(条幅!$B$11:$B$310),INDEX(条幅!$D$11:$D$310,348-COUNTA(半紙!$B$11:$B$310)),IF(348&lt;=COUNTA(半紙!$B$11:$B$310)+COUNTA(条幅!$B$11:$B$310)+COUNTA(条幅4分の1!$B$11:$B$310),INDEX(条幅4分の1!$D$11:$D$310,348-COUNTA(半紙!$B$11:$B$310)-COUNTA(条幅!$B$11:$B$310)),"")))=0,"",IF(348&lt;=COUNTA(半紙!$B$11:$B$310),INDEX(半紙!$D$11:$D$310,348),IF(348&lt;=COUNTA(半紙!$B$11:$B$310)+COUNTA(条幅!$B$11:$B$310),INDEX(条幅!$D$11:$D$310,348-COUNTA(半紙!$B$11:$B$310)),IF(348&lt;=COUNTA(半紙!$B$11:$B$310)+COUNTA(条幅!$B$11:$B$310)+COUNTA(条幅4分の1!$B$11:$B$310),INDEX(条幅4分の1!$D$11:$D$310,348-COUNTA(半紙!$B$11:$B$310)-COUNTA(条幅!$B$11:$B$310)),""))))</f>
        <v/>
      </c>
      <c r="E353" s="38" t="str">
        <f>IF(IF(348&lt;=COUNTA(半紙!$B$11:$B$310),INDEX(半紙!$E$11:$E$310,348),IF(348&lt;=COUNTA(半紙!$B$11:$B$310)+COUNTA(条幅!$B$11:$B$310),INDEX(条幅!$E$11:$E$310,348-COUNTA(半紙!$B$11:$B$310)),IF(348&lt;=COUNTA(半紙!$B$11:$B$310)+COUNTA(条幅!$B$11:$B$310)+COUNTA(条幅4分の1!$B$11:$B$310),INDEX(条幅4分の1!$E$11:$E$310,348-COUNTA(半紙!$B$11:$B$310)-COUNTA(条幅!$B$11:$B$310)),"")))=0,"",IF(348&lt;=COUNTA(半紙!$B$11:$B$310),INDEX(半紙!$E$11:$E$310,348),IF(348&lt;=COUNTA(半紙!$B$11:$B$310)+COUNTA(条幅!$B$11:$B$310),INDEX(条幅!$E$11:$E$310,348-COUNTA(半紙!$B$11:$B$310)),IF(348&lt;=COUNTA(半紙!$B$11:$B$310)+COUNTA(条幅!$B$11:$B$310)+COUNTA(条幅4分の1!$B$11:$B$310),INDEX(条幅4分の1!$E$11:$E$310,348-COUNTA(半紙!$B$11:$B$310)-COUNTA(条幅!$B$11:$B$310)),""))))</f>
        <v/>
      </c>
      <c r="F353" s="38" t="str">
        <f>IF(IF(348&lt;=COUNTA(半紙!$B$11:$B$310),INDEX(半紙!$F$11:$F$310,348),IF(348&lt;=COUNTA(半紙!$B$11:$B$310)+COUNTA(条幅!$B$11:$B$310),INDEX(条幅!$F$11:$F$310,348-COUNTA(半紙!$B$11:$B$310)),IF(348&lt;=COUNTA(半紙!$B$11:$B$310)+COUNTA(条幅!$B$11:$B$310)+COUNTA(条幅4分の1!$B$11:$B$310),INDEX(条幅4分の1!$F$11:$F$310,348-COUNTA(半紙!$B$11:$B$310)-COUNTA(条幅!$B$11:$B$310)),"")))=0,"",IF(348&lt;=COUNTA(半紙!$B$11:$B$310),INDEX(半紙!$F$11:$F$310,348),IF(348&lt;=COUNTA(半紙!$B$11:$B$310)+COUNTA(条幅!$B$11:$B$310),INDEX(条幅!$F$11:$F$310,348-COUNTA(半紙!$B$11:$B$310)),IF(348&lt;=COUNTA(半紙!$B$11:$B$310)+COUNTA(条幅!$B$11:$B$310)+COUNTA(条幅4分の1!$B$11:$B$310),INDEX(条幅4分の1!$F$11:$F$310,348-COUNTA(半紙!$B$11:$B$310)-COUNTA(条幅!$B$11:$B$310)),""))))</f>
        <v/>
      </c>
      <c r="G353" s="38" t="str">
        <f>IF(IF(348&lt;=COUNTA(半紙!$B$11:$B$310),INDEX(半紙!$G$11:$G$310,348),IF(348&lt;=COUNTA(半紙!$B$11:$B$310)+COUNTA(条幅!$B$11:$B$310),INDEX(条幅!$G$11:$G$310,348-COUNTA(半紙!$B$11:$B$310)),IF(348&lt;=COUNTA(半紙!$B$11:$B$310)+COUNTA(条幅!$B$11:$B$310)+COUNTA(条幅4分の1!$B$11:$B$310),INDEX(条幅4分の1!$G$11:$G$310,348-COUNTA(半紙!$B$11:$B$310)-COUNTA(条幅!$B$11:$B$310)),"")))=0,"",IF(348&lt;=COUNTA(半紙!$B$11:$B$310),INDEX(半紙!$G$11:$G$310,348),IF(348&lt;=COUNTA(半紙!$B$11:$B$310)+COUNTA(条幅!$B$11:$B$310),INDEX(条幅!$G$11:$G$310,348-COUNTA(半紙!$B$11:$B$310)),IF(348&lt;=COUNTA(半紙!$B$11:$B$310)+COUNTA(条幅!$B$11:$B$310)+COUNTA(条幅4分の1!$B$11:$B$310),INDEX(条幅4分の1!$G$11:$G$310,348-COUNTA(半紙!$B$11:$B$310)-COUNTA(条幅!$B$11:$B$310)),""))))</f>
        <v/>
      </c>
      <c r="H353" s="38" t="str">
        <f>IF(IF(348&lt;=COUNTA(半紙!$B$11:$B$310),INDEX(半紙!$H$11:$H$310,348),IF(348&lt;=COUNTA(半紙!$B$11:$B$310)+COUNTA(条幅!$B$11:$B$310),INDEX(条幅!$H$11:$H$310,348-COUNTA(半紙!$B$11:$B$310)),IF(348&lt;=COUNTA(半紙!$B$11:$B$310)+COUNTA(条幅!$B$11:$B$310)+COUNTA(条幅4分の1!$B$11:$B$310),INDEX(条幅4分の1!$H$11:$H$310,348-COUNTA(半紙!$B$11:$B$310)-COUNTA(条幅!$B$11:$B$310)),"")))=0,"",IF(348&lt;=COUNTA(半紙!$B$11:$B$310),INDEX(半紙!$H$11:$H$310,348),IF(348&lt;=COUNTA(半紙!$B$11:$B$310)+COUNTA(条幅!$B$11:$B$310),INDEX(条幅!$H$11:$H$310,348-COUNTA(半紙!$B$11:$B$310)),IF(348&lt;=COUNTA(半紙!$B$11:$B$310)+COUNTA(条幅!$B$11:$B$310)+COUNTA(条幅4分の1!$B$11:$B$310),INDEX(条幅4分の1!$H$11:$H$310,348-COUNTA(半紙!$B$11:$B$310)-COUNTA(条幅!$B$11:$B$310)),""))))</f>
        <v/>
      </c>
      <c r="I353" s="38" t="str">
        <f>IF(IF(348&lt;=COUNTA(半紙!$B$11:$B$310),INDEX(半紙!$I$11:$I$310,348),IF(348&lt;=COUNTA(半紙!$B$11:$B$310)+COUNTA(条幅!$B$11:$B$310),INDEX(条幅!$I$11:$I$310,348-COUNTA(半紙!$B$11:$B$310)),IF(348&lt;=COUNTA(半紙!$B$11:$B$310)+COUNTA(条幅!$B$11:$B$310)+COUNTA(条幅4分の1!$B$11:$B$310),INDEX(条幅4分の1!$I$11:$I$310,348-COUNTA(半紙!$B$11:$B$310)-COUNTA(条幅!$B$11:$B$310)),"")))=0,"",IF(348&lt;=COUNTA(半紙!$B$11:$B$310),INDEX(半紙!$I$11:$I$310,348),IF(348&lt;=COUNTA(半紙!$B$11:$B$310)+COUNTA(条幅!$B$11:$B$310),INDEX(条幅!$I$11:$I$310,348-COUNTA(半紙!$B$11:$B$310)),IF(348&lt;=COUNTA(半紙!$B$11:$B$310)+COUNTA(条幅!$B$11:$B$310)+COUNTA(条幅4分の1!$B$11:$B$310),INDEX(条幅4分の1!$I$11:$I$310,348-COUNTA(半紙!$B$11:$B$310)-COUNTA(条幅!$B$11:$B$310)),""))))</f>
        <v/>
      </c>
      <c r="J353" s="38" t="str">
        <f>IF(IF(348&lt;=COUNTA(半紙!$B$11:$B$310),INDEX(半紙!$J$11:$J$310,348),IF(348&lt;=COUNTA(半紙!$B$11:$B$310)+COUNTA(条幅!$B$11:$B$310),INDEX(条幅!$J$11:$J$310,348-COUNTA(半紙!$B$11:$B$310)),IF(348&lt;=COUNTA(半紙!$B$11:$B$310)+COUNTA(条幅!$B$11:$B$310)+COUNTA(条幅4分の1!$B$11:$B$310),INDEX(条幅4分の1!$J$11:$J$310,348-COUNTA(半紙!$B$11:$B$310)-COUNTA(条幅!$B$11:$B$310)),"")))=0,"",IF(348&lt;=COUNTA(半紙!$B$11:$B$310),INDEX(半紙!$J$11:$J$310,348),IF(348&lt;=COUNTA(半紙!$B$11:$B$310)+COUNTA(条幅!$B$11:$B$310),INDEX(条幅!$J$11:$J$310,348-COUNTA(半紙!$B$11:$B$310)),IF(348&lt;=COUNTA(半紙!$B$11:$B$310)+COUNTA(条幅!$B$11:$B$310)+COUNTA(条幅4分の1!$B$11:$B$310),INDEX(条幅4分の1!$J$11:$J$310,348-COUNTA(半紙!$B$11:$B$310)-COUNTA(条幅!$B$11:$B$310)),""))))</f>
        <v/>
      </c>
      <c r="K353" s="38" t="str">
        <f>IF(IF(348&lt;=COUNTA(半紙!$B$11:$B$310),INDEX(半紙!$K$11:$K$310,348),IF(348&lt;=COUNTA(半紙!$B$11:$B$310)+COUNTA(条幅!$B$11:$B$310),INDEX(条幅!$K$11:$K$310,348-COUNTA(半紙!$B$11:$B$310)),IF(348&lt;=COUNTA(半紙!$B$11:$B$310)+COUNTA(条幅!$B$11:$B$310)+COUNTA(条幅4分の1!$B$11:$B$310),INDEX(条幅4分の1!$K$11:$K$310,348-COUNTA(半紙!$B$11:$B$310)-COUNTA(条幅!$B$11:$B$310)),"")))=0,"",IF(348&lt;=COUNTA(半紙!$B$11:$B$310),INDEX(半紙!$K$11:$K$310,348),IF(348&lt;=COUNTA(半紙!$B$11:$B$310)+COUNTA(条幅!$B$11:$B$310),INDEX(条幅!$K$11:$K$310,348-COUNTA(半紙!$B$11:$B$310)),IF(348&lt;=COUNTA(半紙!$B$11:$B$310)+COUNTA(条幅!$B$11:$B$310)+COUNTA(条幅4分の1!$B$11:$B$310),INDEX(条幅4分の1!$K$11:$K$310,348-COUNTA(半紙!$B$11:$B$310)-COUNTA(条幅!$B$11:$B$310)),""))))</f>
        <v/>
      </c>
      <c r="L353" s="48" t="str">
        <f>IF($B353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348))</f>
        <v/>
      </c>
    </row>
    <row r="354" spans="1:12" ht="15" customHeight="1">
      <c r="A354" s="37" t="str">
        <f>IF(349&lt;=COUNTA(半紙!$B$11:$B$310),"半紙",IF(349&lt;=COUNTA(半紙!$B$11:$B$310)+COUNTA(条幅!$B$11:$B$310),"条幅(半切)",IF(349&lt;=COUNTA(半紙!$B$11:$B$310)+COUNTA(条幅!$B$11:$B$310)+COUNTA(条幅4分の1!$B$11:$B$310),"条幅(1/4)","")))</f>
        <v/>
      </c>
      <c r="B354" s="38" t="str">
        <f>IF(IF(349&lt;=COUNTA(半紙!$B$11:$B$310),INDEX(半紙!$B$11:$B$310,349),IF(349&lt;=COUNTA(半紙!$B$11:$B$310)+COUNTA(条幅!$B$11:$B$310),INDEX(条幅!$B$11:$B$310,349-COUNTA(半紙!$B$11:$B$310)),IF(349&lt;=COUNTA(半紙!$B$11:$B$310)+COUNTA(条幅!$B$11:$B$310)+COUNTA(条幅4分の1!$B$11:$B$310),INDEX(条幅4分の1!$B$11:$B$310,349-COUNTA(半紙!$B$11:$B$310)-COUNTA(条幅!$B$11:$B$310)),"")))=0,"",IF(349&lt;=COUNTA(半紙!$B$11:$B$310),INDEX(半紙!$B$11:$B$310,349),IF(349&lt;=COUNTA(半紙!$B$11:$B$310)+COUNTA(条幅!$B$11:$B$310),INDEX(条幅!$B$11:$B$310,349-COUNTA(半紙!$B$11:$B$310)),IF(349&lt;=COUNTA(半紙!$B$11:$B$310)+COUNTA(条幅!$B$11:$B$310)+COUNTA(条幅4分の1!$B$11:$B$310),INDEX(条幅4分の1!$B$11:$B$310,349-COUNTA(半紙!$B$11:$B$310)-COUNTA(条幅!$B$11:$B$310)),""))))</f>
        <v/>
      </c>
      <c r="C354" s="38" t="str">
        <f>IF(IF(349&lt;=COUNTA(半紙!$B$11:$B$310),INDEX(半紙!$C$11:$C$310,349),IF(349&lt;=COUNTA(半紙!$B$11:$B$310)+COUNTA(条幅!$B$11:$B$310),INDEX(条幅!$C$11:$C$310,349-COUNTA(半紙!$B$11:$B$310)),IF(349&lt;=COUNTA(半紙!$B$11:$B$310)+COUNTA(条幅!$B$11:$B$310)+COUNTA(条幅4分の1!$B$11:$B$310),INDEX(条幅4分の1!$C$11:$C$310,349-COUNTA(半紙!$B$11:$B$310)-COUNTA(条幅!$B$11:$B$310)),"")))=0,"",IF(349&lt;=COUNTA(半紙!$B$11:$B$310),INDEX(半紙!$C$11:$C$310,349),IF(349&lt;=COUNTA(半紙!$B$11:$B$310)+COUNTA(条幅!$B$11:$B$310),INDEX(条幅!$C$11:$C$310,349-COUNTA(半紙!$B$11:$B$310)),IF(349&lt;=COUNTA(半紙!$B$11:$B$310)+COUNTA(条幅!$B$11:$B$310)+COUNTA(条幅4分の1!$B$11:$B$310),INDEX(条幅4分の1!$C$11:$C$310,349-COUNTA(半紙!$B$11:$B$310)-COUNTA(条幅!$B$11:$B$310)),""))))</f>
        <v/>
      </c>
      <c r="D354" s="38" t="str">
        <f>IF(IF(349&lt;=COUNTA(半紙!$B$11:$B$310),INDEX(半紙!$D$11:$D$310,349),IF(349&lt;=COUNTA(半紙!$B$11:$B$310)+COUNTA(条幅!$B$11:$B$310),INDEX(条幅!$D$11:$D$310,349-COUNTA(半紙!$B$11:$B$310)),IF(349&lt;=COUNTA(半紙!$B$11:$B$310)+COUNTA(条幅!$B$11:$B$310)+COUNTA(条幅4分の1!$B$11:$B$310),INDEX(条幅4分の1!$D$11:$D$310,349-COUNTA(半紙!$B$11:$B$310)-COUNTA(条幅!$B$11:$B$310)),"")))=0,"",IF(349&lt;=COUNTA(半紙!$B$11:$B$310),INDEX(半紙!$D$11:$D$310,349),IF(349&lt;=COUNTA(半紙!$B$11:$B$310)+COUNTA(条幅!$B$11:$B$310),INDEX(条幅!$D$11:$D$310,349-COUNTA(半紙!$B$11:$B$310)),IF(349&lt;=COUNTA(半紙!$B$11:$B$310)+COUNTA(条幅!$B$11:$B$310)+COUNTA(条幅4分の1!$B$11:$B$310),INDEX(条幅4分の1!$D$11:$D$310,349-COUNTA(半紙!$B$11:$B$310)-COUNTA(条幅!$B$11:$B$310)),""))))</f>
        <v/>
      </c>
      <c r="E354" s="38" t="str">
        <f>IF(IF(349&lt;=COUNTA(半紙!$B$11:$B$310),INDEX(半紙!$E$11:$E$310,349),IF(349&lt;=COUNTA(半紙!$B$11:$B$310)+COUNTA(条幅!$B$11:$B$310),INDEX(条幅!$E$11:$E$310,349-COUNTA(半紙!$B$11:$B$310)),IF(349&lt;=COUNTA(半紙!$B$11:$B$310)+COUNTA(条幅!$B$11:$B$310)+COUNTA(条幅4分の1!$B$11:$B$310),INDEX(条幅4分の1!$E$11:$E$310,349-COUNTA(半紙!$B$11:$B$310)-COUNTA(条幅!$B$11:$B$310)),"")))=0,"",IF(349&lt;=COUNTA(半紙!$B$11:$B$310),INDEX(半紙!$E$11:$E$310,349),IF(349&lt;=COUNTA(半紙!$B$11:$B$310)+COUNTA(条幅!$B$11:$B$310),INDEX(条幅!$E$11:$E$310,349-COUNTA(半紙!$B$11:$B$310)),IF(349&lt;=COUNTA(半紙!$B$11:$B$310)+COUNTA(条幅!$B$11:$B$310)+COUNTA(条幅4分の1!$B$11:$B$310),INDEX(条幅4分の1!$E$11:$E$310,349-COUNTA(半紙!$B$11:$B$310)-COUNTA(条幅!$B$11:$B$310)),""))))</f>
        <v/>
      </c>
      <c r="F354" s="38" t="str">
        <f>IF(IF(349&lt;=COUNTA(半紙!$B$11:$B$310),INDEX(半紙!$F$11:$F$310,349),IF(349&lt;=COUNTA(半紙!$B$11:$B$310)+COUNTA(条幅!$B$11:$B$310),INDEX(条幅!$F$11:$F$310,349-COUNTA(半紙!$B$11:$B$310)),IF(349&lt;=COUNTA(半紙!$B$11:$B$310)+COUNTA(条幅!$B$11:$B$310)+COUNTA(条幅4分の1!$B$11:$B$310),INDEX(条幅4分の1!$F$11:$F$310,349-COUNTA(半紙!$B$11:$B$310)-COUNTA(条幅!$B$11:$B$310)),"")))=0,"",IF(349&lt;=COUNTA(半紙!$B$11:$B$310),INDEX(半紙!$F$11:$F$310,349),IF(349&lt;=COUNTA(半紙!$B$11:$B$310)+COUNTA(条幅!$B$11:$B$310),INDEX(条幅!$F$11:$F$310,349-COUNTA(半紙!$B$11:$B$310)),IF(349&lt;=COUNTA(半紙!$B$11:$B$310)+COUNTA(条幅!$B$11:$B$310)+COUNTA(条幅4分の1!$B$11:$B$310),INDEX(条幅4分の1!$F$11:$F$310,349-COUNTA(半紙!$B$11:$B$310)-COUNTA(条幅!$B$11:$B$310)),""))))</f>
        <v/>
      </c>
      <c r="G354" s="38" t="str">
        <f>IF(IF(349&lt;=COUNTA(半紙!$B$11:$B$310),INDEX(半紙!$G$11:$G$310,349),IF(349&lt;=COUNTA(半紙!$B$11:$B$310)+COUNTA(条幅!$B$11:$B$310),INDEX(条幅!$G$11:$G$310,349-COUNTA(半紙!$B$11:$B$310)),IF(349&lt;=COUNTA(半紙!$B$11:$B$310)+COUNTA(条幅!$B$11:$B$310)+COUNTA(条幅4分の1!$B$11:$B$310),INDEX(条幅4分の1!$G$11:$G$310,349-COUNTA(半紙!$B$11:$B$310)-COUNTA(条幅!$B$11:$B$310)),"")))=0,"",IF(349&lt;=COUNTA(半紙!$B$11:$B$310),INDEX(半紙!$G$11:$G$310,349),IF(349&lt;=COUNTA(半紙!$B$11:$B$310)+COUNTA(条幅!$B$11:$B$310),INDEX(条幅!$G$11:$G$310,349-COUNTA(半紙!$B$11:$B$310)),IF(349&lt;=COUNTA(半紙!$B$11:$B$310)+COUNTA(条幅!$B$11:$B$310)+COUNTA(条幅4分の1!$B$11:$B$310),INDEX(条幅4分の1!$G$11:$G$310,349-COUNTA(半紙!$B$11:$B$310)-COUNTA(条幅!$B$11:$B$310)),""))))</f>
        <v/>
      </c>
      <c r="H354" s="38" t="str">
        <f>IF(IF(349&lt;=COUNTA(半紙!$B$11:$B$310),INDEX(半紙!$H$11:$H$310,349),IF(349&lt;=COUNTA(半紙!$B$11:$B$310)+COUNTA(条幅!$B$11:$B$310),INDEX(条幅!$H$11:$H$310,349-COUNTA(半紙!$B$11:$B$310)),IF(349&lt;=COUNTA(半紙!$B$11:$B$310)+COUNTA(条幅!$B$11:$B$310)+COUNTA(条幅4分の1!$B$11:$B$310),INDEX(条幅4分の1!$H$11:$H$310,349-COUNTA(半紙!$B$11:$B$310)-COUNTA(条幅!$B$11:$B$310)),"")))=0,"",IF(349&lt;=COUNTA(半紙!$B$11:$B$310),INDEX(半紙!$H$11:$H$310,349),IF(349&lt;=COUNTA(半紙!$B$11:$B$310)+COUNTA(条幅!$B$11:$B$310),INDEX(条幅!$H$11:$H$310,349-COUNTA(半紙!$B$11:$B$310)),IF(349&lt;=COUNTA(半紙!$B$11:$B$310)+COUNTA(条幅!$B$11:$B$310)+COUNTA(条幅4分の1!$B$11:$B$310),INDEX(条幅4分の1!$H$11:$H$310,349-COUNTA(半紙!$B$11:$B$310)-COUNTA(条幅!$B$11:$B$310)),""))))</f>
        <v/>
      </c>
      <c r="I354" s="38" t="str">
        <f>IF(IF(349&lt;=COUNTA(半紙!$B$11:$B$310),INDEX(半紙!$I$11:$I$310,349),IF(349&lt;=COUNTA(半紙!$B$11:$B$310)+COUNTA(条幅!$B$11:$B$310),INDEX(条幅!$I$11:$I$310,349-COUNTA(半紙!$B$11:$B$310)),IF(349&lt;=COUNTA(半紙!$B$11:$B$310)+COUNTA(条幅!$B$11:$B$310)+COUNTA(条幅4分の1!$B$11:$B$310),INDEX(条幅4分の1!$I$11:$I$310,349-COUNTA(半紙!$B$11:$B$310)-COUNTA(条幅!$B$11:$B$310)),"")))=0,"",IF(349&lt;=COUNTA(半紙!$B$11:$B$310),INDEX(半紙!$I$11:$I$310,349),IF(349&lt;=COUNTA(半紙!$B$11:$B$310)+COUNTA(条幅!$B$11:$B$310),INDEX(条幅!$I$11:$I$310,349-COUNTA(半紙!$B$11:$B$310)),IF(349&lt;=COUNTA(半紙!$B$11:$B$310)+COUNTA(条幅!$B$11:$B$310)+COUNTA(条幅4分の1!$B$11:$B$310),INDEX(条幅4分の1!$I$11:$I$310,349-COUNTA(半紙!$B$11:$B$310)-COUNTA(条幅!$B$11:$B$310)),""))))</f>
        <v/>
      </c>
      <c r="J354" s="38" t="str">
        <f>IF(IF(349&lt;=COUNTA(半紙!$B$11:$B$310),INDEX(半紙!$J$11:$J$310,349),IF(349&lt;=COUNTA(半紙!$B$11:$B$310)+COUNTA(条幅!$B$11:$B$310),INDEX(条幅!$J$11:$J$310,349-COUNTA(半紙!$B$11:$B$310)),IF(349&lt;=COUNTA(半紙!$B$11:$B$310)+COUNTA(条幅!$B$11:$B$310)+COUNTA(条幅4分の1!$B$11:$B$310),INDEX(条幅4分の1!$J$11:$J$310,349-COUNTA(半紙!$B$11:$B$310)-COUNTA(条幅!$B$11:$B$310)),"")))=0,"",IF(349&lt;=COUNTA(半紙!$B$11:$B$310),INDEX(半紙!$J$11:$J$310,349),IF(349&lt;=COUNTA(半紙!$B$11:$B$310)+COUNTA(条幅!$B$11:$B$310),INDEX(条幅!$J$11:$J$310,349-COUNTA(半紙!$B$11:$B$310)),IF(349&lt;=COUNTA(半紙!$B$11:$B$310)+COUNTA(条幅!$B$11:$B$310)+COUNTA(条幅4分の1!$B$11:$B$310),INDEX(条幅4分の1!$J$11:$J$310,349-COUNTA(半紙!$B$11:$B$310)-COUNTA(条幅!$B$11:$B$310)),""))))</f>
        <v/>
      </c>
      <c r="K354" s="38" t="str">
        <f>IF(IF(349&lt;=COUNTA(半紙!$B$11:$B$310),INDEX(半紙!$K$11:$K$310,349),IF(349&lt;=COUNTA(半紙!$B$11:$B$310)+COUNTA(条幅!$B$11:$B$310),INDEX(条幅!$K$11:$K$310,349-COUNTA(半紙!$B$11:$B$310)),IF(349&lt;=COUNTA(半紙!$B$11:$B$310)+COUNTA(条幅!$B$11:$B$310)+COUNTA(条幅4分の1!$B$11:$B$310),INDEX(条幅4分の1!$K$11:$K$310,349-COUNTA(半紙!$B$11:$B$310)-COUNTA(条幅!$B$11:$B$310)),"")))=0,"",IF(349&lt;=COUNTA(半紙!$B$11:$B$310),INDEX(半紙!$K$11:$K$310,349),IF(349&lt;=COUNTA(半紙!$B$11:$B$310)+COUNTA(条幅!$B$11:$B$310),INDEX(条幅!$K$11:$K$310,349-COUNTA(半紙!$B$11:$B$310)),IF(349&lt;=COUNTA(半紙!$B$11:$B$310)+COUNTA(条幅!$B$11:$B$310)+COUNTA(条幅4分の1!$B$11:$B$310),INDEX(条幅4分の1!$K$11:$K$310,349-COUNTA(半紙!$B$11:$B$310)-COUNTA(条幅!$B$11:$B$310)),""))))</f>
        <v/>
      </c>
      <c r="L354" s="48" t="str">
        <f>IF($B354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349))</f>
        <v/>
      </c>
    </row>
    <row r="355" spans="1:12" ht="15" customHeight="1">
      <c r="A355" s="37" t="str">
        <f>IF(350&lt;=COUNTA(半紙!$B$11:$B$310),"半紙",IF(350&lt;=COUNTA(半紙!$B$11:$B$310)+COUNTA(条幅!$B$11:$B$310),"条幅(半切)",IF(350&lt;=COUNTA(半紙!$B$11:$B$310)+COUNTA(条幅!$B$11:$B$310)+COUNTA(条幅4分の1!$B$11:$B$310),"条幅(1/4)","")))</f>
        <v/>
      </c>
      <c r="B355" s="38" t="str">
        <f>IF(IF(350&lt;=COUNTA(半紙!$B$11:$B$310),INDEX(半紙!$B$11:$B$310,350),IF(350&lt;=COUNTA(半紙!$B$11:$B$310)+COUNTA(条幅!$B$11:$B$310),INDEX(条幅!$B$11:$B$310,350-COUNTA(半紙!$B$11:$B$310)),IF(350&lt;=COUNTA(半紙!$B$11:$B$310)+COUNTA(条幅!$B$11:$B$310)+COUNTA(条幅4分の1!$B$11:$B$310),INDEX(条幅4分の1!$B$11:$B$310,350-COUNTA(半紙!$B$11:$B$310)-COUNTA(条幅!$B$11:$B$310)),"")))=0,"",IF(350&lt;=COUNTA(半紙!$B$11:$B$310),INDEX(半紙!$B$11:$B$310,350),IF(350&lt;=COUNTA(半紙!$B$11:$B$310)+COUNTA(条幅!$B$11:$B$310),INDEX(条幅!$B$11:$B$310,350-COUNTA(半紙!$B$11:$B$310)),IF(350&lt;=COUNTA(半紙!$B$11:$B$310)+COUNTA(条幅!$B$11:$B$310)+COUNTA(条幅4分の1!$B$11:$B$310),INDEX(条幅4分の1!$B$11:$B$310,350-COUNTA(半紙!$B$11:$B$310)-COUNTA(条幅!$B$11:$B$310)),""))))</f>
        <v/>
      </c>
      <c r="C355" s="38" t="str">
        <f>IF(IF(350&lt;=COUNTA(半紙!$B$11:$B$310),INDEX(半紙!$C$11:$C$310,350),IF(350&lt;=COUNTA(半紙!$B$11:$B$310)+COUNTA(条幅!$B$11:$B$310),INDEX(条幅!$C$11:$C$310,350-COUNTA(半紙!$B$11:$B$310)),IF(350&lt;=COUNTA(半紙!$B$11:$B$310)+COUNTA(条幅!$B$11:$B$310)+COUNTA(条幅4分の1!$B$11:$B$310),INDEX(条幅4分の1!$C$11:$C$310,350-COUNTA(半紙!$B$11:$B$310)-COUNTA(条幅!$B$11:$B$310)),"")))=0,"",IF(350&lt;=COUNTA(半紙!$B$11:$B$310),INDEX(半紙!$C$11:$C$310,350),IF(350&lt;=COUNTA(半紙!$B$11:$B$310)+COUNTA(条幅!$B$11:$B$310),INDEX(条幅!$C$11:$C$310,350-COUNTA(半紙!$B$11:$B$310)),IF(350&lt;=COUNTA(半紙!$B$11:$B$310)+COUNTA(条幅!$B$11:$B$310)+COUNTA(条幅4分の1!$B$11:$B$310),INDEX(条幅4分の1!$C$11:$C$310,350-COUNTA(半紙!$B$11:$B$310)-COUNTA(条幅!$B$11:$B$310)),""))))</f>
        <v/>
      </c>
      <c r="D355" s="38" t="str">
        <f>IF(IF(350&lt;=COUNTA(半紙!$B$11:$B$310),INDEX(半紙!$D$11:$D$310,350),IF(350&lt;=COUNTA(半紙!$B$11:$B$310)+COUNTA(条幅!$B$11:$B$310),INDEX(条幅!$D$11:$D$310,350-COUNTA(半紙!$B$11:$B$310)),IF(350&lt;=COUNTA(半紙!$B$11:$B$310)+COUNTA(条幅!$B$11:$B$310)+COUNTA(条幅4分の1!$B$11:$B$310),INDEX(条幅4分の1!$D$11:$D$310,350-COUNTA(半紙!$B$11:$B$310)-COUNTA(条幅!$B$11:$B$310)),"")))=0,"",IF(350&lt;=COUNTA(半紙!$B$11:$B$310),INDEX(半紙!$D$11:$D$310,350),IF(350&lt;=COUNTA(半紙!$B$11:$B$310)+COUNTA(条幅!$B$11:$B$310),INDEX(条幅!$D$11:$D$310,350-COUNTA(半紙!$B$11:$B$310)),IF(350&lt;=COUNTA(半紙!$B$11:$B$310)+COUNTA(条幅!$B$11:$B$310)+COUNTA(条幅4分の1!$B$11:$B$310),INDEX(条幅4分の1!$D$11:$D$310,350-COUNTA(半紙!$B$11:$B$310)-COUNTA(条幅!$B$11:$B$310)),""))))</f>
        <v/>
      </c>
      <c r="E355" s="38" t="str">
        <f>IF(IF(350&lt;=COUNTA(半紙!$B$11:$B$310),INDEX(半紙!$E$11:$E$310,350),IF(350&lt;=COUNTA(半紙!$B$11:$B$310)+COUNTA(条幅!$B$11:$B$310),INDEX(条幅!$E$11:$E$310,350-COUNTA(半紙!$B$11:$B$310)),IF(350&lt;=COUNTA(半紙!$B$11:$B$310)+COUNTA(条幅!$B$11:$B$310)+COUNTA(条幅4分の1!$B$11:$B$310),INDEX(条幅4分の1!$E$11:$E$310,350-COUNTA(半紙!$B$11:$B$310)-COUNTA(条幅!$B$11:$B$310)),"")))=0,"",IF(350&lt;=COUNTA(半紙!$B$11:$B$310),INDEX(半紙!$E$11:$E$310,350),IF(350&lt;=COUNTA(半紙!$B$11:$B$310)+COUNTA(条幅!$B$11:$B$310),INDEX(条幅!$E$11:$E$310,350-COUNTA(半紙!$B$11:$B$310)),IF(350&lt;=COUNTA(半紙!$B$11:$B$310)+COUNTA(条幅!$B$11:$B$310)+COUNTA(条幅4分の1!$B$11:$B$310),INDEX(条幅4分の1!$E$11:$E$310,350-COUNTA(半紙!$B$11:$B$310)-COUNTA(条幅!$B$11:$B$310)),""))))</f>
        <v/>
      </c>
      <c r="F355" s="38" t="str">
        <f>IF(IF(350&lt;=COUNTA(半紙!$B$11:$B$310),INDEX(半紙!$F$11:$F$310,350),IF(350&lt;=COUNTA(半紙!$B$11:$B$310)+COUNTA(条幅!$B$11:$B$310),INDEX(条幅!$F$11:$F$310,350-COUNTA(半紙!$B$11:$B$310)),IF(350&lt;=COUNTA(半紙!$B$11:$B$310)+COUNTA(条幅!$B$11:$B$310)+COUNTA(条幅4分の1!$B$11:$B$310),INDEX(条幅4分の1!$F$11:$F$310,350-COUNTA(半紙!$B$11:$B$310)-COUNTA(条幅!$B$11:$B$310)),"")))=0,"",IF(350&lt;=COUNTA(半紙!$B$11:$B$310),INDEX(半紙!$F$11:$F$310,350),IF(350&lt;=COUNTA(半紙!$B$11:$B$310)+COUNTA(条幅!$B$11:$B$310),INDEX(条幅!$F$11:$F$310,350-COUNTA(半紙!$B$11:$B$310)),IF(350&lt;=COUNTA(半紙!$B$11:$B$310)+COUNTA(条幅!$B$11:$B$310)+COUNTA(条幅4分の1!$B$11:$B$310),INDEX(条幅4分の1!$F$11:$F$310,350-COUNTA(半紙!$B$11:$B$310)-COUNTA(条幅!$B$11:$B$310)),""))))</f>
        <v/>
      </c>
      <c r="G355" s="38" t="str">
        <f>IF(IF(350&lt;=COUNTA(半紙!$B$11:$B$310),INDEX(半紙!$G$11:$G$310,350),IF(350&lt;=COUNTA(半紙!$B$11:$B$310)+COUNTA(条幅!$B$11:$B$310),INDEX(条幅!$G$11:$G$310,350-COUNTA(半紙!$B$11:$B$310)),IF(350&lt;=COUNTA(半紙!$B$11:$B$310)+COUNTA(条幅!$B$11:$B$310)+COUNTA(条幅4分の1!$B$11:$B$310),INDEX(条幅4分の1!$G$11:$G$310,350-COUNTA(半紙!$B$11:$B$310)-COUNTA(条幅!$B$11:$B$310)),"")))=0,"",IF(350&lt;=COUNTA(半紙!$B$11:$B$310),INDEX(半紙!$G$11:$G$310,350),IF(350&lt;=COUNTA(半紙!$B$11:$B$310)+COUNTA(条幅!$B$11:$B$310),INDEX(条幅!$G$11:$G$310,350-COUNTA(半紙!$B$11:$B$310)),IF(350&lt;=COUNTA(半紙!$B$11:$B$310)+COUNTA(条幅!$B$11:$B$310)+COUNTA(条幅4分の1!$B$11:$B$310),INDEX(条幅4分の1!$G$11:$G$310,350-COUNTA(半紙!$B$11:$B$310)-COUNTA(条幅!$B$11:$B$310)),""))))</f>
        <v/>
      </c>
      <c r="H355" s="38" t="str">
        <f>IF(IF(350&lt;=COUNTA(半紙!$B$11:$B$310),INDEX(半紙!$H$11:$H$310,350),IF(350&lt;=COUNTA(半紙!$B$11:$B$310)+COUNTA(条幅!$B$11:$B$310),INDEX(条幅!$H$11:$H$310,350-COUNTA(半紙!$B$11:$B$310)),IF(350&lt;=COUNTA(半紙!$B$11:$B$310)+COUNTA(条幅!$B$11:$B$310)+COUNTA(条幅4分の1!$B$11:$B$310),INDEX(条幅4分の1!$H$11:$H$310,350-COUNTA(半紙!$B$11:$B$310)-COUNTA(条幅!$B$11:$B$310)),"")))=0,"",IF(350&lt;=COUNTA(半紙!$B$11:$B$310),INDEX(半紙!$H$11:$H$310,350),IF(350&lt;=COUNTA(半紙!$B$11:$B$310)+COUNTA(条幅!$B$11:$B$310),INDEX(条幅!$H$11:$H$310,350-COUNTA(半紙!$B$11:$B$310)),IF(350&lt;=COUNTA(半紙!$B$11:$B$310)+COUNTA(条幅!$B$11:$B$310)+COUNTA(条幅4分の1!$B$11:$B$310),INDEX(条幅4分の1!$H$11:$H$310,350-COUNTA(半紙!$B$11:$B$310)-COUNTA(条幅!$B$11:$B$310)),""))))</f>
        <v/>
      </c>
      <c r="I355" s="38" t="str">
        <f>IF(IF(350&lt;=COUNTA(半紙!$B$11:$B$310),INDEX(半紙!$I$11:$I$310,350),IF(350&lt;=COUNTA(半紙!$B$11:$B$310)+COUNTA(条幅!$B$11:$B$310),INDEX(条幅!$I$11:$I$310,350-COUNTA(半紙!$B$11:$B$310)),IF(350&lt;=COUNTA(半紙!$B$11:$B$310)+COUNTA(条幅!$B$11:$B$310)+COUNTA(条幅4分の1!$B$11:$B$310),INDEX(条幅4分の1!$I$11:$I$310,350-COUNTA(半紙!$B$11:$B$310)-COUNTA(条幅!$B$11:$B$310)),"")))=0,"",IF(350&lt;=COUNTA(半紙!$B$11:$B$310),INDEX(半紙!$I$11:$I$310,350),IF(350&lt;=COUNTA(半紙!$B$11:$B$310)+COUNTA(条幅!$B$11:$B$310),INDEX(条幅!$I$11:$I$310,350-COUNTA(半紙!$B$11:$B$310)),IF(350&lt;=COUNTA(半紙!$B$11:$B$310)+COUNTA(条幅!$B$11:$B$310)+COUNTA(条幅4分の1!$B$11:$B$310),INDEX(条幅4分の1!$I$11:$I$310,350-COUNTA(半紙!$B$11:$B$310)-COUNTA(条幅!$B$11:$B$310)),""))))</f>
        <v/>
      </c>
      <c r="J355" s="38" t="str">
        <f>IF(IF(350&lt;=COUNTA(半紙!$B$11:$B$310),INDEX(半紙!$J$11:$J$310,350),IF(350&lt;=COUNTA(半紙!$B$11:$B$310)+COUNTA(条幅!$B$11:$B$310),INDEX(条幅!$J$11:$J$310,350-COUNTA(半紙!$B$11:$B$310)),IF(350&lt;=COUNTA(半紙!$B$11:$B$310)+COUNTA(条幅!$B$11:$B$310)+COUNTA(条幅4分の1!$B$11:$B$310),INDEX(条幅4分の1!$J$11:$J$310,350-COUNTA(半紙!$B$11:$B$310)-COUNTA(条幅!$B$11:$B$310)),"")))=0,"",IF(350&lt;=COUNTA(半紙!$B$11:$B$310),INDEX(半紙!$J$11:$J$310,350),IF(350&lt;=COUNTA(半紙!$B$11:$B$310)+COUNTA(条幅!$B$11:$B$310),INDEX(条幅!$J$11:$J$310,350-COUNTA(半紙!$B$11:$B$310)),IF(350&lt;=COUNTA(半紙!$B$11:$B$310)+COUNTA(条幅!$B$11:$B$310)+COUNTA(条幅4分の1!$B$11:$B$310),INDEX(条幅4分の1!$J$11:$J$310,350-COUNTA(半紙!$B$11:$B$310)-COUNTA(条幅!$B$11:$B$310)),""))))</f>
        <v/>
      </c>
      <c r="K355" s="38" t="str">
        <f>IF(IF(350&lt;=COUNTA(半紙!$B$11:$B$310),INDEX(半紙!$K$11:$K$310,350),IF(350&lt;=COUNTA(半紙!$B$11:$B$310)+COUNTA(条幅!$B$11:$B$310),INDEX(条幅!$K$11:$K$310,350-COUNTA(半紙!$B$11:$B$310)),IF(350&lt;=COUNTA(半紙!$B$11:$B$310)+COUNTA(条幅!$B$11:$B$310)+COUNTA(条幅4分の1!$B$11:$B$310),INDEX(条幅4分の1!$K$11:$K$310,350-COUNTA(半紙!$B$11:$B$310)-COUNTA(条幅!$B$11:$B$310)),"")))=0,"",IF(350&lt;=COUNTA(半紙!$B$11:$B$310),INDEX(半紙!$K$11:$K$310,350),IF(350&lt;=COUNTA(半紙!$B$11:$B$310)+COUNTA(条幅!$B$11:$B$310),INDEX(条幅!$K$11:$K$310,350-COUNTA(半紙!$B$11:$B$310)),IF(350&lt;=COUNTA(半紙!$B$11:$B$310)+COUNTA(条幅!$B$11:$B$310)+COUNTA(条幅4分の1!$B$11:$B$310),INDEX(条幅4分の1!$K$11:$K$310,350-COUNTA(半紙!$B$11:$B$310)-COUNTA(条幅!$B$11:$B$310)),""))))</f>
        <v/>
      </c>
      <c r="L355" s="48" t="str">
        <f>IF($B355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350))</f>
        <v/>
      </c>
    </row>
    <row r="356" spans="1:12" ht="15" customHeight="1">
      <c r="A356" s="37" t="str">
        <f>IF(351&lt;=COUNTA(半紙!$B$11:$B$310),"半紙",IF(351&lt;=COUNTA(半紙!$B$11:$B$310)+COUNTA(条幅!$B$11:$B$310),"条幅(半切)",IF(351&lt;=COUNTA(半紙!$B$11:$B$310)+COUNTA(条幅!$B$11:$B$310)+COUNTA(条幅4分の1!$B$11:$B$310),"条幅(1/4)","")))</f>
        <v/>
      </c>
      <c r="B356" s="38" t="str">
        <f>IF(IF(351&lt;=COUNTA(半紙!$B$11:$B$310),INDEX(半紙!$B$11:$B$310,351),IF(351&lt;=COUNTA(半紙!$B$11:$B$310)+COUNTA(条幅!$B$11:$B$310),INDEX(条幅!$B$11:$B$310,351-COUNTA(半紙!$B$11:$B$310)),IF(351&lt;=COUNTA(半紙!$B$11:$B$310)+COUNTA(条幅!$B$11:$B$310)+COUNTA(条幅4分の1!$B$11:$B$310),INDEX(条幅4分の1!$B$11:$B$310,351-COUNTA(半紙!$B$11:$B$310)-COUNTA(条幅!$B$11:$B$310)),"")))=0,"",IF(351&lt;=COUNTA(半紙!$B$11:$B$310),INDEX(半紙!$B$11:$B$310,351),IF(351&lt;=COUNTA(半紙!$B$11:$B$310)+COUNTA(条幅!$B$11:$B$310),INDEX(条幅!$B$11:$B$310,351-COUNTA(半紙!$B$11:$B$310)),IF(351&lt;=COUNTA(半紙!$B$11:$B$310)+COUNTA(条幅!$B$11:$B$310)+COUNTA(条幅4分の1!$B$11:$B$310),INDEX(条幅4分の1!$B$11:$B$310,351-COUNTA(半紙!$B$11:$B$310)-COUNTA(条幅!$B$11:$B$310)),""))))</f>
        <v/>
      </c>
      <c r="C356" s="38" t="str">
        <f>IF(IF(351&lt;=COUNTA(半紙!$B$11:$B$310),INDEX(半紙!$C$11:$C$310,351),IF(351&lt;=COUNTA(半紙!$B$11:$B$310)+COUNTA(条幅!$B$11:$B$310),INDEX(条幅!$C$11:$C$310,351-COUNTA(半紙!$B$11:$B$310)),IF(351&lt;=COUNTA(半紙!$B$11:$B$310)+COUNTA(条幅!$B$11:$B$310)+COUNTA(条幅4分の1!$B$11:$B$310),INDEX(条幅4分の1!$C$11:$C$310,351-COUNTA(半紙!$B$11:$B$310)-COUNTA(条幅!$B$11:$B$310)),"")))=0,"",IF(351&lt;=COUNTA(半紙!$B$11:$B$310),INDEX(半紙!$C$11:$C$310,351),IF(351&lt;=COUNTA(半紙!$B$11:$B$310)+COUNTA(条幅!$B$11:$B$310),INDEX(条幅!$C$11:$C$310,351-COUNTA(半紙!$B$11:$B$310)),IF(351&lt;=COUNTA(半紙!$B$11:$B$310)+COUNTA(条幅!$B$11:$B$310)+COUNTA(条幅4分の1!$B$11:$B$310),INDEX(条幅4分の1!$C$11:$C$310,351-COUNTA(半紙!$B$11:$B$310)-COUNTA(条幅!$B$11:$B$310)),""))))</f>
        <v/>
      </c>
      <c r="D356" s="38" t="str">
        <f>IF(IF(351&lt;=COUNTA(半紙!$B$11:$B$310),INDEX(半紙!$D$11:$D$310,351),IF(351&lt;=COUNTA(半紙!$B$11:$B$310)+COUNTA(条幅!$B$11:$B$310),INDEX(条幅!$D$11:$D$310,351-COUNTA(半紙!$B$11:$B$310)),IF(351&lt;=COUNTA(半紙!$B$11:$B$310)+COUNTA(条幅!$B$11:$B$310)+COUNTA(条幅4分の1!$B$11:$B$310),INDEX(条幅4分の1!$D$11:$D$310,351-COUNTA(半紙!$B$11:$B$310)-COUNTA(条幅!$B$11:$B$310)),"")))=0,"",IF(351&lt;=COUNTA(半紙!$B$11:$B$310),INDEX(半紙!$D$11:$D$310,351),IF(351&lt;=COUNTA(半紙!$B$11:$B$310)+COUNTA(条幅!$B$11:$B$310),INDEX(条幅!$D$11:$D$310,351-COUNTA(半紙!$B$11:$B$310)),IF(351&lt;=COUNTA(半紙!$B$11:$B$310)+COUNTA(条幅!$B$11:$B$310)+COUNTA(条幅4分の1!$B$11:$B$310),INDEX(条幅4分の1!$D$11:$D$310,351-COUNTA(半紙!$B$11:$B$310)-COUNTA(条幅!$B$11:$B$310)),""))))</f>
        <v/>
      </c>
      <c r="E356" s="38" t="str">
        <f>IF(IF(351&lt;=COUNTA(半紙!$B$11:$B$310),INDEX(半紙!$E$11:$E$310,351),IF(351&lt;=COUNTA(半紙!$B$11:$B$310)+COUNTA(条幅!$B$11:$B$310),INDEX(条幅!$E$11:$E$310,351-COUNTA(半紙!$B$11:$B$310)),IF(351&lt;=COUNTA(半紙!$B$11:$B$310)+COUNTA(条幅!$B$11:$B$310)+COUNTA(条幅4分の1!$B$11:$B$310),INDEX(条幅4分の1!$E$11:$E$310,351-COUNTA(半紙!$B$11:$B$310)-COUNTA(条幅!$B$11:$B$310)),"")))=0,"",IF(351&lt;=COUNTA(半紙!$B$11:$B$310),INDEX(半紙!$E$11:$E$310,351),IF(351&lt;=COUNTA(半紙!$B$11:$B$310)+COUNTA(条幅!$B$11:$B$310),INDEX(条幅!$E$11:$E$310,351-COUNTA(半紙!$B$11:$B$310)),IF(351&lt;=COUNTA(半紙!$B$11:$B$310)+COUNTA(条幅!$B$11:$B$310)+COUNTA(条幅4分の1!$B$11:$B$310),INDEX(条幅4分の1!$E$11:$E$310,351-COUNTA(半紙!$B$11:$B$310)-COUNTA(条幅!$B$11:$B$310)),""))))</f>
        <v/>
      </c>
      <c r="F356" s="38" t="str">
        <f>IF(IF(351&lt;=COUNTA(半紙!$B$11:$B$310),INDEX(半紙!$F$11:$F$310,351),IF(351&lt;=COUNTA(半紙!$B$11:$B$310)+COUNTA(条幅!$B$11:$B$310),INDEX(条幅!$F$11:$F$310,351-COUNTA(半紙!$B$11:$B$310)),IF(351&lt;=COUNTA(半紙!$B$11:$B$310)+COUNTA(条幅!$B$11:$B$310)+COUNTA(条幅4分の1!$B$11:$B$310),INDEX(条幅4分の1!$F$11:$F$310,351-COUNTA(半紙!$B$11:$B$310)-COUNTA(条幅!$B$11:$B$310)),"")))=0,"",IF(351&lt;=COUNTA(半紙!$B$11:$B$310),INDEX(半紙!$F$11:$F$310,351),IF(351&lt;=COUNTA(半紙!$B$11:$B$310)+COUNTA(条幅!$B$11:$B$310),INDEX(条幅!$F$11:$F$310,351-COUNTA(半紙!$B$11:$B$310)),IF(351&lt;=COUNTA(半紙!$B$11:$B$310)+COUNTA(条幅!$B$11:$B$310)+COUNTA(条幅4分の1!$B$11:$B$310),INDEX(条幅4分の1!$F$11:$F$310,351-COUNTA(半紙!$B$11:$B$310)-COUNTA(条幅!$B$11:$B$310)),""))))</f>
        <v/>
      </c>
      <c r="G356" s="38" t="str">
        <f>IF(IF(351&lt;=COUNTA(半紙!$B$11:$B$310),INDEX(半紙!$G$11:$G$310,351),IF(351&lt;=COUNTA(半紙!$B$11:$B$310)+COUNTA(条幅!$B$11:$B$310),INDEX(条幅!$G$11:$G$310,351-COUNTA(半紙!$B$11:$B$310)),IF(351&lt;=COUNTA(半紙!$B$11:$B$310)+COUNTA(条幅!$B$11:$B$310)+COUNTA(条幅4分の1!$B$11:$B$310),INDEX(条幅4分の1!$G$11:$G$310,351-COUNTA(半紙!$B$11:$B$310)-COUNTA(条幅!$B$11:$B$310)),"")))=0,"",IF(351&lt;=COUNTA(半紙!$B$11:$B$310),INDEX(半紙!$G$11:$G$310,351),IF(351&lt;=COUNTA(半紙!$B$11:$B$310)+COUNTA(条幅!$B$11:$B$310),INDEX(条幅!$G$11:$G$310,351-COUNTA(半紙!$B$11:$B$310)),IF(351&lt;=COUNTA(半紙!$B$11:$B$310)+COUNTA(条幅!$B$11:$B$310)+COUNTA(条幅4分の1!$B$11:$B$310),INDEX(条幅4分の1!$G$11:$G$310,351-COUNTA(半紙!$B$11:$B$310)-COUNTA(条幅!$B$11:$B$310)),""))))</f>
        <v/>
      </c>
      <c r="H356" s="38" t="str">
        <f>IF(IF(351&lt;=COUNTA(半紙!$B$11:$B$310),INDEX(半紙!$H$11:$H$310,351),IF(351&lt;=COUNTA(半紙!$B$11:$B$310)+COUNTA(条幅!$B$11:$B$310),INDEX(条幅!$H$11:$H$310,351-COUNTA(半紙!$B$11:$B$310)),IF(351&lt;=COUNTA(半紙!$B$11:$B$310)+COUNTA(条幅!$B$11:$B$310)+COUNTA(条幅4分の1!$B$11:$B$310),INDEX(条幅4分の1!$H$11:$H$310,351-COUNTA(半紙!$B$11:$B$310)-COUNTA(条幅!$B$11:$B$310)),"")))=0,"",IF(351&lt;=COUNTA(半紙!$B$11:$B$310),INDEX(半紙!$H$11:$H$310,351),IF(351&lt;=COUNTA(半紙!$B$11:$B$310)+COUNTA(条幅!$B$11:$B$310),INDEX(条幅!$H$11:$H$310,351-COUNTA(半紙!$B$11:$B$310)),IF(351&lt;=COUNTA(半紙!$B$11:$B$310)+COUNTA(条幅!$B$11:$B$310)+COUNTA(条幅4分の1!$B$11:$B$310),INDEX(条幅4分の1!$H$11:$H$310,351-COUNTA(半紙!$B$11:$B$310)-COUNTA(条幅!$B$11:$B$310)),""))))</f>
        <v/>
      </c>
      <c r="I356" s="38" t="str">
        <f>IF(IF(351&lt;=COUNTA(半紙!$B$11:$B$310),INDEX(半紙!$I$11:$I$310,351),IF(351&lt;=COUNTA(半紙!$B$11:$B$310)+COUNTA(条幅!$B$11:$B$310),INDEX(条幅!$I$11:$I$310,351-COUNTA(半紙!$B$11:$B$310)),IF(351&lt;=COUNTA(半紙!$B$11:$B$310)+COUNTA(条幅!$B$11:$B$310)+COUNTA(条幅4分の1!$B$11:$B$310),INDEX(条幅4分の1!$I$11:$I$310,351-COUNTA(半紙!$B$11:$B$310)-COUNTA(条幅!$B$11:$B$310)),"")))=0,"",IF(351&lt;=COUNTA(半紙!$B$11:$B$310),INDEX(半紙!$I$11:$I$310,351),IF(351&lt;=COUNTA(半紙!$B$11:$B$310)+COUNTA(条幅!$B$11:$B$310),INDEX(条幅!$I$11:$I$310,351-COUNTA(半紙!$B$11:$B$310)),IF(351&lt;=COUNTA(半紙!$B$11:$B$310)+COUNTA(条幅!$B$11:$B$310)+COUNTA(条幅4分の1!$B$11:$B$310),INDEX(条幅4分の1!$I$11:$I$310,351-COUNTA(半紙!$B$11:$B$310)-COUNTA(条幅!$B$11:$B$310)),""))))</f>
        <v/>
      </c>
      <c r="J356" s="38" t="str">
        <f>IF(IF(351&lt;=COUNTA(半紙!$B$11:$B$310),INDEX(半紙!$J$11:$J$310,351),IF(351&lt;=COUNTA(半紙!$B$11:$B$310)+COUNTA(条幅!$B$11:$B$310),INDEX(条幅!$J$11:$J$310,351-COUNTA(半紙!$B$11:$B$310)),IF(351&lt;=COUNTA(半紙!$B$11:$B$310)+COUNTA(条幅!$B$11:$B$310)+COUNTA(条幅4分の1!$B$11:$B$310),INDEX(条幅4分の1!$J$11:$J$310,351-COUNTA(半紙!$B$11:$B$310)-COUNTA(条幅!$B$11:$B$310)),"")))=0,"",IF(351&lt;=COUNTA(半紙!$B$11:$B$310),INDEX(半紙!$J$11:$J$310,351),IF(351&lt;=COUNTA(半紙!$B$11:$B$310)+COUNTA(条幅!$B$11:$B$310),INDEX(条幅!$J$11:$J$310,351-COUNTA(半紙!$B$11:$B$310)),IF(351&lt;=COUNTA(半紙!$B$11:$B$310)+COUNTA(条幅!$B$11:$B$310)+COUNTA(条幅4分の1!$B$11:$B$310),INDEX(条幅4分の1!$J$11:$J$310,351-COUNTA(半紙!$B$11:$B$310)-COUNTA(条幅!$B$11:$B$310)),""))))</f>
        <v/>
      </c>
      <c r="K356" s="38" t="str">
        <f>IF(IF(351&lt;=COUNTA(半紙!$B$11:$B$310),INDEX(半紙!$K$11:$K$310,351),IF(351&lt;=COUNTA(半紙!$B$11:$B$310)+COUNTA(条幅!$B$11:$B$310),INDEX(条幅!$K$11:$K$310,351-COUNTA(半紙!$B$11:$B$310)),IF(351&lt;=COUNTA(半紙!$B$11:$B$310)+COUNTA(条幅!$B$11:$B$310)+COUNTA(条幅4分の1!$B$11:$B$310),INDEX(条幅4分の1!$K$11:$K$310,351-COUNTA(半紙!$B$11:$B$310)-COUNTA(条幅!$B$11:$B$310)),"")))=0,"",IF(351&lt;=COUNTA(半紙!$B$11:$B$310),INDEX(半紙!$K$11:$K$310,351),IF(351&lt;=COUNTA(半紙!$B$11:$B$310)+COUNTA(条幅!$B$11:$B$310),INDEX(条幅!$K$11:$K$310,351-COUNTA(半紙!$B$11:$B$310)),IF(351&lt;=COUNTA(半紙!$B$11:$B$310)+COUNTA(条幅!$B$11:$B$310)+COUNTA(条幅4分の1!$B$11:$B$310),INDEX(条幅4分の1!$K$11:$K$310,351-COUNTA(半紙!$B$11:$B$310)-COUNTA(条幅!$B$11:$B$310)),""))))</f>
        <v/>
      </c>
      <c r="L356" s="48" t="str">
        <f>IF($B356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351))</f>
        <v/>
      </c>
    </row>
    <row r="357" spans="1:12" ht="15" customHeight="1">
      <c r="A357" s="37" t="str">
        <f>IF(352&lt;=COUNTA(半紙!$B$11:$B$310),"半紙",IF(352&lt;=COUNTA(半紙!$B$11:$B$310)+COUNTA(条幅!$B$11:$B$310),"条幅(半切)",IF(352&lt;=COUNTA(半紙!$B$11:$B$310)+COUNTA(条幅!$B$11:$B$310)+COUNTA(条幅4分の1!$B$11:$B$310),"条幅(1/4)","")))</f>
        <v/>
      </c>
      <c r="B357" s="38" t="str">
        <f>IF(IF(352&lt;=COUNTA(半紙!$B$11:$B$310),INDEX(半紙!$B$11:$B$310,352),IF(352&lt;=COUNTA(半紙!$B$11:$B$310)+COUNTA(条幅!$B$11:$B$310),INDEX(条幅!$B$11:$B$310,352-COUNTA(半紙!$B$11:$B$310)),IF(352&lt;=COUNTA(半紙!$B$11:$B$310)+COUNTA(条幅!$B$11:$B$310)+COUNTA(条幅4分の1!$B$11:$B$310),INDEX(条幅4分の1!$B$11:$B$310,352-COUNTA(半紙!$B$11:$B$310)-COUNTA(条幅!$B$11:$B$310)),"")))=0,"",IF(352&lt;=COUNTA(半紙!$B$11:$B$310),INDEX(半紙!$B$11:$B$310,352),IF(352&lt;=COUNTA(半紙!$B$11:$B$310)+COUNTA(条幅!$B$11:$B$310),INDEX(条幅!$B$11:$B$310,352-COUNTA(半紙!$B$11:$B$310)),IF(352&lt;=COUNTA(半紙!$B$11:$B$310)+COUNTA(条幅!$B$11:$B$310)+COUNTA(条幅4分の1!$B$11:$B$310),INDEX(条幅4分の1!$B$11:$B$310,352-COUNTA(半紙!$B$11:$B$310)-COUNTA(条幅!$B$11:$B$310)),""))))</f>
        <v/>
      </c>
      <c r="C357" s="38" t="str">
        <f>IF(IF(352&lt;=COUNTA(半紙!$B$11:$B$310),INDEX(半紙!$C$11:$C$310,352),IF(352&lt;=COUNTA(半紙!$B$11:$B$310)+COUNTA(条幅!$B$11:$B$310),INDEX(条幅!$C$11:$C$310,352-COUNTA(半紙!$B$11:$B$310)),IF(352&lt;=COUNTA(半紙!$B$11:$B$310)+COUNTA(条幅!$B$11:$B$310)+COUNTA(条幅4分の1!$B$11:$B$310),INDEX(条幅4分の1!$C$11:$C$310,352-COUNTA(半紙!$B$11:$B$310)-COUNTA(条幅!$B$11:$B$310)),"")))=0,"",IF(352&lt;=COUNTA(半紙!$B$11:$B$310),INDEX(半紙!$C$11:$C$310,352),IF(352&lt;=COUNTA(半紙!$B$11:$B$310)+COUNTA(条幅!$B$11:$B$310),INDEX(条幅!$C$11:$C$310,352-COUNTA(半紙!$B$11:$B$310)),IF(352&lt;=COUNTA(半紙!$B$11:$B$310)+COUNTA(条幅!$B$11:$B$310)+COUNTA(条幅4分の1!$B$11:$B$310),INDEX(条幅4分の1!$C$11:$C$310,352-COUNTA(半紙!$B$11:$B$310)-COUNTA(条幅!$B$11:$B$310)),""))))</f>
        <v/>
      </c>
      <c r="D357" s="38" t="str">
        <f>IF(IF(352&lt;=COUNTA(半紙!$B$11:$B$310),INDEX(半紙!$D$11:$D$310,352),IF(352&lt;=COUNTA(半紙!$B$11:$B$310)+COUNTA(条幅!$B$11:$B$310),INDEX(条幅!$D$11:$D$310,352-COUNTA(半紙!$B$11:$B$310)),IF(352&lt;=COUNTA(半紙!$B$11:$B$310)+COUNTA(条幅!$B$11:$B$310)+COUNTA(条幅4分の1!$B$11:$B$310),INDEX(条幅4分の1!$D$11:$D$310,352-COUNTA(半紙!$B$11:$B$310)-COUNTA(条幅!$B$11:$B$310)),"")))=0,"",IF(352&lt;=COUNTA(半紙!$B$11:$B$310),INDEX(半紙!$D$11:$D$310,352),IF(352&lt;=COUNTA(半紙!$B$11:$B$310)+COUNTA(条幅!$B$11:$B$310),INDEX(条幅!$D$11:$D$310,352-COUNTA(半紙!$B$11:$B$310)),IF(352&lt;=COUNTA(半紙!$B$11:$B$310)+COUNTA(条幅!$B$11:$B$310)+COUNTA(条幅4分の1!$B$11:$B$310),INDEX(条幅4分の1!$D$11:$D$310,352-COUNTA(半紙!$B$11:$B$310)-COUNTA(条幅!$B$11:$B$310)),""))))</f>
        <v/>
      </c>
      <c r="E357" s="38" t="str">
        <f>IF(IF(352&lt;=COUNTA(半紙!$B$11:$B$310),INDEX(半紙!$E$11:$E$310,352),IF(352&lt;=COUNTA(半紙!$B$11:$B$310)+COUNTA(条幅!$B$11:$B$310),INDEX(条幅!$E$11:$E$310,352-COUNTA(半紙!$B$11:$B$310)),IF(352&lt;=COUNTA(半紙!$B$11:$B$310)+COUNTA(条幅!$B$11:$B$310)+COUNTA(条幅4分の1!$B$11:$B$310),INDEX(条幅4分の1!$E$11:$E$310,352-COUNTA(半紙!$B$11:$B$310)-COUNTA(条幅!$B$11:$B$310)),"")))=0,"",IF(352&lt;=COUNTA(半紙!$B$11:$B$310),INDEX(半紙!$E$11:$E$310,352),IF(352&lt;=COUNTA(半紙!$B$11:$B$310)+COUNTA(条幅!$B$11:$B$310),INDEX(条幅!$E$11:$E$310,352-COUNTA(半紙!$B$11:$B$310)),IF(352&lt;=COUNTA(半紙!$B$11:$B$310)+COUNTA(条幅!$B$11:$B$310)+COUNTA(条幅4分の1!$B$11:$B$310),INDEX(条幅4分の1!$E$11:$E$310,352-COUNTA(半紙!$B$11:$B$310)-COUNTA(条幅!$B$11:$B$310)),""))))</f>
        <v/>
      </c>
      <c r="F357" s="38" t="str">
        <f>IF(IF(352&lt;=COUNTA(半紙!$B$11:$B$310),INDEX(半紙!$F$11:$F$310,352),IF(352&lt;=COUNTA(半紙!$B$11:$B$310)+COUNTA(条幅!$B$11:$B$310),INDEX(条幅!$F$11:$F$310,352-COUNTA(半紙!$B$11:$B$310)),IF(352&lt;=COUNTA(半紙!$B$11:$B$310)+COUNTA(条幅!$B$11:$B$310)+COUNTA(条幅4分の1!$B$11:$B$310),INDEX(条幅4分の1!$F$11:$F$310,352-COUNTA(半紙!$B$11:$B$310)-COUNTA(条幅!$B$11:$B$310)),"")))=0,"",IF(352&lt;=COUNTA(半紙!$B$11:$B$310),INDEX(半紙!$F$11:$F$310,352),IF(352&lt;=COUNTA(半紙!$B$11:$B$310)+COUNTA(条幅!$B$11:$B$310),INDEX(条幅!$F$11:$F$310,352-COUNTA(半紙!$B$11:$B$310)),IF(352&lt;=COUNTA(半紙!$B$11:$B$310)+COUNTA(条幅!$B$11:$B$310)+COUNTA(条幅4分の1!$B$11:$B$310),INDEX(条幅4分の1!$F$11:$F$310,352-COUNTA(半紙!$B$11:$B$310)-COUNTA(条幅!$B$11:$B$310)),""))))</f>
        <v/>
      </c>
      <c r="G357" s="38" t="str">
        <f>IF(IF(352&lt;=COUNTA(半紙!$B$11:$B$310),INDEX(半紙!$G$11:$G$310,352),IF(352&lt;=COUNTA(半紙!$B$11:$B$310)+COUNTA(条幅!$B$11:$B$310),INDEX(条幅!$G$11:$G$310,352-COUNTA(半紙!$B$11:$B$310)),IF(352&lt;=COUNTA(半紙!$B$11:$B$310)+COUNTA(条幅!$B$11:$B$310)+COUNTA(条幅4分の1!$B$11:$B$310),INDEX(条幅4分の1!$G$11:$G$310,352-COUNTA(半紙!$B$11:$B$310)-COUNTA(条幅!$B$11:$B$310)),"")))=0,"",IF(352&lt;=COUNTA(半紙!$B$11:$B$310),INDEX(半紙!$G$11:$G$310,352),IF(352&lt;=COUNTA(半紙!$B$11:$B$310)+COUNTA(条幅!$B$11:$B$310),INDEX(条幅!$G$11:$G$310,352-COUNTA(半紙!$B$11:$B$310)),IF(352&lt;=COUNTA(半紙!$B$11:$B$310)+COUNTA(条幅!$B$11:$B$310)+COUNTA(条幅4分の1!$B$11:$B$310),INDEX(条幅4分の1!$G$11:$G$310,352-COUNTA(半紙!$B$11:$B$310)-COUNTA(条幅!$B$11:$B$310)),""))))</f>
        <v/>
      </c>
      <c r="H357" s="38" t="str">
        <f>IF(IF(352&lt;=COUNTA(半紙!$B$11:$B$310),INDEX(半紙!$H$11:$H$310,352),IF(352&lt;=COUNTA(半紙!$B$11:$B$310)+COUNTA(条幅!$B$11:$B$310),INDEX(条幅!$H$11:$H$310,352-COUNTA(半紙!$B$11:$B$310)),IF(352&lt;=COUNTA(半紙!$B$11:$B$310)+COUNTA(条幅!$B$11:$B$310)+COUNTA(条幅4分の1!$B$11:$B$310),INDEX(条幅4分の1!$H$11:$H$310,352-COUNTA(半紙!$B$11:$B$310)-COUNTA(条幅!$B$11:$B$310)),"")))=0,"",IF(352&lt;=COUNTA(半紙!$B$11:$B$310),INDEX(半紙!$H$11:$H$310,352),IF(352&lt;=COUNTA(半紙!$B$11:$B$310)+COUNTA(条幅!$B$11:$B$310),INDEX(条幅!$H$11:$H$310,352-COUNTA(半紙!$B$11:$B$310)),IF(352&lt;=COUNTA(半紙!$B$11:$B$310)+COUNTA(条幅!$B$11:$B$310)+COUNTA(条幅4分の1!$B$11:$B$310),INDEX(条幅4分の1!$H$11:$H$310,352-COUNTA(半紙!$B$11:$B$310)-COUNTA(条幅!$B$11:$B$310)),""))))</f>
        <v/>
      </c>
      <c r="I357" s="38" t="str">
        <f>IF(IF(352&lt;=COUNTA(半紙!$B$11:$B$310),INDEX(半紙!$I$11:$I$310,352),IF(352&lt;=COUNTA(半紙!$B$11:$B$310)+COUNTA(条幅!$B$11:$B$310),INDEX(条幅!$I$11:$I$310,352-COUNTA(半紙!$B$11:$B$310)),IF(352&lt;=COUNTA(半紙!$B$11:$B$310)+COUNTA(条幅!$B$11:$B$310)+COUNTA(条幅4分の1!$B$11:$B$310),INDEX(条幅4分の1!$I$11:$I$310,352-COUNTA(半紙!$B$11:$B$310)-COUNTA(条幅!$B$11:$B$310)),"")))=0,"",IF(352&lt;=COUNTA(半紙!$B$11:$B$310),INDEX(半紙!$I$11:$I$310,352),IF(352&lt;=COUNTA(半紙!$B$11:$B$310)+COUNTA(条幅!$B$11:$B$310),INDEX(条幅!$I$11:$I$310,352-COUNTA(半紙!$B$11:$B$310)),IF(352&lt;=COUNTA(半紙!$B$11:$B$310)+COUNTA(条幅!$B$11:$B$310)+COUNTA(条幅4分の1!$B$11:$B$310),INDEX(条幅4分の1!$I$11:$I$310,352-COUNTA(半紙!$B$11:$B$310)-COUNTA(条幅!$B$11:$B$310)),""))))</f>
        <v/>
      </c>
      <c r="J357" s="38" t="str">
        <f>IF(IF(352&lt;=COUNTA(半紙!$B$11:$B$310),INDEX(半紙!$J$11:$J$310,352),IF(352&lt;=COUNTA(半紙!$B$11:$B$310)+COUNTA(条幅!$B$11:$B$310),INDEX(条幅!$J$11:$J$310,352-COUNTA(半紙!$B$11:$B$310)),IF(352&lt;=COUNTA(半紙!$B$11:$B$310)+COUNTA(条幅!$B$11:$B$310)+COUNTA(条幅4分の1!$B$11:$B$310),INDEX(条幅4分の1!$J$11:$J$310,352-COUNTA(半紙!$B$11:$B$310)-COUNTA(条幅!$B$11:$B$310)),"")))=0,"",IF(352&lt;=COUNTA(半紙!$B$11:$B$310),INDEX(半紙!$J$11:$J$310,352),IF(352&lt;=COUNTA(半紙!$B$11:$B$310)+COUNTA(条幅!$B$11:$B$310),INDEX(条幅!$J$11:$J$310,352-COUNTA(半紙!$B$11:$B$310)),IF(352&lt;=COUNTA(半紙!$B$11:$B$310)+COUNTA(条幅!$B$11:$B$310)+COUNTA(条幅4分の1!$B$11:$B$310),INDEX(条幅4分の1!$J$11:$J$310,352-COUNTA(半紙!$B$11:$B$310)-COUNTA(条幅!$B$11:$B$310)),""))))</f>
        <v/>
      </c>
      <c r="K357" s="38" t="str">
        <f>IF(IF(352&lt;=COUNTA(半紙!$B$11:$B$310),INDEX(半紙!$K$11:$K$310,352),IF(352&lt;=COUNTA(半紙!$B$11:$B$310)+COUNTA(条幅!$B$11:$B$310),INDEX(条幅!$K$11:$K$310,352-COUNTA(半紙!$B$11:$B$310)),IF(352&lt;=COUNTA(半紙!$B$11:$B$310)+COUNTA(条幅!$B$11:$B$310)+COUNTA(条幅4分の1!$B$11:$B$310),INDEX(条幅4分の1!$K$11:$K$310,352-COUNTA(半紙!$B$11:$B$310)-COUNTA(条幅!$B$11:$B$310)),"")))=0,"",IF(352&lt;=COUNTA(半紙!$B$11:$B$310),INDEX(半紙!$K$11:$K$310,352),IF(352&lt;=COUNTA(半紙!$B$11:$B$310)+COUNTA(条幅!$B$11:$B$310),INDEX(条幅!$K$11:$K$310,352-COUNTA(半紙!$B$11:$B$310)),IF(352&lt;=COUNTA(半紙!$B$11:$B$310)+COUNTA(条幅!$B$11:$B$310)+COUNTA(条幅4分の1!$B$11:$B$310),INDEX(条幅4分の1!$K$11:$K$310,352-COUNTA(半紙!$B$11:$B$310)-COUNTA(条幅!$B$11:$B$310)),""))))</f>
        <v/>
      </c>
      <c r="L357" s="48" t="str">
        <f>IF($B357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352))</f>
        <v/>
      </c>
    </row>
    <row r="358" spans="1:12" ht="15" customHeight="1">
      <c r="A358" s="37" t="str">
        <f>IF(353&lt;=COUNTA(半紙!$B$11:$B$310),"半紙",IF(353&lt;=COUNTA(半紙!$B$11:$B$310)+COUNTA(条幅!$B$11:$B$310),"条幅(半切)",IF(353&lt;=COUNTA(半紙!$B$11:$B$310)+COUNTA(条幅!$B$11:$B$310)+COUNTA(条幅4分の1!$B$11:$B$310),"条幅(1/4)","")))</f>
        <v/>
      </c>
      <c r="B358" s="38" t="str">
        <f>IF(IF(353&lt;=COUNTA(半紙!$B$11:$B$310),INDEX(半紙!$B$11:$B$310,353),IF(353&lt;=COUNTA(半紙!$B$11:$B$310)+COUNTA(条幅!$B$11:$B$310),INDEX(条幅!$B$11:$B$310,353-COUNTA(半紙!$B$11:$B$310)),IF(353&lt;=COUNTA(半紙!$B$11:$B$310)+COUNTA(条幅!$B$11:$B$310)+COUNTA(条幅4分の1!$B$11:$B$310),INDEX(条幅4分の1!$B$11:$B$310,353-COUNTA(半紙!$B$11:$B$310)-COUNTA(条幅!$B$11:$B$310)),"")))=0,"",IF(353&lt;=COUNTA(半紙!$B$11:$B$310),INDEX(半紙!$B$11:$B$310,353),IF(353&lt;=COUNTA(半紙!$B$11:$B$310)+COUNTA(条幅!$B$11:$B$310),INDEX(条幅!$B$11:$B$310,353-COUNTA(半紙!$B$11:$B$310)),IF(353&lt;=COUNTA(半紙!$B$11:$B$310)+COUNTA(条幅!$B$11:$B$310)+COUNTA(条幅4分の1!$B$11:$B$310),INDEX(条幅4分の1!$B$11:$B$310,353-COUNTA(半紙!$B$11:$B$310)-COUNTA(条幅!$B$11:$B$310)),""))))</f>
        <v/>
      </c>
      <c r="C358" s="38" t="str">
        <f>IF(IF(353&lt;=COUNTA(半紙!$B$11:$B$310),INDEX(半紙!$C$11:$C$310,353),IF(353&lt;=COUNTA(半紙!$B$11:$B$310)+COUNTA(条幅!$B$11:$B$310),INDEX(条幅!$C$11:$C$310,353-COUNTA(半紙!$B$11:$B$310)),IF(353&lt;=COUNTA(半紙!$B$11:$B$310)+COUNTA(条幅!$B$11:$B$310)+COUNTA(条幅4分の1!$B$11:$B$310),INDEX(条幅4分の1!$C$11:$C$310,353-COUNTA(半紙!$B$11:$B$310)-COUNTA(条幅!$B$11:$B$310)),"")))=0,"",IF(353&lt;=COUNTA(半紙!$B$11:$B$310),INDEX(半紙!$C$11:$C$310,353),IF(353&lt;=COUNTA(半紙!$B$11:$B$310)+COUNTA(条幅!$B$11:$B$310),INDEX(条幅!$C$11:$C$310,353-COUNTA(半紙!$B$11:$B$310)),IF(353&lt;=COUNTA(半紙!$B$11:$B$310)+COUNTA(条幅!$B$11:$B$310)+COUNTA(条幅4分の1!$B$11:$B$310),INDEX(条幅4分の1!$C$11:$C$310,353-COUNTA(半紙!$B$11:$B$310)-COUNTA(条幅!$B$11:$B$310)),""))))</f>
        <v/>
      </c>
      <c r="D358" s="38" t="str">
        <f>IF(IF(353&lt;=COUNTA(半紙!$B$11:$B$310),INDEX(半紙!$D$11:$D$310,353),IF(353&lt;=COUNTA(半紙!$B$11:$B$310)+COUNTA(条幅!$B$11:$B$310),INDEX(条幅!$D$11:$D$310,353-COUNTA(半紙!$B$11:$B$310)),IF(353&lt;=COUNTA(半紙!$B$11:$B$310)+COUNTA(条幅!$B$11:$B$310)+COUNTA(条幅4分の1!$B$11:$B$310),INDEX(条幅4分の1!$D$11:$D$310,353-COUNTA(半紙!$B$11:$B$310)-COUNTA(条幅!$B$11:$B$310)),"")))=0,"",IF(353&lt;=COUNTA(半紙!$B$11:$B$310),INDEX(半紙!$D$11:$D$310,353),IF(353&lt;=COUNTA(半紙!$B$11:$B$310)+COUNTA(条幅!$B$11:$B$310),INDEX(条幅!$D$11:$D$310,353-COUNTA(半紙!$B$11:$B$310)),IF(353&lt;=COUNTA(半紙!$B$11:$B$310)+COUNTA(条幅!$B$11:$B$310)+COUNTA(条幅4分の1!$B$11:$B$310),INDEX(条幅4分の1!$D$11:$D$310,353-COUNTA(半紙!$B$11:$B$310)-COUNTA(条幅!$B$11:$B$310)),""))))</f>
        <v/>
      </c>
      <c r="E358" s="38" t="str">
        <f>IF(IF(353&lt;=COUNTA(半紙!$B$11:$B$310),INDEX(半紙!$E$11:$E$310,353),IF(353&lt;=COUNTA(半紙!$B$11:$B$310)+COUNTA(条幅!$B$11:$B$310),INDEX(条幅!$E$11:$E$310,353-COUNTA(半紙!$B$11:$B$310)),IF(353&lt;=COUNTA(半紙!$B$11:$B$310)+COUNTA(条幅!$B$11:$B$310)+COUNTA(条幅4分の1!$B$11:$B$310),INDEX(条幅4分の1!$E$11:$E$310,353-COUNTA(半紙!$B$11:$B$310)-COUNTA(条幅!$B$11:$B$310)),"")))=0,"",IF(353&lt;=COUNTA(半紙!$B$11:$B$310),INDEX(半紙!$E$11:$E$310,353),IF(353&lt;=COUNTA(半紙!$B$11:$B$310)+COUNTA(条幅!$B$11:$B$310),INDEX(条幅!$E$11:$E$310,353-COUNTA(半紙!$B$11:$B$310)),IF(353&lt;=COUNTA(半紙!$B$11:$B$310)+COUNTA(条幅!$B$11:$B$310)+COUNTA(条幅4分の1!$B$11:$B$310),INDEX(条幅4分の1!$E$11:$E$310,353-COUNTA(半紙!$B$11:$B$310)-COUNTA(条幅!$B$11:$B$310)),""))))</f>
        <v/>
      </c>
      <c r="F358" s="38" t="str">
        <f>IF(IF(353&lt;=COUNTA(半紙!$B$11:$B$310),INDEX(半紙!$F$11:$F$310,353),IF(353&lt;=COUNTA(半紙!$B$11:$B$310)+COUNTA(条幅!$B$11:$B$310),INDEX(条幅!$F$11:$F$310,353-COUNTA(半紙!$B$11:$B$310)),IF(353&lt;=COUNTA(半紙!$B$11:$B$310)+COUNTA(条幅!$B$11:$B$310)+COUNTA(条幅4分の1!$B$11:$B$310),INDEX(条幅4分の1!$F$11:$F$310,353-COUNTA(半紙!$B$11:$B$310)-COUNTA(条幅!$B$11:$B$310)),"")))=0,"",IF(353&lt;=COUNTA(半紙!$B$11:$B$310),INDEX(半紙!$F$11:$F$310,353),IF(353&lt;=COUNTA(半紙!$B$11:$B$310)+COUNTA(条幅!$B$11:$B$310),INDEX(条幅!$F$11:$F$310,353-COUNTA(半紙!$B$11:$B$310)),IF(353&lt;=COUNTA(半紙!$B$11:$B$310)+COUNTA(条幅!$B$11:$B$310)+COUNTA(条幅4分の1!$B$11:$B$310),INDEX(条幅4分の1!$F$11:$F$310,353-COUNTA(半紙!$B$11:$B$310)-COUNTA(条幅!$B$11:$B$310)),""))))</f>
        <v/>
      </c>
      <c r="G358" s="38" t="str">
        <f>IF(IF(353&lt;=COUNTA(半紙!$B$11:$B$310),INDEX(半紙!$G$11:$G$310,353),IF(353&lt;=COUNTA(半紙!$B$11:$B$310)+COUNTA(条幅!$B$11:$B$310),INDEX(条幅!$G$11:$G$310,353-COUNTA(半紙!$B$11:$B$310)),IF(353&lt;=COUNTA(半紙!$B$11:$B$310)+COUNTA(条幅!$B$11:$B$310)+COUNTA(条幅4分の1!$B$11:$B$310),INDEX(条幅4分の1!$G$11:$G$310,353-COUNTA(半紙!$B$11:$B$310)-COUNTA(条幅!$B$11:$B$310)),"")))=0,"",IF(353&lt;=COUNTA(半紙!$B$11:$B$310),INDEX(半紙!$G$11:$G$310,353),IF(353&lt;=COUNTA(半紙!$B$11:$B$310)+COUNTA(条幅!$B$11:$B$310),INDEX(条幅!$G$11:$G$310,353-COUNTA(半紙!$B$11:$B$310)),IF(353&lt;=COUNTA(半紙!$B$11:$B$310)+COUNTA(条幅!$B$11:$B$310)+COUNTA(条幅4分の1!$B$11:$B$310),INDEX(条幅4分の1!$G$11:$G$310,353-COUNTA(半紙!$B$11:$B$310)-COUNTA(条幅!$B$11:$B$310)),""))))</f>
        <v/>
      </c>
      <c r="H358" s="38" t="str">
        <f>IF(IF(353&lt;=COUNTA(半紙!$B$11:$B$310),INDEX(半紙!$H$11:$H$310,353),IF(353&lt;=COUNTA(半紙!$B$11:$B$310)+COUNTA(条幅!$B$11:$B$310),INDEX(条幅!$H$11:$H$310,353-COUNTA(半紙!$B$11:$B$310)),IF(353&lt;=COUNTA(半紙!$B$11:$B$310)+COUNTA(条幅!$B$11:$B$310)+COUNTA(条幅4分の1!$B$11:$B$310),INDEX(条幅4分の1!$H$11:$H$310,353-COUNTA(半紙!$B$11:$B$310)-COUNTA(条幅!$B$11:$B$310)),"")))=0,"",IF(353&lt;=COUNTA(半紙!$B$11:$B$310),INDEX(半紙!$H$11:$H$310,353),IF(353&lt;=COUNTA(半紙!$B$11:$B$310)+COUNTA(条幅!$B$11:$B$310),INDEX(条幅!$H$11:$H$310,353-COUNTA(半紙!$B$11:$B$310)),IF(353&lt;=COUNTA(半紙!$B$11:$B$310)+COUNTA(条幅!$B$11:$B$310)+COUNTA(条幅4分の1!$B$11:$B$310),INDEX(条幅4分の1!$H$11:$H$310,353-COUNTA(半紙!$B$11:$B$310)-COUNTA(条幅!$B$11:$B$310)),""))))</f>
        <v/>
      </c>
      <c r="I358" s="38" t="str">
        <f>IF(IF(353&lt;=COUNTA(半紙!$B$11:$B$310),INDEX(半紙!$I$11:$I$310,353),IF(353&lt;=COUNTA(半紙!$B$11:$B$310)+COUNTA(条幅!$B$11:$B$310),INDEX(条幅!$I$11:$I$310,353-COUNTA(半紙!$B$11:$B$310)),IF(353&lt;=COUNTA(半紙!$B$11:$B$310)+COUNTA(条幅!$B$11:$B$310)+COUNTA(条幅4分の1!$B$11:$B$310),INDEX(条幅4分の1!$I$11:$I$310,353-COUNTA(半紙!$B$11:$B$310)-COUNTA(条幅!$B$11:$B$310)),"")))=0,"",IF(353&lt;=COUNTA(半紙!$B$11:$B$310),INDEX(半紙!$I$11:$I$310,353),IF(353&lt;=COUNTA(半紙!$B$11:$B$310)+COUNTA(条幅!$B$11:$B$310),INDEX(条幅!$I$11:$I$310,353-COUNTA(半紙!$B$11:$B$310)),IF(353&lt;=COUNTA(半紙!$B$11:$B$310)+COUNTA(条幅!$B$11:$B$310)+COUNTA(条幅4分の1!$B$11:$B$310),INDEX(条幅4分の1!$I$11:$I$310,353-COUNTA(半紙!$B$11:$B$310)-COUNTA(条幅!$B$11:$B$310)),""))))</f>
        <v/>
      </c>
      <c r="J358" s="38" t="str">
        <f>IF(IF(353&lt;=COUNTA(半紙!$B$11:$B$310),INDEX(半紙!$J$11:$J$310,353),IF(353&lt;=COUNTA(半紙!$B$11:$B$310)+COUNTA(条幅!$B$11:$B$310),INDEX(条幅!$J$11:$J$310,353-COUNTA(半紙!$B$11:$B$310)),IF(353&lt;=COUNTA(半紙!$B$11:$B$310)+COUNTA(条幅!$B$11:$B$310)+COUNTA(条幅4分の1!$B$11:$B$310),INDEX(条幅4分の1!$J$11:$J$310,353-COUNTA(半紙!$B$11:$B$310)-COUNTA(条幅!$B$11:$B$310)),"")))=0,"",IF(353&lt;=COUNTA(半紙!$B$11:$B$310),INDEX(半紙!$J$11:$J$310,353),IF(353&lt;=COUNTA(半紙!$B$11:$B$310)+COUNTA(条幅!$B$11:$B$310),INDEX(条幅!$J$11:$J$310,353-COUNTA(半紙!$B$11:$B$310)),IF(353&lt;=COUNTA(半紙!$B$11:$B$310)+COUNTA(条幅!$B$11:$B$310)+COUNTA(条幅4分の1!$B$11:$B$310),INDEX(条幅4分の1!$J$11:$J$310,353-COUNTA(半紙!$B$11:$B$310)-COUNTA(条幅!$B$11:$B$310)),""))))</f>
        <v/>
      </c>
      <c r="K358" s="38" t="str">
        <f>IF(IF(353&lt;=COUNTA(半紙!$B$11:$B$310),INDEX(半紙!$K$11:$K$310,353),IF(353&lt;=COUNTA(半紙!$B$11:$B$310)+COUNTA(条幅!$B$11:$B$310),INDEX(条幅!$K$11:$K$310,353-COUNTA(半紙!$B$11:$B$310)),IF(353&lt;=COUNTA(半紙!$B$11:$B$310)+COUNTA(条幅!$B$11:$B$310)+COUNTA(条幅4分の1!$B$11:$B$310),INDEX(条幅4分の1!$K$11:$K$310,353-COUNTA(半紙!$B$11:$B$310)-COUNTA(条幅!$B$11:$B$310)),"")))=0,"",IF(353&lt;=COUNTA(半紙!$B$11:$B$310),INDEX(半紙!$K$11:$K$310,353),IF(353&lt;=COUNTA(半紙!$B$11:$B$310)+COUNTA(条幅!$B$11:$B$310),INDEX(条幅!$K$11:$K$310,353-COUNTA(半紙!$B$11:$B$310)),IF(353&lt;=COUNTA(半紙!$B$11:$B$310)+COUNTA(条幅!$B$11:$B$310)+COUNTA(条幅4分の1!$B$11:$B$310),INDEX(条幅4分の1!$K$11:$K$310,353-COUNTA(半紙!$B$11:$B$310)-COUNTA(条幅!$B$11:$B$310)),""))))</f>
        <v/>
      </c>
      <c r="L358" s="48" t="str">
        <f>IF($B358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353))</f>
        <v/>
      </c>
    </row>
    <row r="359" spans="1:12" ht="15" customHeight="1">
      <c r="A359" s="37" t="str">
        <f>IF(354&lt;=COUNTA(半紙!$B$11:$B$310),"半紙",IF(354&lt;=COUNTA(半紙!$B$11:$B$310)+COUNTA(条幅!$B$11:$B$310),"条幅(半切)",IF(354&lt;=COUNTA(半紙!$B$11:$B$310)+COUNTA(条幅!$B$11:$B$310)+COUNTA(条幅4分の1!$B$11:$B$310),"条幅(1/4)","")))</f>
        <v/>
      </c>
      <c r="B359" s="38" t="str">
        <f>IF(IF(354&lt;=COUNTA(半紙!$B$11:$B$310),INDEX(半紙!$B$11:$B$310,354),IF(354&lt;=COUNTA(半紙!$B$11:$B$310)+COUNTA(条幅!$B$11:$B$310),INDEX(条幅!$B$11:$B$310,354-COUNTA(半紙!$B$11:$B$310)),IF(354&lt;=COUNTA(半紙!$B$11:$B$310)+COUNTA(条幅!$B$11:$B$310)+COUNTA(条幅4分の1!$B$11:$B$310),INDEX(条幅4分の1!$B$11:$B$310,354-COUNTA(半紙!$B$11:$B$310)-COUNTA(条幅!$B$11:$B$310)),"")))=0,"",IF(354&lt;=COUNTA(半紙!$B$11:$B$310),INDEX(半紙!$B$11:$B$310,354),IF(354&lt;=COUNTA(半紙!$B$11:$B$310)+COUNTA(条幅!$B$11:$B$310),INDEX(条幅!$B$11:$B$310,354-COUNTA(半紙!$B$11:$B$310)),IF(354&lt;=COUNTA(半紙!$B$11:$B$310)+COUNTA(条幅!$B$11:$B$310)+COUNTA(条幅4分の1!$B$11:$B$310),INDEX(条幅4分の1!$B$11:$B$310,354-COUNTA(半紙!$B$11:$B$310)-COUNTA(条幅!$B$11:$B$310)),""))))</f>
        <v/>
      </c>
      <c r="C359" s="38" t="str">
        <f>IF(IF(354&lt;=COUNTA(半紙!$B$11:$B$310),INDEX(半紙!$C$11:$C$310,354),IF(354&lt;=COUNTA(半紙!$B$11:$B$310)+COUNTA(条幅!$B$11:$B$310),INDEX(条幅!$C$11:$C$310,354-COUNTA(半紙!$B$11:$B$310)),IF(354&lt;=COUNTA(半紙!$B$11:$B$310)+COUNTA(条幅!$B$11:$B$310)+COUNTA(条幅4分の1!$B$11:$B$310),INDEX(条幅4分の1!$C$11:$C$310,354-COUNTA(半紙!$B$11:$B$310)-COUNTA(条幅!$B$11:$B$310)),"")))=0,"",IF(354&lt;=COUNTA(半紙!$B$11:$B$310),INDEX(半紙!$C$11:$C$310,354),IF(354&lt;=COUNTA(半紙!$B$11:$B$310)+COUNTA(条幅!$B$11:$B$310),INDEX(条幅!$C$11:$C$310,354-COUNTA(半紙!$B$11:$B$310)),IF(354&lt;=COUNTA(半紙!$B$11:$B$310)+COUNTA(条幅!$B$11:$B$310)+COUNTA(条幅4分の1!$B$11:$B$310),INDEX(条幅4分の1!$C$11:$C$310,354-COUNTA(半紙!$B$11:$B$310)-COUNTA(条幅!$B$11:$B$310)),""))))</f>
        <v/>
      </c>
      <c r="D359" s="38" t="str">
        <f>IF(IF(354&lt;=COUNTA(半紙!$B$11:$B$310),INDEX(半紙!$D$11:$D$310,354),IF(354&lt;=COUNTA(半紙!$B$11:$B$310)+COUNTA(条幅!$B$11:$B$310),INDEX(条幅!$D$11:$D$310,354-COUNTA(半紙!$B$11:$B$310)),IF(354&lt;=COUNTA(半紙!$B$11:$B$310)+COUNTA(条幅!$B$11:$B$310)+COUNTA(条幅4分の1!$B$11:$B$310),INDEX(条幅4分の1!$D$11:$D$310,354-COUNTA(半紙!$B$11:$B$310)-COUNTA(条幅!$B$11:$B$310)),"")))=0,"",IF(354&lt;=COUNTA(半紙!$B$11:$B$310),INDEX(半紙!$D$11:$D$310,354),IF(354&lt;=COUNTA(半紙!$B$11:$B$310)+COUNTA(条幅!$B$11:$B$310),INDEX(条幅!$D$11:$D$310,354-COUNTA(半紙!$B$11:$B$310)),IF(354&lt;=COUNTA(半紙!$B$11:$B$310)+COUNTA(条幅!$B$11:$B$310)+COUNTA(条幅4分の1!$B$11:$B$310),INDEX(条幅4分の1!$D$11:$D$310,354-COUNTA(半紙!$B$11:$B$310)-COUNTA(条幅!$B$11:$B$310)),""))))</f>
        <v/>
      </c>
      <c r="E359" s="38" t="str">
        <f>IF(IF(354&lt;=COUNTA(半紙!$B$11:$B$310),INDEX(半紙!$E$11:$E$310,354),IF(354&lt;=COUNTA(半紙!$B$11:$B$310)+COUNTA(条幅!$B$11:$B$310),INDEX(条幅!$E$11:$E$310,354-COUNTA(半紙!$B$11:$B$310)),IF(354&lt;=COUNTA(半紙!$B$11:$B$310)+COUNTA(条幅!$B$11:$B$310)+COUNTA(条幅4分の1!$B$11:$B$310),INDEX(条幅4分の1!$E$11:$E$310,354-COUNTA(半紙!$B$11:$B$310)-COUNTA(条幅!$B$11:$B$310)),"")))=0,"",IF(354&lt;=COUNTA(半紙!$B$11:$B$310),INDEX(半紙!$E$11:$E$310,354),IF(354&lt;=COUNTA(半紙!$B$11:$B$310)+COUNTA(条幅!$B$11:$B$310),INDEX(条幅!$E$11:$E$310,354-COUNTA(半紙!$B$11:$B$310)),IF(354&lt;=COUNTA(半紙!$B$11:$B$310)+COUNTA(条幅!$B$11:$B$310)+COUNTA(条幅4分の1!$B$11:$B$310),INDEX(条幅4分の1!$E$11:$E$310,354-COUNTA(半紙!$B$11:$B$310)-COUNTA(条幅!$B$11:$B$310)),""))))</f>
        <v/>
      </c>
      <c r="F359" s="38" t="str">
        <f>IF(IF(354&lt;=COUNTA(半紙!$B$11:$B$310),INDEX(半紙!$F$11:$F$310,354),IF(354&lt;=COUNTA(半紙!$B$11:$B$310)+COUNTA(条幅!$B$11:$B$310),INDEX(条幅!$F$11:$F$310,354-COUNTA(半紙!$B$11:$B$310)),IF(354&lt;=COUNTA(半紙!$B$11:$B$310)+COUNTA(条幅!$B$11:$B$310)+COUNTA(条幅4分の1!$B$11:$B$310),INDEX(条幅4分の1!$F$11:$F$310,354-COUNTA(半紙!$B$11:$B$310)-COUNTA(条幅!$B$11:$B$310)),"")))=0,"",IF(354&lt;=COUNTA(半紙!$B$11:$B$310),INDEX(半紙!$F$11:$F$310,354),IF(354&lt;=COUNTA(半紙!$B$11:$B$310)+COUNTA(条幅!$B$11:$B$310),INDEX(条幅!$F$11:$F$310,354-COUNTA(半紙!$B$11:$B$310)),IF(354&lt;=COUNTA(半紙!$B$11:$B$310)+COUNTA(条幅!$B$11:$B$310)+COUNTA(条幅4分の1!$B$11:$B$310),INDEX(条幅4分の1!$F$11:$F$310,354-COUNTA(半紙!$B$11:$B$310)-COUNTA(条幅!$B$11:$B$310)),""))))</f>
        <v/>
      </c>
      <c r="G359" s="38" t="str">
        <f>IF(IF(354&lt;=COUNTA(半紙!$B$11:$B$310),INDEX(半紙!$G$11:$G$310,354),IF(354&lt;=COUNTA(半紙!$B$11:$B$310)+COUNTA(条幅!$B$11:$B$310),INDEX(条幅!$G$11:$G$310,354-COUNTA(半紙!$B$11:$B$310)),IF(354&lt;=COUNTA(半紙!$B$11:$B$310)+COUNTA(条幅!$B$11:$B$310)+COUNTA(条幅4分の1!$B$11:$B$310),INDEX(条幅4分の1!$G$11:$G$310,354-COUNTA(半紙!$B$11:$B$310)-COUNTA(条幅!$B$11:$B$310)),"")))=0,"",IF(354&lt;=COUNTA(半紙!$B$11:$B$310),INDEX(半紙!$G$11:$G$310,354),IF(354&lt;=COUNTA(半紙!$B$11:$B$310)+COUNTA(条幅!$B$11:$B$310),INDEX(条幅!$G$11:$G$310,354-COUNTA(半紙!$B$11:$B$310)),IF(354&lt;=COUNTA(半紙!$B$11:$B$310)+COUNTA(条幅!$B$11:$B$310)+COUNTA(条幅4分の1!$B$11:$B$310),INDEX(条幅4分の1!$G$11:$G$310,354-COUNTA(半紙!$B$11:$B$310)-COUNTA(条幅!$B$11:$B$310)),""))))</f>
        <v/>
      </c>
      <c r="H359" s="38" t="str">
        <f>IF(IF(354&lt;=COUNTA(半紙!$B$11:$B$310),INDEX(半紙!$H$11:$H$310,354),IF(354&lt;=COUNTA(半紙!$B$11:$B$310)+COUNTA(条幅!$B$11:$B$310),INDEX(条幅!$H$11:$H$310,354-COUNTA(半紙!$B$11:$B$310)),IF(354&lt;=COUNTA(半紙!$B$11:$B$310)+COUNTA(条幅!$B$11:$B$310)+COUNTA(条幅4分の1!$B$11:$B$310),INDEX(条幅4分の1!$H$11:$H$310,354-COUNTA(半紙!$B$11:$B$310)-COUNTA(条幅!$B$11:$B$310)),"")))=0,"",IF(354&lt;=COUNTA(半紙!$B$11:$B$310),INDEX(半紙!$H$11:$H$310,354),IF(354&lt;=COUNTA(半紙!$B$11:$B$310)+COUNTA(条幅!$B$11:$B$310),INDEX(条幅!$H$11:$H$310,354-COUNTA(半紙!$B$11:$B$310)),IF(354&lt;=COUNTA(半紙!$B$11:$B$310)+COUNTA(条幅!$B$11:$B$310)+COUNTA(条幅4分の1!$B$11:$B$310),INDEX(条幅4分の1!$H$11:$H$310,354-COUNTA(半紙!$B$11:$B$310)-COUNTA(条幅!$B$11:$B$310)),""))))</f>
        <v/>
      </c>
      <c r="I359" s="38" t="str">
        <f>IF(IF(354&lt;=COUNTA(半紙!$B$11:$B$310),INDEX(半紙!$I$11:$I$310,354),IF(354&lt;=COUNTA(半紙!$B$11:$B$310)+COUNTA(条幅!$B$11:$B$310),INDEX(条幅!$I$11:$I$310,354-COUNTA(半紙!$B$11:$B$310)),IF(354&lt;=COUNTA(半紙!$B$11:$B$310)+COUNTA(条幅!$B$11:$B$310)+COUNTA(条幅4分の1!$B$11:$B$310),INDEX(条幅4分の1!$I$11:$I$310,354-COUNTA(半紙!$B$11:$B$310)-COUNTA(条幅!$B$11:$B$310)),"")))=0,"",IF(354&lt;=COUNTA(半紙!$B$11:$B$310),INDEX(半紙!$I$11:$I$310,354),IF(354&lt;=COUNTA(半紙!$B$11:$B$310)+COUNTA(条幅!$B$11:$B$310),INDEX(条幅!$I$11:$I$310,354-COUNTA(半紙!$B$11:$B$310)),IF(354&lt;=COUNTA(半紙!$B$11:$B$310)+COUNTA(条幅!$B$11:$B$310)+COUNTA(条幅4分の1!$B$11:$B$310),INDEX(条幅4分の1!$I$11:$I$310,354-COUNTA(半紙!$B$11:$B$310)-COUNTA(条幅!$B$11:$B$310)),""))))</f>
        <v/>
      </c>
      <c r="J359" s="38" t="str">
        <f>IF(IF(354&lt;=COUNTA(半紙!$B$11:$B$310),INDEX(半紙!$J$11:$J$310,354),IF(354&lt;=COUNTA(半紙!$B$11:$B$310)+COUNTA(条幅!$B$11:$B$310),INDEX(条幅!$J$11:$J$310,354-COUNTA(半紙!$B$11:$B$310)),IF(354&lt;=COUNTA(半紙!$B$11:$B$310)+COUNTA(条幅!$B$11:$B$310)+COUNTA(条幅4分の1!$B$11:$B$310),INDEX(条幅4分の1!$J$11:$J$310,354-COUNTA(半紙!$B$11:$B$310)-COUNTA(条幅!$B$11:$B$310)),"")))=0,"",IF(354&lt;=COUNTA(半紙!$B$11:$B$310),INDEX(半紙!$J$11:$J$310,354),IF(354&lt;=COUNTA(半紙!$B$11:$B$310)+COUNTA(条幅!$B$11:$B$310),INDEX(条幅!$J$11:$J$310,354-COUNTA(半紙!$B$11:$B$310)),IF(354&lt;=COUNTA(半紙!$B$11:$B$310)+COUNTA(条幅!$B$11:$B$310)+COUNTA(条幅4分の1!$B$11:$B$310),INDEX(条幅4分の1!$J$11:$J$310,354-COUNTA(半紙!$B$11:$B$310)-COUNTA(条幅!$B$11:$B$310)),""))))</f>
        <v/>
      </c>
      <c r="K359" s="38" t="str">
        <f>IF(IF(354&lt;=COUNTA(半紙!$B$11:$B$310),INDEX(半紙!$K$11:$K$310,354),IF(354&lt;=COUNTA(半紙!$B$11:$B$310)+COUNTA(条幅!$B$11:$B$310),INDEX(条幅!$K$11:$K$310,354-COUNTA(半紙!$B$11:$B$310)),IF(354&lt;=COUNTA(半紙!$B$11:$B$310)+COUNTA(条幅!$B$11:$B$310)+COUNTA(条幅4分の1!$B$11:$B$310),INDEX(条幅4分の1!$K$11:$K$310,354-COUNTA(半紙!$B$11:$B$310)-COUNTA(条幅!$B$11:$B$310)),"")))=0,"",IF(354&lt;=COUNTA(半紙!$B$11:$B$310),INDEX(半紙!$K$11:$K$310,354),IF(354&lt;=COUNTA(半紙!$B$11:$B$310)+COUNTA(条幅!$B$11:$B$310),INDEX(条幅!$K$11:$K$310,354-COUNTA(半紙!$B$11:$B$310)),IF(354&lt;=COUNTA(半紙!$B$11:$B$310)+COUNTA(条幅!$B$11:$B$310)+COUNTA(条幅4分の1!$B$11:$B$310),INDEX(条幅4分の1!$K$11:$K$310,354-COUNTA(半紙!$B$11:$B$310)-COUNTA(条幅!$B$11:$B$310)),""))))</f>
        <v/>
      </c>
      <c r="L359" s="48" t="str">
        <f>IF($B359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354))</f>
        <v/>
      </c>
    </row>
    <row r="360" spans="1:12" ht="15" customHeight="1">
      <c r="A360" s="37" t="str">
        <f>IF(355&lt;=COUNTA(半紙!$B$11:$B$310),"半紙",IF(355&lt;=COUNTA(半紙!$B$11:$B$310)+COUNTA(条幅!$B$11:$B$310),"条幅(半切)",IF(355&lt;=COUNTA(半紙!$B$11:$B$310)+COUNTA(条幅!$B$11:$B$310)+COUNTA(条幅4分の1!$B$11:$B$310),"条幅(1/4)","")))</f>
        <v/>
      </c>
      <c r="B360" s="38" t="str">
        <f>IF(IF(355&lt;=COUNTA(半紙!$B$11:$B$310),INDEX(半紙!$B$11:$B$310,355),IF(355&lt;=COUNTA(半紙!$B$11:$B$310)+COUNTA(条幅!$B$11:$B$310),INDEX(条幅!$B$11:$B$310,355-COUNTA(半紙!$B$11:$B$310)),IF(355&lt;=COUNTA(半紙!$B$11:$B$310)+COUNTA(条幅!$B$11:$B$310)+COUNTA(条幅4分の1!$B$11:$B$310),INDEX(条幅4分の1!$B$11:$B$310,355-COUNTA(半紙!$B$11:$B$310)-COUNTA(条幅!$B$11:$B$310)),"")))=0,"",IF(355&lt;=COUNTA(半紙!$B$11:$B$310),INDEX(半紙!$B$11:$B$310,355),IF(355&lt;=COUNTA(半紙!$B$11:$B$310)+COUNTA(条幅!$B$11:$B$310),INDEX(条幅!$B$11:$B$310,355-COUNTA(半紙!$B$11:$B$310)),IF(355&lt;=COUNTA(半紙!$B$11:$B$310)+COUNTA(条幅!$B$11:$B$310)+COUNTA(条幅4分の1!$B$11:$B$310),INDEX(条幅4分の1!$B$11:$B$310,355-COUNTA(半紙!$B$11:$B$310)-COUNTA(条幅!$B$11:$B$310)),""))))</f>
        <v/>
      </c>
      <c r="C360" s="38" t="str">
        <f>IF(IF(355&lt;=COUNTA(半紙!$B$11:$B$310),INDEX(半紙!$C$11:$C$310,355),IF(355&lt;=COUNTA(半紙!$B$11:$B$310)+COUNTA(条幅!$B$11:$B$310),INDEX(条幅!$C$11:$C$310,355-COUNTA(半紙!$B$11:$B$310)),IF(355&lt;=COUNTA(半紙!$B$11:$B$310)+COUNTA(条幅!$B$11:$B$310)+COUNTA(条幅4分の1!$B$11:$B$310),INDEX(条幅4分の1!$C$11:$C$310,355-COUNTA(半紙!$B$11:$B$310)-COUNTA(条幅!$B$11:$B$310)),"")))=0,"",IF(355&lt;=COUNTA(半紙!$B$11:$B$310),INDEX(半紙!$C$11:$C$310,355),IF(355&lt;=COUNTA(半紙!$B$11:$B$310)+COUNTA(条幅!$B$11:$B$310),INDEX(条幅!$C$11:$C$310,355-COUNTA(半紙!$B$11:$B$310)),IF(355&lt;=COUNTA(半紙!$B$11:$B$310)+COUNTA(条幅!$B$11:$B$310)+COUNTA(条幅4分の1!$B$11:$B$310),INDEX(条幅4分の1!$C$11:$C$310,355-COUNTA(半紙!$B$11:$B$310)-COUNTA(条幅!$B$11:$B$310)),""))))</f>
        <v/>
      </c>
      <c r="D360" s="38" t="str">
        <f>IF(IF(355&lt;=COUNTA(半紙!$B$11:$B$310),INDEX(半紙!$D$11:$D$310,355),IF(355&lt;=COUNTA(半紙!$B$11:$B$310)+COUNTA(条幅!$B$11:$B$310),INDEX(条幅!$D$11:$D$310,355-COUNTA(半紙!$B$11:$B$310)),IF(355&lt;=COUNTA(半紙!$B$11:$B$310)+COUNTA(条幅!$B$11:$B$310)+COUNTA(条幅4分の1!$B$11:$B$310),INDEX(条幅4分の1!$D$11:$D$310,355-COUNTA(半紙!$B$11:$B$310)-COUNTA(条幅!$B$11:$B$310)),"")))=0,"",IF(355&lt;=COUNTA(半紙!$B$11:$B$310),INDEX(半紙!$D$11:$D$310,355),IF(355&lt;=COUNTA(半紙!$B$11:$B$310)+COUNTA(条幅!$B$11:$B$310),INDEX(条幅!$D$11:$D$310,355-COUNTA(半紙!$B$11:$B$310)),IF(355&lt;=COUNTA(半紙!$B$11:$B$310)+COUNTA(条幅!$B$11:$B$310)+COUNTA(条幅4分の1!$B$11:$B$310),INDEX(条幅4分の1!$D$11:$D$310,355-COUNTA(半紙!$B$11:$B$310)-COUNTA(条幅!$B$11:$B$310)),""))))</f>
        <v/>
      </c>
      <c r="E360" s="38" t="str">
        <f>IF(IF(355&lt;=COUNTA(半紙!$B$11:$B$310),INDEX(半紙!$E$11:$E$310,355),IF(355&lt;=COUNTA(半紙!$B$11:$B$310)+COUNTA(条幅!$B$11:$B$310),INDEX(条幅!$E$11:$E$310,355-COUNTA(半紙!$B$11:$B$310)),IF(355&lt;=COUNTA(半紙!$B$11:$B$310)+COUNTA(条幅!$B$11:$B$310)+COUNTA(条幅4分の1!$B$11:$B$310),INDEX(条幅4分の1!$E$11:$E$310,355-COUNTA(半紙!$B$11:$B$310)-COUNTA(条幅!$B$11:$B$310)),"")))=0,"",IF(355&lt;=COUNTA(半紙!$B$11:$B$310),INDEX(半紙!$E$11:$E$310,355),IF(355&lt;=COUNTA(半紙!$B$11:$B$310)+COUNTA(条幅!$B$11:$B$310),INDEX(条幅!$E$11:$E$310,355-COUNTA(半紙!$B$11:$B$310)),IF(355&lt;=COUNTA(半紙!$B$11:$B$310)+COUNTA(条幅!$B$11:$B$310)+COUNTA(条幅4分の1!$B$11:$B$310),INDEX(条幅4分の1!$E$11:$E$310,355-COUNTA(半紙!$B$11:$B$310)-COUNTA(条幅!$B$11:$B$310)),""))))</f>
        <v/>
      </c>
      <c r="F360" s="38" t="str">
        <f>IF(IF(355&lt;=COUNTA(半紙!$B$11:$B$310),INDEX(半紙!$F$11:$F$310,355),IF(355&lt;=COUNTA(半紙!$B$11:$B$310)+COUNTA(条幅!$B$11:$B$310),INDEX(条幅!$F$11:$F$310,355-COUNTA(半紙!$B$11:$B$310)),IF(355&lt;=COUNTA(半紙!$B$11:$B$310)+COUNTA(条幅!$B$11:$B$310)+COUNTA(条幅4分の1!$B$11:$B$310),INDEX(条幅4分の1!$F$11:$F$310,355-COUNTA(半紙!$B$11:$B$310)-COUNTA(条幅!$B$11:$B$310)),"")))=0,"",IF(355&lt;=COUNTA(半紙!$B$11:$B$310),INDEX(半紙!$F$11:$F$310,355),IF(355&lt;=COUNTA(半紙!$B$11:$B$310)+COUNTA(条幅!$B$11:$B$310),INDEX(条幅!$F$11:$F$310,355-COUNTA(半紙!$B$11:$B$310)),IF(355&lt;=COUNTA(半紙!$B$11:$B$310)+COUNTA(条幅!$B$11:$B$310)+COUNTA(条幅4分の1!$B$11:$B$310),INDEX(条幅4分の1!$F$11:$F$310,355-COUNTA(半紙!$B$11:$B$310)-COUNTA(条幅!$B$11:$B$310)),""))))</f>
        <v/>
      </c>
      <c r="G360" s="38" t="str">
        <f>IF(IF(355&lt;=COUNTA(半紙!$B$11:$B$310),INDEX(半紙!$G$11:$G$310,355),IF(355&lt;=COUNTA(半紙!$B$11:$B$310)+COUNTA(条幅!$B$11:$B$310),INDEX(条幅!$G$11:$G$310,355-COUNTA(半紙!$B$11:$B$310)),IF(355&lt;=COUNTA(半紙!$B$11:$B$310)+COUNTA(条幅!$B$11:$B$310)+COUNTA(条幅4分の1!$B$11:$B$310),INDEX(条幅4分の1!$G$11:$G$310,355-COUNTA(半紙!$B$11:$B$310)-COUNTA(条幅!$B$11:$B$310)),"")))=0,"",IF(355&lt;=COUNTA(半紙!$B$11:$B$310),INDEX(半紙!$G$11:$G$310,355),IF(355&lt;=COUNTA(半紙!$B$11:$B$310)+COUNTA(条幅!$B$11:$B$310),INDEX(条幅!$G$11:$G$310,355-COUNTA(半紙!$B$11:$B$310)),IF(355&lt;=COUNTA(半紙!$B$11:$B$310)+COUNTA(条幅!$B$11:$B$310)+COUNTA(条幅4分の1!$B$11:$B$310),INDEX(条幅4分の1!$G$11:$G$310,355-COUNTA(半紙!$B$11:$B$310)-COUNTA(条幅!$B$11:$B$310)),""))))</f>
        <v/>
      </c>
      <c r="H360" s="38" t="str">
        <f>IF(IF(355&lt;=COUNTA(半紙!$B$11:$B$310),INDEX(半紙!$H$11:$H$310,355),IF(355&lt;=COUNTA(半紙!$B$11:$B$310)+COUNTA(条幅!$B$11:$B$310),INDEX(条幅!$H$11:$H$310,355-COUNTA(半紙!$B$11:$B$310)),IF(355&lt;=COUNTA(半紙!$B$11:$B$310)+COUNTA(条幅!$B$11:$B$310)+COUNTA(条幅4分の1!$B$11:$B$310),INDEX(条幅4分の1!$H$11:$H$310,355-COUNTA(半紙!$B$11:$B$310)-COUNTA(条幅!$B$11:$B$310)),"")))=0,"",IF(355&lt;=COUNTA(半紙!$B$11:$B$310),INDEX(半紙!$H$11:$H$310,355),IF(355&lt;=COUNTA(半紙!$B$11:$B$310)+COUNTA(条幅!$B$11:$B$310),INDEX(条幅!$H$11:$H$310,355-COUNTA(半紙!$B$11:$B$310)),IF(355&lt;=COUNTA(半紙!$B$11:$B$310)+COUNTA(条幅!$B$11:$B$310)+COUNTA(条幅4分の1!$B$11:$B$310),INDEX(条幅4分の1!$H$11:$H$310,355-COUNTA(半紙!$B$11:$B$310)-COUNTA(条幅!$B$11:$B$310)),""))))</f>
        <v/>
      </c>
      <c r="I360" s="38" t="str">
        <f>IF(IF(355&lt;=COUNTA(半紙!$B$11:$B$310),INDEX(半紙!$I$11:$I$310,355),IF(355&lt;=COUNTA(半紙!$B$11:$B$310)+COUNTA(条幅!$B$11:$B$310),INDEX(条幅!$I$11:$I$310,355-COUNTA(半紙!$B$11:$B$310)),IF(355&lt;=COUNTA(半紙!$B$11:$B$310)+COUNTA(条幅!$B$11:$B$310)+COUNTA(条幅4分の1!$B$11:$B$310),INDEX(条幅4分の1!$I$11:$I$310,355-COUNTA(半紙!$B$11:$B$310)-COUNTA(条幅!$B$11:$B$310)),"")))=0,"",IF(355&lt;=COUNTA(半紙!$B$11:$B$310),INDEX(半紙!$I$11:$I$310,355),IF(355&lt;=COUNTA(半紙!$B$11:$B$310)+COUNTA(条幅!$B$11:$B$310),INDEX(条幅!$I$11:$I$310,355-COUNTA(半紙!$B$11:$B$310)),IF(355&lt;=COUNTA(半紙!$B$11:$B$310)+COUNTA(条幅!$B$11:$B$310)+COUNTA(条幅4分の1!$B$11:$B$310),INDEX(条幅4分の1!$I$11:$I$310,355-COUNTA(半紙!$B$11:$B$310)-COUNTA(条幅!$B$11:$B$310)),""))))</f>
        <v/>
      </c>
      <c r="J360" s="38" t="str">
        <f>IF(IF(355&lt;=COUNTA(半紙!$B$11:$B$310),INDEX(半紙!$J$11:$J$310,355),IF(355&lt;=COUNTA(半紙!$B$11:$B$310)+COUNTA(条幅!$B$11:$B$310),INDEX(条幅!$J$11:$J$310,355-COUNTA(半紙!$B$11:$B$310)),IF(355&lt;=COUNTA(半紙!$B$11:$B$310)+COUNTA(条幅!$B$11:$B$310)+COUNTA(条幅4分の1!$B$11:$B$310),INDEX(条幅4分の1!$J$11:$J$310,355-COUNTA(半紙!$B$11:$B$310)-COUNTA(条幅!$B$11:$B$310)),"")))=0,"",IF(355&lt;=COUNTA(半紙!$B$11:$B$310),INDEX(半紙!$J$11:$J$310,355),IF(355&lt;=COUNTA(半紙!$B$11:$B$310)+COUNTA(条幅!$B$11:$B$310),INDEX(条幅!$J$11:$J$310,355-COUNTA(半紙!$B$11:$B$310)),IF(355&lt;=COUNTA(半紙!$B$11:$B$310)+COUNTA(条幅!$B$11:$B$310)+COUNTA(条幅4分の1!$B$11:$B$310),INDEX(条幅4分の1!$J$11:$J$310,355-COUNTA(半紙!$B$11:$B$310)-COUNTA(条幅!$B$11:$B$310)),""))))</f>
        <v/>
      </c>
      <c r="K360" s="38" t="str">
        <f>IF(IF(355&lt;=COUNTA(半紙!$B$11:$B$310),INDEX(半紙!$K$11:$K$310,355),IF(355&lt;=COUNTA(半紙!$B$11:$B$310)+COUNTA(条幅!$B$11:$B$310),INDEX(条幅!$K$11:$K$310,355-COUNTA(半紙!$B$11:$B$310)),IF(355&lt;=COUNTA(半紙!$B$11:$B$310)+COUNTA(条幅!$B$11:$B$310)+COUNTA(条幅4分の1!$B$11:$B$310),INDEX(条幅4分の1!$K$11:$K$310,355-COUNTA(半紙!$B$11:$B$310)-COUNTA(条幅!$B$11:$B$310)),"")))=0,"",IF(355&lt;=COUNTA(半紙!$B$11:$B$310),INDEX(半紙!$K$11:$K$310,355),IF(355&lt;=COUNTA(半紙!$B$11:$B$310)+COUNTA(条幅!$B$11:$B$310),INDEX(条幅!$K$11:$K$310,355-COUNTA(半紙!$B$11:$B$310)),IF(355&lt;=COUNTA(半紙!$B$11:$B$310)+COUNTA(条幅!$B$11:$B$310)+COUNTA(条幅4分の1!$B$11:$B$310),INDEX(条幅4分の1!$K$11:$K$310,355-COUNTA(半紙!$B$11:$B$310)-COUNTA(条幅!$B$11:$B$310)),""))))</f>
        <v/>
      </c>
      <c r="L360" s="48" t="str">
        <f>IF($B360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355))</f>
        <v/>
      </c>
    </row>
    <row r="361" spans="1:12" ht="15" customHeight="1">
      <c r="A361" s="37" t="str">
        <f>IF(356&lt;=COUNTA(半紙!$B$11:$B$310),"半紙",IF(356&lt;=COUNTA(半紙!$B$11:$B$310)+COUNTA(条幅!$B$11:$B$310),"条幅(半切)",IF(356&lt;=COUNTA(半紙!$B$11:$B$310)+COUNTA(条幅!$B$11:$B$310)+COUNTA(条幅4分の1!$B$11:$B$310),"条幅(1/4)","")))</f>
        <v/>
      </c>
      <c r="B361" s="38" t="str">
        <f>IF(IF(356&lt;=COUNTA(半紙!$B$11:$B$310),INDEX(半紙!$B$11:$B$310,356),IF(356&lt;=COUNTA(半紙!$B$11:$B$310)+COUNTA(条幅!$B$11:$B$310),INDEX(条幅!$B$11:$B$310,356-COUNTA(半紙!$B$11:$B$310)),IF(356&lt;=COUNTA(半紙!$B$11:$B$310)+COUNTA(条幅!$B$11:$B$310)+COUNTA(条幅4分の1!$B$11:$B$310),INDEX(条幅4分の1!$B$11:$B$310,356-COUNTA(半紙!$B$11:$B$310)-COUNTA(条幅!$B$11:$B$310)),"")))=0,"",IF(356&lt;=COUNTA(半紙!$B$11:$B$310),INDEX(半紙!$B$11:$B$310,356),IF(356&lt;=COUNTA(半紙!$B$11:$B$310)+COUNTA(条幅!$B$11:$B$310),INDEX(条幅!$B$11:$B$310,356-COUNTA(半紙!$B$11:$B$310)),IF(356&lt;=COUNTA(半紙!$B$11:$B$310)+COUNTA(条幅!$B$11:$B$310)+COUNTA(条幅4分の1!$B$11:$B$310),INDEX(条幅4分の1!$B$11:$B$310,356-COUNTA(半紙!$B$11:$B$310)-COUNTA(条幅!$B$11:$B$310)),""))))</f>
        <v/>
      </c>
      <c r="C361" s="38" t="str">
        <f>IF(IF(356&lt;=COUNTA(半紙!$B$11:$B$310),INDEX(半紙!$C$11:$C$310,356),IF(356&lt;=COUNTA(半紙!$B$11:$B$310)+COUNTA(条幅!$B$11:$B$310),INDEX(条幅!$C$11:$C$310,356-COUNTA(半紙!$B$11:$B$310)),IF(356&lt;=COUNTA(半紙!$B$11:$B$310)+COUNTA(条幅!$B$11:$B$310)+COUNTA(条幅4分の1!$B$11:$B$310),INDEX(条幅4分の1!$C$11:$C$310,356-COUNTA(半紙!$B$11:$B$310)-COUNTA(条幅!$B$11:$B$310)),"")))=0,"",IF(356&lt;=COUNTA(半紙!$B$11:$B$310),INDEX(半紙!$C$11:$C$310,356),IF(356&lt;=COUNTA(半紙!$B$11:$B$310)+COUNTA(条幅!$B$11:$B$310),INDEX(条幅!$C$11:$C$310,356-COUNTA(半紙!$B$11:$B$310)),IF(356&lt;=COUNTA(半紙!$B$11:$B$310)+COUNTA(条幅!$B$11:$B$310)+COUNTA(条幅4分の1!$B$11:$B$310),INDEX(条幅4分の1!$C$11:$C$310,356-COUNTA(半紙!$B$11:$B$310)-COUNTA(条幅!$B$11:$B$310)),""))))</f>
        <v/>
      </c>
      <c r="D361" s="38" t="str">
        <f>IF(IF(356&lt;=COUNTA(半紙!$B$11:$B$310),INDEX(半紙!$D$11:$D$310,356),IF(356&lt;=COUNTA(半紙!$B$11:$B$310)+COUNTA(条幅!$B$11:$B$310),INDEX(条幅!$D$11:$D$310,356-COUNTA(半紙!$B$11:$B$310)),IF(356&lt;=COUNTA(半紙!$B$11:$B$310)+COUNTA(条幅!$B$11:$B$310)+COUNTA(条幅4分の1!$B$11:$B$310),INDEX(条幅4分の1!$D$11:$D$310,356-COUNTA(半紙!$B$11:$B$310)-COUNTA(条幅!$B$11:$B$310)),"")))=0,"",IF(356&lt;=COUNTA(半紙!$B$11:$B$310),INDEX(半紙!$D$11:$D$310,356),IF(356&lt;=COUNTA(半紙!$B$11:$B$310)+COUNTA(条幅!$B$11:$B$310),INDEX(条幅!$D$11:$D$310,356-COUNTA(半紙!$B$11:$B$310)),IF(356&lt;=COUNTA(半紙!$B$11:$B$310)+COUNTA(条幅!$B$11:$B$310)+COUNTA(条幅4分の1!$B$11:$B$310),INDEX(条幅4分の1!$D$11:$D$310,356-COUNTA(半紙!$B$11:$B$310)-COUNTA(条幅!$B$11:$B$310)),""))))</f>
        <v/>
      </c>
      <c r="E361" s="38" t="str">
        <f>IF(IF(356&lt;=COUNTA(半紙!$B$11:$B$310),INDEX(半紙!$E$11:$E$310,356),IF(356&lt;=COUNTA(半紙!$B$11:$B$310)+COUNTA(条幅!$B$11:$B$310),INDEX(条幅!$E$11:$E$310,356-COUNTA(半紙!$B$11:$B$310)),IF(356&lt;=COUNTA(半紙!$B$11:$B$310)+COUNTA(条幅!$B$11:$B$310)+COUNTA(条幅4分の1!$B$11:$B$310),INDEX(条幅4分の1!$E$11:$E$310,356-COUNTA(半紙!$B$11:$B$310)-COUNTA(条幅!$B$11:$B$310)),"")))=0,"",IF(356&lt;=COUNTA(半紙!$B$11:$B$310),INDEX(半紙!$E$11:$E$310,356),IF(356&lt;=COUNTA(半紙!$B$11:$B$310)+COUNTA(条幅!$B$11:$B$310),INDEX(条幅!$E$11:$E$310,356-COUNTA(半紙!$B$11:$B$310)),IF(356&lt;=COUNTA(半紙!$B$11:$B$310)+COUNTA(条幅!$B$11:$B$310)+COUNTA(条幅4分の1!$B$11:$B$310),INDEX(条幅4分の1!$E$11:$E$310,356-COUNTA(半紙!$B$11:$B$310)-COUNTA(条幅!$B$11:$B$310)),""))))</f>
        <v/>
      </c>
      <c r="F361" s="38" t="str">
        <f>IF(IF(356&lt;=COUNTA(半紙!$B$11:$B$310),INDEX(半紙!$F$11:$F$310,356),IF(356&lt;=COUNTA(半紙!$B$11:$B$310)+COUNTA(条幅!$B$11:$B$310),INDEX(条幅!$F$11:$F$310,356-COUNTA(半紙!$B$11:$B$310)),IF(356&lt;=COUNTA(半紙!$B$11:$B$310)+COUNTA(条幅!$B$11:$B$310)+COUNTA(条幅4分の1!$B$11:$B$310),INDEX(条幅4分の1!$F$11:$F$310,356-COUNTA(半紙!$B$11:$B$310)-COUNTA(条幅!$B$11:$B$310)),"")))=0,"",IF(356&lt;=COUNTA(半紙!$B$11:$B$310),INDEX(半紙!$F$11:$F$310,356),IF(356&lt;=COUNTA(半紙!$B$11:$B$310)+COUNTA(条幅!$B$11:$B$310),INDEX(条幅!$F$11:$F$310,356-COUNTA(半紙!$B$11:$B$310)),IF(356&lt;=COUNTA(半紙!$B$11:$B$310)+COUNTA(条幅!$B$11:$B$310)+COUNTA(条幅4分の1!$B$11:$B$310),INDEX(条幅4分の1!$F$11:$F$310,356-COUNTA(半紙!$B$11:$B$310)-COUNTA(条幅!$B$11:$B$310)),""))))</f>
        <v/>
      </c>
      <c r="G361" s="38" t="str">
        <f>IF(IF(356&lt;=COUNTA(半紙!$B$11:$B$310),INDEX(半紙!$G$11:$G$310,356),IF(356&lt;=COUNTA(半紙!$B$11:$B$310)+COUNTA(条幅!$B$11:$B$310),INDEX(条幅!$G$11:$G$310,356-COUNTA(半紙!$B$11:$B$310)),IF(356&lt;=COUNTA(半紙!$B$11:$B$310)+COUNTA(条幅!$B$11:$B$310)+COUNTA(条幅4分の1!$B$11:$B$310),INDEX(条幅4分の1!$G$11:$G$310,356-COUNTA(半紙!$B$11:$B$310)-COUNTA(条幅!$B$11:$B$310)),"")))=0,"",IF(356&lt;=COUNTA(半紙!$B$11:$B$310),INDEX(半紙!$G$11:$G$310,356),IF(356&lt;=COUNTA(半紙!$B$11:$B$310)+COUNTA(条幅!$B$11:$B$310),INDEX(条幅!$G$11:$G$310,356-COUNTA(半紙!$B$11:$B$310)),IF(356&lt;=COUNTA(半紙!$B$11:$B$310)+COUNTA(条幅!$B$11:$B$310)+COUNTA(条幅4分の1!$B$11:$B$310),INDEX(条幅4分の1!$G$11:$G$310,356-COUNTA(半紙!$B$11:$B$310)-COUNTA(条幅!$B$11:$B$310)),""))))</f>
        <v/>
      </c>
      <c r="H361" s="38" t="str">
        <f>IF(IF(356&lt;=COUNTA(半紙!$B$11:$B$310),INDEX(半紙!$H$11:$H$310,356),IF(356&lt;=COUNTA(半紙!$B$11:$B$310)+COUNTA(条幅!$B$11:$B$310),INDEX(条幅!$H$11:$H$310,356-COUNTA(半紙!$B$11:$B$310)),IF(356&lt;=COUNTA(半紙!$B$11:$B$310)+COUNTA(条幅!$B$11:$B$310)+COUNTA(条幅4分の1!$B$11:$B$310),INDEX(条幅4分の1!$H$11:$H$310,356-COUNTA(半紙!$B$11:$B$310)-COUNTA(条幅!$B$11:$B$310)),"")))=0,"",IF(356&lt;=COUNTA(半紙!$B$11:$B$310),INDEX(半紙!$H$11:$H$310,356),IF(356&lt;=COUNTA(半紙!$B$11:$B$310)+COUNTA(条幅!$B$11:$B$310),INDEX(条幅!$H$11:$H$310,356-COUNTA(半紙!$B$11:$B$310)),IF(356&lt;=COUNTA(半紙!$B$11:$B$310)+COUNTA(条幅!$B$11:$B$310)+COUNTA(条幅4分の1!$B$11:$B$310),INDEX(条幅4分の1!$H$11:$H$310,356-COUNTA(半紙!$B$11:$B$310)-COUNTA(条幅!$B$11:$B$310)),""))))</f>
        <v/>
      </c>
      <c r="I361" s="38" t="str">
        <f>IF(IF(356&lt;=COUNTA(半紙!$B$11:$B$310),INDEX(半紙!$I$11:$I$310,356),IF(356&lt;=COUNTA(半紙!$B$11:$B$310)+COUNTA(条幅!$B$11:$B$310),INDEX(条幅!$I$11:$I$310,356-COUNTA(半紙!$B$11:$B$310)),IF(356&lt;=COUNTA(半紙!$B$11:$B$310)+COUNTA(条幅!$B$11:$B$310)+COUNTA(条幅4分の1!$B$11:$B$310),INDEX(条幅4分の1!$I$11:$I$310,356-COUNTA(半紙!$B$11:$B$310)-COUNTA(条幅!$B$11:$B$310)),"")))=0,"",IF(356&lt;=COUNTA(半紙!$B$11:$B$310),INDEX(半紙!$I$11:$I$310,356),IF(356&lt;=COUNTA(半紙!$B$11:$B$310)+COUNTA(条幅!$B$11:$B$310),INDEX(条幅!$I$11:$I$310,356-COUNTA(半紙!$B$11:$B$310)),IF(356&lt;=COUNTA(半紙!$B$11:$B$310)+COUNTA(条幅!$B$11:$B$310)+COUNTA(条幅4分の1!$B$11:$B$310),INDEX(条幅4分の1!$I$11:$I$310,356-COUNTA(半紙!$B$11:$B$310)-COUNTA(条幅!$B$11:$B$310)),""))))</f>
        <v/>
      </c>
      <c r="J361" s="38" t="str">
        <f>IF(IF(356&lt;=COUNTA(半紙!$B$11:$B$310),INDEX(半紙!$J$11:$J$310,356),IF(356&lt;=COUNTA(半紙!$B$11:$B$310)+COUNTA(条幅!$B$11:$B$310),INDEX(条幅!$J$11:$J$310,356-COUNTA(半紙!$B$11:$B$310)),IF(356&lt;=COUNTA(半紙!$B$11:$B$310)+COUNTA(条幅!$B$11:$B$310)+COUNTA(条幅4分の1!$B$11:$B$310),INDEX(条幅4分の1!$J$11:$J$310,356-COUNTA(半紙!$B$11:$B$310)-COUNTA(条幅!$B$11:$B$310)),"")))=0,"",IF(356&lt;=COUNTA(半紙!$B$11:$B$310),INDEX(半紙!$J$11:$J$310,356),IF(356&lt;=COUNTA(半紙!$B$11:$B$310)+COUNTA(条幅!$B$11:$B$310),INDEX(条幅!$J$11:$J$310,356-COUNTA(半紙!$B$11:$B$310)),IF(356&lt;=COUNTA(半紙!$B$11:$B$310)+COUNTA(条幅!$B$11:$B$310)+COUNTA(条幅4分の1!$B$11:$B$310),INDEX(条幅4分の1!$J$11:$J$310,356-COUNTA(半紙!$B$11:$B$310)-COUNTA(条幅!$B$11:$B$310)),""))))</f>
        <v/>
      </c>
      <c r="K361" s="38" t="str">
        <f>IF(IF(356&lt;=COUNTA(半紙!$B$11:$B$310),INDEX(半紙!$K$11:$K$310,356),IF(356&lt;=COUNTA(半紙!$B$11:$B$310)+COUNTA(条幅!$B$11:$B$310),INDEX(条幅!$K$11:$K$310,356-COUNTA(半紙!$B$11:$B$310)),IF(356&lt;=COUNTA(半紙!$B$11:$B$310)+COUNTA(条幅!$B$11:$B$310)+COUNTA(条幅4分の1!$B$11:$B$310),INDEX(条幅4分の1!$K$11:$K$310,356-COUNTA(半紙!$B$11:$B$310)-COUNTA(条幅!$B$11:$B$310)),"")))=0,"",IF(356&lt;=COUNTA(半紙!$B$11:$B$310),INDEX(半紙!$K$11:$K$310,356),IF(356&lt;=COUNTA(半紙!$B$11:$B$310)+COUNTA(条幅!$B$11:$B$310),INDEX(条幅!$K$11:$K$310,356-COUNTA(半紙!$B$11:$B$310)),IF(356&lt;=COUNTA(半紙!$B$11:$B$310)+COUNTA(条幅!$B$11:$B$310)+COUNTA(条幅4分の1!$B$11:$B$310),INDEX(条幅4分の1!$K$11:$K$310,356-COUNTA(半紙!$B$11:$B$310)-COUNTA(条幅!$B$11:$B$310)),""))))</f>
        <v/>
      </c>
      <c r="L361" s="48" t="str">
        <f>IF($B361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356))</f>
        <v/>
      </c>
    </row>
    <row r="362" spans="1:12" ht="15" customHeight="1">
      <c r="A362" s="37" t="str">
        <f>IF(357&lt;=COUNTA(半紙!$B$11:$B$310),"半紙",IF(357&lt;=COUNTA(半紙!$B$11:$B$310)+COUNTA(条幅!$B$11:$B$310),"条幅(半切)",IF(357&lt;=COUNTA(半紙!$B$11:$B$310)+COUNTA(条幅!$B$11:$B$310)+COUNTA(条幅4分の1!$B$11:$B$310),"条幅(1/4)","")))</f>
        <v/>
      </c>
      <c r="B362" s="38" t="str">
        <f>IF(IF(357&lt;=COUNTA(半紙!$B$11:$B$310),INDEX(半紙!$B$11:$B$310,357),IF(357&lt;=COUNTA(半紙!$B$11:$B$310)+COUNTA(条幅!$B$11:$B$310),INDEX(条幅!$B$11:$B$310,357-COUNTA(半紙!$B$11:$B$310)),IF(357&lt;=COUNTA(半紙!$B$11:$B$310)+COUNTA(条幅!$B$11:$B$310)+COUNTA(条幅4分の1!$B$11:$B$310),INDEX(条幅4分の1!$B$11:$B$310,357-COUNTA(半紙!$B$11:$B$310)-COUNTA(条幅!$B$11:$B$310)),"")))=0,"",IF(357&lt;=COUNTA(半紙!$B$11:$B$310),INDEX(半紙!$B$11:$B$310,357),IF(357&lt;=COUNTA(半紙!$B$11:$B$310)+COUNTA(条幅!$B$11:$B$310),INDEX(条幅!$B$11:$B$310,357-COUNTA(半紙!$B$11:$B$310)),IF(357&lt;=COUNTA(半紙!$B$11:$B$310)+COUNTA(条幅!$B$11:$B$310)+COUNTA(条幅4分の1!$B$11:$B$310),INDEX(条幅4分の1!$B$11:$B$310,357-COUNTA(半紙!$B$11:$B$310)-COUNTA(条幅!$B$11:$B$310)),""))))</f>
        <v/>
      </c>
      <c r="C362" s="38" t="str">
        <f>IF(IF(357&lt;=COUNTA(半紙!$B$11:$B$310),INDEX(半紙!$C$11:$C$310,357),IF(357&lt;=COUNTA(半紙!$B$11:$B$310)+COUNTA(条幅!$B$11:$B$310),INDEX(条幅!$C$11:$C$310,357-COUNTA(半紙!$B$11:$B$310)),IF(357&lt;=COUNTA(半紙!$B$11:$B$310)+COUNTA(条幅!$B$11:$B$310)+COUNTA(条幅4分の1!$B$11:$B$310),INDEX(条幅4分の1!$C$11:$C$310,357-COUNTA(半紙!$B$11:$B$310)-COUNTA(条幅!$B$11:$B$310)),"")))=0,"",IF(357&lt;=COUNTA(半紙!$B$11:$B$310),INDEX(半紙!$C$11:$C$310,357),IF(357&lt;=COUNTA(半紙!$B$11:$B$310)+COUNTA(条幅!$B$11:$B$310),INDEX(条幅!$C$11:$C$310,357-COUNTA(半紙!$B$11:$B$310)),IF(357&lt;=COUNTA(半紙!$B$11:$B$310)+COUNTA(条幅!$B$11:$B$310)+COUNTA(条幅4分の1!$B$11:$B$310),INDEX(条幅4分の1!$C$11:$C$310,357-COUNTA(半紙!$B$11:$B$310)-COUNTA(条幅!$B$11:$B$310)),""))))</f>
        <v/>
      </c>
      <c r="D362" s="38" t="str">
        <f>IF(IF(357&lt;=COUNTA(半紙!$B$11:$B$310),INDEX(半紙!$D$11:$D$310,357),IF(357&lt;=COUNTA(半紙!$B$11:$B$310)+COUNTA(条幅!$B$11:$B$310),INDEX(条幅!$D$11:$D$310,357-COUNTA(半紙!$B$11:$B$310)),IF(357&lt;=COUNTA(半紙!$B$11:$B$310)+COUNTA(条幅!$B$11:$B$310)+COUNTA(条幅4分の1!$B$11:$B$310),INDEX(条幅4分の1!$D$11:$D$310,357-COUNTA(半紙!$B$11:$B$310)-COUNTA(条幅!$B$11:$B$310)),"")))=0,"",IF(357&lt;=COUNTA(半紙!$B$11:$B$310),INDEX(半紙!$D$11:$D$310,357),IF(357&lt;=COUNTA(半紙!$B$11:$B$310)+COUNTA(条幅!$B$11:$B$310),INDEX(条幅!$D$11:$D$310,357-COUNTA(半紙!$B$11:$B$310)),IF(357&lt;=COUNTA(半紙!$B$11:$B$310)+COUNTA(条幅!$B$11:$B$310)+COUNTA(条幅4分の1!$B$11:$B$310),INDEX(条幅4分の1!$D$11:$D$310,357-COUNTA(半紙!$B$11:$B$310)-COUNTA(条幅!$B$11:$B$310)),""))))</f>
        <v/>
      </c>
      <c r="E362" s="38" t="str">
        <f>IF(IF(357&lt;=COUNTA(半紙!$B$11:$B$310),INDEX(半紙!$E$11:$E$310,357),IF(357&lt;=COUNTA(半紙!$B$11:$B$310)+COUNTA(条幅!$B$11:$B$310),INDEX(条幅!$E$11:$E$310,357-COUNTA(半紙!$B$11:$B$310)),IF(357&lt;=COUNTA(半紙!$B$11:$B$310)+COUNTA(条幅!$B$11:$B$310)+COUNTA(条幅4分の1!$B$11:$B$310),INDEX(条幅4分の1!$E$11:$E$310,357-COUNTA(半紙!$B$11:$B$310)-COUNTA(条幅!$B$11:$B$310)),"")))=0,"",IF(357&lt;=COUNTA(半紙!$B$11:$B$310),INDEX(半紙!$E$11:$E$310,357),IF(357&lt;=COUNTA(半紙!$B$11:$B$310)+COUNTA(条幅!$B$11:$B$310),INDEX(条幅!$E$11:$E$310,357-COUNTA(半紙!$B$11:$B$310)),IF(357&lt;=COUNTA(半紙!$B$11:$B$310)+COUNTA(条幅!$B$11:$B$310)+COUNTA(条幅4分の1!$B$11:$B$310),INDEX(条幅4分の1!$E$11:$E$310,357-COUNTA(半紙!$B$11:$B$310)-COUNTA(条幅!$B$11:$B$310)),""))))</f>
        <v/>
      </c>
      <c r="F362" s="38" t="str">
        <f>IF(IF(357&lt;=COUNTA(半紙!$B$11:$B$310),INDEX(半紙!$F$11:$F$310,357),IF(357&lt;=COUNTA(半紙!$B$11:$B$310)+COUNTA(条幅!$B$11:$B$310),INDEX(条幅!$F$11:$F$310,357-COUNTA(半紙!$B$11:$B$310)),IF(357&lt;=COUNTA(半紙!$B$11:$B$310)+COUNTA(条幅!$B$11:$B$310)+COUNTA(条幅4分の1!$B$11:$B$310),INDEX(条幅4分の1!$F$11:$F$310,357-COUNTA(半紙!$B$11:$B$310)-COUNTA(条幅!$B$11:$B$310)),"")))=0,"",IF(357&lt;=COUNTA(半紙!$B$11:$B$310),INDEX(半紙!$F$11:$F$310,357),IF(357&lt;=COUNTA(半紙!$B$11:$B$310)+COUNTA(条幅!$B$11:$B$310),INDEX(条幅!$F$11:$F$310,357-COUNTA(半紙!$B$11:$B$310)),IF(357&lt;=COUNTA(半紙!$B$11:$B$310)+COUNTA(条幅!$B$11:$B$310)+COUNTA(条幅4分の1!$B$11:$B$310),INDEX(条幅4分の1!$F$11:$F$310,357-COUNTA(半紙!$B$11:$B$310)-COUNTA(条幅!$B$11:$B$310)),""))))</f>
        <v/>
      </c>
      <c r="G362" s="38" t="str">
        <f>IF(IF(357&lt;=COUNTA(半紙!$B$11:$B$310),INDEX(半紙!$G$11:$G$310,357),IF(357&lt;=COUNTA(半紙!$B$11:$B$310)+COUNTA(条幅!$B$11:$B$310),INDEX(条幅!$G$11:$G$310,357-COUNTA(半紙!$B$11:$B$310)),IF(357&lt;=COUNTA(半紙!$B$11:$B$310)+COUNTA(条幅!$B$11:$B$310)+COUNTA(条幅4分の1!$B$11:$B$310),INDEX(条幅4分の1!$G$11:$G$310,357-COUNTA(半紙!$B$11:$B$310)-COUNTA(条幅!$B$11:$B$310)),"")))=0,"",IF(357&lt;=COUNTA(半紙!$B$11:$B$310),INDEX(半紙!$G$11:$G$310,357),IF(357&lt;=COUNTA(半紙!$B$11:$B$310)+COUNTA(条幅!$B$11:$B$310),INDEX(条幅!$G$11:$G$310,357-COUNTA(半紙!$B$11:$B$310)),IF(357&lt;=COUNTA(半紙!$B$11:$B$310)+COUNTA(条幅!$B$11:$B$310)+COUNTA(条幅4分の1!$B$11:$B$310),INDEX(条幅4分の1!$G$11:$G$310,357-COUNTA(半紙!$B$11:$B$310)-COUNTA(条幅!$B$11:$B$310)),""))))</f>
        <v/>
      </c>
      <c r="H362" s="38" t="str">
        <f>IF(IF(357&lt;=COUNTA(半紙!$B$11:$B$310),INDEX(半紙!$H$11:$H$310,357),IF(357&lt;=COUNTA(半紙!$B$11:$B$310)+COUNTA(条幅!$B$11:$B$310),INDEX(条幅!$H$11:$H$310,357-COUNTA(半紙!$B$11:$B$310)),IF(357&lt;=COUNTA(半紙!$B$11:$B$310)+COUNTA(条幅!$B$11:$B$310)+COUNTA(条幅4分の1!$B$11:$B$310),INDEX(条幅4分の1!$H$11:$H$310,357-COUNTA(半紙!$B$11:$B$310)-COUNTA(条幅!$B$11:$B$310)),"")))=0,"",IF(357&lt;=COUNTA(半紙!$B$11:$B$310),INDEX(半紙!$H$11:$H$310,357),IF(357&lt;=COUNTA(半紙!$B$11:$B$310)+COUNTA(条幅!$B$11:$B$310),INDEX(条幅!$H$11:$H$310,357-COUNTA(半紙!$B$11:$B$310)),IF(357&lt;=COUNTA(半紙!$B$11:$B$310)+COUNTA(条幅!$B$11:$B$310)+COUNTA(条幅4分の1!$B$11:$B$310),INDEX(条幅4分の1!$H$11:$H$310,357-COUNTA(半紙!$B$11:$B$310)-COUNTA(条幅!$B$11:$B$310)),""))))</f>
        <v/>
      </c>
      <c r="I362" s="38" t="str">
        <f>IF(IF(357&lt;=COUNTA(半紙!$B$11:$B$310),INDEX(半紙!$I$11:$I$310,357),IF(357&lt;=COUNTA(半紙!$B$11:$B$310)+COUNTA(条幅!$B$11:$B$310),INDEX(条幅!$I$11:$I$310,357-COUNTA(半紙!$B$11:$B$310)),IF(357&lt;=COUNTA(半紙!$B$11:$B$310)+COUNTA(条幅!$B$11:$B$310)+COUNTA(条幅4分の1!$B$11:$B$310),INDEX(条幅4分の1!$I$11:$I$310,357-COUNTA(半紙!$B$11:$B$310)-COUNTA(条幅!$B$11:$B$310)),"")))=0,"",IF(357&lt;=COUNTA(半紙!$B$11:$B$310),INDEX(半紙!$I$11:$I$310,357),IF(357&lt;=COUNTA(半紙!$B$11:$B$310)+COUNTA(条幅!$B$11:$B$310),INDEX(条幅!$I$11:$I$310,357-COUNTA(半紙!$B$11:$B$310)),IF(357&lt;=COUNTA(半紙!$B$11:$B$310)+COUNTA(条幅!$B$11:$B$310)+COUNTA(条幅4分の1!$B$11:$B$310),INDEX(条幅4分の1!$I$11:$I$310,357-COUNTA(半紙!$B$11:$B$310)-COUNTA(条幅!$B$11:$B$310)),""))))</f>
        <v/>
      </c>
      <c r="J362" s="38" t="str">
        <f>IF(IF(357&lt;=COUNTA(半紙!$B$11:$B$310),INDEX(半紙!$J$11:$J$310,357),IF(357&lt;=COUNTA(半紙!$B$11:$B$310)+COUNTA(条幅!$B$11:$B$310),INDEX(条幅!$J$11:$J$310,357-COUNTA(半紙!$B$11:$B$310)),IF(357&lt;=COUNTA(半紙!$B$11:$B$310)+COUNTA(条幅!$B$11:$B$310)+COUNTA(条幅4分の1!$B$11:$B$310),INDEX(条幅4分の1!$J$11:$J$310,357-COUNTA(半紙!$B$11:$B$310)-COUNTA(条幅!$B$11:$B$310)),"")))=0,"",IF(357&lt;=COUNTA(半紙!$B$11:$B$310),INDEX(半紙!$J$11:$J$310,357),IF(357&lt;=COUNTA(半紙!$B$11:$B$310)+COUNTA(条幅!$B$11:$B$310),INDEX(条幅!$J$11:$J$310,357-COUNTA(半紙!$B$11:$B$310)),IF(357&lt;=COUNTA(半紙!$B$11:$B$310)+COUNTA(条幅!$B$11:$B$310)+COUNTA(条幅4分の1!$B$11:$B$310),INDEX(条幅4分の1!$J$11:$J$310,357-COUNTA(半紙!$B$11:$B$310)-COUNTA(条幅!$B$11:$B$310)),""))))</f>
        <v/>
      </c>
      <c r="K362" s="38" t="str">
        <f>IF(IF(357&lt;=COUNTA(半紙!$B$11:$B$310),INDEX(半紙!$K$11:$K$310,357),IF(357&lt;=COUNTA(半紙!$B$11:$B$310)+COUNTA(条幅!$B$11:$B$310),INDEX(条幅!$K$11:$K$310,357-COUNTA(半紙!$B$11:$B$310)),IF(357&lt;=COUNTA(半紙!$B$11:$B$310)+COUNTA(条幅!$B$11:$B$310)+COUNTA(条幅4分の1!$B$11:$B$310),INDEX(条幅4分の1!$K$11:$K$310,357-COUNTA(半紙!$B$11:$B$310)-COUNTA(条幅!$B$11:$B$310)),"")))=0,"",IF(357&lt;=COUNTA(半紙!$B$11:$B$310),INDEX(半紙!$K$11:$K$310,357),IF(357&lt;=COUNTA(半紙!$B$11:$B$310)+COUNTA(条幅!$B$11:$B$310),INDEX(条幅!$K$11:$K$310,357-COUNTA(半紙!$B$11:$B$310)),IF(357&lt;=COUNTA(半紙!$B$11:$B$310)+COUNTA(条幅!$B$11:$B$310)+COUNTA(条幅4分の1!$B$11:$B$310),INDEX(条幅4分の1!$K$11:$K$310,357-COUNTA(半紙!$B$11:$B$310)-COUNTA(条幅!$B$11:$B$310)),""))))</f>
        <v/>
      </c>
      <c r="L362" s="48" t="str">
        <f>IF($B362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357))</f>
        <v/>
      </c>
    </row>
    <row r="363" spans="1:12" ht="15" customHeight="1">
      <c r="A363" s="37" t="str">
        <f>IF(358&lt;=COUNTA(半紙!$B$11:$B$310),"半紙",IF(358&lt;=COUNTA(半紙!$B$11:$B$310)+COUNTA(条幅!$B$11:$B$310),"条幅(半切)",IF(358&lt;=COUNTA(半紙!$B$11:$B$310)+COUNTA(条幅!$B$11:$B$310)+COUNTA(条幅4分の1!$B$11:$B$310),"条幅(1/4)","")))</f>
        <v/>
      </c>
      <c r="B363" s="38" t="str">
        <f>IF(IF(358&lt;=COUNTA(半紙!$B$11:$B$310),INDEX(半紙!$B$11:$B$310,358),IF(358&lt;=COUNTA(半紙!$B$11:$B$310)+COUNTA(条幅!$B$11:$B$310),INDEX(条幅!$B$11:$B$310,358-COUNTA(半紙!$B$11:$B$310)),IF(358&lt;=COUNTA(半紙!$B$11:$B$310)+COUNTA(条幅!$B$11:$B$310)+COUNTA(条幅4分の1!$B$11:$B$310),INDEX(条幅4分の1!$B$11:$B$310,358-COUNTA(半紙!$B$11:$B$310)-COUNTA(条幅!$B$11:$B$310)),"")))=0,"",IF(358&lt;=COUNTA(半紙!$B$11:$B$310),INDEX(半紙!$B$11:$B$310,358),IF(358&lt;=COUNTA(半紙!$B$11:$B$310)+COUNTA(条幅!$B$11:$B$310),INDEX(条幅!$B$11:$B$310,358-COUNTA(半紙!$B$11:$B$310)),IF(358&lt;=COUNTA(半紙!$B$11:$B$310)+COUNTA(条幅!$B$11:$B$310)+COUNTA(条幅4分の1!$B$11:$B$310),INDEX(条幅4分の1!$B$11:$B$310,358-COUNTA(半紙!$B$11:$B$310)-COUNTA(条幅!$B$11:$B$310)),""))))</f>
        <v/>
      </c>
      <c r="C363" s="38" t="str">
        <f>IF(IF(358&lt;=COUNTA(半紙!$B$11:$B$310),INDEX(半紙!$C$11:$C$310,358),IF(358&lt;=COUNTA(半紙!$B$11:$B$310)+COUNTA(条幅!$B$11:$B$310),INDEX(条幅!$C$11:$C$310,358-COUNTA(半紙!$B$11:$B$310)),IF(358&lt;=COUNTA(半紙!$B$11:$B$310)+COUNTA(条幅!$B$11:$B$310)+COUNTA(条幅4分の1!$B$11:$B$310),INDEX(条幅4分の1!$C$11:$C$310,358-COUNTA(半紙!$B$11:$B$310)-COUNTA(条幅!$B$11:$B$310)),"")))=0,"",IF(358&lt;=COUNTA(半紙!$B$11:$B$310),INDEX(半紙!$C$11:$C$310,358),IF(358&lt;=COUNTA(半紙!$B$11:$B$310)+COUNTA(条幅!$B$11:$B$310),INDEX(条幅!$C$11:$C$310,358-COUNTA(半紙!$B$11:$B$310)),IF(358&lt;=COUNTA(半紙!$B$11:$B$310)+COUNTA(条幅!$B$11:$B$310)+COUNTA(条幅4分の1!$B$11:$B$310),INDEX(条幅4分の1!$C$11:$C$310,358-COUNTA(半紙!$B$11:$B$310)-COUNTA(条幅!$B$11:$B$310)),""))))</f>
        <v/>
      </c>
      <c r="D363" s="38" t="str">
        <f>IF(IF(358&lt;=COUNTA(半紙!$B$11:$B$310),INDEX(半紙!$D$11:$D$310,358),IF(358&lt;=COUNTA(半紙!$B$11:$B$310)+COUNTA(条幅!$B$11:$B$310),INDEX(条幅!$D$11:$D$310,358-COUNTA(半紙!$B$11:$B$310)),IF(358&lt;=COUNTA(半紙!$B$11:$B$310)+COUNTA(条幅!$B$11:$B$310)+COUNTA(条幅4分の1!$B$11:$B$310),INDEX(条幅4分の1!$D$11:$D$310,358-COUNTA(半紙!$B$11:$B$310)-COUNTA(条幅!$B$11:$B$310)),"")))=0,"",IF(358&lt;=COUNTA(半紙!$B$11:$B$310),INDEX(半紙!$D$11:$D$310,358),IF(358&lt;=COUNTA(半紙!$B$11:$B$310)+COUNTA(条幅!$B$11:$B$310),INDEX(条幅!$D$11:$D$310,358-COUNTA(半紙!$B$11:$B$310)),IF(358&lt;=COUNTA(半紙!$B$11:$B$310)+COUNTA(条幅!$B$11:$B$310)+COUNTA(条幅4分の1!$B$11:$B$310),INDEX(条幅4分の1!$D$11:$D$310,358-COUNTA(半紙!$B$11:$B$310)-COUNTA(条幅!$B$11:$B$310)),""))))</f>
        <v/>
      </c>
      <c r="E363" s="38" t="str">
        <f>IF(IF(358&lt;=COUNTA(半紙!$B$11:$B$310),INDEX(半紙!$E$11:$E$310,358),IF(358&lt;=COUNTA(半紙!$B$11:$B$310)+COUNTA(条幅!$B$11:$B$310),INDEX(条幅!$E$11:$E$310,358-COUNTA(半紙!$B$11:$B$310)),IF(358&lt;=COUNTA(半紙!$B$11:$B$310)+COUNTA(条幅!$B$11:$B$310)+COUNTA(条幅4分の1!$B$11:$B$310),INDEX(条幅4分の1!$E$11:$E$310,358-COUNTA(半紙!$B$11:$B$310)-COUNTA(条幅!$B$11:$B$310)),"")))=0,"",IF(358&lt;=COUNTA(半紙!$B$11:$B$310),INDEX(半紙!$E$11:$E$310,358),IF(358&lt;=COUNTA(半紙!$B$11:$B$310)+COUNTA(条幅!$B$11:$B$310),INDEX(条幅!$E$11:$E$310,358-COUNTA(半紙!$B$11:$B$310)),IF(358&lt;=COUNTA(半紙!$B$11:$B$310)+COUNTA(条幅!$B$11:$B$310)+COUNTA(条幅4分の1!$B$11:$B$310),INDEX(条幅4分の1!$E$11:$E$310,358-COUNTA(半紙!$B$11:$B$310)-COUNTA(条幅!$B$11:$B$310)),""))))</f>
        <v/>
      </c>
      <c r="F363" s="38" t="str">
        <f>IF(IF(358&lt;=COUNTA(半紙!$B$11:$B$310),INDEX(半紙!$F$11:$F$310,358),IF(358&lt;=COUNTA(半紙!$B$11:$B$310)+COUNTA(条幅!$B$11:$B$310),INDEX(条幅!$F$11:$F$310,358-COUNTA(半紙!$B$11:$B$310)),IF(358&lt;=COUNTA(半紙!$B$11:$B$310)+COUNTA(条幅!$B$11:$B$310)+COUNTA(条幅4分の1!$B$11:$B$310),INDEX(条幅4分の1!$F$11:$F$310,358-COUNTA(半紙!$B$11:$B$310)-COUNTA(条幅!$B$11:$B$310)),"")))=0,"",IF(358&lt;=COUNTA(半紙!$B$11:$B$310),INDEX(半紙!$F$11:$F$310,358),IF(358&lt;=COUNTA(半紙!$B$11:$B$310)+COUNTA(条幅!$B$11:$B$310),INDEX(条幅!$F$11:$F$310,358-COUNTA(半紙!$B$11:$B$310)),IF(358&lt;=COUNTA(半紙!$B$11:$B$310)+COUNTA(条幅!$B$11:$B$310)+COUNTA(条幅4分の1!$B$11:$B$310),INDEX(条幅4分の1!$F$11:$F$310,358-COUNTA(半紙!$B$11:$B$310)-COUNTA(条幅!$B$11:$B$310)),""))))</f>
        <v/>
      </c>
      <c r="G363" s="38" t="str">
        <f>IF(IF(358&lt;=COUNTA(半紙!$B$11:$B$310),INDEX(半紙!$G$11:$G$310,358),IF(358&lt;=COUNTA(半紙!$B$11:$B$310)+COUNTA(条幅!$B$11:$B$310),INDEX(条幅!$G$11:$G$310,358-COUNTA(半紙!$B$11:$B$310)),IF(358&lt;=COUNTA(半紙!$B$11:$B$310)+COUNTA(条幅!$B$11:$B$310)+COUNTA(条幅4分の1!$B$11:$B$310),INDEX(条幅4分の1!$G$11:$G$310,358-COUNTA(半紙!$B$11:$B$310)-COUNTA(条幅!$B$11:$B$310)),"")))=0,"",IF(358&lt;=COUNTA(半紙!$B$11:$B$310),INDEX(半紙!$G$11:$G$310,358),IF(358&lt;=COUNTA(半紙!$B$11:$B$310)+COUNTA(条幅!$B$11:$B$310),INDEX(条幅!$G$11:$G$310,358-COUNTA(半紙!$B$11:$B$310)),IF(358&lt;=COUNTA(半紙!$B$11:$B$310)+COUNTA(条幅!$B$11:$B$310)+COUNTA(条幅4分の1!$B$11:$B$310),INDEX(条幅4分の1!$G$11:$G$310,358-COUNTA(半紙!$B$11:$B$310)-COUNTA(条幅!$B$11:$B$310)),""))))</f>
        <v/>
      </c>
      <c r="H363" s="38" t="str">
        <f>IF(IF(358&lt;=COUNTA(半紙!$B$11:$B$310),INDEX(半紙!$H$11:$H$310,358),IF(358&lt;=COUNTA(半紙!$B$11:$B$310)+COUNTA(条幅!$B$11:$B$310),INDEX(条幅!$H$11:$H$310,358-COUNTA(半紙!$B$11:$B$310)),IF(358&lt;=COUNTA(半紙!$B$11:$B$310)+COUNTA(条幅!$B$11:$B$310)+COUNTA(条幅4分の1!$B$11:$B$310),INDEX(条幅4分の1!$H$11:$H$310,358-COUNTA(半紙!$B$11:$B$310)-COUNTA(条幅!$B$11:$B$310)),"")))=0,"",IF(358&lt;=COUNTA(半紙!$B$11:$B$310),INDEX(半紙!$H$11:$H$310,358),IF(358&lt;=COUNTA(半紙!$B$11:$B$310)+COUNTA(条幅!$B$11:$B$310),INDEX(条幅!$H$11:$H$310,358-COUNTA(半紙!$B$11:$B$310)),IF(358&lt;=COUNTA(半紙!$B$11:$B$310)+COUNTA(条幅!$B$11:$B$310)+COUNTA(条幅4分の1!$B$11:$B$310),INDEX(条幅4分の1!$H$11:$H$310,358-COUNTA(半紙!$B$11:$B$310)-COUNTA(条幅!$B$11:$B$310)),""))))</f>
        <v/>
      </c>
      <c r="I363" s="38" t="str">
        <f>IF(IF(358&lt;=COUNTA(半紙!$B$11:$B$310),INDEX(半紙!$I$11:$I$310,358),IF(358&lt;=COUNTA(半紙!$B$11:$B$310)+COUNTA(条幅!$B$11:$B$310),INDEX(条幅!$I$11:$I$310,358-COUNTA(半紙!$B$11:$B$310)),IF(358&lt;=COUNTA(半紙!$B$11:$B$310)+COUNTA(条幅!$B$11:$B$310)+COUNTA(条幅4分の1!$B$11:$B$310),INDEX(条幅4分の1!$I$11:$I$310,358-COUNTA(半紙!$B$11:$B$310)-COUNTA(条幅!$B$11:$B$310)),"")))=0,"",IF(358&lt;=COUNTA(半紙!$B$11:$B$310),INDEX(半紙!$I$11:$I$310,358),IF(358&lt;=COUNTA(半紙!$B$11:$B$310)+COUNTA(条幅!$B$11:$B$310),INDEX(条幅!$I$11:$I$310,358-COUNTA(半紙!$B$11:$B$310)),IF(358&lt;=COUNTA(半紙!$B$11:$B$310)+COUNTA(条幅!$B$11:$B$310)+COUNTA(条幅4分の1!$B$11:$B$310),INDEX(条幅4分の1!$I$11:$I$310,358-COUNTA(半紙!$B$11:$B$310)-COUNTA(条幅!$B$11:$B$310)),""))))</f>
        <v/>
      </c>
      <c r="J363" s="38" t="str">
        <f>IF(IF(358&lt;=COUNTA(半紙!$B$11:$B$310),INDEX(半紙!$J$11:$J$310,358),IF(358&lt;=COUNTA(半紙!$B$11:$B$310)+COUNTA(条幅!$B$11:$B$310),INDEX(条幅!$J$11:$J$310,358-COUNTA(半紙!$B$11:$B$310)),IF(358&lt;=COUNTA(半紙!$B$11:$B$310)+COUNTA(条幅!$B$11:$B$310)+COUNTA(条幅4分の1!$B$11:$B$310),INDEX(条幅4分の1!$J$11:$J$310,358-COUNTA(半紙!$B$11:$B$310)-COUNTA(条幅!$B$11:$B$310)),"")))=0,"",IF(358&lt;=COUNTA(半紙!$B$11:$B$310),INDEX(半紙!$J$11:$J$310,358),IF(358&lt;=COUNTA(半紙!$B$11:$B$310)+COUNTA(条幅!$B$11:$B$310),INDEX(条幅!$J$11:$J$310,358-COUNTA(半紙!$B$11:$B$310)),IF(358&lt;=COUNTA(半紙!$B$11:$B$310)+COUNTA(条幅!$B$11:$B$310)+COUNTA(条幅4分の1!$B$11:$B$310),INDEX(条幅4分の1!$J$11:$J$310,358-COUNTA(半紙!$B$11:$B$310)-COUNTA(条幅!$B$11:$B$310)),""))))</f>
        <v/>
      </c>
      <c r="K363" s="38" t="str">
        <f>IF(IF(358&lt;=COUNTA(半紙!$B$11:$B$310),INDEX(半紙!$K$11:$K$310,358),IF(358&lt;=COUNTA(半紙!$B$11:$B$310)+COUNTA(条幅!$B$11:$B$310),INDEX(条幅!$K$11:$K$310,358-COUNTA(半紙!$B$11:$B$310)),IF(358&lt;=COUNTA(半紙!$B$11:$B$310)+COUNTA(条幅!$B$11:$B$310)+COUNTA(条幅4分の1!$B$11:$B$310),INDEX(条幅4分の1!$K$11:$K$310,358-COUNTA(半紙!$B$11:$B$310)-COUNTA(条幅!$B$11:$B$310)),"")))=0,"",IF(358&lt;=COUNTA(半紙!$B$11:$B$310),INDEX(半紙!$K$11:$K$310,358),IF(358&lt;=COUNTA(半紙!$B$11:$B$310)+COUNTA(条幅!$B$11:$B$310),INDEX(条幅!$K$11:$K$310,358-COUNTA(半紙!$B$11:$B$310)),IF(358&lt;=COUNTA(半紙!$B$11:$B$310)+COUNTA(条幅!$B$11:$B$310)+COUNTA(条幅4分の1!$B$11:$B$310),INDEX(条幅4分の1!$K$11:$K$310,358-COUNTA(半紙!$B$11:$B$310)-COUNTA(条幅!$B$11:$B$310)),""))))</f>
        <v/>
      </c>
      <c r="L363" s="48" t="str">
        <f>IF($B363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358))</f>
        <v/>
      </c>
    </row>
    <row r="364" spans="1:12" ht="15" customHeight="1">
      <c r="A364" s="37" t="str">
        <f>IF(359&lt;=COUNTA(半紙!$B$11:$B$310),"半紙",IF(359&lt;=COUNTA(半紙!$B$11:$B$310)+COUNTA(条幅!$B$11:$B$310),"条幅(半切)",IF(359&lt;=COUNTA(半紙!$B$11:$B$310)+COUNTA(条幅!$B$11:$B$310)+COUNTA(条幅4分の1!$B$11:$B$310),"条幅(1/4)","")))</f>
        <v/>
      </c>
      <c r="B364" s="38" t="str">
        <f>IF(IF(359&lt;=COUNTA(半紙!$B$11:$B$310),INDEX(半紙!$B$11:$B$310,359),IF(359&lt;=COUNTA(半紙!$B$11:$B$310)+COUNTA(条幅!$B$11:$B$310),INDEX(条幅!$B$11:$B$310,359-COUNTA(半紙!$B$11:$B$310)),IF(359&lt;=COUNTA(半紙!$B$11:$B$310)+COUNTA(条幅!$B$11:$B$310)+COUNTA(条幅4分の1!$B$11:$B$310),INDEX(条幅4分の1!$B$11:$B$310,359-COUNTA(半紙!$B$11:$B$310)-COUNTA(条幅!$B$11:$B$310)),"")))=0,"",IF(359&lt;=COUNTA(半紙!$B$11:$B$310),INDEX(半紙!$B$11:$B$310,359),IF(359&lt;=COUNTA(半紙!$B$11:$B$310)+COUNTA(条幅!$B$11:$B$310),INDEX(条幅!$B$11:$B$310,359-COUNTA(半紙!$B$11:$B$310)),IF(359&lt;=COUNTA(半紙!$B$11:$B$310)+COUNTA(条幅!$B$11:$B$310)+COUNTA(条幅4分の1!$B$11:$B$310),INDEX(条幅4分の1!$B$11:$B$310,359-COUNTA(半紙!$B$11:$B$310)-COUNTA(条幅!$B$11:$B$310)),""))))</f>
        <v/>
      </c>
      <c r="C364" s="38" t="str">
        <f>IF(IF(359&lt;=COUNTA(半紙!$B$11:$B$310),INDEX(半紙!$C$11:$C$310,359),IF(359&lt;=COUNTA(半紙!$B$11:$B$310)+COUNTA(条幅!$B$11:$B$310),INDEX(条幅!$C$11:$C$310,359-COUNTA(半紙!$B$11:$B$310)),IF(359&lt;=COUNTA(半紙!$B$11:$B$310)+COUNTA(条幅!$B$11:$B$310)+COUNTA(条幅4分の1!$B$11:$B$310),INDEX(条幅4分の1!$C$11:$C$310,359-COUNTA(半紙!$B$11:$B$310)-COUNTA(条幅!$B$11:$B$310)),"")))=0,"",IF(359&lt;=COUNTA(半紙!$B$11:$B$310),INDEX(半紙!$C$11:$C$310,359),IF(359&lt;=COUNTA(半紙!$B$11:$B$310)+COUNTA(条幅!$B$11:$B$310),INDEX(条幅!$C$11:$C$310,359-COUNTA(半紙!$B$11:$B$310)),IF(359&lt;=COUNTA(半紙!$B$11:$B$310)+COUNTA(条幅!$B$11:$B$310)+COUNTA(条幅4分の1!$B$11:$B$310),INDEX(条幅4分の1!$C$11:$C$310,359-COUNTA(半紙!$B$11:$B$310)-COUNTA(条幅!$B$11:$B$310)),""))))</f>
        <v/>
      </c>
      <c r="D364" s="38" t="str">
        <f>IF(IF(359&lt;=COUNTA(半紙!$B$11:$B$310),INDEX(半紙!$D$11:$D$310,359),IF(359&lt;=COUNTA(半紙!$B$11:$B$310)+COUNTA(条幅!$B$11:$B$310),INDEX(条幅!$D$11:$D$310,359-COUNTA(半紙!$B$11:$B$310)),IF(359&lt;=COUNTA(半紙!$B$11:$B$310)+COUNTA(条幅!$B$11:$B$310)+COUNTA(条幅4分の1!$B$11:$B$310),INDEX(条幅4分の1!$D$11:$D$310,359-COUNTA(半紙!$B$11:$B$310)-COUNTA(条幅!$B$11:$B$310)),"")))=0,"",IF(359&lt;=COUNTA(半紙!$B$11:$B$310),INDEX(半紙!$D$11:$D$310,359),IF(359&lt;=COUNTA(半紙!$B$11:$B$310)+COUNTA(条幅!$B$11:$B$310),INDEX(条幅!$D$11:$D$310,359-COUNTA(半紙!$B$11:$B$310)),IF(359&lt;=COUNTA(半紙!$B$11:$B$310)+COUNTA(条幅!$B$11:$B$310)+COUNTA(条幅4分の1!$B$11:$B$310),INDEX(条幅4分の1!$D$11:$D$310,359-COUNTA(半紙!$B$11:$B$310)-COUNTA(条幅!$B$11:$B$310)),""))))</f>
        <v/>
      </c>
      <c r="E364" s="38" t="str">
        <f>IF(IF(359&lt;=COUNTA(半紙!$B$11:$B$310),INDEX(半紙!$E$11:$E$310,359),IF(359&lt;=COUNTA(半紙!$B$11:$B$310)+COUNTA(条幅!$B$11:$B$310),INDEX(条幅!$E$11:$E$310,359-COUNTA(半紙!$B$11:$B$310)),IF(359&lt;=COUNTA(半紙!$B$11:$B$310)+COUNTA(条幅!$B$11:$B$310)+COUNTA(条幅4分の1!$B$11:$B$310),INDEX(条幅4分の1!$E$11:$E$310,359-COUNTA(半紙!$B$11:$B$310)-COUNTA(条幅!$B$11:$B$310)),"")))=0,"",IF(359&lt;=COUNTA(半紙!$B$11:$B$310),INDEX(半紙!$E$11:$E$310,359),IF(359&lt;=COUNTA(半紙!$B$11:$B$310)+COUNTA(条幅!$B$11:$B$310),INDEX(条幅!$E$11:$E$310,359-COUNTA(半紙!$B$11:$B$310)),IF(359&lt;=COUNTA(半紙!$B$11:$B$310)+COUNTA(条幅!$B$11:$B$310)+COUNTA(条幅4分の1!$B$11:$B$310),INDEX(条幅4分の1!$E$11:$E$310,359-COUNTA(半紙!$B$11:$B$310)-COUNTA(条幅!$B$11:$B$310)),""))))</f>
        <v/>
      </c>
      <c r="F364" s="38" t="str">
        <f>IF(IF(359&lt;=COUNTA(半紙!$B$11:$B$310),INDEX(半紙!$F$11:$F$310,359),IF(359&lt;=COUNTA(半紙!$B$11:$B$310)+COUNTA(条幅!$B$11:$B$310),INDEX(条幅!$F$11:$F$310,359-COUNTA(半紙!$B$11:$B$310)),IF(359&lt;=COUNTA(半紙!$B$11:$B$310)+COUNTA(条幅!$B$11:$B$310)+COUNTA(条幅4分の1!$B$11:$B$310),INDEX(条幅4分の1!$F$11:$F$310,359-COUNTA(半紙!$B$11:$B$310)-COUNTA(条幅!$B$11:$B$310)),"")))=0,"",IF(359&lt;=COUNTA(半紙!$B$11:$B$310),INDEX(半紙!$F$11:$F$310,359),IF(359&lt;=COUNTA(半紙!$B$11:$B$310)+COUNTA(条幅!$B$11:$B$310),INDEX(条幅!$F$11:$F$310,359-COUNTA(半紙!$B$11:$B$310)),IF(359&lt;=COUNTA(半紙!$B$11:$B$310)+COUNTA(条幅!$B$11:$B$310)+COUNTA(条幅4分の1!$B$11:$B$310),INDEX(条幅4分の1!$F$11:$F$310,359-COUNTA(半紙!$B$11:$B$310)-COUNTA(条幅!$B$11:$B$310)),""))))</f>
        <v/>
      </c>
      <c r="G364" s="38" t="str">
        <f>IF(IF(359&lt;=COUNTA(半紙!$B$11:$B$310),INDEX(半紙!$G$11:$G$310,359),IF(359&lt;=COUNTA(半紙!$B$11:$B$310)+COUNTA(条幅!$B$11:$B$310),INDEX(条幅!$G$11:$G$310,359-COUNTA(半紙!$B$11:$B$310)),IF(359&lt;=COUNTA(半紙!$B$11:$B$310)+COUNTA(条幅!$B$11:$B$310)+COUNTA(条幅4分の1!$B$11:$B$310),INDEX(条幅4分の1!$G$11:$G$310,359-COUNTA(半紙!$B$11:$B$310)-COUNTA(条幅!$B$11:$B$310)),"")))=0,"",IF(359&lt;=COUNTA(半紙!$B$11:$B$310),INDEX(半紙!$G$11:$G$310,359),IF(359&lt;=COUNTA(半紙!$B$11:$B$310)+COUNTA(条幅!$B$11:$B$310),INDEX(条幅!$G$11:$G$310,359-COUNTA(半紙!$B$11:$B$310)),IF(359&lt;=COUNTA(半紙!$B$11:$B$310)+COUNTA(条幅!$B$11:$B$310)+COUNTA(条幅4分の1!$B$11:$B$310),INDEX(条幅4分の1!$G$11:$G$310,359-COUNTA(半紙!$B$11:$B$310)-COUNTA(条幅!$B$11:$B$310)),""))))</f>
        <v/>
      </c>
      <c r="H364" s="38" t="str">
        <f>IF(IF(359&lt;=COUNTA(半紙!$B$11:$B$310),INDEX(半紙!$H$11:$H$310,359),IF(359&lt;=COUNTA(半紙!$B$11:$B$310)+COUNTA(条幅!$B$11:$B$310),INDEX(条幅!$H$11:$H$310,359-COUNTA(半紙!$B$11:$B$310)),IF(359&lt;=COUNTA(半紙!$B$11:$B$310)+COUNTA(条幅!$B$11:$B$310)+COUNTA(条幅4分の1!$B$11:$B$310),INDEX(条幅4分の1!$H$11:$H$310,359-COUNTA(半紙!$B$11:$B$310)-COUNTA(条幅!$B$11:$B$310)),"")))=0,"",IF(359&lt;=COUNTA(半紙!$B$11:$B$310),INDEX(半紙!$H$11:$H$310,359),IF(359&lt;=COUNTA(半紙!$B$11:$B$310)+COUNTA(条幅!$B$11:$B$310),INDEX(条幅!$H$11:$H$310,359-COUNTA(半紙!$B$11:$B$310)),IF(359&lt;=COUNTA(半紙!$B$11:$B$310)+COUNTA(条幅!$B$11:$B$310)+COUNTA(条幅4分の1!$B$11:$B$310),INDEX(条幅4分の1!$H$11:$H$310,359-COUNTA(半紙!$B$11:$B$310)-COUNTA(条幅!$B$11:$B$310)),""))))</f>
        <v/>
      </c>
      <c r="I364" s="38" t="str">
        <f>IF(IF(359&lt;=COUNTA(半紙!$B$11:$B$310),INDEX(半紙!$I$11:$I$310,359),IF(359&lt;=COUNTA(半紙!$B$11:$B$310)+COUNTA(条幅!$B$11:$B$310),INDEX(条幅!$I$11:$I$310,359-COUNTA(半紙!$B$11:$B$310)),IF(359&lt;=COUNTA(半紙!$B$11:$B$310)+COUNTA(条幅!$B$11:$B$310)+COUNTA(条幅4分の1!$B$11:$B$310),INDEX(条幅4分の1!$I$11:$I$310,359-COUNTA(半紙!$B$11:$B$310)-COUNTA(条幅!$B$11:$B$310)),"")))=0,"",IF(359&lt;=COUNTA(半紙!$B$11:$B$310),INDEX(半紙!$I$11:$I$310,359),IF(359&lt;=COUNTA(半紙!$B$11:$B$310)+COUNTA(条幅!$B$11:$B$310),INDEX(条幅!$I$11:$I$310,359-COUNTA(半紙!$B$11:$B$310)),IF(359&lt;=COUNTA(半紙!$B$11:$B$310)+COUNTA(条幅!$B$11:$B$310)+COUNTA(条幅4分の1!$B$11:$B$310),INDEX(条幅4分の1!$I$11:$I$310,359-COUNTA(半紙!$B$11:$B$310)-COUNTA(条幅!$B$11:$B$310)),""))))</f>
        <v/>
      </c>
      <c r="J364" s="38" t="str">
        <f>IF(IF(359&lt;=COUNTA(半紙!$B$11:$B$310),INDEX(半紙!$J$11:$J$310,359),IF(359&lt;=COUNTA(半紙!$B$11:$B$310)+COUNTA(条幅!$B$11:$B$310),INDEX(条幅!$J$11:$J$310,359-COUNTA(半紙!$B$11:$B$310)),IF(359&lt;=COUNTA(半紙!$B$11:$B$310)+COUNTA(条幅!$B$11:$B$310)+COUNTA(条幅4分の1!$B$11:$B$310),INDEX(条幅4分の1!$J$11:$J$310,359-COUNTA(半紙!$B$11:$B$310)-COUNTA(条幅!$B$11:$B$310)),"")))=0,"",IF(359&lt;=COUNTA(半紙!$B$11:$B$310),INDEX(半紙!$J$11:$J$310,359),IF(359&lt;=COUNTA(半紙!$B$11:$B$310)+COUNTA(条幅!$B$11:$B$310),INDEX(条幅!$J$11:$J$310,359-COUNTA(半紙!$B$11:$B$310)),IF(359&lt;=COUNTA(半紙!$B$11:$B$310)+COUNTA(条幅!$B$11:$B$310)+COUNTA(条幅4分の1!$B$11:$B$310),INDEX(条幅4分の1!$J$11:$J$310,359-COUNTA(半紙!$B$11:$B$310)-COUNTA(条幅!$B$11:$B$310)),""))))</f>
        <v/>
      </c>
      <c r="K364" s="38" t="str">
        <f>IF(IF(359&lt;=COUNTA(半紙!$B$11:$B$310),INDEX(半紙!$K$11:$K$310,359),IF(359&lt;=COUNTA(半紙!$B$11:$B$310)+COUNTA(条幅!$B$11:$B$310),INDEX(条幅!$K$11:$K$310,359-COUNTA(半紙!$B$11:$B$310)),IF(359&lt;=COUNTA(半紙!$B$11:$B$310)+COUNTA(条幅!$B$11:$B$310)+COUNTA(条幅4分の1!$B$11:$B$310),INDEX(条幅4分の1!$K$11:$K$310,359-COUNTA(半紙!$B$11:$B$310)-COUNTA(条幅!$B$11:$B$310)),"")))=0,"",IF(359&lt;=COUNTA(半紙!$B$11:$B$310),INDEX(半紙!$K$11:$K$310,359),IF(359&lt;=COUNTA(半紙!$B$11:$B$310)+COUNTA(条幅!$B$11:$B$310),INDEX(条幅!$K$11:$K$310,359-COUNTA(半紙!$B$11:$B$310)),IF(359&lt;=COUNTA(半紙!$B$11:$B$310)+COUNTA(条幅!$B$11:$B$310)+COUNTA(条幅4分の1!$B$11:$B$310),INDEX(条幅4分の1!$K$11:$K$310,359-COUNTA(半紙!$B$11:$B$310)-COUNTA(条幅!$B$11:$B$310)),""))))</f>
        <v/>
      </c>
      <c r="L364" s="48" t="str">
        <f>IF($B364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359))</f>
        <v/>
      </c>
    </row>
    <row r="365" spans="1:12" ht="15" customHeight="1">
      <c r="A365" s="37" t="str">
        <f>IF(360&lt;=COUNTA(半紙!$B$11:$B$310),"半紙",IF(360&lt;=COUNTA(半紙!$B$11:$B$310)+COUNTA(条幅!$B$11:$B$310),"条幅(半切)",IF(360&lt;=COUNTA(半紙!$B$11:$B$310)+COUNTA(条幅!$B$11:$B$310)+COUNTA(条幅4分の1!$B$11:$B$310),"条幅(1/4)","")))</f>
        <v/>
      </c>
      <c r="B365" s="38" t="str">
        <f>IF(IF(360&lt;=COUNTA(半紙!$B$11:$B$310),INDEX(半紙!$B$11:$B$310,360),IF(360&lt;=COUNTA(半紙!$B$11:$B$310)+COUNTA(条幅!$B$11:$B$310),INDEX(条幅!$B$11:$B$310,360-COUNTA(半紙!$B$11:$B$310)),IF(360&lt;=COUNTA(半紙!$B$11:$B$310)+COUNTA(条幅!$B$11:$B$310)+COUNTA(条幅4分の1!$B$11:$B$310),INDEX(条幅4分の1!$B$11:$B$310,360-COUNTA(半紙!$B$11:$B$310)-COUNTA(条幅!$B$11:$B$310)),"")))=0,"",IF(360&lt;=COUNTA(半紙!$B$11:$B$310),INDEX(半紙!$B$11:$B$310,360),IF(360&lt;=COUNTA(半紙!$B$11:$B$310)+COUNTA(条幅!$B$11:$B$310),INDEX(条幅!$B$11:$B$310,360-COUNTA(半紙!$B$11:$B$310)),IF(360&lt;=COUNTA(半紙!$B$11:$B$310)+COUNTA(条幅!$B$11:$B$310)+COUNTA(条幅4分の1!$B$11:$B$310),INDEX(条幅4分の1!$B$11:$B$310,360-COUNTA(半紙!$B$11:$B$310)-COUNTA(条幅!$B$11:$B$310)),""))))</f>
        <v/>
      </c>
      <c r="C365" s="38" t="str">
        <f>IF(IF(360&lt;=COUNTA(半紙!$B$11:$B$310),INDEX(半紙!$C$11:$C$310,360),IF(360&lt;=COUNTA(半紙!$B$11:$B$310)+COUNTA(条幅!$B$11:$B$310),INDEX(条幅!$C$11:$C$310,360-COUNTA(半紙!$B$11:$B$310)),IF(360&lt;=COUNTA(半紙!$B$11:$B$310)+COUNTA(条幅!$B$11:$B$310)+COUNTA(条幅4分の1!$B$11:$B$310),INDEX(条幅4分の1!$C$11:$C$310,360-COUNTA(半紙!$B$11:$B$310)-COUNTA(条幅!$B$11:$B$310)),"")))=0,"",IF(360&lt;=COUNTA(半紙!$B$11:$B$310),INDEX(半紙!$C$11:$C$310,360),IF(360&lt;=COUNTA(半紙!$B$11:$B$310)+COUNTA(条幅!$B$11:$B$310),INDEX(条幅!$C$11:$C$310,360-COUNTA(半紙!$B$11:$B$310)),IF(360&lt;=COUNTA(半紙!$B$11:$B$310)+COUNTA(条幅!$B$11:$B$310)+COUNTA(条幅4分の1!$B$11:$B$310),INDEX(条幅4分の1!$C$11:$C$310,360-COUNTA(半紙!$B$11:$B$310)-COUNTA(条幅!$B$11:$B$310)),""))))</f>
        <v/>
      </c>
      <c r="D365" s="38" t="str">
        <f>IF(IF(360&lt;=COUNTA(半紙!$B$11:$B$310),INDEX(半紙!$D$11:$D$310,360),IF(360&lt;=COUNTA(半紙!$B$11:$B$310)+COUNTA(条幅!$B$11:$B$310),INDEX(条幅!$D$11:$D$310,360-COUNTA(半紙!$B$11:$B$310)),IF(360&lt;=COUNTA(半紙!$B$11:$B$310)+COUNTA(条幅!$B$11:$B$310)+COUNTA(条幅4分の1!$B$11:$B$310),INDEX(条幅4分の1!$D$11:$D$310,360-COUNTA(半紙!$B$11:$B$310)-COUNTA(条幅!$B$11:$B$310)),"")))=0,"",IF(360&lt;=COUNTA(半紙!$B$11:$B$310),INDEX(半紙!$D$11:$D$310,360),IF(360&lt;=COUNTA(半紙!$B$11:$B$310)+COUNTA(条幅!$B$11:$B$310),INDEX(条幅!$D$11:$D$310,360-COUNTA(半紙!$B$11:$B$310)),IF(360&lt;=COUNTA(半紙!$B$11:$B$310)+COUNTA(条幅!$B$11:$B$310)+COUNTA(条幅4分の1!$B$11:$B$310),INDEX(条幅4分の1!$D$11:$D$310,360-COUNTA(半紙!$B$11:$B$310)-COUNTA(条幅!$B$11:$B$310)),""))))</f>
        <v/>
      </c>
      <c r="E365" s="38" t="str">
        <f>IF(IF(360&lt;=COUNTA(半紙!$B$11:$B$310),INDEX(半紙!$E$11:$E$310,360),IF(360&lt;=COUNTA(半紙!$B$11:$B$310)+COUNTA(条幅!$B$11:$B$310),INDEX(条幅!$E$11:$E$310,360-COUNTA(半紙!$B$11:$B$310)),IF(360&lt;=COUNTA(半紙!$B$11:$B$310)+COUNTA(条幅!$B$11:$B$310)+COUNTA(条幅4分の1!$B$11:$B$310),INDEX(条幅4分の1!$E$11:$E$310,360-COUNTA(半紙!$B$11:$B$310)-COUNTA(条幅!$B$11:$B$310)),"")))=0,"",IF(360&lt;=COUNTA(半紙!$B$11:$B$310),INDEX(半紙!$E$11:$E$310,360),IF(360&lt;=COUNTA(半紙!$B$11:$B$310)+COUNTA(条幅!$B$11:$B$310),INDEX(条幅!$E$11:$E$310,360-COUNTA(半紙!$B$11:$B$310)),IF(360&lt;=COUNTA(半紙!$B$11:$B$310)+COUNTA(条幅!$B$11:$B$310)+COUNTA(条幅4分の1!$B$11:$B$310),INDEX(条幅4分の1!$E$11:$E$310,360-COUNTA(半紙!$B$11:$B$310)-COUNTA(条幅!$B$11:$B$310)),""))))</f>
        <v/>
      </c>
      <c r="F365" s="38" t="str">
        <f>IF(IF(360&lt;=COUNTA(半紙!$B$11:$B$310),INDEX(半紙!$F$11:$F$310,360),IF(360&lt;=COUNTA(半紙!$B$11:$B$310)+COUNTA(条幅!$B$11:$B$310),INDEX(条幅!$F$11:$F$310,360-COUNTA(半紙!$B$11:$B$310)),IF(360&lt;=COUNTA(半紙!$B$11:$B$310)+COUNTA(条幅!$B$11:$B$310)+COUNTA(条幅4分の1!$B$11:$B$310),INDEX(条幅4分の1!$F$11:$F$310,360-COUNTA(半紙!$B$11:$B$310)-COUNTA(条幅!$B$11:$B$310)),"")))=0,"",IF(360&lt;=COUNTA(半紙!$B$11:$B$310),INDEX(半紙!$F$11:$F$310,360),IF(360&lt;=COUNTA(半紙!$B$11:$B$310)+COUNTA(条幅!$B$11:$B$310),INDEX(条幅!$F$11:$F$310,360-COUNTA(半紙!$B$11:$B$310)),IF(360&lt;=COUNTA(半紙!$B$11:$B$310)+COUNTA(条幅!$B$11:$B$310)+COUNTA(条幅4分の1!$B$11:$B$310),INDEX(条幅4分の1!$F$11:$F$310,360-COUNTA(半紙!$B$11:$B$310)-COUNTA(条幅!$B$11:$B$310)),""))))</f>
        <v/>
      </c>
      <c r="G365" s="38" t="str">
        <f>IF(IF(360&lt;=COUNTA(半紙!$B$11:$B$310),INDEX(半紙!$G$11:$G$310,360),IF(360&lt;=COUNTA(半紙!$B$11:$B$310)+COUNTA(条幅!$B$11:$B$310),INDEX(条幅!$G$11:$G$310,360-COUNTA(半紙!$B$11:$B$310)),IF(360&lt;=COUNTA(半紙!$B$11:$B$310)+COUNTA(条幅!$B$11:$B$310)+COUNTA(条幅4分の1!$B$11:$B$310),INDEX(条幅4分の1!$G$11:$G$310,360-COUNTA(半紙!$B$11:$B$310)-COUNTA(条幅!$B$11:$B$310)),"")))=0,"",IF(360&lt;=COUNTA(半紙!$B$11:$B$310),INDEX(半紙!$G$11:$G$310,360),IF(360&lt;=COUNTA(半紙!$B$11:$B$310)+COUNTA(条幅!$B$11:$B$310),INDEX(条幅!$G$11:$G$310,360-COUNTA(半紙!$B$11:$B$310)),IF(360&lt;=COUNTA(半紙!$B$11:$B$310)+COUNTA(条幅!$B$11:$B$310)+COUNTA(条幅4分の1!$B$11:$B$310),INDEX(条幅4分の1!$G$11:$G$310,360-COUNTA(半紙!$B$11:$B$310)-COUNTA(条幅!$B$11:$B$310)),""))))</f>
        <v/>
      </c>
      <c r="H365" s="38" t="str">
        <f>IF(IF(360&lt;=COUNTA(半紙!$B$11:$B$310),INDEX(半紙!$H$11:$H$310,360),IF(360&lt;=COUNTA(半紙!$B$11:$B$310)+COUNTA(条幅!$B$11:$B$310),INDEX(条幅!$H$11:$H$310,360-COUNTA(半紙!$B$11:$B$310)),IF(360&lt;=COUNTA(半紙!$B$11:$B$310)+COUNTA(条幅!$B$11:$B$310)+COUNTA(条幅4分の1!$B$11:$B$310),INDEX(条幅4分の1!$H$11:$H$310,360-COUNTA(半紙!$B$11:$B$310)-COUNTA(条幅!$B$11:$B$310)),"")))=0,"",IF(360&lt;=COUNTA(半紙!$B$11:$B$310),INDEX(半紙!$H$11:$H$310,360),IF(360&lt;=COUNTA(半紙!$B$11:$B$310)+COUNTA(条幅!$B$11:$B$310),INDEX(条幅!$H$11:$H$310,360-COUNTA(半紙!$B$11:$B$310)),IF(360&lt;=COUNTA(半紙!$B$11:$B$310)+COUNTA(条幅!$B$11:$B$310)+COUNTA(条幅4分の1!$B$11:$B$310),INDEX(条幅4分の1!$H$11:$H$310,360-COUNTA(半紙!$B$11:$B$310)-COUNTA(条幅!$B$11:$B$310)),""))))</f>
        <v/>
      </c>
      <c r="I365" s="38" t="str">
        <f>IF(IF(360&lt;=COUNTA(半紙!$B$11:$B$310),INDEX(半紙!$I$11:$I$310,360),IF(360&lt;=COUNTA(半紙!$B$11:$B$310)+COUNTA(条幅!$B$11:$B$310),INDEX(条幅!$I$11:$I$310,360-COUNTA(半紙!$B$11:$B$310)),IF(360&lt;=COUNTA(半紙!$B$11:$B$310)+COUNTA(条幅!$B$11:$B$310)+COUNTA(条幅4分の1!$B$11:$B$310),INDEX(条幅4分の1!$I$11:$I$310,360-COUNTA(半紙!$B$11:$B$310)-COUNTA(条幅!$B$11:$B$310)),"")))=0,"",IF(360&lt;=COUNTA(半紙!$B$11:$B$310),INDEX(半紙!$I$11:$I$310,360),IF(360&lt;=COUNTA(半紙!$B$11:$B$310)+COUNTA(条幅!$B$11:$B$310),INDEX(条幅!$I$11:$I$310,360-COUNTA(半紙!$B$11:$B$310)),IF(360&lt;=COUNTA(半紙!$B$11:$B$310)+COUNTA(条幅!$B$11:$B$310)+COUNTA(条幅4分の1!$B$11:$B$310),INDEX(条幅4分の1!$I$11:$I$310,360-COUNTA(半紙!$B$11:$B$310)-COUNTA(条幅!$B$11:$B$310)),""))))</f>
        <v/>
      </c>
      <c r="J365" s="38" t="str">
        <f>IF(IF(360&lt;=COUNTA(半紙!$B$11:$B$310),INDEX(半紙!$J$11:$J$310,360),IF(360&lt;=COUNTA(半紙!$B$11:$B$310)+COUNTA(条幅!$B$11:$B$310),INDEX(条幅!$J$11:$J$310,360-COUNTA(半紙!$B$11:$B$310)),IF(360&lt;=COUNTA(半紙!$B$11:$B$310)+COUNTA(条幅!$B$11:$B$310)+COUNTA(条幅4分の1!$B$11:$B$310),INDEX(条幅4分の1!$J$11:$J$310,360-COUNTA(半紙!$B$11:$B$310)-COUNTA(条幅!$B$11:$B$310)),"")))=0,"",IF(360&lt;=COUNTA(半紙!$B$11:$B$310),INDEX(半紙!$J$11:$J$310,360),IF(360&lt;=COUNTA(半紙!$B$11:$B$310)+COUNTA(条幅!$B$11:$B$310),INDEX(条幅!$J$11:$J$310,360-COUNTA(半紙!$B$11:$B$310)),IF(360&lt;=COUNTA(半紙!$B$11:$B$310)+COUNTA(条幅!$B$11:$B$310)+COUNTA(条幅4分の1!$B$11:$B$310),INDEX(条幅4分の1!$J$11:$J$310,360-COUNTA(半紙!$B$11:$B$310)-COUNTA(条幅!$B$11:$B$310)),""))))</f>
        <v/>
      </c>
      <c r="K365" s="38" t="str">
        <f>IF(IF(360&lt;=COUNTA(半紙!$B$11:$B$310),INDEX(半紙!$K$11:$K$310,360),IF(360&lt;=COUNTA(半紙!$B$11:$B$310)+COUNTA(条幅!$B$11:$B$310),INDEX(条幅!$K$11:$K$310,360-COUNTA(半紙!$B$11:$B$310)),IF(360&lt;=COUNTA(半紙!$B$11:$B$310)+COUNTA(条幅!$B$11:$B$310)+COUNTA(条幅4分の1!$B$11:$B$310),INDEX(条幅4分の1!$K$11:$K$310,360-COUNTA(半紙!$B$11:$B$310)-COUNTA(条幅!$B$11:$B$310)),"")))=0,"",IF(360&lt;=COUNTA(半紙!$B$11:$B$310),INDEX(半紙!$K$11:$K$310,360),IF(360&lt;=COUNTA(半紙!$B$11:$B$310)+COUNTA(条幅!$B$11:$B$310),INDEX(条幅!$K$11:$K$310,360-COUNTA(半紙!$B$11:$B$310)),IF(360&lt;=COUNTA(半紙!$B$11:$B$310)+COUNTA(条幅!$B$11:$B$310)+COUNTA(条幅4分の1!$B$11:$B$310),INDEX(条幅4分の1!$K$11:$K$310,360-COUNTA(半紙!$B$11:$B$310)-COUNTA(条幅!$B$11:$B$310)),""))))</f>
        <v/>
      </c>
      <c r="L365" s="48" t="str">
        <f>IF($B365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360))</f>
        <v/>
      </c>
    </row>
    <row r="366" spans="1:12" ht="15" customHeight="1">
      <c r="A366" s="37" t="str">
        <f>IF(361&lt;=COUNTA(半紙!$B$11:$B$310),"半紙",IF(361&lt;=COUNTA(半紙!$B$11:$B$310)+COUNTA(条幅!$B$11:$B$310),"条幅(半切)",IF(361&lt;=COUNTA(半紙!$B$11:$B$310)+COUNTA(条幅!$B$11:$B$310)+COUNTA(条幅4分の1!$B$11:$B$310),"条幅(1/4)","")))</f>
        <v/>
      </c>
      <c r="B366" s="38" t="str">
        <f>IF(IF(361&lt;=COUNTA(半紙!$B$11:$B$310),INDEX(半紙!$B$11:$B$310,361),IF(361&lt;=COUNTA(半紙!$B$11:$B$310)+COUNTA(条幅!$B$11:$B$310),INDEX(条幅!$B$11:$B$310,361-COUNTA(半紙!$B$11:$B$310)),IF(361&lt;=COUNTA(半紙!$B$11:$B$310)+COUNTA(条幅!$B$11:$B$310)+COUNTA(条幅4分の1!$B$11:$B$310),INDEX(条幅4分の1!$B$11:$B$310,361-COUNTA(半紙!$B$11:$B$310)-COUNTA(条幅!$B$11:$B$310)),"")))=0,"",IF(361&lt;=COUNTA(半紙!$B$11:$B$310),INDEX(半紙!$B$11:$B$310,361),IF(361&lt;=COUNTA(半紙!$B$11:$B$310)+COUNTA(条幅!$B$11:$B$310),INDEX(条幅!$B$11:$B$310,361-COUNTA(半紙!$B$11:$B$310)),IF(361&lt;=COUNTA(半紙!$B$11:$B$310)+COUNTA(条幅!$B$11:$B$310)+COUNTA(条幅4分の1!$B$11:$B$310),INDEX(条幅4分の1!$B$11:$B$310,361-COUNTA(半紙!$B$11:$B$310)-COUNTA(条幅!$B$11:$B$310)),""))))</f>
        <v/>
      </c>
      <c r="C366" s="38" t="str">
        <f>IF(IF(361&lt;=COUNTA(半紙!$B$11:$B$310),INDEX(半紙!$C$11:$C$310,361),IF(361&lt;=COUNTA(半紙!$B$11:$B$310)+COUNTA(条幅!$B$11:$B$310),INDEX(条幅!$C$11:$C$310,361-COUNTA(半紙!$B$11:$B$310)),IF(361&lt;=COUNTA(半紙!$B$11:$B$310)+COUNTA(条幅!$B$11:$B$310)+COUNTA(条幅4分の1!$B$11:$B$310),INDEX(条幅4分の1!$C$11:$C$310,361-COUNTA(半紙!$B$11:$B$310)-COUNTA(条幅!$B$11:$B$310)),"")))=0,"",IF(361&lt;=COUNTA(半紙!$B$11:$B$310),INDEX(半紙!$C$11:$C$310,361),IF(361&lt;=COUNTA(半紙!$B$11:$B$310)+COUNTA(条幅!$B$11:$B$310),INDEX(条幅!$C$11:$C$310,361-COUNTA(半紙!$B$11:$B$310)),IF(361&lt;=COUNTA(半紙!$B$11:$B$310)+COUNTA(条幅!$B$11:$B$310)+COUNTA(条幅4分の1!$B$11:$B$310),INDEX(条幅4分の1!$C$11:$C$310,361-COUNTA(半紙!$B$11:$B$310)-COUNTA(条幅!$B$11:$B$310)),""))))</f>
        <v/>
      </c>
      <c r="D366" s="38" t="str">
        <f>IF(IF(361&lt;=COUNTA(半紙!$B$11:$B$310),INDEX(半紙!$D$11:$D$310,361),IF(361&lt;=COUNTA(半紙!$B$11:$B$310)+COUNTA(条幅!$B$11:$B$310),INDEX(条幅!$D$11:$D$310,361-COUNTA(半紙!$B$11:$B$310)),IF(361&lt;=COUNTA(半紙!$B$11:$B$310)+COUNTA(条幅!$B$11:$B$310)+COUNTA(条幅4分の1!$B$11:$B$310),INDEX(条幅4分の1!$D$11:$D$310,361-COUNTA(半紙!$B$11:$B$310)-COUNTA(条幅!$B$11:$B$310)),"")))=0,"",IF(361&lt;=COUNTA(半紙!$B$11:$B$310),INDEX(半紙!$D$11:$D$310,361),IF(361&lt;=COUNTA(半紙!$B$11:$B$310)+COUNTA(条幅!$B$11:$B$310),INDEX(条幅!$D$11:$D$310,361-COUNTA(半紙!$B$11:$B$310)),IF(361&lt;=COUNTA(半紙!$B$11:$B$310)+COUNTA(条幅!$B$11:$B$310)+COUNTA(条幅4分の1!$B$11:$B$310),INDEX(条幅4分の1!$D$11:$D$310,361-COUNTA(半紙!$B$11:$B$310)-COUNTA(条幅!$B$11:$B$310)),""))))</f>
        <v/>
      </c>
      <c r="E366" s="38" t="str">
        <f>IF(IF(361&lt;=COUNTA(半紙!$B$11:$B$310),INDEX(半紙!$E$11:$E$310,361),IF(361&lt;=COUNTA(半紙!$B$11:$B$310)+COUNTA(条幅!$B$11:$B$310),INDEX(条幅!$E$11:$E$310,361-COUNTA(半紙!$B$11:$B$310)),IF(361&lt;=COUNTA(半紙!$B$11:$B$310)+COUNTA(条幅!$B$11:$B$310)+COUNTA(条幅4分の1!$B$11:$B$310),INDEX(条幅4分の1!$E$11:$E$310,361-COUNTA(半紙!$B$11:$B$310)-COUNTA(条幅!$B$11:$B$310)),"")))=0,"",IF(361&lt;=COUNTA(半紙!$B$11:$B$310),INDEX(半紙!$E$11:$E$310,361),IF(361&lt;=COUNTA(半紙!$B$11:$B$310)+COUNTA(条幅!$B$11:$B$310),INDEX(条幅!$E$11:$E$310,361-COUNTA(半紙!$B$11:$B$310)),IF(361&lt;=COUNTA(半紙!$B$11:$B$310)+COUNTA(条幅!$B$11:$B$310)+COUNTA(条幅4分の1!$B$11:$B$310),INDEX(条幅4分の1!$E$11:$E$310,361-COUNTA(半紙!$B$11:$B$310)-COUNTA(条幅!$B$11:$B$310)),""))))</f>
        <v/>
      </c>
      <c r="F366" s="38" t="str">
        <f>IF(IF(361&lt;=COUNTA(半紙!$B$11:$B$310),INDEX(半紙!$F$11:$F$310,361),IF(361&lt;=COUNTA(半紙!$B$11:$B$310)+COUNTA(条幅!$B$11:$B$310),INDEX(条幅!$F$11:$F$310,361-COUNTA(半紙!$B$11:$B$310)),IF(361&lt;=COUNTA(半紙!$B$11:$B$310)+COUNTA(条幅!$B$11:$B$310)+COUNTA(条幅4分の1!$B$11:$B$310),INDEX(条幅4分の1!$F$11:$F$310,361-COUNTA(半紙!$B$11:$B$310)-COUNTA(条幅!$B$11:$B$310)),"")))=0,"",IF(361&lt;=COUNTA(半紙!$B$11:$B$310),INDEX(半紙!$F$11:$F$310,361),IF(361&lt;=COUNTA(半紙!$B$11:$B$310)+COUNTA(条幅!$B$11:$B$310),INDEX(条幅!$F$11:$F$310,361-COUNTA(半紙!$B$11:$B$310)),IF(361&lt;=COUNTA(半紙!$B$11:$B$310)+COUNTA(条幅!$B$11:$B$310)+COUNTA(条幅4分の1!$B$11:$B$310),INDEX(条幅4分の1!$F$11:$F$310,361-COUNTA(半紙!$B$11:$B$310)-COUNTA(条幅!$B$11:$B$310)),""))))</f>
        <v/>
      </c>
      <c r="G366" s="38" t="str">
        <f>IF(IF(361&lt;=COUNTA(半紙!$B$11:$B$310),INDEX(半紙!$G$11:$G$310,361),IF(361&lt;=COUNTA(半紙!$B$11:$B$310)+COUNTA(条幅!$B$11:$B$310),INDEX(条幅!$G$11:$G$310,361-COUNTA(半紙!$B$11:$B$310)),IF(361&lt;=COUNTA(半紙!$B$11:$B$310)+COUNTA(条幅!$B$11:$B$310)+COUNTA(条幅4分の1!$B$11:$B$310),INDEX(条幅4分の1!$G$11:$G$310,361-COUNTA(半紙!$B$11:$B$310)-COUNTA(条幅!$B$11:$B$310)),"")))=0,"",IF(361&lt;=COUNTA(半紙!$B$11:$B$310),INDEX(半紙!$G$11:$G$310,361),IF(361&lt;=COUNTA(半紙!$B$11:$B$310)+COUNTA(条幅!$B$11:$B$310),INDEX(条幅!$G$11:$G$310,361-COUNTA(半紙!$B$11:$B$310)),IF(361&lt;=COUNTA(半紙!$B$11:$B$310)+COUNTA(条幅!$B$11:$B$310)+COUNTA(条幅4分の1!$B$11:$B$310),INDEX(条幅4分の1!$G$11:$G$310,361-COUNTA(半紙!$B$11:$B$310)-COUNTA(条幅!$B$11:$B$310)),""))))</f>
        <v/>
      </c>
      <c r="H366" s="38" t="str">
        <f>IF(IF(361&lt;=COUNTA(半紙!$B$11:$B$310),INDEX(半紙!$H$11:$H$310,361),IF(361&lt;=COUNTA(半紙!$B$11:$B$310)+COUNTA(条幅!$B$11:$B$310),INDEX(条幅!$H$11:$H$310,361-COUNTA(半紙!$B$11:$B$310)),IF(361&lt;=COUNTA(半紙!$B$11:$B$310)+COUNTA(条幅!$B$11:$B$310)+COUNTA(条幅4分の1!$B$11:$B$310),INDEX(条幅4分の1!$H$11:$H$310,361-COUNTA(半紙!$B$11:$B$310)-COUNTA(条幅!$B$11:$B$310)),"")))=0,"",IF(361&lt;=COUNTA(半紙!$B$11:$B$310),INDEX(半紙!$H$11:$H$310,361),IF(361&lt;=COUNTA(半紙!$B$11:$B$310)+COUNTA(条幅!$B$11:$B$310),INDEX(条幅!$H$11:$H$310,361-COUNTA(半紙!$B$11:$B$310)),IF(361&lt;=COUNTA(半紙!$B$11:$B$310)+COUNTA(条幅!$B$11:$B$310)+COUNTA(条幅4分の1!$B$11:$B$310),INDEX(条幅4分の1!$H$11:$H$310,361-COUNTA(半紙!$B$11:$B$310)-COUNTA(条幅!$B$11:$B$310)),""))))</f>
        <v/>
      </c>
      <c r="I366" s="38" t="str">
        <f>IF(IF(361&lt;=COUNTA(半紙!$B$11:$B$310),INDEX(半紙!$I$11:$I$310,361),IF(361&lt;=COUNTA(半紙!$B$11:$B$310)+COUNTA(条幅!$B$11:$B$310),INDEX(条幅!$I$11:$I$310,361-COUNTA(半紙!$B$11:$B$310)),IF(361&lt;=COUNTA(半紙!$B$11:$B$310)+COUNTA(条幅!$B$11:$B$310)+COUNTA(条幅4分の1!$B$11:$B$310),INDEX(条幅4分の1!$I$11:$I$310,361-COUNTA(半紙!$B$11:$B$310)-COUNTA(条幅!$B$11:$B$310)),"")))=0,"",IF(361&lt;=COUNTA(半紙!$B$11:$B$310),INDEX(半紙!$I$11:$I$310,361),IF(361&lt;=COUNTA(半紙!$B$11:$B$310)+COUNTA(条幅!$B$11:$B$310),INDEX(条幅!$I$11:$I$310,361-COUNTA(半紙!$B$11:$B$310)),IF(361&lt;=COUNTA(半紙!$B$11:$B$310)+COUNTA(条幅!$B$11:$B$310)+COUNTA(条幅4分の1!$B$11:$B$310),INDEX(条幅4分の1!$I$11:$I$310,361-COUNTA(半紙!$B$11:$B$310)-COUNTA(条幅!$B$11:$B$310)),""))))</f>
        <v/>
      </c>
      <c r="J366" s="38" t="str">
        <f>IF(IF(361&lt;=COUNTA(半紙!$B$11:$B$310),INDEX(半紙!$J$11:$J$310,361),IF(361&lt;=COUNTA(半紙!$B$11:$B$310)+COUNTA(条幅!$B$11:$B$310),INDEX(条幅!$J$11:$J$310,361-COUNTA(半紙!$B$11:$B$310)),IF(361&lt;=COUNTA(半紙!$B$11:$B$310)+COUNTA(条幅!$B$11:$B$310)+COUNTA(条幅4分の1!$B$11:$B$310),INDEX(条幅4分の1!$J$11:$J$310,361-COUNTA(半紙!$B$11:$B$310)-COUNTA(条幅!$B$11:$B$310)),"")))=0,"",IF(361&lt;=COUNTA(半紙!$B$11:$B$310),INDEX(半紙!$J$11:$J$310,361),IF(361&lt;=COUNTA(半紙!$B$11:$B$310)+COUNTA(条幅!$B$11:$B$310),INDEX(条幅!$J$11:$J$310,361-COUNTA(半紙!$B$11:$B$310)),IF(361&lt;=COUNTA(半紙!$B$11:$B$310)+COUNTA(条幅!$B$11:$B$310)+COUNTA(条幅4分の1!$B$11:$B$310),INDEX(条幅4分の1!$J$11:$J$310,361-COUNTA(半紙!$B$11:$B$310)-COUNTA(条幅!$B$11:$B$310)),""))))</f>
        <v/>
      </c>
      <c r="K366" s="38" t="str">
        <f>IF(IF(361&lt;=COUNTA(半紙!$B$11:$B$310),INDEX(半紙!$K$11:$K$310,361),IF(361&lt;=COUNTA(半紙!$B$11:$B$310)+COUNTA(条幅!$B$11:$B$310),INDEX(条幅!$K$11:$K$310,361-COUNTA(半紙!$B$11:$B$310)),IF(361&lt;=COUNTA(半紙!$B$11:$B$310)+COUNTA(条幅!$B$11:$B$310)+COUNTA(条幅4分の1!$B$11:$B$310),INDEX(条幅4分の1!$K$11:$K$310,361-COUNTA(半紙!$B$11:$B$310)-COUNTA(条幅!$B$11:$B$310)),"")))=0,"",IF(361&lt;=COUNTA(半紙!$B$11:$B$310),INDEX(半紙!$K$11:$K$310,361),IF(361&lt;=COUNTA(半紙!$B$11:$B$310)+COUNTA(条幅!$B$11:$B$310),INDEX(条幅!$K$11:$K$310,361-COUNTA(半紙!$B$11:$B$310)),IF(361&lt;=COUNTA(半紙!$B$11:$B$310)+COUNTA(条幅!$B$11:$B$310)+COUNTA(条幅4分の1!$B$11:$B$310),INDEX(条幅4分の1!$K$11:$K$310,361-COUNTA(半紙!$B$11:$B$310)-COUNTA(条幅!$B$11:$B$310)),""))))</f>
        <v/>
      </c>
      <c r="L366" s="48" t="str">
        <f>IF($B366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361))</f>
        <v/>
      </c>
    </row>
    <row r="367" spans="1:12" ht="15" customHeight="1">
      <c r="A367" s="37" t="str">
        <f>IF(362&lt;=COUNTA(半紙!$B$11:$B$310),"半紙",IF(362&lt;=COUNTA(半紙!$B$11:$B$310)+COUNTA(条幅!$B$11:$B$310),"条幅(半切)",IF(362&lt;=COUNTA(半紙!$B$11:$B$310)+COUNTA(条幅!$B$11:$B$310)+COUNTA(条幅4分の1!$B$11:$B$310),"条幅(1/4)","")))</f>
        <v/>
      </c>
      <c r="B367" s="38" t="str">
        <f>IF(IF(362&lt;=COUNTA(半紙!$B$11:$B$310),INDEX(半紙!$B$11:$B$310,362),IF(362&lt;=COUNTA(半紙!$B$11:$B$310)+COUNTA(条幅!$B$11:$B$310),INDEX(条幅!$B$11:$B$310,362-COUNTA(半紙!$B$11:$B$310)),IF(362&lt;=COUNTA(半紙!$B$11:$B$310)+COUNTA(条幅!$B$11:$B$310)+COUNTA(条幅4分の1!$B$11:$B$310),INDEX(条幅4分の1!$B$11:$B$310,362-COUNTA(半紙!$B$11:$B$310)-COUNTA(条幅!$B$11:$B$310)),"")))=0,"",IF(362&lt;=COUNTA(半紙!$B$11:$B$310),INDEX(半紙!$B$11:$B$310,362),IF(362&lt;=COUNTA(半紙!$B$11:$B$310)+COUNTA(条幅!$B$11:$B$310),INDEX(条幅!$B$11:$B$310,362-COUNTA(半紙!$B$11:$B$310)),IF(362&lt;=COUNTA(半紙!$B$11:$B$310)+COUNTA(条幅!$B$11:$B$310)+COUNTA(条幅4分の1!$B$11:$B$310),INDEX(条幅4分の1!$B$11:$B$310,362-COUNTA(半紙!$B$11:$B$310)-COUNTA(条幅!$B$11:$B$310)),""))))</f>
        <v/>
      </c>
      <c r="C367" s="38" t="str">
        <f>IF(IF(362&lt;=COUNTA(半紙!$B$11:$B$310),INDEX(半紙!$C$11:$C$310,362),IF(362&lt;=COUNTA(半紙!$B$11:$B$310)+COUNTA(条幅!$B$11:$B$310),INDEX(条幅!$C$11:$C$310,362-COUNTA(半紙!$B$11:$B$310)),IF(362&lt;=COUNTA(半紙!$B$11:$B$310)+COUNTA(条幅!$B$11:$B$310)+COUNTA(条幅4分の1!$B$11:$B$310),INDEX(条幅4分の1!$C$11:$C$310,362-COUNTA(半紙!$B$11:$B$310)-COUNTA(条幅!$B$11:$B$310)),"")))=0,"",IF(362&lt;=COUNTA(半紙!$B$11:$B$310),INDEX(半紙!$C$11:$C$310,362),IF(362&lt;=COUNTA(半紙!$B$11:$B$310)+COUNTA(条幅!$B$11:$B$310),INDEX(条幅!$C$11:$C$310,362-COUNTA(半紙!$B$11:$B$310)),IF(362&lt;=COUNTA(半紙!$B$11:$B$310)+COUNTA(条幅!$B$11:$B$310)+COUNTA(条幅4分の1!$B$11:$B$310),INDEX(条幅4分の1!$C$11:$C$310,362-COUNTA(半紙!$B$11:$B$310)-COUNTA(条幅!$B$11:$B$310)),""))))</f>
        <v/>
      </c>
      <c r="D367" s="38" t="str">
        <f>IF(IF(362&lt;=COUNTA(半紙!$B$11:$B$310),INDEX(半紙!$D$11:$D$310,362),IF(362&lt;=COUNTA(半紙!$B$11:$B$310)+COUNTA(条幅!$B$11:$B$310),INDEX(条幅!$D$11:$D$310,362-COUNTA(半紙!$B$11:$B$310)),IF(362&lt;=COUNTA(半紙!$B$11:$B$310)+COUNTA(条幅!$B$11:$B$310)+COUNTA(条幅4分の1!$B$11:$B$310),INDEX(条幅4分の1!$D$11:$D$310,362-COUNTA(半紙!$B$11:$B$310)-COUNTA(条幅!$B$11:$B$310)),"")))=0,"",IF(362&lt;=COUNTA(半紙!$B$11:$B$310),INDEX(半紙!$D$11:$D$310,362),IF(362&lt;=COUNTA(半紙!$B$11:$B$310)+COUNTA(条幅!$B$11:$B$310),INDEX(条幅!$D$11:$D$310,362-COUNTA(半紙!$B$11:$B$310)),IF(362&lt;=COUNTA(半紙!$B$11:$B$310)+COUNTA(条幅!$B$11:$B$310)+COUNTA(条幅4分の1!$B$11:$B$310),INDEX(条幅4分の1!$D$11:$D$310,362-COUNTA(半紙!$B$11:$B$310)-COUNTA(条幅!$B$11:$B$310)),""))))</f>
        <v/>
      </c>
      <c r="E367" s="38" t="str">
        <f>IF(IF(362&lt;=COUNTA(半紙!$B$11:$B$310),INDEX(半紙!$E$11:$E$310,362),IF(362&lt;=COUNTA(半紙!$B$11:$B$310)+COUNTA(条幅!$B$11:$B$310),INDEX(条幅!$E$11:$E$310,362-COUNTA(半紙!$B$11:$B$310)),IF(362&lt;=COUNTA(半紙!$B$11:$B$310)+COUNTA(条幅!$B$11:$B$310)+COUNTA(条幅4分の1!$B$11:$B$310),INDEX(条幅4分の1!$E$11:$E$310,362-COUNTA(半紙!$B$11:$B$310)-COUNTA(条幅!$B$11:$B$310)),"")))=0,"",IF(362&lt;=COUNTA(半紙!$B$11:$B$310),INDEX(半紙!$E$11:$E$310,362),IF(362&lt;=COUNTA(半紙!$B$11:$B$310)+COUNTA(条幅!$B$11:$B$310),INDEX(条幅!$E$11:$E$310,362-COUNTA(半紙!$B$11:$B$310)),IF(362&lt;=COUNTA(半紙!$B$11:$B$310)+COUNTA(条幅!$B$11:$B$310)+COUNTA(条幅4分の1!$B$11:$B$310),INDEX(条幅4分の1!$E$11:$E$310,362-COUNTA(半紙!$B$11:$B$310)-COUNTA(条幅!$B$11:$B$310)),""))))</f>
        <v/>
      </c>
      <c r="F367" s="38" t="str">
        <f>IF(IF(362&lt;=COUNTA(半紙!$B$11:$B$310),INDEX(半紙!$F$11:$F$310,362),IF(362&lt;=COUNTA(半紙!$B$11:$B$310)+COUNTA(条幅!$B$11:$B$310),INDEX(条幅!$F$11:$F$310,362-COUNTA(半紙!$B$11:$B$310)),IF(362&lt;=COUNTA(半紙!$B$11:$B$310)+COUNTA(条幅!$B$11:$B$310)+COUNTA(条幅4分の1!$B$11:$B$310),INDEX(条幅4分の1!$F$11:$F$310,362-COUNTA(半紙!$B$11:$B$310)-COUNTA(条幅!$B$11:$B$310)),"")))=0,"",IF(362&lt;=COUNTA(半紙!$B$11:$B$310),INDEX(半紙!$F$11:$F$310,362),IF(362&lt;=COUNTA(半紙!$B$11:$B$310)+COUNTA(条幅!$B$11:$B$310),INDEX(条幅!$F$11:$F$310,362-COUNTA(半紙!$B$11:$B$310)),IF(362&lt;=COUNTA(半紙!$B$11:$B$310)+COUNTA(条幅!$B$11:$B$310)+COUNTA(条幅4分の1!$B$11:$B$310),INDEX(条幅4分の1!$F$11:$F$310,362-COUNTA(半紙!$B$11:$B$310)-COUNTA(条幅!$B$11:$B$310)),""))))</f>
        <v/>
      </c>
      <c r="G367" s="38" t="str">
        <f>IF(IF(362&lt;=COUNTA(半紙!$B$11:$B$310),INDEX(半紙!$G$11:$G$310,362),IF(362&lt;=COUNTA(半紙!$B$11:$B$310)+COUNTA(条幅!$B$11:$B$310),INDEX(条幅!$G$11:$G$310,362-COUNTA(半紙!$B$11:$B$310)),IF(362&lt;=COUNTA(半紙!$B$11:$B$310)+COUNTA(条幅!$B$11:$B$310)+COUNTA(条幅4分の1!$B$11:$B$310),INDEX(条幅4分の1!$G$11:$G$310,362-COUNTA(半紙!$B$11:$B$310)-COUNTA(条幅!$B$11:$B$310)),"")))=0,"",IF(362&lt;=COUNTA(半紙!$B$11:$B$310),INDEX(半紙!$G$11:$G$310,362),IF(362&lt;=COUNTA(半紙!$B$11:$B$310)+COUNTA(条幅!$B$11:$B$310),INDEX(条幅!$G$11:$G$310,362-COUNTA(半紙!$B$11:$B$310)),IF(362&lt;=COUNTA(半紙!$B$11:$B$310)+COUNTA(条幅!$B$11:$B$310)+COUNTA(条幅4分の1!$B$11:$B$310),INDEX(条幅4分の1!$G$11:$G$310,362-COUNTA(半紙!$B$11:$B$310)-COUNTA(条幅!$B$11:$B$310)),""))))</f>
        <v/>
      </c>
      <c r="H367" s="38" t="str">
        <f>IF(IF(362&lt;=COUNTA(半紙!$B$11:$B$310),INDEX(半紙!$H$11:$H$310,362),IF(362&lt;=COUNTA(半紙!$B$11:$B$310)+COUNTA(条幅!$B$11:$B$310),INDEX(条幅!$H$11:$H$310,362-COUNTA(半紙!$B$11:$B$310)),IF(362&lt;=COUNTA(半紙!$B$11:$B$310)+COUNTA(条幅!$B$11:$B$310)+COUNTA(条幅4分の1!$B$11:$B$310),INDEX(条幅4分の1!$H$11:$H$310,362-COUNTA(半紙!$B$11:$B$310)-COUNTA(条幅!$B$11:$B$310)),"")))=0,"",IF(362&lt;=COUNTA(半紙!$B$11:$B$310),INDEX(半紙!$H$11:$H$310,362),IF(362&lt;=COUNTA(半紙!$B$11:$B$310)+COUNTA(条幅!$B$11:$B$310),INDEX(条幅!$H$11:$H$310,362-COUNTA(半紙!$B$11:$B$310)),IF(362&lt;=COUNTA(半紙!$B$11:$B$310)+COUNTA(条幅!$B$11:$B$310)+COUNTA(条幅4分の1!$B$11:$B$310),INDEX(条幅4分の1!$H$11:$H$310,362-COUNTA(半紙!$B$11:$B$310)-COUNTA(条幅!$B$11:$B$310)),""))))</f>
        <v/>
      </c>
      <c r="I367" s="38" t="str">
        <f>IF(IF(362&lt;=COUNTA(半紙!$B$11:$B$310),INDEX(半紙!$I$11:$I$310,362),IF(362&lt;=COUNTA(半紙!$B$11:$B$310)+COUNTA(条幅!$B$11:$B$310),INDEX(条幅!$I$11:$I$310,362-COUNTA(半紙!$B$11:$B$310)),IF(362&lt;=COUNTA(半紙!$B$11:$B$310)+COUNTA(条幅!$B$11:$B$310)+COUNTA(条幅4分の1!$B$11:$B$310),INDEX(条幅4分の1!$I$11:$I$310,362-COUNTA(半紙!$B$11:$B$310)-COUNTA(条幅!$B$11:$B$310)),"")))=0,"",IF(362&lt;=COUNTA(半紙!$B$11:$B$310),INDEX(半紙!$I$11:$I$310,362),IF(362&lt;=COUNTA(半紙!$B$11:$B$310)+COUNTA(条幅!$B$11:$B$310),INDEX(条幅!$I$11:$I$310,362-COUNTA(半紙!$B$11:$B$310)),IF(362&lt;=COUNTA(半紙!$B$11:$B$310)+COUNTA(条幅!$B$11:$B$310)+COUNTA(条幅4分の1!$B$11:$B$310),INDEX(条幅4分の1!$I$11:$I$310,362-COUNTA(半紙!$B$11:$B$310)-COUNTA(条幅!$B$11:$B$310)),""))))</f>
        <v/>
      </c>
      <c r="J367" s="38" t="str">
        <f>IF(IF(362&lt;=COUNTA(半紙!$B$11:$B$310),INDEX(半紙!$J$11:$J$310,362),IF(362&lt;=COUNTA(半紙!$B$11:$B$310)+COUNTA(条幅!$B$11:$B$310),INDEX(条幅!$J$11:$J$310,362-COUNTA(半紙!$B$11:$B$310)),IF(362&lt;=COUNTA(半紙!$B$11:$B$310)+COUNTA(条幅!$B$11:$B$310)+COUNTA(条幅4分の1!$B$11:$B$310),INDEX(条幅4分の1!$J$11:$J$310,362-COUNTA(半紙!$B$11:$B$310)-COUNTA(条幅!$B$11:$B$310)),"")))=0,"",IF(362&lt;=COUNTA(半紙!$B$11:$B$310),INDEX(半紙!$J$11:$J$310,362),IF(362&lt;=COUNTA(半紙!$B$11:$B$310)+COUNTA(条幅!$B$11:$B$310),INDEX(条幅!$J$11:$J$310,362-COUNTA(半紙!$B$11:$B$310)),IF(362&lt;=COUNTA(半紙!$B$11:$B$310)+COUNTA(条幅!$B$11:$B$310)+COUNTA(条幅4分の1!$B$11:$B$310),INDEX(条幅4分の1!$J$11:$J$310,362-COUNTA(半紙!$B$11:$B$310)-COUNTA(条幅!$B$11:$B$310)),""))))</f>
        <v/>
      </c>
      <c r="K367" s="38" t="str">
        <f>IF(IF(362&lt;=COUNTA(半紙!$B$11:$B$310),INDEX(半紙!$K$11:$K$310,362),IF(362&lt;=COUNTA(半紙!$B$11:$B$310)+COUNTA(条幅!$B$11:$B$310),INDEX(条幅!$K$11:$K$310,362-COUNTA(半紙!$B$11:$B$310)),IF(362&lt;=COUNTA(半紙!$B$11:$B$310)+COUNTA(条幅!$B$11:$B$310)+COUNTA(条幅4分の1!$B$11:$B$310),INDEX(条幅4分の1!$K$11:$K$310,362-COUNTA(半紙!$B$11:$B$310)-COUNTA(条幅!$B$11:$B$310)),"")))=0,"",IF(362&lt;=COUNTA(半紙!$B$11:$B$310),INDEX(半紙!$K$11:$K$310,362),IF(362&lt;=COUNTA(半紙!$B$11:$B$310)+COUNTA(条幅!$B$11:$B$310),INDEX(条幅!$K$11:$K$310,362-COUNTA(半紙!$B$11:$B$310)),IF(362&lt;=COUNTA(半紙!$B$11:$B$310)+COUNTA(条幅!$B$11:$B$310)+COUNTA(条幅4分の1!$B$11:$B$310),INDEX(条幅4分の1!$K$11:$K$310,362-COUNTA(半紙!$B$11:$B$310)-COUNTA(条幅!$B$11:$B$310)),""))))</f>
        <v/>
      </c>
      <c r="L367" s="48" t="str">
        <f>IF($B367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362))</f>
        <v/>
      </c>
    </row>
    <row r="368" spans="1:12" ht="15" customHeight="1">
      <c r="A368" s="37" t="str">
        <f>IF(363&lt;=COUNTA(半紙!$B$11:$B$310),"半紙",IF(363&lt;=COUNTA(半紙!$B$11:$B$310)+COUNTA(条幅!$B$11:$B$310),"条幅(半切)",IF(363&lt;=COUNTA(半紙!$B$11:$B$310)+COUNTA(条幅!$B$11:$B$310)+COUNTA(条幅4分の1!$B$11:$B$310),"条幅(1/4)","")))</f>
        <v/>
      </c>
      <c r="B368" s="38" t="str">
        <f>IF(IF(363&lt;=COUNTA(半紙!$B$11:$B$310),INDEX(半紙!$B$11:$B$310,363),IF(363&lt;=COUNTA(半紙!$B$11:$B$310)+COUNTA(条幅!$B$11:$B$310),INDEX(条幅!$B$11:$B$310,363-COUNTA(半紙!$B$11:$B$310)),IF(363&lt;=COUNTA(半紙!$B$11:$B$310)+COUNTA(条幅!$B$11:$B$310)+COUNTA(条幅4分の1!$B$11:$B$310),INDEX(条幅4分の1!$B$11:$B$310,363-COUNTA(半紙!$B$11:$B$310)-COUNTA(条幅!$B$11:$B$310)),"")))=0,"",IF(363&lt;=COUNTA(半紙!$B$11:$B$310),INDEX(半紙!$B$11:$B$310,363),IF(363&lt;=COUNTA(半紙!$B$11:$B$310)+COUNTA(条幅!$B$11:$B$310),INDEX(条幅!$B$11:$B$310,363-COUNTA(半紙!$B$11:$B$310)),IF(363&lt;=COUNTA(半紙!$B$11:$B$310)+COUNTA(条幅!$B$11:$B$310)+COUNTA(条幅4分の1!$B$11:$B$310),INDEX(条幅4分の1!$B$11:$B$310,363-COUNTA(半紙!$B$11:$B$310)-COUNTA(条幅!$B$11:$B$310)),""))))</f>
        <v/>
      </c>
      <c r="C368" s="38" t="str">
        <f>IF(IF(363&lt;=COUNTA(半紙!$B$11:$B$310),INDEX(半紙!$C$11:$C$310,363),IF(363&lt;=COUNTA(半紙!$B$11:$B$310)+COUNTA(条幅!$B$11:$B$310),INDEX(条幅!$C$11:$C$310,363-COUNTA(半紙!$B$11:$B$310)),IF(363&lt;=COUNTA(半紙!$B$11:$B$310)+COUNTA(条幅!$B$11:$B$310)+COUNTA(条幅4分の1!$B$11:$B$310),INDEX(条幅4分の1!$C$11:$C$310,363-COUNTA(半紙!$B$11:$B$310)-COUNTA(条幅!$B$11:$B$310)),"")))=0,"",IF(363&lt;=COUNTA(半紙!$B$11:$B$310),INDEX(半紙!$C$11:$C$310,363),IF(363&lt;=COUNTA(半紙!$B$11:$B$310)+COUNTA(条幅!$B$11:$B$310),INDEX(条幅!$C$11:$C$310,363-COUNTA(半紙!$B$11:$B$310)),IF(363&lt;=COUNTA(半紙!$B$11:$B$310)+COUNTA(条幅!$B$11:$B$310)+COUNTA(条幅4分の1!$B$11:$B$310),INDEX(条幅4分の1!$C$11:$C$310,363-COUNTA(半紙!$B$11:$B$310)-COUNTA(条幅!$B$11:$B$310)),""))))</f>
        <v/>
      </c>
      <c r="D368" s="38" t="str">
        <f>IF(IF(363&lt;=COUNTA(半紙!$B$11:$B$310),INDEX(半紙!$D$11:$D$310,363),IF(363&lt;=COUNTA(半紙!$B$11:$B$310)+COUNTA(条幅!$B$11:$B$310),INDEX(条幅!$D$11:$D$310,363-COUNTA(半紙!$B$11:$B$310)),IF(363&lt;=COUNTA(半紙!$B$11:$B$310)+COUNTA(条幅!$B$11:$B$310)+COUNTA(条幅4分の1!$B$11:$B$310),INDEX(条幅4分の1!$D$11:$D$310,363-COUNTA(半紙!$B$11:$B$310)-COUNTA(条幅!$B$11:$B$310)),"")))=0,"",IF(363&lt;=COUNTA(半紙!$B$11:$B$310),INDEX(半紙!$D$11:$D$310,363),IF(363&lt;=COUNTA(半紙!$B$11:$B$310)+COUNTA(条幅!$B$11:$B$310),INDEX(条幅!$D$11:$D$310,363-COUNTA(半紙!$B$11:$B$310)),IF(363&lt;=COUNTA(半紙!$B$11:$B$310)+COUNTA(条幅!$B$11:$B$310)+COUNTA(条幅4分の1!$B$11:$B$310),INDEX(条幅4分の1!$D$11:$D$310,363-COUNTA(半紙!$B$11:$B$310)-COUNTA(条幅!$B$11:$B$310)),""))))</f>
        <v/>
      </c>
      <c r="E368" s="38" t="str">
        <f>IF(IF(363&lt;=COUNTA(半紙!$B$11:$B$310),INDEX(半紙!$E$11:$E$310,363),IF(363&lt;=COUNTA(半紙!$B$11:$B$310)+COUNTA(条幅!$B$11:$B$310),INDEX(条幅!$E$11:$E$310,363-COUNTA(半紙!$B$11:$B$310)),IF(363&lt;=COUNTA(半紙!$B$11:$B$310)+COUNTA(条幅!$B$11:$B$310)+COUNTA(条幅4分の1!$B$11:$B$310),INDEX(条幅4分の1!$E$11:$E$310,363-COUNTA(半紙!$B$11:$B$310)-COUNTA(条幅!$B$11:$B$310)),"")))=0,"",IF(363&lt;=COUNTA(半紙!$B$11:$B$310),INDEX(半紙!$E$11:$E$310,363),IF(363&lt;=COUNTA(半紙!$B$11:$B$310)+COUNTA(条幅!$B$11:$B$310),INDEX(条幅!$E$11:$E$310,363-COUNTA(半紙!$B$11:$B$310)),IF(363&lt;=COUNTA(半紙!$B$11:$B$310)+COUNTA(条幅!$B$11:$B$310)+COUNTA(条幅4分の1!$B$11:$B$310),INDEX(条幅4分の1!$E$11:$E$310,363-COUNTA(半紙!$B$11:$B$310)-COUNTA(条幅!$B$11:$B$310)),""))))</f>
        <v/>
      </c>
      <c r="F368" s="38" t="str">
        <f>IF(IF(363&lt;=COUNTA(半紙!$B$11:$B$310),INDEX(半紙!$F$11:$F$310,363),IF(363&lt;=COUNTA(半紙!$B$11:$B$310)+COUNTA(条幅!$B$11:$B$310),INDEX(条幅!$F$11:$F$310,363-COUNTA(半紙!$B$11:$B$310)),IF(363&lt;=COUNTA(半紙!$B$11:$B$310)+COUNTA(条幅!$B$11:$B$310)+COUNTA(条幅4分の1!$B$11:$B$310),INDEX(条幅4分の1!$F$11:$F$310,363-COUNTA(半紙!$B$11:$B$310)-COUNTA(条幅!$B$11:$B$310)),"")))=0,"",IF(363&lt;=COUNTA(半紙!$B$11:$B$310),INDEX(半紙!$F$11:$F$310,363),IF(363&lt;=COUNTA(半紙!$B$11:$B$310)+COUNTA(条幅!$B$11:$B$310),INDEX(条幅!$F$11:$F$310,363-COUNTA(半紙!$B$11:$B$310)),IF(363&lt;=COUNTA(半紙!$B$11:$B$310)+COUNTA(条幅!$B$11:$B$310)+COUNTA(条幅4分の1!$B$11:$B$310),INDEX(条幅4分の1!$F$11:$F$310,363-COUNTA(半紙!$B$11:$B$310)-COUNTA(条幅!$B$11:$B$310)),""))))</f>
        <v/>
      </c>
      <c r="G368" s="38" t="str">
        <f>IF(IF(363&lt;=COUNTA(半紙!$B$11:$B$310),INDEX(半紙!$G$11:$G$310,363),IF(363&lt;=COUNTA(半紙!$B$11:$B$310)+COUNTA(条幅!$B$11:$B$310),INDEX(条幅!$G$11:$G$310,363-COUNTA(半紙!$B$11:$B$310)),IF(363&lt;=COUNTA(半紙!$B$11:$B$310)+COUNTA(条幅!$B$11:$B$310)+COUNTA(条幅4分の1!$B$11:$B$310),INDEX(条幅4分の1!$G$11:$G$310,363-COUNTA(半紙!$B$11:$B$310)-COUNTA(条幅!$B$11:$B$310)),"")))=0,"",IF(363&lt;=COUNTA(半紙!$B$11:$B$310),INDEX(半紙!$G$11:$G$310,363),IF(363&lt;=COUNTA(半紙!$B$11:$B$310)+COUNTA(条幅!$B$11:$B$310),INDEX(条幅!$G$11:$G$310,363-COUNTA(半紙!$B$11:$B$310)),IF(363&lt;=COUNTA(半紙!$B$11:$B$310)+COUNTA(条幅!$B$11:$B$310)+COUNTA(条幅4分の1!$B$11:$B$310),INDEX(条幅4分の1!$G$11:$G$310,363-COUNTA(半紙!$B$11:$B$310)-COUNTA(条幅!$B$11:$B$310)),""))))</f>
        <v/>
      </c>
      <c r="H368" s="38" t="str">
        <f>IF(IF(363&lt;=COUNTA(半紙!$B$11:$B$310),INDEX(半紙!$H$11:$H$310,363),IF(363&lt;=COUNTA(半紙!$B$11:$B$310)+COUNTA(条幅!$B$11:$B$310),INDEX(条幅!$H$11:$H$310,363-COUNTA(半紙!$B$11:$B$310)),IF(363&lt;=COUNTA(半紙!$B$11:$B$310)+COUNTA(条幅!$B$11:$B$310)+COUNTA(条幅4分の1!$B$11:$B$310),INDEX(条幅4分の1!$H$11:$H$310,363-COUNTA(半紙!$B$11:$B$310)-COUNTA(条幅!$B$11:$B$310)),"")))=0,"",IF(363&lt;=COUNTA(半紙!$B$11:$B$310),INDEX(半紙!$H$11:$H$310,363),IF(363&lt;=COUNTA(半紙!$B$11:$B$310)+COUNTA(条幅!$B$11:$B$310),INDEX(条幅!$H$11:$H$310,363-COUNTA(半紙!$B$11:$B$310)),IF(363&lt;=COUNTA(半紙!$B$11:$B$310)+COUNTA(条幅!$B$11:$B$310)+COUNTA(条幅4分の1!$B$11:$B$310),INDEX(条幅4分の1!$H$11:$H$310,363-COUNTA(半紙!$B$11:$B$310)-COUNTA(条幅!$B$11:$B$310)),""))))</f>
        <v/>
      </c>
      <c r="I368" s="38" t="str">
        <f>IF(IF(363&lt;=COUNTA(半紙!$B$11:$B$310),INDEX(半紙!$I$11:$I$310,363),IF(363&lt;=COUNTA(半紙!$B$11:$B$310)+COUNTA(条幅!$B$11:$B$310),INDEX(条幅!$I$11:$I$310,363-COUNTA(半紙!$B$11:$B$310)),IF(363&lt;=COUNTA(半紙!$B$11:$B$310)+COUNTA(条幅!$B$11:$B$310)+COUNTA(条幅4分の1!$B$11:$B$310),INDEX(条幅4分の1!$I$11:$I$310,363-COUNTA(半紙!$B$11:$B$310)-COUNTA(条幅!$B$11:$B$310)),"")))=0,"",IF(363&lt;=COUNTA(半紙!$B$11:$B$310),INDEX(半紙!$I$11:$I$310,363),IF(363&lt;=COUNTA(半紙!$B$11:$B$310)+COUNTA(条幅!$B$11:$B$310),INDEX(条幅!$I$11:$I$310,363-COUNTA(半紙!$B$11:$B$310)),IF(363&lt;=COUNTA(半紙!$B$11:$B$310)+COUNTA(条幅!$B$11:$B$310)+COUNTA(条幅4分の1!$B$11:$B$310),INDEX(条幅4分の1!$I$11:$I$310,363-COUNTA(半紙!$B$11:$B$310)-COUNTA(条幅!$B$11:$B$310)),""))))</f>
        <v/>
      </c>
      <c r="J368" s="38" t="str">
        <f>IF(IF(363&lt;=COUNTA(半紙!$B$11:$B$310),INDEX(半紙!$J$11:$J$310,363),IF(363&lt;=COUNTA(半紙!$B$11:$B$310)+COUNTA(条幅!$B$11:$B$310),INDEX(条幅!$J$11:$J$310,363-COUNTA(半紙!$B$11:$B$310)),IF(363&lt;=COUNTA(半紙!$B$11:$B$310)+COUNTA(条幅!$B$11:$B$310)+COUNTA(条幅4分の1!$B$11:$B$310),INDEX(条幅4分の1!$J$11:$J$310,363-COUNTA(半紙!$B$11:$B$310)-COUNTA(条幅!$B$11:$B$310)),"")))=0,"",IF(363&lt;=COUNTA(半紙!$B$11:$B$310),INDEX(半紙!$J$11:$J$310,363),IF(363&lt;=COUNTA(半紙!$B$11:$B$310)+COUNTA(条幅!$B$11:$B$310),INDEX(条幅!$J$11:$J$310,363-COUNTA(半紙!$B$11:$B$310)),IF(363&lt;=COUNTA(半紙!$B$11:$B$310)+COUNTA(条幅!$B$11:$B$310)+COUNTA(条幅4分の1!$B$11:$B$310),INDEX(条幅4分の1!$J$11:$J$310,363-COUNTA(半紙!$B$11:$B$310)-COUNTA(条幅!$B$11:$B$310)),""))))</f>
        <v/>
      </c>
      <c r="K368" s="38" t="str">
        <f>IF(IF(363&lt;=COUNTA(半紙!$B$11:$B$310),INDEX(半紙!$K$11:$K$310,363),IF(363&lt;=COUNTA(半紙!$B$11:$B$310)+COUNTA(条幅!$B$11:$B$310),INDEX(条幅!$K$11:$K$310,363-COUNTA(半紙!$B$11:$B$310)),IF(363&lt;=COUNTA(半紙!$B$11:$B$310)+COUNTA(条幅!$B$11:$B$310)+COUNTA(条幅4分の1!$B$11:$B$310),INDEX(条幅4分の1!$K$11:$K$310,363-COUNTA(半紙!$B$11:$B$310)-COUNTA(条幅!$B$11:$B$310)),"")))=0,"",IF(363&lt;=COUNTA(半紙!$B$11:$B$310),INDEX(半紙!$K$11:$K$310,363),IF(363&lt;=COUNTA(半紙!$B$11:$B$310)+COUNTA(条幅!$B$11:$B$310),INDEX(条幅!$K$11:$K$310,363-COUNTA(半紙!$B$11:$B$310)),IF(363&lt;=COUNTA(半紙!$B$11:$B$310)+COUNTA(条幅!$B$11:$B$310)+COUNTA(条幅4分の1!$B$11:$B$310),INDEX(条幅4分の1!$K$11:$K$310,363-COUNTA(半紙!$B$11:$B$310)-COUNTA(条幅!$B$11:$B$310)),""))))</f>
        <v/>
      </c>
      <c r="L368" s="48" t="str">
        <f>IF($B368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363))</f>
        <v/>
      </c>
    </row>
    <row r="369" spans="1:12" ht="15" customHeight="1">
      <c r="A369" s="37" t="str">
        <f>IF(364&lt;=COUNTA(半紙!$B$11:$B$310),"半紙",IF(364&lt;=COUNTA(半紙!$B$11:$B$310)+COUNTA(条幅!$B$11:$B$310),"条幅(半切)",IF(364&lt;=COUNTA(半紙!$B$11:$B$310)+COUNTA(条幅!$B$11:$B$310)+COUNTA(条幅4分の1!$B$11:$B$310),"条幅(1/4)","")))</f>
        <v/>
      </c>
      <c r="B369" s="38" t="str">
        <f>IF(IF(364&lt;=COUNTA(半紙!$B$11:$B$310),INDEX(半紙!$B$11:$B$310,364),IF(364&lt;=COUNTA(半紙!$B$11:$B$310)+COUNTA(条幅!$B$11:$B$310),INDEX(条幅!$B$11:$B$310,364-COUNTA(半紙!$B$11:$B$310)),IF(364&lt;=COUNTA(半紙!$B$11:$B$310)+COUNTA(条幅!$B$11:$B$310)+COUNTA(条幅4分の1!$B$11:$B$310),INDEX(条幅4分の1!$B$11:$B$310,364-COUNTA(半紙!$B$11:$B$310)-COUNTA(条幅!$B$11:$B$310)),"")))=0,"",IF(364&lt;=COUNTA(半紙!$B$11:$B$310),INDEX(半紙!$B$11:$B$310,364),IF(364&lt;=COUNTA(半紙!$B$11:$B$310)+COUNTA(条幅!$B$11:$B$310),INDEX(条幅!$B$11:$B$310,364-COUNTA(半紙!$B$11:$B$310)),IF(364&lt;=COUNTA(半紙!$B$11:$B$310)+COUNTA(条幅!$B$11:$B$310)+COUNTA(条幅4分の1!$B$11:$B$310),INDEX(条幅4分の1!$B$11:$B$310,364-COUNTA(半紙!$B$11:$B$310)-COUNTA(条幅!$B$11:$B$310)),""))))</f>
        <v/>
      </c>
      <c r="C369" s="38" t="str">
        <f>IF(IF(364&lt;=COUNTA(半紙!$B$11:$B$310),INDEX(半紙!$C$11:$C$310,364),IF(364&lt;=COUNTA(半紙!$B$11:$B$310)+COUNTA(条幅!$B$11:$B$310),INDEX(条幅!$C$11:$C$310,364-COUNTA(半紙!$B$11:$B$310)),IF(364&lt;=COUNTA(半紙!$B$11:$B$310)+COUNTA(条幅!$B$11:$B$310)+COUNTA(条幅4分の1!$B$11:$B$310),INDEX(条幅4分の1!$C$11:$C$310,364-COUNTA(半紙!$B$11:$B$310)-COUNTA(条幅!$B$11:$B$310)),"")))=0,"",IF(364&lt;=COUNTA(半紙!$B$11:$B$310),INDEX(半紙!$C$11:$C$310,364),IF(364&lt;=COUNTA(半紙!$B$11:$B$310)+COUNTA(条幅!$B$11:$B$310),INDEX(条幅!$C$11:$C$310,364-COUNTA(半紙!$B$11:$B$310)),IF(364&lt;=COUNTA(半紙!$B$11:$B$310)+COUNTA(条幅!$B$11:$B$310)+COUNTA(条幅4分の1!$B$11:$B$310),INDEX(条幅4分の1!$C$11:$C$310,364-COUNTA(半紙!$B$11:$B$310)-COUNTA(条幅!$B$11:$B$310)),""))))</f>
        <v/>
      </c>
      <c r="D369" s="38" t="str">
        <f>IF(IF(364&lt;=COUNTA(半紙!$B$11:$B$310),INDEX(半紙!$D$11:$D$310,364),IF(364&lt;=COUNTA(半紙!$B$11:$B$310)+COUNTA(条幅!$B$11:$B$310),INDEX(条幅!$D$11:$D$310,364-COUNTA(半紙!$B$11:$B$310)),IF(364&lt;=COUNTA(半紙!$B$11:$B$310)+COUNTA(条幅!$B$11:$B$310)+COUNTA(条幅4分の1!$B$11:$B$310),INDEX(条幅4分の1!$D$11:$D$310,364-COUNTA(半紙!$B$11:$B$310)-COUNTA(条幅!$B$11:$B$310)),"")))=0,"",IF(364&lt;=COUNTA(半紙!$B$11:$B$310),INDEX(半紙!$D$11:$D$310,364),IF(364&lt;=COUNTA(半紙!$B$11:$B$310)+COUNTA(条幅!$B$11:$B$310),INDEX(条幅!$D$11:$D$310,364-COUNTA(半紙!$B$11:$B$310)),IF(364&lt;=COUNTA(半紙!$B$11:$B$310)+COUNTA(条幅!$B$11:$B$310)+COUNTA(条幅4分の1!$B$11:$B$310),INDEX(条幅4分の1!$D$11:$D$310,364-COUNTA(半紙!$B$11:$B$310)-COUNTA(条幅!$B$11:$B$310)),""))))</f>
        <v/>
      </c>
      <c r="E369" s="38" t="str">
        <f>IF(IF(364&lt;=COUNTA(半紙!$B$11:$B$310),INDEX(半紙!$E$11:$E$310,364),IF(364&lt;=COUNTA(半紙!$B$11:$B$310)+COUNTA(条幅!$B$11:$B$310),INDEX(条幅!$E$11:$E$310,364-COUNTA(半紙!$B$11:$B$310)),IF(364&lt;=COUNTA(半紙!$B$11:$B$310)+COUNTA(条幅!$B$11:$B$310)+COUNTA(条幅4分の1!$B$11:$B$310),INDEX(条幅4分の1!$E$11:$E$310,364-COUNTA(半紙!$B$11:$B$310)-COUNTA(条幅!$B$11:$B$310)),"")))=0,"",IF(364&lt;=COUNTA(半紙!$B$11:$B$310),INDEX(半紙!$E$11:$E$310,364),IF(364&lt;=COUNTA(半紙!$B$11:$B$310)+COUNTA(条幅!$B$11:$B$310),INDEX(条幅!$E$11:$E$310,364-COUNTA(半紙!$B$11:$B$310)),IF(364&lt;=COUNTA(半紙!$B$11:$B$310)+COUNTA(条幅!$B$11:$B$310)+COUNTA(条幅4分の1!$B$11:$B$310),INDEX(条幅4分の1!$E$11:$E$310,364-COUNTA(半紙!$B$11:$B$310)-COUNTA(条幅!$B$11:$B$310)),""))))</f>
        <v/>
      </c>
      <c r="F369" s="38" t="str">
        <f>IF(IF(364&lt;=COUNTA(半紙!$B$11:$B$310),INDEX(半紙!$F$11:$F$310,364),IF(364&lt;=COUNTA(半紙!$B$11:$B$310)+COUNTA(条幅!$B$11:$B$310),INDEX(条幅!$F$11:$F$310,364-COUNTA(半紙!$B$11:$B$310)),IF(364&lt;=COUNTA(半紙!$B$11:$B$310)+COUNTA(条幅!$B$11:$B$310)+COUNTA(条幅4分の1!$B$11:$B$310),INDEX(条幅4分の1!$F$11:$F$310,364-COUNTA(半紙!$B$11:$B$310)-COUNTA(条幅!$B$11:$B$310)),"")))=0,"",IF(364&lt;=COUNTA(半紙!$B$11:$B$310),INDEX(半紙!$F$11:$F$310,364),IF(364&lt;=COUNTA(半紙!$B$11:$B$310)+COUNTA(条幅!$B$11:$B$310),INDEX(条幅!$F$11:$F$310,364-COUNTA(半紙!$B$11:$B$310)),IF(364&lt;=COUNTA(半紙!$B$11:$B$310)+COUNTA(条幅!$B$11:$B$310)+COUNTA(条幅4分の1!$B$11:$B$310),INDEX(条幅4分の1!$F$11:$F$310,364-COUNTA(半紙!$B$11:$B$310)-COUNTA(条幅!$B$11:$B$310)),""))))</f>
        <v/>
      </c>
      <c r="G369" s="38" t="str">
        <f>IF(IF(364&lt;=COUNTA(半紙!$B$11:$B$310),INDEX(半紙!$G$11:$G$310,364),IF(364&lt;=COUNTA(半紙!$B$11:$B$310)+COUNTA(条幅!$B$11:$B$310),INDEX(条幅!$G$11:$G$310,364-COUNTA(半紙!$B$11:$B$310)),IF(364&lt;=COUNTA(半紙!$B$11:$B$310)+COUNTA(条幅!$B$11:$B$310)+COUNTA(条幅4分の1!$B$11:$B$310),INDEX(条幅4分の1!$G$11:$G$310,364-COUNTA(半紙!$B$11:$B$310)-COUNTA(条幅!$B$11:$B$310)),"")))=0,"",IF(364&lt;=COUNTA(半紙!$B$11:$B$310),INDEX(半紙!$G$11:$G$310,364),IF(364&lt;=COUNTA(半紙!$B$11:$B$310)+COUNTA(条幅!$B$11:$B$310),INDEX(条幅!$G$11:$G$310,364-COUNTA(半紙!$B$11:$B$310)),IF(364&lt;=COUNTA(半紙!$B$11:$B$310)+COUNTA(条幅!$B$11:$B$310)+COUNTA(条幅4分の1!$B$11:$B$310),INDEX(条幅4分の1!$G$11:$G$310,364-COUNTA(半紙!$B$11:$B$310)-COUNTA(条幅!$B$11:$B$310)),""))))</f>
        <v/>
      </c>
      <c r="H369" s="38" t="str">
        <f>IF(IF(364&lt;=COUNTA(半紙!$B$11:$B$310),INDEX(半紙!$H$11:$H$310,364),IF(364&lt;=COUNTA(半紙!$B$11:$B$310)+COUNTA(条幅!$B$11:$B$310),INDEX(条幅!$H$11:$H$310,364-COUNTA(半紙!$B$11:$B$310)),IF(364&lt;=COUNTA(半紙!$B$11:$B$310)+COUNTA(条幅!$B$11:$B$310)+COUNTA(条幅4分の1!$B$11:$B$310),INDEX(条幅4分の1!$H$11:$H$310,364-COUNTA(半紙!$B$11:$B$310)-COUNTA(条幅!$B$11:$B$310)),"")))=0,"",IF(364&lt;=COUNTA(半紙!$B$11:$B$310),INDEX(半紙!$H$11:$H$310,364),IF(364&lt;=COUNTA(半紙!$B$11:$B$310)+COUNTA(条幅!$B$11:$B$310),INDEX(条幅!$H$11:$H$310,364-COUNTA(半紙!$B$11:$B$310)),IF(364&lt;=COUNTA(半紙!$B$11:$B$310)+COUNTA(条幅!$B$11:$B$310)+COUNTA(条幅4分の1!$B$11:$B$310),INDEX(条幅4分の1!$H$11:$H$310,364-COUNTA(半紙!$B$11:$B$310)-COUNTA(条幅!$B$11:$B$310)),""))))</f>
        <v/>
      </c>
      <c r="I369" s="38" t="str">
        <f>IF(IF(364&lt;=COUNTA(半紙!$B$11:$B$310),INDEX(半紙!$I$11:$I$310,364),IF(364&lt;=COUNTA(半紙!$B$11:$B$310)+COUNTA(条幅!$B$11:$B$310),INDEX(条幅!$I$11:$I$310,364-COUNTA(半紙!$B$11:$B$310)),IF(364&lt;=COUNTA(半紙!$B$11:$B$310)+COUNTA(条幅!$B$11:$B$310)+COUNTA(条幅4分の1!$B$11:$B$310),INDEX(条幅4分の1!$I$11:$I$310,364-COUNTA(半紙!$B$11:$B$310)-COUNTA(条幅!$B$11:$B$310)),"")))=0,"",IF(364&lt;=COUNTA(半紙!$B$11:$B$310),INDEX(半紙!$I$11:$I$310,364),IF(364&lt;=COUNTA(半紙!$B$11:$B$310)+COUNTA(条幅!$B$11:$B$310),INDEX(条幅!$I$11:$I$310,364-COUNTA(半紙!$B$11:$B$310)),IF(364&lt;=COUNTA(半紙!$B$11:$B$310)+COUNTA(条幅!$B$11:$B$310)+COUNTA(条幅4分の1!$B$11:$B$310),INDEX(条幅4分の1!$I$11:$I$310,364-COUNTA(半紙!$B$11:$B$310)-COUNTA(条幅!$B$11:$B$310)),""))))</f>
        <v/>
      </c>
      <c r="J369" s="38" t="str">
        <f>IF(IF(364&lt;=COUNTA(半紙!$B$11:$B$310),INDEX(半紙!$J$11:$J$310,364),IF(364&lt;=COUNTA(半紙!$B$11:$B$310)+COUNTA(条幅!$B$11:$B$310),INDEX(条幅!$J$11:$J$310,364-COUNTA(半紙!$B$11:$B$310)),IF(364&lt;=COUNTA(半紙!$B$11:$B$310)+COUNTA(条幅!$B$11:$B$310)+COUNTA(条幅4分の1!$B$11:$B$310),INDEX(条幅4分の1!$J$11:$J$310,364-COUNTA(半紙!$B$11:$B$310)-COUNTA(条幅!$B$11:$B$310)),"")))=0,"",IF(364&lt;=COUNTA(半紙!$B$11:$B$310),INDEX(半紙!$J$11:$J$310,364),IF(364&lt;=COUNTA(半紙!$B$11:$B$310)+COUNTA(条幅!$B$11:$B$310),INDEX(条幅!$J$11:$J$310,364-COUNTA(半紙!$B$11:$B$310)),IF(364&lt;=COUNTA(半紙!$B$11:$B$310)+COUNTA(条幅!$B$11:$B$310)+COUNTA(条幅4分の1!$B$11:$B$310),INDEX(条幅4分の1!$J$11:$J$310,364-COUNTA(半紙!$B$11:$B$310)-COUNTA(条幅!$B$11:$B$310)),""))))</f>
        <v/>
      </c>
      <c r="K369" s="38" t="str">
        <f>IF(IF(364&lt;=COUNTA(半紙!$B$11:$B$310),INDEX(半紙!$K$11:$K$310,364),IF(364&lt;=COUNTA(半紙!$B$11:$B$310)+COUNTA(条幅!$B$11:$B$310),INDEX(条幅!$K$11:$K$310,364-COUNTA(半紙!$B$11:$B$310)),IF(364&lt;=COUNTA(半紙!$B$11:$B$310)+COUNTA(条幅!$B$11:$B$310)+COUNTA(条幅4分の1!$B$11:$B$310),INDEX(条幅4分の1!$K$11:$K$310,364-COUNTA(半紙!$B$11:$B$310)-COUNTA(条幅!$B$11:$B$310)),"")))=0,"",IF(364&lt;=COUNTA(半紙!$B$11:$B$310),INDEX(半紙!$K$11:$K$310,364),IF(364&lt;=COUNTA(半紙!$B$11:$B$310)+COUNTA(条幅!$B$11:$B$310),INDEX(条幅!$K$11:$K$310,364-COUNTA(半紙!$B$11:$B$310)),IF(364&lt;=COUNTA(半紙!$B$11:$B$310)+COUNTA(条幅!$B$11:$B$310)+COUNTA(条幅4分の1!$B$11:$B$310),INDEX(条幅4分の1!$K$11:$K$310,364-COUNTA(半紙!$B$11:$B$310)-COUNTA(条幅!$B$11:$B$310)),""))))</f>
        <v/>
      </c>
      <c r="L369" s="48" t="str">
        <f>IF($B369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364))</f>
        <v/>
      </c>
    </row>
    <row r="370" spans="1:12" ht="15" customHeight="1">
      <c r="A370" s="37" t="str">
        <f>IF(365&lt;=COUNTA(半紙!$B$11:$B$310),"半紙",IF(365&lt;=COUNTA(半紙!$B$11:$B$310)+COUNTA(条幅!$B$11:$B$310),"条幅(半切)",IF(365&lt;=COUNTA(半紙!$B$11:$B$310)+COUNTA(条幅!$B$11:$B$310)+COUNTA(条幅4分の1!$B$11:$B$310),"条幅(1/4)","")))</f>
        <v/>
      </c>
      <c r="B370" s="38" t="str">
        <f>IF(IF(365&lt;=COUNTA(半紙!$B$11:$B$310),INDEX(半紙!$B$11:$B$310,365),IF(365&lt;=COUNTA(半紙!$B$11:$B$310)+COUNTA(条幅!$B$11:$B$310),INDEX(条幅!$B$11:$B$310,365-COUNTA(半紙!$B$11:$B$310)),IF(365&lt;=COUNTA(半紙!$B$11:$B$310)+COUNTA(条幅!$B$11:$B$310)+COUNTA(条幅4分の1!$B$11:$B$310),INDEX(条幅4分の1!$B$11:$B$310,365-COUNTA(半紙!$B$11:$B$310)-COUNTA(条幅!$B$11:$B$310)),"")))=0,"",IF(365&lt;=COUNTA(半紙!$B$11:$B$310),INDEX(半紙!$B$11:$B$310,365),IF(365&lt;=COUNTA(半紙!$B$11:$B$310)+COUNTA(条幅!$B$11:$B$310),INDEX(条幅!$B$11:$B$310,365-COUNTA(半紙!$B$11:$B$310)),IF(365&lt;=COUNTA(半紙!$B$11:$B$310)+COUNTA(条幅!$B$11:$B$310)+COUNTA(条幅4分の1!$B$11:$B$310),INDEX(条幅4分の1!$B$11:$B$310,365-COUNTA(半紙!$B$11:$B$310)-COUNTA(条幅!$B$11:$B$310)),""))))</f>
        <v/>
      </c>
      <c r="C370" s="38" t="str">
        <f>IF(IF(365&lt;=COUNTA(半紙!$B$11:$B$310),INDEX(半紙!$C$11:$C$310,365),IF(365&lt;=COUNTA(半紙!$B$11:$B$310)+COUNTA(条幅!$B$11:$B$310),INDEX(条幅!$C$11:$C$310,365-COUNTA(半紙!$B$11:$B$310)),IF(365&lt;=COUNTA(半紙!$B$11:$B$310)+COUNTA(条幅!$B$11:$B$310)+COUNTA(条幅4分の1!$B$11:$B$310),INDEX(条幅4分の1!$C$11:$C$310,365-COUNTA(半紙!$B$11:$B$310)-COUNTA(条幅!$B$11:$B$310)),"")))=0,"",IF(365&lt;=COUNTA(半紙!$B$11:$B$310),INDEX(半紙!$C$11:$C$310,365),IF(365&lt;=COUNTA(半紙!$B$11:$B$310)+COUNTA(条幅!$B$11:$B$310),INDEX(条幅!$C$11:$C$310,365-COUNTA(半紙!$B$11:$B$310)),IF(365&lt;=COUNTA(半紙!$B$11:$B$310)+COUNTA(条幅!$B$11:$B$310)+COUNTA(条幅4分の1!$B$11:$B$310),INDEX(条幅4分の1!$C$11:$C$310,365-COUNTA(半紙!$B$11:$B$310)-COUNTA(条幅!$B$11:$B$310)),""))))</f>
        <v/>
      </c>
      <c r="D370" s="38" t="str">
        <f>IF(IF(365&lt;=COUNTA(半紙!$B$11:$B$310),INDEX(半紙!$D$11:$D$310,365),IF(365&lt;=COUNTA(半紙!$B$11:$B$310)+COUNTA(条幅!$B$11:$B$310),INDEX(条幅!$D$11:$D$310,365-COUNTA(半紙!$B$11:$B$310)),IF(365&lt;=COUNTA(半紙!$B$11:$B$310)+COUNTA(条幅!$B$11:$B$310)+COUNTA(条幅4分の1!$B$11:$B$310),INDEX(条幅4分の1!$D$11:$D$310,365-COUNTA(半紙!$B$11:$B$310)-COUNTA(条幅!$B$11:$B$310)),"")))=0,"",IF(365&lt;=COUNTA(半紙!$B$11:$B$310),INDEX(半紙!$D$11:$D$310,365),IF(365&lt;=COUNTA(半紙!$B$11:$B$310)+COUNTA(条幅!$B$11:$B$310),INDEX(条幅!$D$11:$D$310,365-COUNTA(半紙!$B$11:$B$310)),IF(365&lt;=COUNTA(半紙!$B$11:$B$310)+COUNTA(条幅!$B$11:$B$310)+COUNTA(条幅4分の1!$B$11:$B$310),INDEX(条幅4分の1!$D$11:$D$310,365-COUNTA(半紙!$B$11:$B$310)-COUNTA(条幅!$B$11:$B$310)),""))))</f>
        <v/>
      </c>
      <c r="E370" s="38" t="str">
        <f>IF(IF(365&lt;=COUNTA(半紙!$B$11:$B$310),INDEX(半紙!$E$11:$E$310,365),IF(365&lt;=COUNTA(半紙!$B$11:$B$310)+COUNTA(条幅!$B$11:$B$310),INDEX(条幅!$E$11:$E$310,365-COUNTA(半紙!$B$11:$B$310)),IF(365&lt;=COUNTA(半紙!$B$11:$B$310)+COUNTA(条幅!$B$11:$B$310)+COUNTA(条幅4分の1!$B$11:$B$310),INDEX(条幅4分の1!$E$11:$E$310,365-COUNTA(半紙!$B$11:$B$310)-COUNTA(条幅!$B$11:$B$310)),"")))=0,"",IF(365&lt;=COUNTA(半紙!$B$11:$B$310),INDEX(半紙!$E$11:$E$310,365),IF(365&lt;=COUNTA(半紙!$B$11:$B$310)+COUNTA(条幅!$B$11:$B$310),INDEX(条幅!$E$11:$E$310,365-COUNTA(半紙!$B$11:$B$310)),IF(365&lt;=COUNTA(半紙!$B$11:$B$310)+COUNTA(条幅!$B$11:$B$310)+COUNTA(条幅4分の1!$B$11:$B$310),INDEX(条幅4分の1!$E$11:$E$310,365-COUNTA(半紙!$B$11:$B$310)-COUNTA(条幅!$B$11:$B$310)),""))))</f>
        <v/>
      </c>
      <c r="F370" s="38" t="str">
        <f>IF(IF(365&lt;=COUNTA(半紙!$B$11:$B$310),INDEX(半紙!$F$11:$F$310,365),IF(365&lt;=COUNTA(半紙!$B$11:$B$310)+COUNTA(条幅!$B$11:$B$310),INDEX(条幅!$F$11:$F$310,365-COUNTA(半紙!$B$11:$B$310)),IF(365&lt;=COUNTA(半紙!$B$11:$B$310)+COUNTA(条幅!$B$11:$B$310)+COUNTA(条幅4分の1!$B$11:$B$310),INDEX(条幅4分の1!$F$11:$F$310,365-COUNTA(半紙!$B$11:$B$310)-COUNTA(条幅!$B$11:$B$310)),"")))=0,"",IF(365&lt;=COUNTA(半紙!$B$11:$B$310),INDEX(半紙!$F$11:$F$310,365),IF(365&lt;=COUNTA(半紙!$B$11:$B$310)+COUNTA(条幅!$B$11:$B$310),INDEX(条幅!$F$11:$F$310,365-COUNTA(半紙!$B$11:$B$310)),IF(365&lt;=COUNTA(半紙!$B$11:$B$310)+COUNTA(条幅!$B$11:$B$310)+COUNTA(条幅4分の1!$B$11:$B$310),INDEX(条幅4分の1!$F$11:$F$310,365-COUNTA(半紙!$B$11:$B$310)-COUNTA(条幅!$B$11:$B$310)),""))))</f>
        <v/>
      </c>
      <c r="G370" s="38" t="str">
        <f>IF(IF(365&lt;=COUNTA(半紙!$B$11:$B$310),INDEX(半紙!$G$11:$G$310,365),IF(365&lt;=COUNTA(半紙!$B$11:$B$310)+COUNTA(条幅!$B$11:$B$310),INDEX(条幅!$G$11:$G$310,365-COUNTA(半紙!$B$11:$B$310)),IF(365&lt;=COUNTA(半紙!$B$11:$B$310)+COUNTA(条幅!$B$11:$B$310)+COUNTA(条幅4分の1!$B$11:$B$310),INDEX(条幅4分の1!$G$11:$G$310,365-COUNTA(半紙!$B$11:$B$310)-COUNTA(条幅!$B$11:$B$310)),"")))=0,"",IF(365&lt;=COUNTA(半紙!$B$11:$B$310),INDEX(半紙!$G$11:$G$310,365),IF(365&lt;=COUNTA(半紙!$B$11:$B$310)+COUNTA(条幅!$B$11:$B$310),INDEX(条幅!$G$11:$G$310,365-COUNTA(半紙!$B$11:$B$310)),IF(365&lt;=COUNTA(半紙!$B$11:$B$310)+COUNTA(条幅!$B$11:$B$310)+COUNTA(条幅4分の1!$B$11:$B$310),INDEX(条幅4分の1!$G$11:$G$310,365-COUNTA(半紙!$B$11:$B$310)-COUNTA(条幅!$B$11:$B$310)),""))))</f>
        <v/>
      </c>
      <c r="H370" s="38" t="str">
        <f>IF(IF(365&lt;=COUNTA(半紙!$B$11:$B$310),INDEX(半紙!$H$11:$H$310,365),IF(365&lt;=COUNTA(半紙!$B$11:$B$310)+COUNTA(条幅!$B$11:$B$310),INDEX(条幅!$H$11:$H$310,365-COUNTA(半紙!$B$11:$B$310)),IF(365&lt;=COUNTA(半紙!$B$11:$B$310)+COUNTA(条幅!$B$11:$B$310)+COUNTA(条幅4分の1!$B$11:$B$310),INDEX(条幅4分の1!$H$11:$H$310,365-COUNTA(半紙!$B$11:$B$310)-COUNTA(条幅!$B$11:$B$310)),"")))=0,"",IF(365&lt;=COUNTA(半紙!$B$11:$B$310),INDEX(半紙!$H$11:$H$310,365),IF(365&lt;=COUNTA(半紙!$B$11:$B$310)+COUNTA(条幅!$B$11:$B$310),INDEX(条幅!$H$11:$H$310,365-COUNTA(半紙!$B$11:$B$310)),IF(365&lt;=COUNTA(半紙!$B$11:$B$310)+COUNTA(条幅!$B$11:$B$310)+COUNTA(条幅4分の1!$B$11:$B$310),INDEX(条幅4分の1!$H$11:$H$310,365-COUNTA(半紙!$B$11:$B$310)-COUNTA(条幅!$B$11:$B$310)),""))))</f>
        <v/>
      </c>
      <c r="I370" s="38" t="str">
        <f>IF(IF(365&lt;=COUNTA(半紙!$B$11:$B$310),INDEX(半紙!$I$11:$I$310,365),IF(365&lt;=COUNTA(半紙!$B$11:$B$310)+COUNTA(条幅!$B$11:$B$310),INDEX(条幅!$I$11:$I$310,365-COUNTA(半紙!$B$11:$B$310)),IF(365&lt;=COUNTA(半紙!$B$11:$B$310)+COUNTA(条幅!$B$11:$B$310)+COUNTA(条幅4分の1!$B$11:$B$310),INDEX(条幅4分の1!$I$11:$I$310,365-COUNTA(半紙!$B$11:$B$310)-COUNTA(条幅!$B$11:$B$310)),"")))=0,"",IF(365&lt;=COUNTA(半紙!$B$11:$B$310),INDEX(半紙!$I$11:$I$310,365),IF(365&lt;=COUNTA(半紙!$B$11:$B$310)+COUNTA(条幅!$B$11:$B$310),INDEX(条幅!$I$11:$I$310,365-COUNTA(半紙!$B$11:$B$310)),IF(365&lt;=COUNTA(半紙!$B$11:$B$310)+COUNTA(条幅!$B$11:$B$310)+COUNTA(条幅4分の1!$B$11:$B$310),INDEX(条幅4分の1!$I$11:$I$310,365-COUNTA(半紙!$B$11:$B$310)-COUNTA(条幅!$B$11:$B$310)),""))))</f>
        <v/>
      </c>
      <c r="J370" s="38" t="str">
        <f>IF(IF(365&lt;=COUNTA(半紙!$B$11:$B$310),INDEX(半紙!$J$11:$J$310,365),IF(365&lt;=COUNTA(半紙!$B$11:$B$310)+COUNTA(条幅!$B$11:$B$310),INDEX(条幅!$J$11:$J$310,365-COUNTA(半紙!$B$11:$B$310)),IF(365&lt;=COUNTA(半紙!$B$11:$B$310)+COUNTA(条幅!$B$11:$B$310)+COUNTA(条幅4分の1!$B$11:$B$310),INDEX(条幅4分の1!$J$11:$J$310,365-COUNTA(半紙!$B$11:$B$310)-COUNTA(条幅!$B$11:$B$310)),"")))=0,"",IF(365&lt;=COUNTA(半紙!$B$11:$B$310),INDEX(半紙!$J$11:$J$310,365),IF(365&lt;=COUNTA(半紙!$B$11:$B$310)+COUNTA(条幅!$B$11:$B$310),INDEX(条幅!$J$11:$J$310,365-COUNTA(半紙!$B$11:$B$310)),IF(365&lt;=COUNTA(半紙!$B$11:$B$310)+COUNTA(条幅!$B$11:$B$310)+COUNTA(条幅4分の1!$B$11:$B$310),INDEX(条幅4分の1!$J$11:$J$310,365-COUNTA(半紙!$B$11:$B$310)-COUNTA(条幅!$B$11:$B$310)),""))))</f>
        <v/>
      </c>
      <c r="K370" s="38" t="str">
        <f>IF(IF(365&lt;=COUNTA(半紙!$B$11:$B$310),INDEX(半紙!$K$11:$K$310,365),IF(365&lt;=COUNTA(半紙!$B$11:$B$310)+COUNTA(条幅!$B$11:$B$310),INDEX(条幅!$K$11:$K$310,365-COUNTA(半紙!$B$11:$B$310)),IF(365&lt;=COUNTA(半紙!$B$11:$B$310)+COUNTA(条幅!$B$11:$B$310)+COUNTA(条幅4分の1!$B$11:$B$310),INDEX(条幅4分の1!$K$11:$K$310,365-COUNTA(半紙!$B$11:$B$310)-COUNTA(条幅!$B$11:$B$310)),"")))=0,"",IF(365&lt;=COUNTA(半紙!$B$11:$B$310),INDEX(半紙!$K$11:$K$310,365),IF(365&lt;=COUNTA(半紙!$B$11:$B$310)+COUNTA(条幅!$B$11:$B$310),INDEX(条幅!$K$11:$K$310,365-COUNTA(半紙!$B$11:$B$310)),IF(365&lt;=COUNTA(半紙!$B$11:$B$310)+COUNTA(条幅!$B$11:$B$310)+COUNTA(条幅4分の1!$B$11:$B$310),INDEX(条幅4分の1!$K$11:$K$310,365-COUNTA(半紙!$B$11:$B$310)-COUNTA(条幅!$B$11:$B$310)),""))))</f>
        <v/>
      </c>
      <c r="L370" s="48" t="str">
        <f>IF($B370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365))</f>
        <v/>
      </c>
    </row>
    <row r="371" spans="1:12" ht="15" customHeight="1">
      <c r="A371" s="37" t="str">
        <f>IF(366&lt;=COUNTA(半紙!$B$11:$B$310),"半紙",IF(366&lt;=COUNTA(半紙!$B$11:$B$310)+COUNTA(条幅!$B$11:$B$310),"条幅(半切)",IF(366&lt;=COUNTA(半紙!$B$11:$B$310)+COUNTA(条幅!$B$11:$B$310)+COUNTA(条幅4分の1!$B$11:$B$310),"条幅(1/4)","")))</f>
        <v/>
      </c>
      <c r="B371" s="38" t="str">
        <f>IF(IF(366&lt;=COUNTA(半紙!$B$11:$B$310),INDEX(半紙!$B$11:$B$310,366),IF(366&lt;=COUNTA(半紙!$B$11:$B$310)+COUNTA(条幅!$B$11:$B$310),INDEX(条幅!$B$11:$B$310,366-COUNTA(半紙!$B$11:$B$310)),IF(366&lt;=COUNTA(半紙!$B$11:$B$310)+COUNTA(条幅!$B$11:$B$310)+COUNTA(条幅4分の1!$B$11:$B$310),INDEX(条幅4分の1!$B$11:$B$310,366-COUNTA(半紙!$B$11:$B$310)-COUNTA(条幅!$B$11:$B$310)),"")))=0,"",IF(366&lt;=COUNTA(半紙!$B$11:$B$310),INDEX(半紙!$B$11:$B$310,366),IF(366&lt;=COUNTA(半紙!$B$11:$B$310)+COUNTA(条幅!$B$11:$B$310),INDEX(条幅!$B$11:$B$310,366-COUNTA(半紙!$B$11:$B$310)),IF(366&lt;=COUNTA(半紙!$B$11:$B$310)+COUNTA(条幅!$B$11:$B$310)+COUNTA(条幅4分の1!$B$11:$B$310),INDEX(条幅4分の1!$B$11:$B$310,366-COUNTA(半紙!$B$11:$B$310)-COUNTA(条幅!$B$11:$B$310)),""))))</f>
        <v/>
      </c>
      <c r="C371" s="38" t="str">
        <f>IF(IF(366&lt;=COUNTA(半紙!$B$11:$B$310),INDEX(半紙!$C$11:$C$310,366),IF(366&lt;=COUNTA(半紙!$B$11:$B$310)+COUNTA(条幅!$B$11:$B$310),INDEX(条幅!$C$11:$C$310,366-COUNTA(半紙!$B$11:$B$310)),IF(366&lt;=COUNTA(半紙!$B$11:$B$310)+COUNTA(条幅!$B$11:$B$310)+COUNTA(条幅4分の1!$B$11:$B$310),INDEX(条幅4分の1!$C$11:$C$310,366-COUNTA(半紙!$B$11:$B$310)-COUNTA(条幅!$B$11:$B$310)),"")))=0,"",IF(366&lt;=COUNTA(半紙!$B$11:$B$310),INDEX(半紙!$C$11:$C$310,366),IF(366&lt;=COUNTA(半紙!$B$11:$B$310)+COUNTA(条幅!$B$11:$B$310),INDEX(条幅!$C$11:$C$310,366-COUNTA(半紙!$B$11:$B$310)),IF(366&lt;=COUNTA(半紙!$B$11:$B$310)+COUNTA(条幅!$B$11:$B$310)+COUNTA(条幅4分の1!$B$11:$B$310),INDEX(条幅4分の1!$C$11:$C$310,366-COUNTA(半紙!$B$11:$B$310)-COUNTA(条幅!$B$11:$B$310)),""))))</f>
        <v/>
      </c>
      <c r="D371" s="38" t="str">
        <f>IF(IF(366&lt;=COUNTA(半紙!$B$11:$B$310),INDEX(半紙!$D$11:$D$310,366),IF(366&lt;=COUNTA(半紙!$B$11:$B$310)+COUNTA(条幅!$B$11:$B$310),INDEX(条幅!$D$11:$D$310,366-COUNTA(半紙!$B$11:$B$310)),IF(366&lt;=COUNTA(半紙!$B$11:$B$310)+COUNTA(条幅!$B$11:$B$310)+COUNTA(条幅4分の1!$B$11:$B$310),INDEX(条幅4分の1!$D$11:$D$310,366-COUNTA(半紙!$B$11:$B$310)-COUNTA(条幅!$B$11:$B$310)),"")))=0,"",IF(366&lt;=COUNTA(半紙!$B$11:$B$310),INDEX(半紙!$D$11:$D$310,366),IF(366&lt;=COUNTA(半紙!$B$11:$B$310)+COUNTA(条幅!$B$11:$B$310),INDEX(条幅!$D$11:$D$310,366-COUNTA(半紙!$B$11:$B$310)),IF(366&lt;=COUNTA(半紙!$B$11:$B$310)+COUNTA(条幅!$B$11:$B$310)+COUNTA(条幅4分の1!$B$11:$B$310),INDEX(条幅4分の1!$D$11:$D$310,366-COUNTA(半紙!$B$11:$B$310)-COUNTA(条幅!$B$11:$B$310)),""))))</f>
        <v/>
      </c>
      <c r="E371" s="38" t="str">
        <f>IF(IF(366&lt;=COUNTA(半紙!$B$11:$B$310),INDEX(半紙!$E$11:$E$310,366),IF(366&lt;=COUNTA(半紙!$B$11:$B$310)+COUNTA(条幅!$B$11:$B$310),INDEX(条幅!$E$11:$E$310,366-COUNTA(半紙!$B$11:$B$310)),IF(366&lt;=COUNTA(半紙!$B$11:$B$310)+COUNTA(条幅!$B$11:$B$310)+COUNTA(条幅4分の1!$B$11:$B$310),INDEX(条幅4分の1!$E$11:$E$310,366-COUNTA(半紙!$B$11:$B$310)-COUNTA(条幅!$B$11:$B$310)),"")))=0,"",IF(366&lt;=COUNTA(半紙!$B$11:$B$310),INDEX(半紙!$E$11:$E$310,366),IF(366&lt;=COUNTA(半紙!$B$11:$B$310)+COUNTA(条幅!$B$11:$B$310),INDEX(条幅!$E$11:$E$310,366-COUNTA(半紙!$B$11:$B$310)),IF(366&lt;=COUNTA(半紙!$B$11:$B$310)+COUNTA(条幅!$B$11:$B$310)+COUNTA(条幅4分の1!$B$11:$B$310),INDEX(条幅4分の1!$E$11:$E$310,366-COUNTA(半紙!$B$11:$B$310)-COUNTA(条幅!$B$11:$B$310)),""))))</f>
        <v/>
      </c>
      <c r="F371" s="38" t="str">
        <f>IF(IF(366&lt;=COUNTA(半紙!$B$11:$B$310),INDEX(半紙!$F$11:$F$310,366),IF(366&lt;=COUNTA(半紙!$B$11:$B$310)+COUNTA(条幅!$B$11:$B$310),INDEX(条幅!$F$11:$F$310,366-COUNTA(半紙!$B$11:$B$310)),IF(366&lt;=COUNTA(半紙!$B$11:$B$310)+COUNTA(条幅!$B$11:$B$310)+COUNTA(条幅4分の1!$B$11:$B$310),INDEX(条幅4分の1!$F$11:$F$310,366-COUNTA(半紙!$B$11:$B$310)-COUNTA(条幅!$B$11:$B$310)),"")))=0,"",IF(366&lt;=COUNTA(半紙!$B$11:$B$310),INDEX(半紙!$F$11:$F$310,366),IF(366&lt;=COUNTA(半紙!$B$11:$B$310)+COUNTA(条幅!$B$11:$B$310),INDEX(条幅!$F$11:$F$310,366-COUNTA(半紙!$B$11:$B$310)),IF(366&lt;=COUNTA(半紙!$B$11:$B$310)+COUNTA(条幅!$B$11:$B$310)+COUNTA(条幅4分の1!$B$11:$B$310),INDEX(条幅4分の1!$F$11:$F$310,366-COUNTA(半紙!$B$11:$B$310)-COUNTA(条幅!$B$11:$B$310)),""))))</f>
        <v/>
      </c>
      <c r="G371" s="38" t="str">
        <f>IF(IF(366&lt;=COUNTA(半紙!$B$11:$B$310),INDEX(半紙!$G$11:$G$310,366),IF(366&lt;=COUNTA(半紙!$B$11:$B$310)+COUNTA(条幅!$B$11:$B$310),INDEX(条幅!$G$11:$G$310,366-COUNTA(半紙!$B$11:$B$310)),IF(366&lt;=COUNTA(半紙!$B$11:$B$310)+COUNTA(条幅!$B$11:$B$310)+COUNTA(条幅4分の1!$B$11:$B$310),INDEX(条幅4分の1!$G$11:$G$310,366-COUNTA(半紙!$B$11:$B$310)-COUNTA(条幅!$B$11:$B$310)),"")))=0,"",IF(366&lt;=COUNTA(半紙!$B$11:$B$310),INDEX(半紙!$G$11:$G$310,366),IF(366&lt;=COUNTA(半紙!$B$11:$B$310)+COUNTA(条幅!$B$11:$B$310),INDEX(条幅!$G$11:$G$310,366-COUNTA(半紙!$B$11:$B$310)),IF(366&lt;=COUNTA(半紙!$B$11:$B$310)+COUNTA(条幅!$B$11:$B$310)+COUNTA(条幅4分の1!$B$11:$B$310),INDEX(条幅4分の1!$G$11:$G$310,366-COUNTA(半紙!$B$11:$B$310)-COUNTA(条幅!$B$11:$B$310)),""))))</f>
        <v/>
      </c>
      <c r="H371" s="38" t="str">
        <f>IF(IF(366&lt;=COUNTA(半紙!$B$11:$B$310),INDEX(半紙!$H$11:$H$310,366),IF(366&lt;=COUNTA(半紙!$B$11:$B$310)+COUNTA(条幅!$B$11:$B$310),INDEX(条幅!$H$11:$H$310,366-COUNTA(半紙!$B$11:$B$310)),IF(366&lt;=COUNTA(半紙!$B$11:$B$310)+COUNTA(条幅!$B$11:$B$310)+COUNTA(条幅4分の1!$B$11:$B$310),INDEX(条幅4分の1!$H$11:$H$310,366-COUNTA(半紙!$B$11:$B$310)-COUNTA(条幅!$B$11:$B$310)),"")))=0,"",IF(366&lt;=COUNTA(半紙!$B$11:$B$310),INDEX(半紙!$H$11:$H$310,366),IF(366&lt;=COUNTA(半紙!$B$11:$B$310)+COUNTA(条幅!$B$11:$B$310),INDEX(条幅!$H$11:$H$310,366-COUNTA(半紙!$B$11:$B$310)),IF(366&lt;=COUNTA(半紙!$B$11:$B$310)+COUNTA(条幅!$B$11:$B$310)+COUNTA(条幅4分の1!$B$11:$B$310),INDEX(条幅4分の1!$H$11:$H$310,366-COUNTA(半紙!$B$11:$B$310)-COUNTA(条幅!$B$11:$B$310)),""))))</f>
        <v/>
      </c>
      <c r="I371" s="38" t="str">
        <f>IF(IF(366&lt;=COUNTA(半紙!$B$11:$B$310),INDEX(半紙!$I$11:$I$310,366),IF(366&lt;=COUNTA(半紙!$B$11:$B$310)+COUNTA(条幅!$B$11:$B$310),INDEX(条幅!$I$11:$I$310,366-COUNTA(半紙!$B$11:$B$310)),IF(366&lt;=COUNTA(半紙!$B$11:$B$310)+COUNTA(条幅!$B$11:$B$310)+COUNTA(条幅4分の1!$B$11:$B$310),INDEX(条幅4分の1!$I$11:$I$310,366-COUNTA(半紙!$B$11:$B$310)-COUNTA(条幅!$B$11:$B$310)),"")))=0,"",IF(366&lt;=COUNTA(半紙!$B$11:$B$310),INDEX(半紙!$I$11:$I$310,366),IF(366&lt;=COUNTA(半紙!$B$11:$B$310)+COUNTA(条幅!$B$11:$B$310),INDEX(条幅!$I$11:$I$310,366-COUNTA(半紙!$B$11:$B$310)),IF(366&lt;=COUNTA(半紙!$B$11:$B$310)+COUNTA(条幅!$B$11:$B$310)+COUNTA(条幅4分の1!$B$11:$B$310),INDEX(条幅4分の1!$I$11:$I$310,366-COUNTA(半紙!$B$11:$B$310)-COUNTA(条幅!$B$11:$B$310)),""))))</f>
        <v/>
      </c>
      <c r="J371" s="38" t="str">
        <f>IF(IF(366&lt;=COUNTA(半紙!$B$11:$B$310),INDEX(半紙!$J$11:$J$310,366),IF(366&lt;=COUNTA(半紙!$B$11:$B$310)+COUNTA(条幅!$B$11:$B$310),INDEX(条幅!$J$11:$J$310,366-COUNTA(半紙!$B$11:$B$310)),IF(366&lt;=COUNTA(半紙!$B$11:$B$310)+COUNTA(条幅!$B$11:$B$310)+COUNTA(条幅4分の1!$B$11:$B$310),INDEX(条幅4分の1!$J$11:$J$310,366-COUNTA(半紙!$B$11:$B$310)-COUNTA(条幅!$B$11:$B$310)),"")))=0,"",IF(366&lt;=COUNTA(半紙!$B$11:$B$310),INDEX(半紙!$J$11:$J$310,366),IF(366&lt;=COUNTA(半紙!$B$11:$B$310)+COUNTA(条幅!$B$11:$B$310),INDEX(条幅!$J$11:$J$310,366-COUNTA(半紙!$B$11:$B$310)),IF(366&lt;=COUNTA(半紙!$B$11:$B$310)+COUNTA(条幅!$B$11:$B$310)+COUNTA(条幅4分の1!$B$11:$B$310),INDEX(条幅4分の1!$J$11:$J$310,366-COUNTA(半紙!$B$11:$B$310)-COUNTA(条幅!$B$11:$B$310)),""))))</f>
        <v/>
      </c>
      <c r="K371" s="38" t="str">
        <f>IF(IF(366&lt;=COUNTA(半紙!$B$11:$B$310),INDEX(半紙!$K$11:$K$310,366),IF(366&lt;=COUNTA(半紙!$B$11:$B$310)+COUNTA(条幅!$B$11:$B$310),INDEX(条幅!$K$11:$K$310,366-COUNTA(半紙!$B$11:$B$310)),IF(366&lt;=COUNTA(半紙!$B$11:$B$310)+COUNTA(条幅!$B$11:$B$310)+COUNTA(条幅4分の1!$B$11:$B$310),INDEX(条幅4分の1!$K$11:$K$310,366-COUNTA(半紙!$B$11:$B$310)-COUNTA(条幅!$B$11:$B$310)),"")))=0,"",IF(366&lt;=COUNTA(半紙!$B$11:$B$310),INDEX(半紙!$K$11:$K$310,366),IF(366&lt;=COUNTA(半紙!$B$11:$B$310)+COUNTA(条幅!$B$11:$B$310),INDEX(条幅!$K$11:$K$310,366-COUNTA(半紙!$B$11:$B$310)),IF(366&lt;=COUNTA(半紙!$B$11:$B$310)+COUNTA(条幅!$B$11:$B$310)+COUNTA(条幅4分の1!$B$11:$B$310),INDEX(条幅4分の1!$K$11:$K$310,366-COUNTA(半紙!$B$11:$B$310)-COUNTA(条幅!$B$11:$B$310)),""))))</f>
        <v/>
      </c>
      <c r="L371" s="48" t="str">
        <f>IF($B371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366))</f>
        <v/>
      </c>
    </row>
    <row r="372" spans="1:12" ht="15" customHeight="1">
      <c r="A372" s="37" t="str">
        <f>IF(367&lt;=COUNTA(半紙!$B$11:$B$310),"半紙",IF(367&lt;=COUNTA(半紙!$B$11:$B$310)+COUNTA(条幅!$B$11:$B$310),"条幅(半切)",IF(367&lt;=COUNTA(半紙!$B$11:$B$310)+COUNTA(条幅!$B$11:$B$310)+COUNTA(条幅4分の1!$B$11:$B$310),"条幅(1/4)","")))</f>
        <v/>
      </c>
      <c r="B372" s="38" t="str">
        <f>IF(IF(367&lt;=COUNTA(半紙!$B$11:$B$310),INDEX(半紙!$B$11:$B$310,367),IF(367&lt;=COUNTA(半紙!$B$11:$B$310)+COUNTA(条幅!$B$11:$B$310),INDEX(条幅!$B$11:$B$310,367-COUNTA(半紙!$B$11:$B$310)),IF(367&lt;=COUNTA(半紙!$B$11:$B$310)+COUNTA(条幅!$B$11:$B$310)+COUNTA(条幅4分の1!$B$11:$B$310),INDEX(条幅4分の1!$B$11:$B$310,367-COUNTA(半紙!$B$11:$B$310)-COUNTA(条幅!$B$11:$B$310)),"")))=0,"",IF(367&lt;=COUNTA(半紙!$B$11:$B$310),INDEX(半紙!$B$11:$B$310,367),IF(367&lt;=COUNTA(半紙!$B$11:$B$310)+COUNTA(条幅!$B$11:$B$310),INDEX(条幅!$B$11:$B$310,367-COUNTA(半紙!$B$11:$B$310)),IF(367&lt;=COUNTA(半紙!$B$11:$B$310)+COUNTA(条幅!$B$11:$B$310)+COUNTA(条幅4分の1!$B$11:$B$310),INDEX(条幅4分の1!$B$11:$B$310,367-COUNTA(半紙!$B$11:$B$310)-COUNTA(条幅!$B$11:$B$310)),""))))</f>
        <v/>
      </c>
      <c r="C372" s="38" t="str">
        <f>IF(IF(367&lt;=COUNTA(半紙!$B$11:$B$310),INDEX(半紙!$C$11:$C$310,367),IF(367&lt;=COUNTA(半紙!$B$11:$B$310)+COUNTA(条幅!$B$11:$B$310),INDEX(条幅!$C$11:$C$310,367-COUNTA(半紙!$B$11:$B$310)),IF(367&lt;=COUNTA(半紙!$B$11:$B$310)+COUNTA(条幅!$B$11:$B$310)+COUNTA(条幅4分の1!$B$11:$B$310),INDEX(条幅4分の1!$C$11:$C$310,367-COUNTA(半紙!$B$11:$B$310)-COUNTA(条幅!$B$11:$B$310)),"")))=0,"",IF(367&lt;=COUNTA(半紙!$B$11:$B$310),INDEX(半紙!$C$11:$C$310,367),IF(367&lt;=COUNTA(半紙!$B$11:$B$310)+COUNTA(条幅!$B$11:$B$310),INDEX(条幅!$C$11:$C$310,367-COUNTA(半紙!$B$11:$B$310)),IF(367&lt;=COUNTA(半紙!$B$11:$B$310)+COUNTA(条幅!$B$11:$B$310)+COUNTA(条幅4分の1!$B$11:$B$310),INDEX(条幅4分の1!$C$11:$C$310,367-COUNTA(半紙!$B$11:$B$310)-COUNTA(条幅!$B$11:$B$310)),""))))</f>
        <v/>
      </c>
      <c r="D372" s="38" t="str">
        <f>IF(IF(367&lt;=COUNTA(半紙!$B$11:$B$310),INDEX(半紙!$D$11:$D$310,367),IF(367&lt;=COUNTA(半紙!$B$11:$B$310)+COUNTA(条幅!$B$11:$B$310),INDEX(条幅!$D$11:$D$310,367-COUNTA(半紙!$B$11:$B$310)),IF(367&lt;=COUNTA(半紙!$B$11:$B$310)+COUNTA(条幅!$B$11:$B$310)+COUNTA(条幅4分の1!$B$11:$B$310),INDEX(条幅4分の1!$D$11:$D$310,367-COUNTA(半紙!$B$11:$B$310)-COUNTA(条幅!$B$11:$B$310)),"")))=0,"",IF(367&lt;=COUNTA(半紙!$B$11:$B$310),INDEX(半紙!$D$11:$D$310,367),IF(367&lt;=COUNTA(半紙!$B$11:$B$310)+COUNTA(条幅!$B$11:$B$310),INDEX(条幅!$D$11:$D$310,367-COUNTA(半紙!$B$11:$B$310)),IF(367&lt;=COUNTA(半紙!$B$11:$B$310)+COUNTA(条幅!$B$11:$B$310)+COUNTA(条幅4分の1!$B$11:$B$310),INDEX(条幅4分の1!$D$11:$D$310,367-COUNTA(半紙!$B$11:$B$310)-COUNTA(条幅!$B$11:$B$310)),""))))</f>
        <v/>
      </c>
      <c r="E372" s="38" t="str">
        <f>IF(IF(367&lt;=COUNTA(半紙!$B$11:$B$310),INDEX(半紙!$E$11:$E$310,367),IF(367&lt;=COUNTA(半紙!$B$11:$B$310)+COUNTA(条幅!$B$11:$B$310),INDEX(条幅!$E$11:$E$310,367-COUNTA(半紙!$B$11:$B$310)),IF(367&lt;=COUNTA(半紙!$B$11:$B$310)+COUNTA(条幅!$B$11:$B$310)+COUNTA(条幅4分の1!$B$11:$B$310),INDEX(条幅4分の1!$E$11:$E$310,367-COUNTA(半紙!$B$11:$B$310)-COUNTA(条幅!$B$11:$B$310)),"")))=0,"",IF(367&lt;=COUNTA(半紙!$B$11:$B$310),INDEX(半紙!$E$11:$E$310,367),IF(367&lt;=COUNTA(半紙!$B$11:$B$310)+COUNTA(条幅!$B$11:$B$310),INDEX(条幅!$E$11:$E$310,367-COUNTA(半紙!$B$11:$B$310)),IF(367&lt;=COUNTA(半紙!$B$11:$B$310)+COUNTA(条幅!$B$11:$B$310)+COUNTA(条幅4分の1!$B$11:$B$310),INDEX(条幅4分の1!$E$11:$E$310,367-COUNTA(半紙!$B$11:$B$310)-COUNTA(条幅!$B$11:$B$310)),""))))</f>
        <v/>
      </c>
      <c r="F372" s="38" t="str">
        <f>IF(IF(367&lt;=COUNTA(半紙!$B$11:$B$310),INDEX(半紙!$F$11:$F$310,367),IF(367&lt;=COUNTA(半紙!$B$11:$B$310)+COUNTA(条幅!$B$11:$B$310),INDEX(条幅!$F$11:$F$310,367-COUNTA(半紙!$B$11:$B$310)),IF(367&lt;=COUNTA(半紙!$B$11:$B$310)+COUNTA(条幅!$B$11:$B$310)+COUNTA(条幅4分の1!$B$11:$B$310),INDEX(条幅4分の1!$F$11:$F$310,367-COUNTA(半紙!$B$11:$B$310)-COUNTA(条幅!$B$11:$B$310)),"")))=0,"",IF(367&lt;=COUNTA(半紙!$B$11:$B$310),INDEX(半紙!$F$11:$F$310,367),IF(367&lt;=COUNTA(半紙!$B$11:$B$310)+COUNTA(条幅!$B$11:$B$310),INDEX(条幅!$F$11:$F$310,367-COUNTA(半紙!$B$11:$B$310)),IF(367&lt;=COUNTA(半紙!$B$11:$B$310)+COUNTA(条幅!$B$11:$B$310)+COUNTA(条幅4分の1!$B$11:$B$310),INDEX(条幅4分の1!$F$11:$F$310,367-COUNTA(半紙!$B$11:$B$310)-COUNTA(条幅!$B$11:$B$310)),""))))</f>
        <v/>
      </c>
      <c r="G372" s="38" t="str">
        <f>IF(IF(367&lt;=COUNTA(半紙!$B$11:$B$310),INDEX(半紙!$G$11:$G$310,367),IF(367&lt;=COUNTA(半紙!$B$11:$B$310)+COUNTA(条幅!$B$11:$B$310),INDEX(条幅!$G$11:$G$310,367-COUNTA(半紙!$B$11:$B$310)),IF(367&lt;=COUNTA(半紙!$B$11:$B$310)+COUNTA(条幅!$B$11:$B$310)+COUNTA(条幅4分の1!$B$11:$B$310),INDEX(条幅4分の1!$G$11:$G$310,367-COUNTA(半紙!$B$11:$B$310)-COUNTA(条幅!$B$11:$B$310)),"")))=0,"",IF(367&lt;=COUNTA(半紙!$B$11:$B$310),INDEX(半紙!$G$11:$G$310,367),IF(367&lt;=COUNTA(半紙!$B$11:$B$310)+COUNTA(条幅!$B$11:$B$310),INDEX(条幅!$G$11:$G$310,367-COUNTA(半紙!$B$11:$B$310)),IF(367&lt;=COUNTA(半紙!$B$11:$B$310)+COUNTA(条幅!$B$11:$B$310)+COUNTA(条幅4分の1!$B$11:$B$310),INDEX(条幅4分の1!$G$11:$G$310,367-COUNTA(半紙!$B$11:$B$310)-COUNTA(条幅!$B$11:$B$310)),""))))</f>
        <v/>
      </c>
      <c r="H372" s="38" t="str">
        <f>IF(IF(367&lt;=COUNTA(半紙!$B$11:$B$310),INDEX(半紙!$H$11:$H$310,367),IF(367&lt;=COUNTA(半紙!$B$11:$B$310)+COUNTA(条幅!$B$11:$B$310),INDEX(条幅!$H$11:$H$310,367-COUNTA(半紙!$B$11:$B$310)),IF(367&lt;=COUNTA(半紙!$B$11:$B$310)+COUNTA(条幅!$B$11:$B$310)+COUNTA(条幅4分の1!$B$11:$B$310),INDEX(条幅4分の1!$H$11:$H$310,367-COUNTA(半紙!$B$11:$B$310)-COUNTA(条幅!$B$11:$B$310)),"")))=0,"",IF(367&lt;=COUNTA(半紙!$B$11:$B$310),INDEX(半紙!$H$11:$H$310,367),IF(367&lt;=COUNTA(半紙!$B$11:$B$310)+COUNTA(条幅!$B$11:$B$310),INDEX(条幅!$H$11:$H$310,367-COUNTA(半紙!$B$11:$B$310)),IF(367&lt;=COUNTA(半紙!$B$11:$B$310)+COUNTA(条幅!$B$11:$B$310)+COUNTA(条幅4分の1!$B$11:$B$310),INDEX(条幅4分の1!$H$11:$H$310,367-COUNTA(半紙!$B$11:$B$310)-COUNTA(条幅!$B$11:$B$310)),""))))</f>
        <v/>
      </c>
      <c r="I372" s="38" t="str">
        <f>IF(IF(367&lt;=COUNTA(半紙!$B$11:$B$310),INDEX(半紙!$I$11:$I$310,367),IF(367&lt;=COUNTA(半紙!$B$11:$B$310)+COUNTA(条幅!$B$11:$B$310),INDEX(条幅!$I$11:$I$310,367-COUNTA(半紙!$B$11:$B$310)),IF(367&lt;=COUNTA(半紙!$B$11:$B$310)+COUNTA(条幅!$B$11:$B$310)+COUNTA(条幅4分の1!$B$11:$B$310),INDEX(条幅4分の1!$I$11:$I$310,367-COUNTA(半紙!$B$11:$B$310)-COUNTA(条幅!$B$11:$B$310)),"")))=0,"",IF(367&lt;=COUNTA(半紙!$B$11:$B$310),INDEX(半紙!$I$11:$I$310,367),IF(367&lt;=COUNTA(半紙!$B$11:$B$310)+COUNTA(条幅!$B$11:$B$310),INDEX(条幅!$I$11:$I$310,367-COUNTA(半紙!$B$11:$B$310)),IF(367&lt;=COUNTA(半紙!$B$11:$B$310)+COUNTA(条幅!$B$11:$B$310)+COUNTA(条幅4分の1!$B$11:$B$310),INDEX(条幅4分の1!$I$11:$I$310,367-COUNTA(半紙!$B$11:$B$310)-COUNTA(条幅!$B$11:$B$310)),""))))</f>
        <v/>
      </c>
      <c r="J372" s="38" t="str">
        <f>IF(IF(367&lt;=COUNTA(半紙!$B$11:$B$310),INDEX(半紙!$J$11:$J$310,367),IF(367&lt;=COUNTA(半紙!$B$11:$B$310)+COUNTA(条幅!$B$11:$B$310),INDEX(条幅!$J$11:$J$310,367-COUNTA(半紙!$B$11:$B$310)),IF(367&lt;=COUNTA(半紙!$B$11:$B$310)+COUNTA(条幅!$B$11:$B$310)+COUNTA(条幅4分の1!$B$11:$B$310),INDEX(条幅4分の1!$J$11:$J$310,367-COUNTA(半紙!$B$11:$B$310)-COUNTA(条幅!$B$11:$B$310)),"")))=0,"",IF(367&lt;=COUNTA(半紙!$B$11:$B$310),INDEX(半紙!$J$11:$J$310,367),IF(367&lt;=COUNTA(半紙!$B$11:$B$310)+COUNTA(条幅!$B$11:$B$310),INDEX(条幅!$J$11:$J$310,367-COUNTA(半紙!$B$11:$B$310)),IF(367&lt;=COUNTA(半紙!$B$11:$B$310)+COUNTA(条幅!$B$11:$B$310)+COUNTA(条幅4分の1!$B$11:$B$310),INDEX(条幅4分の1!$J$11:$J$310,367-COUNTA(半紙!$B$11:$B$310)-COUNTA(条幅!$B$11:$B$310)),""))))</f>
        <v/>
      </c>
      <c r="K372" s="38" t="str">
        <f>IF(IF(367&lt;=COUNTA(半紙!$B$11:$B$310),INDEX(半紙!$K$11:$K$310,367),IF(367&lt;=COUNTA(半紙!$B$11:$B$310)+COUNTA(条幅!$B$11:$B$310),INDEX(条幅!$K$11:$K$310,367-COUNTA(半紙!$B$11:$B$310)),IF(367&lt;=COUNTA(半紙!$B$11:$B$310)+COUNTA(条幅!$B$11:$B$310)+COUNTA(条幅4分の1!$B$11:$B$310),INDEX(条幅4分の1!$K$11:$K$310,367-COUNTA(半紙!$B$11:$B$310)-COUNTA(条幅!$B$11:$B$310)),"")))=0,"",IF(367&lt;=COUNTA(半紙!$B$11:$B$310),INDEX(半紙!$K$11:$K$310,367),IF(367&lt;=COUNTA(半紙!$B$11:$B$310)+COUNTA(条幅!$B$11:$B$310),INDEX(条幅!$K$11:$K$310,367-COUNTA(半紙!$B$11:$B$310)),IF(367&lt;=COUNTA(半紙!$B$11:$B$310)+COUNTA(条幅!$B$11:$B$310)+COUNTA(条幅4分の1!$B$11:$B$310),INDEX(条幅4分の1!$K$11:$K$310,367-COUNTA(半紙!$B$11:$B$310)-COUNTA(条幅!$B$11:$B$310)),""))))</f>
        <v/>
      </c>
      <c r="L372" s="48" t="str">
        <f>IF($B372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367))</f>
        <v/>
      </c>
    </row>
    <row r="373" spans="1:12" ht="15" customHeight="1">
      <c r="A373" s="37" t="str">
        <f>IF(368&lt;=COUNTA(半紙!$B$11:$B$310),"半紙",IF(368&lt;=COUNTA(半紙!$B$11:$B$310)+COUNTA(条幅!$B$11:$B$310),"条幅(半切)",IF(368&lt;=COUNTA(半紙!$B$11:$B$310)+COUNTA(条幅!$B$11:$B$310)+COUNTA(条幅4分の1!$B$11:$B$310),"条幅(1/4)","")))</f>
        <v/>
      </c>
      <c r="B373" s="38" t="str">
        <f>IF(IF(368&lt;=COUNTA(半紙!$B$11:$B$310),INDEX(半紙!$B$11:$B$310,368),IF(368&lt;=COUNTA(半紙!$B$11:$B$310)+COUNTA(条幅!$B$11:$B$310),INDEX(条幅!$B$11:$B$310,368-COUNTA(半紙!$B$11:$B$310)),IF(368&lt;=COUNTA(半紙!$B$11:$B$310)+COUNTA(条幅!$B$11:$B$310)+COUNTA(条幅4分の1!$B$11:$B$310),INDEX(条幅4分の1!$B$11:$B$310,368-COUNTA(半紙!$B$11:$B$310)-COUNTA(条幅!$B$11:$B$310)),"")))=0,"",IF(368&lt;=COUNTA(半紙!$B$11:$B$310),INDEX(半紙!$B$11:$B$310,368),IF(368&lt;=COUNTA(半紙!$B$11:$B$310)+COUNTA(条幅!$B$11:$B$310),INDEX(条幅!$B$11:$B$310,368-COUNTA(半紙!$B$11:$B$310)),IF(368&lt;=COUNTA(半紙!$B$11:$B$310)+COUNTA(条幅!$B$11:$B$310)+COUNTA(条幅4分の1!$B$11:$B$310),INDEX(条幅4分の1!$B$11:$B$310,368-COUNTA(半紙!$B$11:$B$310)-COUNTA(条幅!$B$11:$B$310)),""))))</f>
        <v/>
      </c>
      <c r="C373" s="38" t="str">
        <f>IF(IF(368&lt;=COUNTA(半紙!$B$11:$B$310),INDEX(半紙!$C$11:$C$310,368),IF(368&lt;=COUNTA(半紙!$B$11:$B$310)+COUNTA(条幅!$B$11:$B$310),INDEX(条幅!$C$11:$C$310,368-COUNTA(半紙!$B$11:$B$310)),IF(368&lt;=COUNTA(半紙!$B$11:$B$310)+COUNTA(条幅!$B$11:$B$310)+COUNTA(条幅4分の1!$B$11:$B$310),INDEX(条幅4分の1!$C$11:$C$310,368-COUNTA(半紙!$B$11:$B$310)-COUNTA(条幅!$B$11:$B$310)),"")))=0,"",IF(368&lt;=COUNTA(半紙!$B$11:$B$310),INDEX(半紙!$C$11:$C$310,368),IF(368&lt;=COUNTA(半紙!$B$11:$B$310)+COUNTA(条幅!$B$11:$B$310),INDEX(条幅!$C$11:$C$310,368-COUNTA(半紙!$B$11:$B$310)),IF(368&lt;=COUNTA(半紙!$B$11:$B$310)+COUNTA(条幅!$B$11:$B$310)+COUNTA(条幅4分の1!$B$11:$B$310),INDEX(条幅4分の1!$C$11:$C$310,368-COUNTA(半紙!$B$11:$B$310)-COUNTA(条幅!$B$11:$B$310)),""))))</f>
        <v/>
      </c>
      <c r="D373" s="38" t="str">
        <f>IF(IF(368&lt;=COUNTA(半紙!$B$11:$B$310),INDEX(半紙!$D$11:$D$310,368),IF(368&lt;=COUNTA(半紙!$B$11:$B$310)+COUNTA(条幅!$B$11:$B$310),INDEX(条幅!$D$11:$D$310,368-COUNTA(半紙!$B$11:$B$310)),IF(368&lt;=COUNTA(半紙!$B$11:$B$310)+COUNTA(条幅!$B$11:$B$310)+COUNTA(条幅4分の1!$B$11:$B$310),INDEX(条幅4分の1!$D$11:$D$310,368-COUNTA(半紙!$B$11:$B$310)-COUNTA(条幅!$B$11:$B$310)),"")))=0,"",IF(368&lt;=COUNTA(半紙!$B$11:$B$310),INDEX(半紙!$D$11:$D$310,368),IF(368&lt;=COUNTA(半紙!$B$11:$B$310)+COUNTA(条幅!$B$11:$B$310),INDEX(条幅!$D$11:$D$310,368-COUNTA(半紙!$B$11:$B$310)),IF(368&lt;=COUNTA(半紙!$B$11:$B$310)+COUNTA(条幅!$B$11:$B$310)+COUNTA(条幅4分の1!$B$11:$B$310),INDEX(条幅4分の1!$D$11:$D$310,368-COUNTA(半紙!$B$11:$B$310)-COUNTA(条幅!$B$11:$B$310)),""))))</f>
        <v/>
      </c>
      <c r="E373" s="38" t="str">
        <f>IF(IF(368&lt;=COUNTA(半紙!$B$11:$B$310),INDEX(半紙!$E$11:$E$310,368),IF(368&lt;=COUNTA(半紙!$B$11:$B$310)+COUNTA(条幅!$B$11:$B$310),INDEX(条幅!$E$11:$E$310,368-COUNTA(半紙!$B$11:$B$310)),IF(368&lt;=COUNTA(半紙!$B$11:$B$310)+COUNTA(条幅!$B$11:$B$310)+COUNTA(条幅4分の1!$B$11:$B$310),INDEX(条幅4分の1!$E$11:$E$310,368-COUNTA(半紙!$B$11:$B$310)-COUNTA(条幅!$B$11:$B$310)),"")))=0,"",IF(368&lt;=COUNTA(半紙!$B$11:$B$310),INDEX(半紙!$E$11:$E$310,368),IF(368&lt;=COUNTA(半紙!$B$11:$B$310)+COUNTA(条幅!$B$11:$B$310),INDEX(条幅!$E$11:$E$310,368-COUNTA(半紙!$B$11:$B$310)),IF(368&lt;=COUNTA(半紙!$B$11:$B$310)+COUNTA(条幅!$B$11:$B$310)+COUNTA(条幅4分の1!$B$11:$B$310),INDEX(条幅4分の1!$E$11:$E$310,368-COUNTA(半紙!$B$11:$B$310)-COUNTA(条幅!$B$11:$B$310)),""))))</f>
        <v/>
      </c>
      <c r="F373" s="38" t="str">
        <f>IF(IF(368&lt;=COUNTA(半紙!$B$11:$B$310),INDEX(半紙!$F$11:$F$310,368),IF(368&lt;=COUNTA(半紙!$B$11:$B$310)+COUNTA(条幅!$B$11:$B$310),INDEX(条幅!$F$11:$F$310,368-COUNTA(半紙!$B$11:$B$310)),IF(368&lt;=COUNTA(半紙!$B$11:$B$310)+COUNTA(条幅!$B$11:$B$310)+COUNTA(条幅4分の1!$B$11:$B$310),INDEX(条幅4分の1!$F$11:$F$310,368-COUNTA(半紙!$B$11:$B$310)-COUNTA(条幅!$B$11:$B$310)),"")))=0,"",IF(368&lt;=COUNTA(半紙!$B$11:$B$310),INDEX(半紙!$F$11:$F$310,368),IF(368&lt;=COUNTA(半紙!$B$11:$B$310)+COUNTA(条幅!$B$11:$B$310),INDEX(条幅!$F$11:$F$310,368-COUNTA(半紙!$B$11:$B$310)),IF(368&lt;=COUNTA(半紙!$B$11:$B$310)+COUNTA(条幅!$B$11:$B$310)+COUNTA(条幅4分の1!$B$11:$B$310),INDEX(条幅4分の1!$F$11:$F$310,368-COUNTA(半紙!$B$11:$B$310)-COUNTA(条幅!$B$11:$B$310)),""))))</f>
        <v/>
      </c>
      <c r="G373" s="38" t="str">
        <f>IF(IF(368&lt;=COUNTA(半紙!$B$11:$B$310),INDEX(半紙!$G$11:$G$310,368),IF(368&lt;=COUNTA(半紙!$B$11:$B$310)+COUNTA(条幅!$B$11:$B$310),INDEX(条幅!$G$11:$G$310,368-COUNTA(半紙!$B$11:$B$310)),IF(368&lt;=COUNTA(半紙!$B$11:$B$310)+COUNTA(条幅!$B$11:$B$310)+COUNTA(条幅4分の1!$B$11:$B$310),INDEX(条幅4分の1!$G$11:$G$310,368-COUNTA(半紙!$B$11:$B$310)-COUNTA(条幅!$B$11:$B$310)),"")))=0,"",IF(368&lt;=COUNTA(半紙!$B$11:$B$310),INDEX(半紙!$G$11:$G$310,368),IF(368&lt;=COUNTA(半紙!$B$11:$B$310)+COUNTA(条幅!$B$11:$B$310),INDEX(条幅!$G$11:$G$310,368-COUNTA(半紙!$B$11:$B$310)),IF(368&lt;=COUNTA(半紙!$B$11:$B$310)+COUNTA(条幅!$B$11:$B$310)+COUNTA(条幅4分の1!$B$11:$B$310),INDEX(条幅4分の1!$G$11:$G$310,368-COUNTA(半紙!$B$11:$B$310)-COUNTA(条幅!$B$11:$B$310)),""))))</f>
        <v/>
      </c>
      <c r="H373" s="38" t="str">
        <f>IF(IF(368&lt;=COUNTA(半紙!$B$11:$B$310),INDEX(半紙!$H$11:$H$310,368),IF(368&lt;=COUNTA(半紙!$B$11:$B$310)+COUNTA(条幅!$B$11:$B$310),INDEX(条幅!$H$11:$H$310,368-COUNTA(半紙!$B$11:$B$310)),IF(368&lt;=COUNTA(半紙!$B$11:$B$310)+COUNTA(条幅!$B$11:$B$310)+COUNTA(条幅4分の1!$B$11:$B$310),INDEX(条幅4分の1!$H$11:$H$310,368-COUNTA(半紙!$B$11:$B$310)-COUNTA(条幅!$B$11:$B$310)),"")))=0,"",IF(368&lt;=COUNTA(半紙!$B$11:$B$310),INDEX(半紙!$H$11:$H$310,368),IF(368&lt;=COUNTA(半紙!$B$11:$B$310)+COUNTA(条幅!$B$11:$B$310),INDEX(条幅!$H$11:$H$310,368-COUNTA(半紙!$B$11:$B$310)),IF(368&lt;=COUNTA(半紙!$B$11:$B$310)+COUNTA(条幅!$B$11:$B$310)+COUNTA(条幅4分の1!$B$11:$B$310),INDEX(条幅4分の1!$H$11:$H$310,368-COUNTA(半紙!$B$11:$B$310)-COUNTA(条幅!$B$11:$B$310)),""))))</f>
        <v/>
      </c>
      <c r="I373" s="38" t="str">
        <f>IF(IF(368&lt;=COUNTA(半紙!$B$11:$B$310),INDEX(半紙!$I$11:$I$310,368),IF(368&lt;=COUNTA(半紙!$B$11:$B$310)+COUNTA(条幅!$B$11:$B$310),INDEX(条幅!$I$11:$I$310,368-COUNTA(半紙!$B$11:$B$310)),IF(368&lt;=COUNTA(半紙!$B$11:$B$310)+COUNTA(条幅!$B$11:$B$310)+COUNTA(条幅4分の1!$B$11:$B$310),INDEX(条幅4分の1!$I$11:$I$310,368-COUNTA(半紙!$B$11:$B$310)-COUNTA(条幅!$B$11:$B$310)),"")))=0,"",IF(368&lt;=COUNTA(半紙!$B$11:$B$310),INDEX(半紙!$I$11:$I$310,368),IF(368&lt;=COUNTA(半紙!$B$11:$B$310)+COUNTA(条幅!$B$11:$B$310),INDEX(条幅!$I$11:$I$310,368-COUNTA(半紙!$B$11:$B$310)),IF(368&lt;=COUNTA(半紙!$B$11:$B$310)+COUNTA(条幅!$B$11:$B$310)+COUNTA(条幅4分の1!$B$11:$B$310),INDEX(条幅4分の1!$I$11:$I$310,368-COUNTA(半紙!$B$11:$B$310)-COUNTA(条幅!$B$11:$B$310)),""))))</f>
        <v/>
      </c>
      <c r="J373" s="38" t="str">
        <f>IF(IF(368&lt;=COUNTA(半紙!$B$11:$B$310),INDEX(半紙!$J$11:$J$310,368),IF(368&lt;=COUNTA(半紙!$B$11:$B$310)+COUNTA(条幅!$B$11:$B$310),INDEX(条幅!$J$11:$J$310,368-COUNTA(半紙!$B$11:$B$310)),IF(368&lt;=COUNTA(半紙!$B$11:$B$310)+COUNTA(条幅!$B$11:$B$310)+COUNTA(条幅4分の1!$B$11:$B$310),INDEX(条幅4分の1!$J$11:$J$310,368-COUNTA(半紙!$B$11:$B$310)-COUNTA(条幅!$B$11:$B$310)),"")))=0,"",IF(368&lt;=COUNTA(半紙!$B$11:$B$310),INDEX(半紙!$J$11:$J$310,368),IF(368&lt;=COUNTA(半紙!$B$11:$B$310)+COUNTA(条幅!$B$11:$B$310),INDEX(条幅!$J$11:$J$310,368-COUNTA(半紙!$B$11:$B$310)),IF(368&lt;=COUNTA(半紙!$B$11:$B$310)+COUNTA(条幅!$B$11:$B$310)+COUNTA(条幅4分の1!$B$11:$B$310),INDEX(条幅4分の1!$J$11:$J$310,368-COUNTA(半紙!$B$11:$B$310)-COUNTA(条幅!$B$11:$B$310)),""))))</f>
        <v/>
      </c>
      <c r="K373" s="38" t="str">
        <f>IF(IF(368&lt;=COUNTA(半紙!$B$11:$B$310),INDEX(半紙!$K$11:$K$310,368),IF(368&lt;=COUNTA(半紙!$B$11:$B$310)+COUNTA(条幅!$B$11:$B$310),INDEX(条幅!$K$11:$K$310,368-COUNTA(半紙!$B$11:$B$310)),IF(368&lt;=COUNTA(半紙!$B$11:$B$310)+COUNTA(条幅!$B$11:$B$310)+COUNTA(条幅4分の1!$B$11:$B$310),INDEX(条幅4分の1!$K$11:$K$310,368-COUNTA(半紙!$B$11:$B$310)-COUNTA(条幅!$B$11:$B$310)),"")))=0,"",IF(368&lt;=COUNTA(半紙!$B$11:$B$310),INDEX(半紙!$K$11:$K$310,368),IF(368&lt;=COUNTA(半紙!$B$11:$B$310)+COUNTA(条幅!$B$11:$B$310),INDEX(条幅!$K$11:$K$310,368-COUNTA(半紙!$B$11:$B$310)),IF(368&lt;=COUNTA(半紙!$B$11:$B$310)+COUNTA(条幅!$B$11:$B$310)+COUNTA(条幅4分の1!$B$11:$B$310),INDEX(条幅4分の1!$K$11:$K$310,368-COUNTA(半紙!$B$11:$B$310)-COUNTA(条幅!$B$11:$B$310)),""))))</f>
        <v/>
      </c>
      <c r="L373" s="48" t="str">
        <f>IF($B373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368))</f>
        <v/>
      </c>
    </row>
    <row r="374" spans="1:12" ht="15" customHeight="1">
      <c r="A374" s="37" t="str">
        <f>IF(369&lt;=COUNTA(半紙!$B$11:$B$310),"半紙",IF(369&lt;=COUNTA(半紙!$B$11:$B$310)+COUNTA(条幅!$B$11:$B$310),"条幅(半切)",IF(369&lt;=COUNTA(半紙!$B$11:$B$310)+COUNTA(条幅!$B$11:$B$310)+COUNTA(条幅4分の1!$B$11:$B$310),"条幅(1/4)","")))</f>
        <v/>
      </c>
      <c r="B374" s="38" t="str">
        <f>IF(IF(369&lt;=COUNTA(半紙!$B$11:$B$310),INDEX(半紙!$B$11:$B$310,369),IF(369&lt;=COUNTA(半紙!$B$11:$B$310)+COUNTA(条幅!$B$11:$B$310),INDEX(条幅!$B$11:$B$310,369-COUNTA(半紙!$B$11:$B$310)),IF(369&lt;=COUNTA(半紙!$B$11:$B$310)+COUNTA(条幅!$B$11:$B$310)+COUNTA(条幅4分の1!$B$11:$B$310),INDEX(条幅4分の1!$B$11:$B$310,369-COUNTA(半紙!$B$11:$B$310)-COUNTA(条幅!$B$11:$B$310)),"")))=0,"",IF(369&lt;=COUNTA(半紙!$B$11:$B$310),INDEX(半紙!$B$11:$B$310,369),IF(369&lt;=COUNTA(半紙!$B$11:$B$310)+COUNTA(条幅!$B$11:$B$310),INDEX(条幅!$B$11:$B$310,369-COUNTA(半紙!$B$11:$B$310)),IF(369&lt;=COUNTA(半紙!$B$11:$B$310)+COUNTA(条幅!$B$11:$B$310)+COUNTA(条幅4分の1!$B$11:$B$310),INDEX(条幅4分の1!$B$11:$B$310,369-COUNTA(半紙!$B$11:$B$310)-COUNTA(条幅!$B$11:$B$310)),""))))</f>
        <v/>
      </c>
      <c r="C374" s="38" t="str">
        <f>IF(IF(369&lt;=COUNTA(半紙!$B$11:$B$310),INDEX(半紙!$C$11:$C$310,369),IF(369&lt;=COUNTA(半紙!$B$11:$B$310)+COUNTA(条幅!$B$11:$B$310),INDEX(条幅!$C$11:$C$310,369-COUNTA(半紙!$B$11:$B$310)),IF(369&lt;=COUNTA(半紙!$B$11:$B$310)+COUNTA(条幅!$B$11:$B$310)+COUNTA(条幅4分の1!$B$11:$B$310),INDEX(条幅4分の1!$C$11:$C$310,369-COUNTA(半紙!$B$11:$B$310)-COUNTA(条幅!$B$11:$B$310)),"")))=0,"",IF(369&lt;=COUNTA(半紙!$B$11:$B$310),INDEX(半紙!$C$11:$C$310,369),IF(369&lt;=COUNTA(半紙!$B$11:$B$310)+COUNTA(条幅!$B$11:$B$310),INDEX(条幅!$C$11:$C$310,369-COUNTA(半紙!$B$11:$B$310)),IF(369&lt;=COUNTA(半紙!$B$11:$B$310)+COUNTA(条幅!$B$11:$B$310)+COUNTA(条幅4分の1!$B$11:$B$310),INDEX(条幅4分の1!$C$11:$C$310,369-COUNTA(半紙!$B$11:$B$310)-COUNTA(条幅!$B$11:$B$310)),""))))</f>
        <v/>
      </c>
      <c r="D374" s="38" t="str">
        <f>IF(IF(369&lt;=COUNTA(半紙!$B$11:$B$310),INDEX(半紙!$D$11:$D$310,369),IF(369&lt;=COUNTA(半紙!$B$11:$B$310)+COUNTA(条幅!$B$11:$B$310),INDEX(条幅!$D$11:$D$310,369-COUNTA(半紙!$B$11:$B$310)),IF(369&lt;=COUNTA(半紙!$B$11:$B$310)+COUNTA(条幅!$B$11:$B$310)+COUNTA(条幅4分の1!$B$11:$B$310),INDEX(条幅4分の1!$D$11:$D$310,369-COUNTA(半紙!$B$11:$B$310)-COUNTA(条幅!$B$11:$B$310)),"")))=0,"",IF(369&lt;=COUNTA(半紙!$B$11:$B$310),INDEX(半紙!$D$11:$D$310,369),IF(369&lt;=COUNTA(半紙!$B$11:$B$310)+COUNTA(条幅!$B$11:$B$310),INDEX(条幅!$D$11:$D$310,369-COUNTA(半紙!$B$11:$B$310)),IF(369&lt;=COUNTA(半紙!$B$11:$B$310)+COUNTA(条幅!$B$11:$B$310)+COUNTA(条幅4分の1!$B$11:$B$310),INDEX(条幅4分の1!$D$11:$D$310,369-COUNTA(半紙!$B$11:$B$310)-COUNTA(条幅!$B$11:$B$310)),""))))</f>
        <v/>
      </c>
      <c r="E374" s="38" t="str">
        <f>IF(IF(369&lt;=COUNTA(半紙!$B$11:$B$310),INDEX(半紙!$E$11:$E$310,369),IF(369&lt;=COUNTA(半紙!$B$11:$B$310)+COUNTA(条幅!$B$11:$B$310),INDEX(条幅!$E$11:$E$310,369-COUNTA(半紙!$B$11:$B$310)),IF(369&lt;=COUNTA(半紙!$B$11:$B$310)+COUNTA(条幅!$B$11:$B$310)+COUNTA(条幅4分の1!$B$11:$B$310),INDEX(条幅4分の1!$E$11:$E$310,369-COUNTA(半紙!$B$11:$B$310)-COUNTA(条幅!$B$11:$B$310)),"")))=0,"",IF(369&lt;=COUNTA(半紙!$B$11:$B$310),INDEX(半紙!$E$11:$E$310,369),IF(369&lt;=COUNTA(半紙!$B$11:$B$310)+COUNTA(条幅!$B$11:$B$310),INDEX(条幅!$E$11:$E$310,369-COUNTA(半紙!$B$11:$B$310)),IF(369&lt;=COUNTA(半紙!$B$11:$B$310)+COUNTA(条幅!$B$11:$B$310)+COUNTA(条幅4分の1!$B$11:$B$310),INDEX(条幅4分の1!$E$11:$E$310,369-COUNTA(半紙!$B$11:$B$310)-COUNTA(条幅!$B$11:$B$310)),""))))</f>
        <v/>
      </c>
      <c r="F374" s="38" t="str">
        <f>IF(IF(369&lt;=COUNTA(半紙!$B$11:$B$310),INDEX(半紙!$F$11:$F$310,369),IF(369&lt;=COUNTA(半紙!$B$11:$B$310)+COUNTA(条幅!$B$11:$B$310),INDEX(条幅!$F$11:$F$310,369-COUNTA(半紙!$B$11:$B$310)),IF(369&lt;=COUNTA(半紙!$B$11:$B$310)+COUNTA(条幅!$B$11:$B$310)+COUNTA(条幅4分の1!$B$11:$B$310),INDEX(条幅4分の1!$F$11:$F$310,369-COUNTA(半紙!$B$11:$B$310)-COUNTA(条幅!$B$11:$B$310)),"")))=0,"",IF(369&lt;=COUNTA(半紙!$B$11:$B$310),INDEX(半紙!$F$11:$F$310,369),IF(369&lt;=COUNTA(半紙!$B$11:$B$310)+COUNTA(条幅!$B$11:$B$310),INDEX(条幅!$F$11:$F$310,369-COUNTA(半紙!$B$11:$B$310)),IF(369&lt;=COUNTA(半紙!$B$11:$B$310)+COUNTA(条幅!$B$11:$B$310)+COUNTA(条幅4分の1!$B$11:$B$310),INDEX(条幅4分の1!$F$11:$F$310,369-COUNTA(半紙!$B$11:$B$310)-COUNTA(条幅!$B$11:$B$310)),""))))</f>
        <v/>
      </c>
      <c r="G374" s="38" t="str">
        <f>IF(IF(369&lt;=COUNTA(半紙!$B$11:$B$310),INDEX(半紙!$G$11:$G$310,369),IF(369&lt;=COUNTA(半紙!$B$11:$B$310)+COUNTA(条幅!$B$11:$B$310),INDEX(条幅!$G$11:$G$310,369-COUNTA(半紙!$B$11:$B$310)),IF(369&lt;=COUNTA(半紙!$B$11:$B$310)+COUNTA(条幅!$B$11:$B$310)+COUNTA(条幅4分の1!$B$11:$B$310),INDEX(条幅4分の1!$G$11:$G$310,369-COUNTA(半紙!$B$11:$B$310)-COUNTA(条幅!$B$11:$B$310)),"")))=0,"",IF(369&lt;=COUNTA(半紙!$B$11:$B$310),INDEX(半紙!$G$11:$G$310,369),IF(369&lt;=COUNTA(半紙!$B$11:$B$310)+COUNTA(条幅!$B$11:$B$310),INDEX(条幅!$G$11:$G$310,369-COUNTA(半紙!$B$11:$B$310)),IF(369&lt;=COUNTA(半紙!$B$11:$B$310)+COUNTA(条幅!$B$11:$B$310)+COUNTA(条幅4分の1!$B$11:$B$310),INDEX(条幅4分の1!$G$11:$G$310,369-COUNTA(半紙!$B$11:$B$310)-COUNTA(条幅!$B$11:$B$310)),""))))</f>
        <v/>
      </c>
      <c r="H374" s="38" t="str">
        <f>IF(IF(369&lt;=COUNTA(半紙!$B$11:$B$310),INDEX(半紙!$H$11:$H$310,369),IF(369&lt;=COUNTA(半紙!$B$11:$B$310)+COUNTA(条幅!$B$11:$B$310),INDEX(条幅!$H$11:$H$310,369-COUNTA(半紙!$B$11:$B$310)),IF(369&lt;=COUNTA(半紙!$B$11:$B$310)+COUNTA(条幅!$B$11:$B$310)+COUNTA(条幅4分の1!$B$11:$B$310),INDEX(条幅4分の1!$H$11:$H$310,369-COUNTA(半紙!$B$11:$B$310)-COUNTA(条幅!$B$11:$B$310)),"")))=0,"",IF(369&lt;=COUNTA(半紙!$B$11:$B$310),INDEX(半紙!$H$11:$H$310,369),IF(369&lt;=COUNTA(半紙!$B$11:$B$310)+COUNTA(条幅!$B$11:$B$310),INDEX(条幅!$H$11:$H$310,369-COUNTA(半紙!$B$11:$B$310)),IF(369&lt;=COUNTA(半紙!$B$11:$B$310)+COUNTA(条幅!$B$11:$B$310)+COUNTA(条幅4分の1!$B$11:$B$310),INDEX(条幅4分の1!$H$11:$H$310,369-COUNTA(半紙!$B$11:$B$310)-COUNTA(条幅!$B$11:$B$310)),""))))</f>
        <v/>
      </c>
      <c r="I374" s="38" t="str">
        <f>IF(IF(369&lt;=COUNTA(半紙!$B$11:$B$310),INDEX(半紙!$I$11:$I$310,369),IF(369&lt;=COUNTA(半紙!$B$11:$B$310)+COUNTA(条幅!$B$11:$B$310),INDEX(条幅!$I$11:$I$310,369-COUNTA(半紙!$B$11:$B$310)),IF(369&lt;=COUNTA(半紙!$B$11:$B$310)+COUNTA(条幅!$B$11:$B$310)+COUNTA(条幅4分の1!$B$11:$B$310),INDEX(条幅4分の1!$I$11:$I$310,369-COUNTA(半紙!$B$11:$B$310)-COUNTA(条幅!$B$11:$B$310)),"")))=0,"",IF(369&lt;=COUNTA(半紙!$B$11:$B$310),INDEX(半紙!$I$11:$I$310,369),IF(369&lt;=COUNTA(半紙!$B$11:$B$310)+COUNTA(条幅!$B$11:$B$310),INDEX(条幅!$I$11:$I$310,369-COUNTA(半紙!$B$11:$B$310)),IF(369&lt;=COUNTA(半紙!$B$11:$B$310)+COUNTA(条幅!$B$11:$B$310)+COUNTA(条幅4分の1!$B$11:$B$310),INDEX(条幅4分の1!$I$11:$I$310,369-COUNTA(半紙!$B$11:$B$310)-COUNTA(条幅!$B$11:$B$310)),""))))</f>
        <v/>
      </c>
      <c r="J374" s="38" t="str">
        <f>IF(IF(369&lt;=COUNTA(半紙!$B$11:$B$310),INDEX(半紙!$J$11:$J$310,369),IF(369&lt;=COUNTA(半紙!$B$11:$B$310)+COUNTA(条幅!$B$11:$B$310),INDEX(条幅!$J$11:$J$310,369-COUNTA(半紙!$B$11:$B$310)),IF(369&lt;=COUNTA(半紙!$B$11:$B$310)+COUNTA(条幅!$B$11:$B$310)+COUNTA(条幅4分の1!$B$11:$B$310),INDEX(条幅4分の1!$J$11:$J$310,369-COUNTA(半紙!$B$11:$B$310)-COUNTA(条幅!$B$11:$B$310)),"")))=0,"",IF(369&lt;=COUNTA(半紙!$B$11:$B$310),INDEX(半紙!$J$11:$J$310,369),IF(369&lt;=COUNTA(半紙!$B$11:$B$310)+COUNTA(条幅!$B$11:$B$310),INDEX(条幅!$J$11:$J$310,369-COUNTA(半紙!$B$11:$B$310)),IF(369&lt;=COUNTA(半紙!$B$11:$B$310)+COUNTA(条幅!$B$11:$B$310)+COUNTA(条幅4分の1!$B$11:$B$310),INDEX(条幅4分の1!$J$11:$J$310,369-COUNTA(半紙!$B$11:$B$310)-COUNTA(条幅!$B$11:$B$310)),""))))</f>
        <v/>
      </c>
      <c r="K374" s="38" t="str">
        <f>IF(IF(369&lt;=COUNTA(半紙!$B$11:$B$310),INDEX(半紙!$K$11:$K$310,369),IF(369&lt;=COUNTA(半紙!$B$11:$B$310)+COUNTA(条幅!$B$11:$B$310),INDEX(条幅!$K$11:$K$310,369-COUNTA(半紙!$B$11:$B$310)),IF(369&lt;=COUNTA(半紙!$B$11:$B$310)+COUNTA(条幅!$B$11:$B$310)+COUNTA(条幅4分の1!$B$11:$B$310),INDEX(条幅4分の1!$K$11:$K$310,369-COUNTA(半紙!$B$11:$B$310)-COUNTA(条幅!$B$11:$B$310)),"")))=0,"",IF(369&lt;=COUNTA(半紙!$B$11:$B$310),INDEX(半紙!$K$11:$K$310,369),IF(369&lt;=COUNTA(半紙!$B$11:$B$310)+COUNTA(条幅!$B$11:$B$310),INDEX(条幅!$K$11:$K$310,369-COUNTA(半紙!$B$11:$B$310)),IF(369&lt;=COUNTA(半紙!$B$11:$B$310)+COUNTA(条幅!$B$11:$B$310)+COUNTA(条幅4分の1!$B$11:$B$310),INDEX(条幅4分の1!$K$11:$K$310,369-COUNTA(半紙!$B$11:$B$310)-COUNTA(条幅!$B$11:$B$310)),""))))</f>
        <v/>
      </c>
      <c r="L374" s="48" t="str">
        <f>IF($B374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369))</f>
        <v/>
      </c>
    </row>
    <row r="375" spans="1:12" ht="15" customHeight="1">
      <c r="A375" s="37" t="str">
        <f>IF(370&lt;=COUNTA(半紙!$B$11:$B$310),"半紙",IF(370&lt;=COUNTA(半紙!$B$11:$B$310)+COUNTA(条幅!$B$11:$B$310),"条幅(半切)",IF(370&lt;=COUNTA(半紙!$B$11:$B$310)+COUNTA(条幅!$B$11:$B$310)+COUNTA(条幅4分の1!$B$11:$B$310),"条幅(1/4)","")))</f>
        <v/>
      </c>
      <c r="B375" s="38" t="str">
        <f>IF(IF(370&lt;=COUNTA(半紙!$B$11:$B$310),INDEX(半紙!$B$11:$B$310,370),IF(370&lt;=COUNTA(半紙!$B$11:$B$310)+COUNTA(条幅!$B$11:$B$310),INDEX(条幅!$B$11:$B$310,370-COUNTA(半紙!$B$11:$B$310)),IF(370&lt;=COUNTA(半紙!$B$11:$B$310)+COUNTA(条幅!$B$11:$B$310)+COUNTA(条幅4分の1!$B$11:$B$310),INDEX(条幅4分の1!$B$11:$B$310,370-COUNTA(半紙!$B$11:$B$310)-COUNTA(条幅!$B$11:$B$310)),"")))=0,"",IF(370&lt;=COUNTA(半紙!$B$11:$B$310),INDEX(半紙!$B$11:$B$310,370),IF(370&lt;=COUNTA(半紙!$B$11:$B$310)+COUNTA(条幅!$B$11:$B$310),INDEX(条幅!$B$11:$B$310,370-COUNTA(半紙!$B$11:$B$310)),IF(370&lt;=COUNTA(半紙!$B$11:$B$310)+COUNTA(条幅!$B$11:$B$310)+COUNTA(条幅4分の1!$B$11:$B$310),INDEX(条幅4分の1!$B$11:$B$310,370-COUNTA(半紙!$B$11:$B$310)-COUNTA(条幅!$B$11:$B$310)),""))))</f>
        <v/>
      </c>
      <c r="C375" s="38" t="str">
        <f>IF(IF(370&lt;=COUNTA(半紙!$B$11:$B$310),INDEX(半紙!$C$11:$C$310,370),IF(370&lt;=COUNTA(半紙!$B$11:$B$310)+COUNTA(条幅!$B$11:$B$310),INDEX(条幅!$C$11:$C$310,370-COUNTA(半紙!$B$11:$B$310)),IF(370&lt;=COUNTA(半紙!$B$11:$B$310)+COUNTA(条幅!$B$11:$B$310)+COUNTA(条幅4分の1!$B$11:$B$310),INDEX(条幅4分の1!$C$11:$C$310,370-COUNTA(半紙!$B$11:$B$310)-COUNTA(条幅!$B$11:$B$310)),"")))=0,"",IF(370&lt;=COUNTA(半紙!$B$11:$B$310),INDEX(半紙!$C$11:$C$310,370),IF(370&lt;=COUNTA(半紙!$B$11:$B$310)+COUNTA(条幅!$B$11:$B$310),INDEX(条幅!$C$11:$C$310,370-COUNTA(半紙!$B$11:$B$310)),IF(370&lt;=COUNTA(半紙!$B$11:$B$310)+COUNTA(条幅!$B$11:$B$310)+COUNTA(条幅4分の1!$B$11:$B$310),INDEX(条幅4分の1!$C$11:$C$310,370-COUNTA(半紙!$B$11:$B$310)-COUNTA(条幅!$B$11:$B$310)),""))))</f>
        <v/>
      </c>
      <c r="D375" s="38" t="str">
        <f>IF(IF(370&lt;=COUNTA(半紙!$B$11:$B$310),INDEX(半紙!$D$11:$D$310,370),IF(370&lt;=COUNTA(半紙!$B$11:$B$310)+COUNTA(条幅!$B$11:$B$310),INDEX(条幅!$D$11:$D$310,370-COUNTA(半紙!$B$11:$B$310)),IF(370&lt;=COUNTA(半紙!$B$11:$B$310)+COUNTA(条幅!$B$11:$B$310)+COUNTA(条幅4分の1!$B$11:$B$310),INDEX(条幅4分の1!$D$11:$D$310,370-COUNTA(半紙!$B$11:$B$310)-COUNTA(条幅!$B$11:$B$310)),"")))=0,"",IF(370&lt;=COUNTA(半紙!$B$11:$B$310),INDEX(半紙!$D$11:$D$310,370),IF(370&lt;=COUNTA(半紙!$B$11:$B$310)+COUNTA(条幅!$B$11:$B$310),INDEX(条幅!$D$11:$D$310,370-COUNTA(半紙!$B$11:$B$310)),IF(370&lt;=COUNTA(半紙!$B$11:$B$310)+COUNTA(条幅!$B$11:$B$310)+COUNTA(条幅4分の1!$B$11:$B$310),INDEX(条幅4分の1!$D$11:$D$310,370-COUNTA(半紙!$B$11:$B$310)-COUNTA(条幅!$B$11:$B$310)),""))))</f>
        <v/>
      </c>
      <c r="E375" s="38" t="str">
        <f>IF(IF(370&lt;=COUNTA(半紙!$B$11:$B$310),INDEX(半紙!$E$11:$E$310,370),IF(370&lt;=COUNTA(半紙!$B$11:$B$310)+COUNTA(条幅!$B$11:$B$310),INDEX(条幅!$E$11:$E$310,370-COUNTA(半紙!$B$11:$B$310)),IF(370&lt;=COUNTA(半紙!$B$11:$B$310)+COUNTA(条幅!$B$11:$B$310)+COUNTA(条幅4分の1!$B$11:$B$310),INDEX(条幅4分の1!$E$11:$E$310,370-COUNTA(半紙!$B$11:$B$310)-COUNTA(条幅!$B$11:$B$310)),"")))=0,"",IF(370&lt;=COUNTA(半紙!$B$11:$B$310),INDEX(半紙!$E$11:$E$310,370),IF(370&lt;=COUNTA(半紙!$B$11:$B$310)+COUNTA(条幅!$B$11:$B$310),INDEX(条幅!$E$11:$E$310,370-COUNTA(半紙!$B$11:$B$310)),IF(370&lt;=COUNTA(半紙!$B$11:$B$310)+COUNTA(条幅!$B$11:$B$310)+COUNTA(条幅4分の1!$B$11:$B$310),INDEX(条幅4分の1!$E$11:$E$310,370-COUNTA(半紙!$B$11:$B$310)-COUNTA(条幅!$B$11:$B$310)),""))))</f>
        <v/>
      </c>
      <c r="F375" s="38" t="str">
        <f>IF(IF(370&lt;=COUNTA(半紙!$B$11:$B$310),INDEX(半紙!$F$11:$F$310,370),IF(370&lt;=COUNTA(半紙!$B$11:$B$310)+COUNTA(条幅!$B$11:$B$310),INDEX(条幅!$F$11:$F$310,370-COUNTA(半紙!$B$11:$B$310)),IF(370&lt;=COUNTA(半紙!$B$11:$B$310)+COUNTA(条幅!$B$11:$B$310)+COUNTA(条幅4分の1!$B$11:$B$310),INDEX(条幅4分の1!$F$11:$F$310,370-COUNTA(半紙!$B$11:$B$310)-COUNTA(条幅!$B$11:$B$310)),"")))=0,"",IF(370&lt;=COUNTA(半紙!$B$11:$B$310),INDEX(半紙!$F$11:$F$310,370),IF(370&lt;=COUNTA(半紙!$B$11:$B$310)+COUNTA(条幅!$B$11:$B$310),INDEX(条幅!$F$11:$F$310,370-COUNTA(半紙!$B$11:$B$310)),IF(370&lt;=COUNTA(半紙!$B$11:$B$310)+COUNTA(条幅!$B$11:$B$310)+COUNTA(条幅4分の1!$B$11:$B$310),INDEX(条幅4分の1!$F$11:$F$310,370-COUNTA(半紙!$B$11:$B$310)-COUNTA(条幅!$B$11:$B$310)),""))))</f>
        <v/>
      </c>
      <c r="G375" s="38" t="str">
        <f>IF(IF(370&lt;=COUNTA(半紙!$B$11:$B$310),INDEX(半紙!$G$11:$G$310,370),IF(370&lt;=COUNTA(半紙!$B$11:$B$310)+COUNTA(条幅!$B$11:$B$310),INDEX(条幅!$G$11:$G$310,370-COUNTA(半紙!$B$11:$B$310)),IF(370&lt;=COUNTA(半紙!$B$11:$B$310)+COUNTA(条幅!$B$11:$B$310)+COUNTA(条幅4分の1!$B$11:$B$310),INDEX(条幅4分の1!$G$11:$G$310,370-COUNTA(半紙!$B$11:$B$310)-COUNTA(条幅!$B$11:$B$310)),"")))=0,"",IF(370&lt;=COUNTA(半紙!$B$11:$B$310),INDEX(半紙!$G$11:$G$310,370),IF(370&lt;=COUNTA(半紙!$B$11:$B$310)+COUNTA(条幅!$B$11:$B$310),INDEX(条幅!$G$11:$G$310,370-COUNTA(半紙!$B$11:$B$310)),IF(370&lt;=COUNTA(半紙!$B$11:$B$310)+COUNTA(条幅!$B$11:$B$310)+COUNTA(条幅4分の1!$B$11:$B$310),INDEX(条幅4分の1!$G$11:$G$310,370-COUNTA(半紙!$B$11:$B$310)-COUNTA(条幅!$B$11:$B$310)),""))))</f>
        <v/>
      </c>
      <c r="H375" s="38" t="str">
        <f>IF(IF(370&lt;=COUNTA(半紙!$B$11:$B$310),INDEX(半紙!$H$11:$H$310,370),IF(370&lt;=COUNTA(半紙!$B$11:$B$310)+COUNTA(条幅!$B$11:$B$310),INDEX(条幅!$H$11:$H$310,370-COUNTA(半紙!$B$11:$B$310)),IF(370&lt;=COUNTA(半紙!$B$11:$B$310)+COUNTA(条幅!$B$11:$B$310)+COUNTA(条幅4分の1!$B$11:$B$310),INDEX(条幅4分の1!$H$11:$H$310,370-COUNTA(半紙!$B$11:$B$310)-COUNTA(条幅!$B$11:$B$310)),"")))=0,"",IF(370&lt;=COUNTA(半紙!$B$11:$B$310),INDEX(半紙!$H$11:$H$310,370),IF(370&lt;=COUNTA(半紙!$B$11:$B$310)+COUNTA(条幅!$B$11:$B$310),INDEX(条幅!$H$11:$H$310,370-COUNTA(半紙!$B$11:$B$310)),IF(370&lt;=COUNTA(半紙!$B$11:$B$310)+COUNTA(条幅!$B$11:$B$310)+COUNTA(条幅4分の1!$B$11:$B$310),INDEX(条幅4分の1!$H$11:$H$310,370-COUNTA(半紙!$B$11:$B$310)-COUNTA(条幅!$B$11:$B$310)),""))))</f>
        <v/>
      </c>
      <c r="I375" s="38" t="str">
        <f>IF(IF(370&lt;=COUNTA(半紙!$B$11:$B$310),INDEX(半紙!$I$11:$I$310,370),IF(370&lt;=COUNTA(半紙!$B$11:$B$310)+COUNTA(条幅!$B$11:$B$310),INDEX(条幅!$I$11:$I$310,370-COUNTA(半紙!$B$11:$B$310)),IF(370&lt;=COUNTA(半紙!$B$11:$B$310)+COUNTA(条幅!$B$11:$B$310)+COUNTA(条幅4分の1!$B$11:$B$310),INDEX(条幅4分の1!$I$11:$I$310,370-COUNTA(半紙!$B$11:$B$310)-COUNTA(条幅!$B$11:$B$310)),"")))=0,"",IF(370&lt;=COUNTA(半紙!$B$11:$B$310),INDEX(半紙!$I$11:$I$310,370),IF(370&lt;=COUNTA(半紙!$B$11:$B$310)+COUNTA(条幅!$B$11:$B$310),INDEX(条幅!$I$11:$I$310,370-COUNTA(半紙!$B$11:$B$310)),IF(370&lt;=COUNTA(半紙!$B$11:$B$310)+COUNTA(条幅!$B$11:$B$310)+COUNTA(条幅4分の1!$B$11:$B$310),INDEX(条幅4分の1!$I$11:$I$310,370-COUNTA(半紙!$B$11:$B$310)-COUNTA(条幅!$B$11:$B$310)),""))))</f>
        <v/>
      </c>
      <c r="J375" s="38" t="str">
        <f>IF(IF(370&lt;=COUNTA(半紙!$B$11:$B$310),INDEX(半紙!$J$11:$J$310,370),IF(370&lt;=COUNTA(半紙!$B$11:$B$310)+COUNTA(条幅!$B$11:$B$310),INDEX(条幅!$J$11:$J$310,370-COUNTA(半紙!$B$11:$B$310)),IF(370&lt;=COUNTA(半紙!$B$11:$B$310)+COUNTA(条幅!$B$11:$B$310)+COUNTA(条幅4分の1!$B$11:$B$310),INDEX(条幅4分の1!$J$11:$J$310,370-COUNTA(半紙!$B$11:$B$310)-COUNTA(条幅!$B$11:$B$310)),"")))=0,"",IF(370&lt;=COUNTA(半紙!$B$11:$B$310),INDEX(半紙!$J$11:$J$310,370),IF(370&lt;=COUNTA(半紙!$B$11:$B$310)+COUNTA(条幅!$B$11:$B$310),INDEX(条幅!$J$11:$J$310,370-COUNTA(半紙!$B$11:$B$310)),IF(370&lt;=COUNTA(半紙!$B$11:$B$310)+COUNTA(条幅!$B$11:$B$310)+COUNTA(条幅4分の1!$B$11:$B$310),INDEX(条幅4分の1!$J$11:$J$310,370-COUNTA(半紙!$B$11:$B$310)-COUNTA(条幅!$B$11:$B$310)),""))))</f>
        <v/>
      </c>
      <c r="K375" s="38" t="str">
        <f>IF(IF(370&lt;=COUNTA(半紙!$B$11:$B$310),INDEX(半紙!$K$11:$K$310,370),IF(370&lt;=COUNTA(半紙!$B$11:$B$310)+COUNTA(条幅!$B$11:$B$310),INDEX(条幅!$K$11:$K$310,370-COUNTA(半紙!$B$11:$B$310)),IF(370&lt;=COUNTA(半紙!$B$11:$B$310)+COUNTA(条幅!$B$11:$B$310)+COUNTA(条幅4分の1!$B$11:$B$310),INDEX(条幅4分の1!$K$11:$K$310,370-COUNTA(半紙!$B$11:$B$310)-COUNTA(条幅!$B$11:$B$310)),"")))=0,"",IF(370&lt;=COUNTA(半紙!$B$11:$B$310),INDEX(半紙!$K$11:$K$310,370),IF(370&lt;=COUNTA(半紙!$B$11:$B$310)+COUNTA(条幅!$B$11:$B$310),INDEX(条幅!$K$11:$K$310,370-COUNTA(半紙!$B$11:$B$310)),IF(370&lt;=COUNTA(半紙!$B$11:$B$310)+COUNTA(条幅!$B$11:$B$310)+COUNTA(条幅4分の1!$B$11:$B$310),INDEX(条幅4分の1!$K$11:$K$310,370-COUNTA(半紙!$B$11:$B$310)-COUNTA(条幅!$B$11:$B$310)),""))))</f>
        <v/>
      </c>
      <c r="L375" s="48" t="str">
        <f>IF($B375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370))</f>
        <v/>
      </c>
    </row>
    <row r="376" spans="1:12" ht="15" customHeight="1">
      <c r="A376" s="37" t="str">
        <f>IF(371&lt;=COUNTA(半紙!$B$11:$B$310),"半紙",IF(371&lt;=COUNTA(半紙!$B$11:$B$310)+COUNTA(条幅!$B$11:$B$310),"条幅(半切)",IF(371&lt;=COUNTA(半紙!$B$11:$B$310)+COUNTA(条幅!$B$11:$B$310)+COUNTA(条幅4分の1!$B$11:$B$310),"条幅(1/4)","")))</f>
        <v/>
      </c>
      <c r="B376" s="38" t="str">
        <f>IF(IF(371&lt;=COUNTA(半紙!$B$11:$B$310),INDEX(半紙!$B$11:$B$310,371),IF(371&lt;=COUNTA(半紙!$B$11:$B$310)+COUNTA(条幅!$B$11:$B$310),INDEX(条幅!$B$11:$B$310,371-COUNTA(半紙!$B$11:$B$310)),IF(371&lt;=COUNTA(半紙!$B$11:$B$310)+COUNTA(条幅!$B$11:$B$310)+COUNTA(条幅4分の1!$B$11:$B$310),INDEX(条幅4分の1!$B$11:$B$310,371-COUNTA(半紙!$B$11:$B$310)-COUNTA(条幅!$B$11:$B$310)),"")))=0,"",IF(371&lt;=COUNTA(半紙!$B$11:$B$310),INDEX(半紙!$B$11:$B$310,371),IF(371&lt;=COUNTA(半紙!$B$11:$B$310)+COUNTA(条幅!$B$11:$B$310),INDEX(条幅!$B$11:$B$310,371-COUNTA(半紙!$B$11:$B$310)),IF(371&lt;=COUNTA(半紙!$B$11:$B$310)+COUNTA(条幅!$B$11:$B$310)+COUNTA(条幅4分の1!$B$11:$B$310),INDEX(条幅4分の1!$B$11:$B$310,371-COUNTA(半紙!$B$11:$B$310)-COUNTA(条幅!$B$11:$B$310)),""))))</f>
        <v/>
      </c>
      <c r="C376" s="38" t="str">
        <f>IF(IF(371&lt;=COUNTA(半紙!$B$11:$B$310),INDEX(半紙!$C$11:$C$310,371),IF(371&lt;=COUNTA(半紙!$B$11:$B$310)+COUNTA(条幅!$B$11:$B$310),INDEX(条幅!$C$11:$C$310,371-COUNTA(半紙!$B$11:$B$310)),IF(371&lt;=COUNTA(半紙!$B$11:$B$310)+COUNTA(条幅!$B$11:$B$310)+COUNTA(条幅4分の1!$B$11:$B$310),INDEX(条幅4分の1!$C$11:$C$310,371-COUNTA(半紙!$B$11:$B$310)-COUNTA(条幅!$B$11:$B$310)),"")))=0,"",IF(371&lt;=COUNTA(半紙!$B$11:$B$310),INDEX(半紙!$C$11:$C$310,371),IF(371&lt;=COUNTA(半紙!$B$11:$B$310)+COUNTA(条幅!$B$11:$B$310),INDEX(条幅!$C$11:$C$310,371-COUNTA(半紙!$B$11:$B$310)),IF(371&lt;=COUNTA(半紙!$B$11:$B$310)+COUNTA(条幅!$B$11:$B$310)+COUNTA(条幅4分の1!$B$11:$B$310),INDEX(条幅4分の1!$C$11:$C$310,371-COUNTA(半紙!$B$11:$B$310)-COUNTA(条幅!$B$11:$B$310)),""))))</f>
        <v/>
      </c>
      <c r="D376" s="38" t="str">
        <f>IF(IF(371&lt;=COUNTA(半紙!$B$11:$B$310),INDEX(半紙!$D$11:$D$310,371),IF(371&lt;=COUNTA(半紙!$B$11:$B$310)+COUNTA(条幅!$B$11:$B$310),INDEX(条幅!$D$11:$D$310,371-COUNTA(半紙!$B$11:$B$310)),IF(371&lt;=COUNTA(半紙!$B$11:$B$310)+COUNTA(条幅!$B$11:$B$310)+COUNTA(条幅4分の1!$B$11:$B$310),INDEX(条幅4分の1!$D$11:$D$310,371-COUNTA(半紙!$B$11:$B$310)-COUNTA(条幅!$B$11:$B$310)),"")))=0,"",IF(371&lt;=COUNTA(半紙!$B$11:$B$310),INDEX(半紙!$D$11:$D$310,371),IF(371&lt;=COUNTA(半紙!$B$11:$B$310)+COUNTA(条幅!$B$11:$B$310),INDEX(条幅!$D$11:$D$310,371-COUNTA(半紙!$B$11:$B$310)),IF(371&lt;=COUNTA(半紙!$B$11:$B$310)+COUNTA(条幅!$B$11:$B$310)+COUNTA(条幅4分の1!$B$11:$B$310),INDEX(条幅4分の1!$D$11:$D$310,371-COUNTA(半紙!$B$11:$B$310)-COUNTA(条幅!$B$11:$B$310)),""))))</f>
        <v/>
      </c>
      <c r="E376" s="38" t="str">
        <f>IF(IF(371&lt;=COUNTA(半紙!$B$11:$B$310),INDEX(半紙!$E$11:$E$310,371),IF(371&lt;=COUNTA(半紙!$B$11:$B$310)+COUNTA(条幅!$B$11:$B$310),INDEX(条幅!$E$11:$E$310,371-COUNTA(半紙!$B$11:$B$310)),IF(371&lt;=COUNTA(半紙!$B$11:$B$310)+COUNTA(条幅!$B$11:$B$310)+COUNTA(条幅4分の1!$B$11:$B$310),INDEX(条幅4分の1!$E$11:$E$310,371-COUNTA(半紙!$B$11:$B$310)-COUNTA(条幅!$B$11:$B$310)),"")))=0,"",IF(371&lt;=COUNTA(半紙!$B$11:$B$310),INDEX(半紙!$E$11:$E$310,371),IF(371&lt;=COUNTA(半紙!$B$11:$B$310)+COUNTA(条幅!$B$11:$B$310),INDEX(条幅!$E$11:$E$310,371-COUNTA(半紙!$B$11:$B$310)),IF(371&lt;=COUNTA(半紙!$B$11:$B$310)+COUNTA(条幅!$B$11:$B$310)+COUNTA(条幅4分の1!$B$11:$B$310),INDEX(条幅4分の1!$E$11:$E$310,371-COUNTA(半紙!$B$11:$B$310)-COUNTA(条幅!$B$11:$B$310)),""))))</f>
        <v/>
      </c>
      <c r="F376" s="38" t="str">
        <f>IF(IF(371&lt;=COUNTA(半紙!$B$11:$B$310),INDEX(半紙!$F$11:$F$310,371),IF(371&lt;=COUNTA(半紙!$B$11:$B$310)+COUNTA(条幅!$B$11:$B$310),INDEX(条幅!$F$11:$F$310,371-COUNTA(半紙!$B$11:$B$310)),IF(371&lt;=COUNTA(半紙!$B$11:$B$310)+COUNTA(条幅!$B$11:$B$310)+COUNTA(条幅4分の1!$B$11:$B$310),INDEX(条幅4分の1!$F$11:$F$310,371-COUNTA(半紙!$B$11:$B$310)-COUNTA(条幅!$B$11:$B$310)),"")))=0,"",IF(371&lt;=COUNTA(半紙!$B$11:$B$310),INDEX(半紙!$F$11:$F$310,371),IF(371&lt;=COUNTA(半紙!$B$11:$B$310)+COUNTA(条幅!$B$11:$B$310),INDEX(条幅!$F$11:$F$310,371-COUNTA(半紙!$B$11:$B$310)),IF(371&lt;=COUNTA(半紙!$B$11:$B$310)+COUNTA(条幅!$B$11:$B$310)+COUNTA(条幅4分の1!$B$11:$B$310),INDEX(条幅4分の1!$F$11:$F$310,371-COUNTA(半紙!$B$11:$B$310)-COUNTA(条幅!$B$11:$B$310)),""))))</f>
        <v/>
      </c>
      <c r="G376" s="38" t="str">
        <f>IF(IF(371&lt;=COUNTA(半紙!$B$11:$B$310),INDEX(半紙!$G$11:$G$310,371),IF(371&lt;=COUNTA(半紙!$B$11:$B$310)+COUNTA(条幅!$B$11:$B$310),INDEX(条幅!$G$11:$G$310,371-COUNTA(半紙!$B$11:$B$310)),IF(371&lt;=COUNTA(半紙!$B$11:$B$310)+COUNTA(条幅!$B$11:$B$310)+COUNTA(条幅4分の1!$B$11:$B$310),INDEX(条幅4分の1!$G$11:$G$310,371-COUNTA(半紙!$B$11:$B$310)-COUNTA(条幅!$B$11:$B$310)),"")))=0,"",IF(371&lt;=COUNTA(半紙!$B$11:$B$310),INDEX(半紙!$G$11:$G$310,371),IF(371&lt;=COUNTA(半紙!$B$11:$B$310)+COUNTA(条幅!$B$11:$B$310),INDEX(条幅!$G$11:$G$310,371-COUNTA(半紙!$B$11:$B$310)),IF(371&lt;=COUNTA(半紙!$B$11:$B$310)+COUNTA(条幅!$B$11:$B$310)+COUNTA(条幅4分の1!$B$11:$B$310),INDEX(条幅4分の1!$G$11:$G$310,371-COUNTA(半紙!$B$11:$B$310)-COUNTA(条幅!$B$11:$B$310)),""))))</f>
        <v/>
      </c>
      <c r="H376" s="38" t="str">
        <f>IF(IF(371&lt;=COUNTA(半紙!$B$11:$B$310),INDEX(半紙!$H$11:$H$310,371),IF(371&lt;=COUNTA(半紙!$B$11:$B$310)+COUNTA(条幅!$B$11:$B$310),INDEX(条幅!$H$11:$H$310,371-COUNTA(半紙!$B$11:$B$310)),IF(371&lt;=COUNTA(半紙!$B$11:$B$310)+COUNTA(条幅!$B$11:$B$310)+COUNTA(条幅4分の1!$B$11:$B$310),INDEX(条幅4分の1!$H$11:$H$310,371-COUNTA(半紙!$B$11:$B$310)-COUNTA(条幅!$B$11:$B$310)),"")))=0,"",IF(371&lt;=COUNTA(半紙!$B$11:$B$310),INDEX(半紙!$H$11:$H$310,371),IF(371&lt;=COUNTA(半紙!$B$11:$B$310)+COUNTA(条幅!$B$11:$B$310),INDEX(条幅!$H$11:$H$310,371-COUNTA(半紙!$B$11:$B$310)),IF(371&lt;=COUNTA(半紙!$B$11:$B$310)+COUNTA(条幅!$B$11:$B$310)+COUNTA(条幅4分の1!$B$11:$B$310),INDEX(条幅4分の1!$H$11:$H$310,371-COUNTA(半紙!$B$11:$B$310)-COUNTA(条幅!$B$11:$B$310)),""))))</f>
        <v/>
      </c>
      <c r="I376" s="38" t="str">
        <f>IF(IF(371&lt;=COUNTA(半紙!$B$11:$B$310),INDEX(半紙!$I$11:$I$310,371),IF(371&lt;=COUNTA(半紙!$B$11:$B$310)+COUNTA(条幅!$B$11:$B$310),INDEX(条幅!$I$11:$I$310,371-COUNTA(半紙!$B$11:$B$310)),IF(371&lt;=COUNTA(半紙!$B$11:$B$310)+COUNTA(条幅!$B$11:$B$310)+COUNTA(条幅4分の1!$B$11:$B$310),INDEX(条幅4分の1!$I$11:$I$310,371-COUNTA(半紙!$B$11:$B$310)-COUNTA(条幅!$B$11:$B$310)),"")))=0,"",IF(371&lt;=COUNTA(半紙!$B$11:$B$310),INDEX(半紙!$I$11:$I$310,371),IF(371&lt;=COUNTA(半紙!$B$11:$B$310)+COUNTA(条幅!$B$11:$B$310),INDEX(条幅!$I$11:$I$310,371-COUNTA(半紙!$B$11:$B$310)),IF(371&lt;=COUNTA(半紙!$B$11:$B$310)+COUNTA(条幅!$B$11:$B$310)+COUNTA(条幅4分の1!$B$11:$B$310),INDEX(条幅4分の1!$I$11:$I$310,371-COUNTA(半紙!$B$11:$B$310)-COUNTA(条幅!$B$11:$B$310)),""))))</f>
        <v/>
      </c>
      <c r="J376" s="38" t="str">
        <f>IF(IF(371&lt;=COUNTA(半紙!$B$11:$B$310),INDEX(半紙!$J$11:$J$310,371),IF(371&lt;=COUNTA(半紙!$B$11:$B$310)+COUNTA(条幅!$B$11:$B$310),INDEX(条幅!$J$11:$J$310,371-COUNTA(半紙!$B$11:$B$310)),IF(371&lt;=COUNTA(半紙!$B$11:$B$310)+COUNTA(条幅!$B$11:$B$310)+COUNTA(条幅4分の1!$B$11:$B$310),INDEX(条幅4分の1!$J$11:$J$310,371-COUNTA(半紙!$B$11:$B$310)-COUNTA(条幅!$B$11:$B$310)),"")))=0,"",IF(371&lt;=COUNTA(半紙!$B$11:$B$310),INDEX(半紙!$J$11:$J$310,371),IF(371&lt;=COUNTA(半紙!$B$11:$B$310)+COUNTA(条幅!$B$11:$B$310),INDEX(条幅!$J$11:$J$310,371-COUNTA(半紙!$B$11:$B$310)),IF(371&lt;=COUNTA(半紙!$B$11:$B$310)+COUNTA(条幅!$B$11:$B$310)+COUNTA(条幅4分の1!$B$11:$B$310),INDEX(条幅4分の1!$J$11:$J$310,371-COUNTA(半紙!$B$11:$B$310)-COUNTA(条幅!$B$11:$B$310)),""))))</f>
        <v/>
      </c>
      <c r="K376" s="38" t="str">
        <f>IF(IF(371&lt;=COUNTA(半紙!$B$11:$B$310),INDEX(半紙!$K$11:$K$310,371),IF(371&lt;=COUNTA(半紙!$B$11:$B$310)+COUNTA(条幅!$B$11:$B$310),INDEX(条幅!$K$11:$K$310,371-COUNTA(半紙!$B$11:$B$310)),IF(371&lt;=COUNTA(半紙!$B$11:$B$310)+COUNTA(条幅!$B$11:$B$310)+COUNTA(条幅4分の1!$B$11:$B$310),INDEX(条幅4分の1!$K$11:$K$310,371-COUNTA(半紙!$B$11:$B$310)-COUNTA(条幅!$B$11:$B$310)),"")))=0,"",IF(371&lt;=COUNTA(半紙!$B$11:$B$310),INDEX(半紙!$K$11:$K$310,371),IF(371&lt;=COUNTA(半紙!$B$11:$B$310)+COUNTA(条幅!$B$11:$B$310),INDEX(条幅!$K$11:$K$310,371-COUNTA(半紙!$B$11:$B$310)),IF(371&lt;=COUNTA(半紙!$B$11:$B$310)+COUNTA(条幅!$B$11:$B$310)+COUNTA(条幅4分の1!$B$11:$B$310),INDEX(条幅4分の1!$K$11:$K$310,371-COUNTA(半紙!$B$11:$B$310)-COUNTA(条幅!$B$11:$B$310)),""))))</f>
        <v/>
      </c>
      <c r="L376" s="48" t="str">
        <f>IF($B376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371))</f>
        <v/>
      </c>
    </row>
    <row r="377" spans="1:12" ht="15" customHeight="1">
      <c r="A377" s="37" t="str">
        <f>IF(372&lt;=COUNTA(半紙!$B$11:$B$310),"半紙",IF(372&lt;=COUNTA(半紙!$B$11:$B$310)+COUNTA(条幅!$B$11:$B$310),"条幅(半切)",IF(372&lt;=COUNTA(半紙!$B$11:$B$310)+COUNTA(条幅!$B$11:$B$310)+COUNTA(条幅4分の1!$B$11:$B$310),"条幅(1/4)","")))</f>
        <v/>
      </c>
      <c r="B377" s="38" t="str">
        <f>IF(IF(372&lt;=COUNTA(半紙!$B$11:$B$310),INDEX(半紙!$B$11:$B$310,372),IF(372&lt;=COUNTA(半紙!$B$11:$B$310)+COUNTA(条幅!$B$11:$B$310),INDEX(条幅!$B$11:$B$310,372-COUNTA(半紙!$B$11:$B$310)),IF(372&lt;=COUNTA(半紙!$B$11:$B$310)+COUNTA(条幅!$B$11:$B$310)+COUNTA(条幅4分の1!$B$11:$B$310),INDEX(条幅4分の1!$B$11:$B$310,372-COUNTA(半紙!$B$11:$B$310)-COUNTA(条幅!$B$11:$B$310)),"")))=0,"",IF(372&lt;=COUNTA(半紙!$B$11:$B$310),INDEX(半紙!$B$11:$B$310,372),IF(372&lt;=COUNTA(半紙!$B$11:$B$310)+COUNTA(条幅!$B$11:$B$310),INDEX(条幅!$B$11:$B$310,372-COUNTA(半紙!$B$11:$B$310)),IF(372&lt;=COUNTA(半紙!$B$11:$B$310)+COUNTA(条幅!$B$11:$B$310)+COUNTA(条幅4分の1!$B$11:$B$310),INDEX(条幅4分の1!$B$11:$B$310,372-COUNTA(半紙!$B$11:$B$310)-COUNTA(条幅!$B$11:$B$310)),""))))</f>
        <v/>
      </c>
      <c r="C377" s="38" t="str">
        <f>IF(IF(372&lt;=COUNTA(半紙!$B$11:$B$310),INDEX(半紙!$C$11:$C$310,372),IF(372&lt;=COUNTA(半紙!$B$11:$B$310)+COUNTA(条幅!$B$11:$B$310),INDEX(条幅!$C$11:$C$310,372-COUNTA(半紙!$B$11:$B$310)),IF(372&lt;=COUNTA(半紙!$B$11:$B$310)+COUNTA(条幅!$B$11:$B$310)+COUNTA(条幅4分の1!$B$11:$B$310),INDEX(条幅4分の1!$C$11:$C$310,372-COUNTA(半紙!$B$11:$B$310)-COUNTA(条幅!$B$11:$B$310)),"")))=0,"",IF(372&lt;=COUNTA(半紙!$B$11:$B$310),INDEX(半紙!$C$11:$C$310,372),IF(372&lt;=COUNTA(半紙!$B$11:$B$310)+COUNTA(条幅!$B$11:$B$310),INDEX(条幅!$C$11:$C$310,372-COUNTA(半紙!$B$11:$B$310)),IF(372&lt;=COUNTA(半紙!$B$11:$B$310)+COUNTA(条幅!$B$11:$B$310)+COUNTA(条幅4分の1!$B$11:$B$310),INDEX(条幅4分の1!$C$11:$C$310,372-COUNTA(半紙!$B$11:$B$310)-COUNTA(条幅!$B$11:$B$310)),""))))</f>
        <v/>
      </c>
      <c r="D377" s="38" t="str">
        <f>IF(IF(372&lt;=COUNTA(半紙!$B$11:$B$310),INDEX(半紙!$D$11:$D$310,372),IF(372&lt;=COUNTA(半紙!$B$11:$B$310)+COUNTA(条幅!$B$11:$B$310),INDEX(条幅!$D$11:$D$310,372-COUNTA(半紙!$B$11:$B$310)),IF(372&lt;=COUNTA(半紙!$B$11:$B$310)+COUNTA(条幅!$B$11:$B$310)+COUNTA(条幅4分の1!$B$11:$B$310),INDEX(条幅4分の1!$D$11:$D$310,372-COUNTA(半紙!$B$11:$B$310)-COUNTA(条幅!$B$11:$B$310)),"")))=0,"",IF(372&lt;=COUNTA(半紙!$B$11:$B$310),INDEX(半紙!$D$11:$D$310,372),IF(372&lt;=COUNTA(半紙!$B$11:$B$310)+COUNTA(条幅!$B$11:$B$310),INDEX(条幅!$D$11:$D$310,372-COUNTA(半紙!$B$11:$B$310)),IF(372&lt;=COUNTA(半紙!$B$11:$B$310)+COUNTA(条幅!$B$11:$B$310)+COUNTA(条幅4分の1!$B$11:$B$310),INDEX(条幅4分の1!$D$11:$D$310,372-COUNTA(半紙!$B$11:$B$310)-COUNTA(条幅!$B$11:$B$310)),""))))</f>
        <v/>
      </c>
      <c r="E377" s="38" t="str">
        <f>IF(IF(372&lt;=COUNTA(半紙!$B$11:$B$310),INDEX(半紙!$E$11:$E$310,372),IF(372&lt;=COUNTA(半紙!$B$11:$B$310)+COUNTA(条幅!$B$11:$B$310),INDEX(条幅!$E$11:$E$310,372-COUNTA(半紙!$B$11:$B$310)),IF(372&lt;=COUNTA(半紙!$B$11:$B$310)+COUNTA(条幅!$B$11:$B$310)+COUNTA(条幅4分の1!$B$11:$B$310),INDEX(条幅4分の1!$E$11:$E$310,372-COUNTA(半紙!$B$11:$B$310)-COUNTA(条幅!$B$11:$B$310)),"")))=0,"",IF(372&lt;=COUNTA(半紙!$B$11:$B$310),INDEX(半紙!$E$11:$E$310,372),IF(372&lt;=COUNTA(半紙!$B$11:$B$310)+COUNTA(条幅!$B$11:$B$310),INDEX(条幅!$E$11:$E$310,372-COUNTA(半紙!$B$11:$B$310)),IF(372&lt;=COUNTA(半紙!$B$11:$B$310)+COUNTA(条幅!$B$11:$B$310)+COUNTA(条幅4分の1!$B$11:$B$310),INDEX(条幅4分の1!$E$11:$E$310,372-COUNTA(半紙!$B$11:$B$310)-COUNTA(条幅!$B$11:$B$310)),""))))</f>
        <v/>
      </c>
      <c r="F377" s="38" t="str">
        <f>IF(IF(372&lt;=COUNTA(半紙!$B$11:$B$310),INDEX(半紙!$F$11:$F$310,372),IF(372&lt;=COUNTA(半紙!$B$11:$B$310)+COUNTA(条幅!$B$11:$B$310),INDEX(条幅!$F$11:$F$310,372-COUNTA(半紙!$B$11:$B$310)),IF(372&lt;=COUNTA(半紙!$B$11:$B$310)+COUNTA(条幅!$B$11:$B$310)+COUNTA(条幅4分の1!$B$11:$B$310),INDEX(条幅4分の1!$F$11:$F$310,372-COUNTA(半紙!$B$11:$B$310)-COUNTA(条幅!$B$11:$B$310)),"")))=0,"",IF(372&lt;=COUNTA(半紙!$B$11:$B$310),INDEX(半紙!$F$11:$F$310,372),IF(372&lt;=COUNTA(半紙!$B$11:$B$310)+COUNTA(条幅!$B$11:$B$310),INDEX(条幅!$F$11:$F$310,372-COUNTA(半紙!$B$11:$B$310)),IF(372&lt;=COUNTA(半紙!$B$11:$B$310)+COUNTA(条幅!$B$11:$B$310)+COUNTA(条幅4分の1!$B$11:$B$310),INDEX(条幅4分の1!$F$11:$F$310,372-COUNTA(半紙!$B$11:$B$310)-COUNTA(条幅!$B$11:$B$310)),""))))</f>
        <v/>
      </c>
      <c r="G377" s="38" t="str">
        <f>IF(IF(372&lt;=COUNTA(半紙!$B$11:$B$310),INDEX(半紙!$G$11:$G$310,372),IF(372&lt;=COUNTA(半紙!$B$11:$B$310)+COUNTA(条幅!$B$11:$B$310),INDEX(条幅!$G$11:$G$310,372-COUNTA(半紙!$B$11:$B$310)),IF(372&lt;=COUNTA(半紙!$B$11:$B$310)+COUNTA(条幅!$B$11:$B$310)+COUNTA(条幅4分の1!$B$11:$B$310),INDEX(条幅4分の1!$G$11:$G$310,372-COUNTA(半紙!$B$11:$B$310)-COUNTA(条幅!$B$11:$B$310)),"")))=0,"",IF(372&lt;=COUNTA(半紙!$B$11:$B$310),INDEX(半紙!$G$11:$G$310,372),IF(372&lt;=COUNTA(半紙!$B$11:$B$310)+COUNTA(条幅!$B$11:$B$310),INDEX(条幅!$G$11:$G$310,372-COUNTA(半紙!$B$11:$B$310)),IF(372&lt;=COUNTA(半紙!$B$11:$B$310)+COUNTA(条幅!$B$11:$B$310)+COUNTA(条幅4分の1!$B$11:$B$310),INDEX(条幅4分の1!$G$11:$G$310,372-COUNTA(半紙!$B$11:$B$310)-COUNTA(条幅!$B$11:$B$310)),""))))</f>
        <v/>
      </c>
      <c r="H377" s="38" t="str">
        <f>IF(IF(372&lt;=COUNTA(半紙!$B$11:$B$310),INDEX(半紙!$H$11:$H$310,372),IF(372&lt;=COUNTA(半紙!$B$11:$B$310)+COUNTA(条幅!$B$11:$B$310),INDEX(条幅!$H$11:$H$310,372-COUNTA(半紙!$B$11:$B$310)),IF(372&lt;=COUNTA(半紙!$B$11:$B$310)+COUNTA(条幅!$B$11:$B$310)+COUNTA(条幅4分の1!$B$11:$B$310),INDEX(条幅4分の1!$H$11:$H$310,372-COUNTA(半紙!$B$11:$B$310)-COUNTA(条幅!$B$11:$B$310)),"")))=0,"",IF(372&lt;=COUNTA(半紙!$B$11:$B$310),INDEX(半紙!$H$11:$H$310,372),IF(372&lt;=COUNTA(半紙!$B$11:$B$310)+COUNTA(条幅!$B$11:$B$310),INDEX(条幅!$H$11:$H$310,372-COUNTA(半紙!$B$11:$B$310)),IF(372&lt;=COUNTA(半紙!$B$11:$B$310)+COUNTA(条幅!$B$11:$B$310)+COUNTA(条幅4分の1!$B$11:$B$310),INDEX(条幅4分の1!$H$11:$H$310,372-COUNTA(半紙!$B$11:$B$310)-COUNTA(条幅!$B$11:$B$310)),""))))</f>
        <v/>
      </c>
      <c r="I377" s="38" t="str">
        <f>IF(IF(372&lt;=COUNTA(半紙!$B$11:$B$310),INDEX(半紙!$I$11:$I$310,372),IF(372&lt;=COUNTA(半紙!$B$11:$B$310)+COUNTA(条幅!$B$11:$B$310),INDEX(条幅!$I$11:$I$310,372-COUNTA(半紙!$B$11:$B$310)),IF(372&lt;=COUNTA(半紙!$B$11:$B$310)+COUNTA(条幅!$B$11:$B$310)+COUNTA(条幅4分の1!$B$11:$B$310),INDEX(条幅4分の1!$I$11:$I$310,372-COUNTA(半紙!$B$11:$B$310)-COUNTA(条幅!$B$11:$B$310)),"")))=0,"",IF(372&lt;=COUNTA(半紙!$B$11:$B$310),INDEX(半紙!$I$11:$I$310,372),IF(372&lt;=COUNTA(半紙!$B$11:$B$310)+COUNTA(条幅!$B$11:$B$310),INDEX(条幅!$I$11:$I$310,372-COUNTA(半紙!$B$11:$B$310)),IF(372&lt;=COUNTA(半紙!$B$11:$B$310)+COUNTA(条幅!$B$11:$B$310)+COUNTA(条幅4分の1!$B$11:$B$310),INDEX(条幅4分の1!$I$11:$I$310,372-COUNTA(半紙!$B$11:$B$310)-COUNTA(条幅!$B$11:$B$310)),""))))</f>
        <v/>
      </c>
      <c r="J377" s="38" t="str">
        <f>IF(IF(372&lt;=COUNTA(半紙!$B$11:$B$310),INDEX(半紙!$J$11:$J$310,372),IF(372&lt;=COUNTA(半紙!$B$11:$B$310)+COUNTA(条幅!$B$11:$B$310),INDEX(条幅!$J$11:$J$310,372-COUNTA(半紙!$B$11:$B$310)),IF(372&lt;=COUNTA(半紙!$B$11:$B$310)+COUNTA(条幅!$B$11:$B$310)+COUNTA(条幅4分の1!$B$11:$B$310),INDEX(条幅4分の1!$J$11:$J$310,372-COUNTA(半紙!$B$11:$B$310)-COUNTA(条幅!$B$11:$B$310)),"")))=0,"",IF(372&lt;=COUNTA(半紙!$B$11:$B$310),INDEX(半紙!$J$11:$J$310,372),IF(372&lt;=COUNTA(半紙!$B$11:$B$310)+COUNTA(条幅!$B$11:$B$310),INDEX(条幅!$J$11:$J$310,372-COUNTA(半紙!$B$11:$B$310)),IF(372&lt;=COUNTA(半紙!$B$11:$B$310)+COUNTA(条幅!$B$11:$B$310)+COUNTA(条幅4分の1!$B$11:$B$310),INDEX(条幅4分の1!$J$11:$J$310,372-COUNTA(半紙!$B$11:$B$310)-COUNTA(条幅!$B$11:$B$310)),""))))</f>
        <v/>
      </c>
      <c r="K377" s="38" t="str">
        <f>IF(IF(372&lt;=COUNTA(半紙!$B$11:$B$310),INDEX(半紙!$K$11:$K$310,372),IF(372&lt;=COUNTA(半紙!$B$11:$B$310)+COUNTA(条幅!$B$11:$B$310),INDEX(条幅!$K$11:$K$310,372-COUNTA(半紙!$B$11:$B$310)),IF(372&lt;=COUNTA(半紙!$B$11:$B$310)+COUNTA(条幅!$B$11:$B$310)+COUNTA(条幅4分の1!$B$11:$B$310),INDEX(条幅4分の1!$K$11:$K$310,372-COUNTA(半紙!$B$11:$B$310)-COUNTA(条幅!$B$11:$B$310)),"")))=0,"",IF(372&lt;=COUNTA(半紙!$B$11:$B$310),INDEX(半紙!$K$11:$K$310,372),IF(372&lt;=COUNTA(半紙!$B$11:$B$310)+COUNTA(条幅!$B$11:$B$310),INDEX(条幅!$K$11:$K$310,372-COUNTA(半紙!$B$11:$B$310)),IF(372&lt;=COUNTA(半紙!$B$11:$B$310)+COUNTA(条幅!$B$11:$B$310)+COUNTA(条幅4分の1!$B$11:$B$310),INDEX(条幅4分の1!$K$11:$K$310,372-COUNTA(半紙!$B$11:$B$310)-COUNTA(条幅!$B$11:$B$310)),""))))</f>
        <v/>
      </c>
      <c r="L377" s="48" t="str">
        <f>IF($B377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372))</f>
        <v/>
      </c>
    </row>
    <row r="378" spans="1:12" ht="15" customHeight="1">
      <c r="A378" s="37" t="str">
        <f>IF(373&lt;=COUNTA(半紙!$B$11:$B$310),"半紙",IF(373&lt;=COUNTA(半紙!$B$11:$B$310)+COUNTA(条幅!$B$11:$B$310),"条幅(半切)",IF(373&lt;=COUNTA(半紙!$B$11:$B$310)+COUNTA(条幅!$B$11:$B$310)+COUNTA(条幅4分の1!$B$11:$B$310),"条幅(1/4)","")))</f>
        <v/>
      </c>
      <c r="B378" s="38" t="str">
        <f>IF(IF(373&lt;=COUNTA(半紙!$B$11:$B$310),INDEX(半紙!$B$11:$B$310,373),IF(373&lt;=COUNTA(半紙!$B$11:$B$310)+COUNTA(条幅!$B$11:$B$310),INDEX(条幅!$B$11:$B$310,373-COUNTA(半紙!$B$11:$B$310)),IF(373&lt;=COUNTA(半紙!$B$11:$B$310)+COUNTA(条幅!$B$11:$B$310)+COUNTA(条幅4分の1!$B$11:$B$310),INDEX(条幅4分の1!$B$11:$B$310,373-COUNTA(半紙!$B$11:$B$310)-COUNTA(条幅!$B$11:$B$310)),"")))=0,"",IF(373&lt;=COUNTA(半紙!$B$11:$B$310),INDEX(半紙!$B$11:$B$310,373),IF(373&lt;=COUNTA(半紙!$B$11:$B$310)+COUNTA(条幅!$B$11:$B$310),INDEX(条幅!$B$11:$B$310,373-COUNTA(半紙!$B$11:$B$310)),IF(373&lt;=COUNTA(半紙!$B$11:$B$310)+COUNTA(条幅!$B$11:$B$310)+COUNTA(条幅4分の1!$B$11:$B$310),INDEX(条幅4分の1!$B$11:$B$310,373-COUNTA(半紙!$B$11:$B$310)-COUNTA(条幅!$B$11:$B$310)),""))))</f>
        <v/>
      </c>
      <c r="C378" s="38" t="str">
        <f>IF(IF(373&lt;=COUNTA(半紙!$B$11:$B$310),INDEX(半紙!$C$11:$C$310,373),IF(373&lt;=COUNTA(半紙!$B$11:$B$310)+COUNTA(条幅!$B$11:$B$310),INDEX(条幅!$C$11:$C$310,373-COUNTA(半紙!$B$11:$B$310)),IF(373&lt;=COUNTA(半紙!$B$11:$B$310)+COUNTA(条幅!$B$11:$B$310)+COUNTA(条幅4分の1!$B$11:$B$310),INDEX(条幅4分の1!$C$11:$C$310,373-COUNTA(半紙!$B$11:$B$310)-COUNTA(条幅!$B$11:$B$310)),"")))=0,"",IF(373&lt;=COUNTA(半紙!$B$11:$B$310),INDEX(半紙!$C$11:$C$310,373),IF(373&lt;=COUNTA(半紙!$B$11:$B$310)+COUNTA(条幅!$B$11:$B$310),INDEX(条幅!$C$11:$C$310,373-COUNTA(半紙!$B$11:$B$310)),IF(373&lt;=COUNTA(半紙!$B$11:$B$310)+COUNTA(条幅!$B$11:$B$310)+COUNTA(条幅4分の1!$B$11:$B$310),INDEX(条幅4分の1!$C$11:$C$310,373-COUNTA(半紙!$B$11:$B$310)-COUNTA(条幅!$B$11:$B$310)),""))))</f>
        <v/>
      </c>
      <c r="D378" s="38" t="str">
        <f>IF(IF(373&lt;=COUNTA(半紙!$B$11:$B$310),INDEX(半紙!$D$11:$D$310,373),IF(373&lt;=COUNTA(半紙!$B$11:$B$310)+COUNTA(条幅!$B$11:$B$310),INDEX(条幅!$D$11:$D$310,373-COUNTA(半紙!$B$11:$B$310)),IF(373&lt;=COUNTA(半紙!$B$11:$B$310)+COUNTA(条幅!$B$11:$B$310)+COUNTA(条幅4分の1!$B$11:$B$310),INDEX(条幅4分の1!$D$11:$D$310,373-COUNTA(半紙!$B$11:$B$310)-COUNTA(条幅!$B$11:$B$310)),"")))=0,"",IF(373&lt;=COUNTA(半紙!$B$11:$B$310),INDEX(半紙!$D$11:$D$310,373),IF(373&lt;=COUNTA(半紙!$B$11:$B$310)+COUNTA(条幅!$B$11:$B$310),INDEX(条幅!$D$11:$D$310,373-COUNTA(半紙!$B$11:$B$310)),IF(373&lt;=COUNTA(半紙!$B$11:$B$310)+COUNTA(条幅!$B$11:$B$310)+COUNTA(条幅4分の1!$B$11:$B$310),INDEX(条幅4分の1!$D$11:$D$310,373-COUNTA(半紙!$B$11:$B$310)-COUNTA(条幅!$B$11:$B$310)),""))))</f>
        <v/>
      </c>
      <c r="E378" s="38" t="str">
        <f>IF(IF(373&lt;=COUNTA(半紙!$B$11:$B$310),INDEX(半紙!$E$11:$E$310,373),IF(373&lt;=COUNTA(半紙!$B$11:$B$310)+COUNTA(条幅!$B$11:$B$310),INDEX(条幅!$E$11:$E$310,373-COUNTA(半紙!$B$11:$B$310)),IF(373&lt;=COUNTA(半紙!$B$11:$B$310)+COUNTA(条幅!$B$11:$B$310)+COUNTA(条幅4分の1!$B$11:$B$310),INDEX(条幅4分の1!$E$11:$E$310,373-COUNTA(半紙!$B$11:$B$310)-COUNTA(条幅!$B$11:$B$310)),"")))=0,"",IF(373&lt;=COUNTA(半紙!$B$11:$B$310),INDEX(半紙!$E$11:$E$310,373),IF(373&lt;=COUNTA(半紙!$B$11:$B$310)+COUNTA(条幅!$B$11:$B$310),INDEX(条幅!$E$11:$E$310,373-COUNTA(半紙!$B$11:$B$310)),IF(373&lt;=COUNTA(半紙!$B$11:$B$310)+COUNTA(条幅!$B$11:$B$310)+COUNTA(条幅4分の1!$B$11:$B$310),INDEX(条幅4分の1!$E$11:$E$310,373-COUNTA(半紙!$B$11:$B$310)-COUNTA(条幅!$B$11:$B$310)),""))))</f>
        <v/>
      </c>
      <c r="F378" s="38" t="str">
        <f>IF(IF(373&lt;=COUNTA(半紙!$B$11:$B$310),INDEX(半紙!$F$11:$F$310,373),IF(373&lt;=COUNTA(半紙!$B$11:$B$310)+COUNTA(条幅!$B$11:$B$310),INDEX(条幅!$F$11:$F$310,373-COUNTA(半紙!$B$11:$B$310)),IF(373&lt;=COUNTA(半紙!$B$11:$B$310)+COUNTA(条幅!$B$11:$B$310)+COUNTA(条幅4分の1!$B$11:$B$310),INDEX(条幅4分の1!$F$11:$F$310,373-COUNTA(半紙!$B$11:$B$310)-COUNTA(条幅!$B$11:$B$310)),"")))=0,"",IF(373&lt;=COUNTA(半紙!$B$11:$B$310),INDEX(半紙!$F$11:$F$310,373),IF(373&lt;=COUNTA(半紙!$B$11:$B$310)+COUNTA(条幅!$B$11:$B$310),INDEX(条幅!$F$11:$F$310,373-COUNTA(半紙!$B$11:$B$310)),IF(373&lt;=COUNTA(半紙!$B$11:$B$310)+COUNTA(条幅!$B$11:$B$310)+COUNTA(条幅4分の1!$B$11:$B$310),INDEX(条幅4分の1!$F$11:$F$310,373-COUNTA(半紙!$B$11:$B$310)-COUNTA(条幅!$B$11:$B$310)),""))))</f>
        <v/>
      </c>
      <c r="G378" s="38" t="str">
        <f>IF(IF(373&lt;=COUNTA(半紙!$B$11:$B$310),INDEX(半紙!$G$11:$G$310,373),IF(373&lt;=COUNTA(半紙!$B$11:$B$310)+COUNTA(条幅!$B$11:$B$310),INDEX(条幅!$G$11:$G$310,373-COUNTA(半紙!$B$11:$B$310)),IF(373&lt;=COUNTA(半紙!$B$11:$B$310)+COUNTA(条幅!$B$11:$B$310)+COUNTA(条幅4分の1!$B$11:$B$310),INDEX(条幅4分の1!$G$11:$G$310,373-COUNTA(半紙!$B$11:$B$310)-COUNTA(条幅!$B$11:$B$310)),"")))=0,"",IF(373&lt;=COUNTA(半紙!$B$11:$B$310),INDEX(半紙!$G$11:$G$310,373),IF(373&lt;=COUNTA(半紙!$B$11:$B$310)+COUNTA(条幅!$B$11:$B$310),INDEX(条幅!$G$11:$G$310,373-COUNTA(半紙!$B$11:$B$310)),IF(373&lt;=COUNTA(半紙!$B$11:$B$310)+COUNTA(条幅!$B$11:$B$310)+COUNTA(条幅4分の1!$B$11:$B$310),INDEX(条幅4分の1!$G$11:$G$310,373-COUNTA(半紙!$B$11:$B$310)-COUNTA(条幅!$B$11:$B$310)),""))))</f>
        <v/>
      </c>
      <c r="H378" s="38" t="str">
        <f>IF(IF(373&lt;=COUNTA(半紙!$B$11:$B$310),INDEX(半紙!$H$11:$H$310,373),IF(373&lt;=COUNTA(半紙!$B$11:$B$310)+COUNTA(条幅!$B$11:$B$310),INDEX(条幅!$H$11:$H$310,373-COUNTA(半紙!$B$11:$B$310)),IF(373&lt;=COUNTA(半紙!$B$11:$B$310)+COUNTA(条幅!$B$11:$B$310)+COUNTA(条幅4分の1!$B$11:$B$310),INDEX(条幅4分の1!$H$11:$H$310,373-COUNTA(半紙!$B$11:$B$310)-COUNTA(条幅!$B$11:$B$310)),"")))=0,"",IF(373&lt;=COUNTA(半紙!$B$11:$B$310),INDEX(半紙!$H$11:$H$310,373),IF(373&lt;=COUNTA(半紙!$B$11:$B$310)+COUNTA(条幅!$B$11:$B$310),INDEX(条幅!$H$11:$H$310,373-COUNTA(半紙!$B$11:$B$310)),IF(373&lt;=COUNTA(半紙!$B$11:$B$310)+COUNTA(条幅!$B$11:$B$310)+COUNTA(条幅4分の1!$B$11:$B$310),INDEX(条幅4分の1!$H$11:$H$310,373-COUNTA(半紙!$B$11:$B$310)-COUNTA(条幅!$B$11:$B$310)),""))))</f>
        <v/>
      </c>
      <c r="I378" s="38" t="str">
        <f>IF(IF(373&lt;=COUNTA(半紙!$B$11:$B$310),INDEX(半紙!$I$11:$I$310,373),IF(373&lt;=COUNTA(半紙!$B$11:$B$310)+COUNTA(条幅!$B$11:$B$310),INDEX(条幅!$I$11:$I$310,373-COUNTA(半紙!$B$11:$B$310)),IF(373&lt;=COUNTA(半紙!$B$11:$B$310)+COUNTA(条幅!$B$11:$B$310)+COUNTA(条幅4分の1!$B$11:$B$310),INDEX(条幅4分の1!$I$11:$I$310,373-COUNTA(半紙!$B$11:$B$310)-COUNTA(条幅!$B$11:$B$310)),"")))=0,"",IF(373&lt;=COUNTA(半紙!$B$11:$B$310),INDEX(半紙!$I$11:$I$310,373),IF(373&lt;=COUNTA(半紙!$B$11:$B$310)+COUNTA(条幅!$B$11:$B$310),INDEX(条幅!$I$11:$I$310,373-COUNTA(半紙!$B$11:$B$310)),IF(373&lt;=COUNTA(半紙!$B$11:$B$310)+COUNTA(条幅!$B$11:$B$310)+COUNTA(条幅4分の1!$B$11:$B$310),INDEX(条幅4分の1!$I$11:$I$310,373-COUNTA(半紙!$B$11:$B$310)-COUNTA(条幅!$B$11:$B$310)),""))))</f>
        <v/>
      </c>
      <c r="J378" s="38" t="str">
        <f>IF(IF(373&lt;=COUNTA(半紙!$B$11:$B$310),INDEX(半紙!$J$11:$J$310,373),IF(373&lt;=COUNTA(半紙!$B$11:$B$310)+COUNTA(条幅!$B$11:$B$310),INDEX(条幅!$J$11:$J$310,373-COUNTA(半紙!$B$11:$B$310)),IF(373&lt;=COUNTA(半紙!$B$11:$B$310)+COUNTA(条幅!$B$11:$B$310)+COUNTA(条幅4分の1!$B$11:$B$310),INDEX(条幅4分の1!$J$11:$J$310,373-COUNTA(半紙!$B$11:$B$310)-COUNTA(条幅!$B$11:$B$310)),"")))=0,"",IF(373&lt;=COUNTA(半紙!$B$11:$B$310),INDEX(半紙!$J$11:$J$310,373),IF(373&lt;=COUNTA(半紙!$B$11:$B$310)+COUNTA(条幅!$B$11:$B$310),INDEX(条幅!$J$11:$J$310,373-COUNTA(半紙!$B$11:$B$310)),IF(373&lt;=COUNTA(半紙!$B$11:$B$310)+COUNTA(条幅!$B$11:$B$310)+COUNTA(条幅4分の1!$B$11:$B$310),INDEX(条幅4分の1!$J$11:$J$310,373-COUNTA(半紙!$B$11:$B$310)-COUNTA(条幅!$B$11:$B$310)),""))))</f>
        <v/>
      </c>
      <c r="K378" s="38" t="str">
        <f>IF(IF(373&lt;=COUNTA(半紙!$B$11:$B$310),INDEX(半紙!$K$11:$K$310,373),IF(373&lt;=COUNTA(半紙!$B$11:$B$310)+COUNTA(条幅!$B$11:$B$310),INDEX(条幅!$K$11:$K$310,373-COUNTA(半紙!$B$11:$B$310)),IF(373&lt;=COUNTA(半紙!$B$11:$B$310)+COUNTA(条幅!$B$11:$B$310)+COUNTA(条幅4分の1!$B$11:$B$310),INDEX(条幅4分の1!$K$11:$K$310,373-COUNTA(半紙!$B$11:$B$310)-COUNTA(条幅!$B$11:$B$310)),"")))=0,"",IF(373&lt;=COUNTA(半紙!$B$11:$B$310),INDEX(半紙!$K$11:$K$310,373),IF(373&lt;=COUNTA(半紙!$B$11:$B$310)+COUNTA(条幅!$B$11:$B$310),INDEX(条幅!$K$11:$K$310,373-COUNTA(半紙!$B$11:$B$310)),IF(373&lt;=COUNTA(半紙!$B$11:$B$310)+COUNTA(条幅!$B$11:$B$310)+COUNTA(条幅4分の1!$B$11:$B$310),INDEX(条幅4分の1!$K$11:$K$310,373-COUNTA(半紙!$B$11:$B$310)-COUNTA(条幅!$B$11:$B$310)),""))))</f>
        <v/>
      </c>
      <c r="L378" s="48" t="str">
        <f>IF($B378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373))</f>
        <v/>
      </c>
    </row>
    <row r="379" spans="1:12" ht="15" customHeight="1">
      <c r="A379" s="37" t="str">
        <f>IF(374&lt;=COUNTA(半紙!$B$11:$B$310),"半紙",IF(374&lt;=COUNTA(半紙!$B$11:$B$310)+COUNTA(条幅!$B$11:$B$310),"条幅(半切)",IF(374&lt;=COUNTA(半紙!$B$11:$B$310)+COUNTA(条幅!$B$11:$B$310)+COUNTA(条幅4分の1!$B$11:$B$310),"条幅(1/4)","")))</f>
        <v/>
      </c>
      <c r="B379" s="38" t="str">
        <f>IF(IF(374&lt;=COUNTA(半紙!$B$11:$B$310),INDEX(半紙!$B$11:$B$310,374),IF(374&lt;=COUNTA(半紙!$B$11:$B$310)+COUNTA(条幅!$B$11:$B$310),INDEX(条幅!$B$11:$B$310,374-COUNTA(半紙!$B$11:$B$310)),IF(374&lt;=COUNTA(半紙!$B$11:$B$310)+COUNTA(条幅!$B$11:$B$310)+COUNTA(条幅4分の1!$B$11:$B$310),INDEX(条幅4分の1!$B$11:$B$310,374-COUNTA(半紙!$B$11:$B$310)-COUNTA(条幅!$B$11:$B$310)),"")))=0,"",IF(374&lt;=COUNTA(半紙!$B$11:$B$310),INDEX(半紙!$B$11:$B$310,374),IF(374&lt;=COUNTA(半紙!$B$11:$B$310)+COUNTA(条幅!$B$11:$B$310),INDEX(条幅!$B$11:$B$310,374-COUNTA(半紙!$B$11:$B$310)),IF(374&lt;=COUNTA(半紙!$B$11:$B$310)+COUNTA(条幅!$B$11:$B$310)+COUNTA(条幅4分の1!$B$11:$B$310),INDEX(条幅4分の1!$B$11:$B$310,374-COUNTA(半紙!$B$11:$B$310)-COUNTA(条幅!$B$11:$B$310)),""))))</f>
        <v/>
      </c>
      <c r="C379" s="38" t="str">
        <f>IF(IF(374&lt;=COUNTA(半紙!$B$11:$B$310),INDEX(半紙!$C$11:$C$310,374),IF(374&lt;=COUNTA(半紙!$B$11:$B$310)+COUNTA(条幅!$B$11:$B$310),INDEX(条幅!$C$11:$C$310,374-COUNTA(半紙!$B$11:$B$310)),IF(374&lt;=COUNTA(半紙!$B$11:$B$310)+COUNTA(条幅!$B$11:$B$310)+COUNTA(条幅4分の1!$B$11:$B$310),INDEX(条幅4分の1!$C$11:$C$310,374-COUNTA(半紙!$B$11:$B$310)-COUNTA(条幅!$B$11:$B$310)),"")))=0,"",IF(374&lt;=COUNTA(半紙!$B$11:$B$310),INDEX(半紙!$C$11:$C$310,374),IF(374&lt;=COUNTA(半紙!$B$11:$B$310)+COUNTA(条幅!$B$11:$B$310),INDEX(条幅!$C$11:$C$310,374-COUNTA(半紙!$B$11:$B$310)),IF(374&lt;=COUNTA(半紙!$B$11:$B$310)+COUNTA(条幅!$B$11:$B$310)+COUNTA(条幅4分の1!$B$11:$B$310),INDEX(条幅4分の1!$C$11:$C$310,374-COUNTA(半紙!$B$11:$B$310)-COUNTA(条幅!$B$11:$B$310)),""))))</f>
        <v/>
      </c>
      <c r="D379" s="38" t="str">
        <f>IF(IF(374&lt;=COUNTA(半紙!$B$11:$B$310),INDEX(半紙!$D$11:$D$310,374),IF(374&lt;=COUNTA(半紙!$B$11:$B$310)+COUNTA(条幅!$B$11:$B$310),INDEX(条幅!$D$11:$D$310,374-COUNTA(半紙!$B$11:$B$310)),IF(374&lt;=COUNTA(半紙!$B$11:$B$310)+COUNTA(条幅!$B$11:$B$310)+COUNTA(条幅4分の1!$B$11:$B$310),INDEX(条幅4分の1!$D$11:$D$310,374-COUNTA(半紙!$B$11:$B$310)-COUNTA(条幅!$B$11:$B$310)),"")))=0,"",IF(374&lt;=COUNTA(半紙!$B$11:$B$310),INDEX(半紙!$D$11:$D$310,374),IF(374&lt;=COUNTA(半紙!$B$11:$B$310)+COUNTA(条幅!$B$11:$B$310),INDEX(条幅!$D$11:$D$310,374-COUNTA(半紙!$B$11:$B$310)),IF(374&lt;=COUNTA(半紙!$B$11:$B$310)+COUNTA(条幅!$B$11:$B$310)+COUNTA(条幅4分の1!$B$11:$B$310),INDEX(条幅4分の1!$D$11:$D$310,374-COUNTA(半紙!$B$11:$B$310)-COUNTA(条幅!$B$11:$B$310)),""))))</f>
        <v/>
      </c>
      <c r="E379" s="38" t="str">
        <f>IF(IF(374&lt;=COUNTA(半紙!$B$11:$B$310),INDEX(半紙!$E$11:$E$310,374),IF(374&lt;=COUNTA(半紙!$B$11:$B$310)+COUNTA(条幅!$B$11:$B$310),INDEX(条幅!$E$11:$E$310,374-COUNTA(半紙!$B$11:$B$310)),IF(374&lt;=COUNTA(半紙!$B$11:$B$310)+COUNTA(条幅!$B$11:$B$310)+COUNTA(条幅4分の1!$B$11:$B$310),INDEX(条幅4分の1!$E$11:$E$310,374-COUNTA(半紙!$B$11:$B$310)-COUNTA(条幅!$B$11:$B$310)),"")))=0,"",IF(374&lt;=COUNTA(半紙!$B$11:$B$310),INDEX(半紙!$E$11:$E$310,374),IF(374&lt;=COUNTA(半紙!$B$11:$B$310)+COUNTA(条幅!$B$11:$B$310),INDEX(条幅!$E$11:$E$310,374-COUNTA(半紙!$B$11:$B$310)),IF(374&lt;=COUNTA(半紙!$B$11:$B$310)+COUNTA(条幅!$B$11:$B$310)+COUNTA(条幅4分の1!$B$11:$B$310),INDEX(条幅4分の1!$E$11:$E$310,374-COUNTA(半紙!$B$11:$B$310)-COUNTA(条幅!$B$11:$B$310)),""))))</f>
        <v/>
      </c>
      <c r="F379" s="38" t="str">
        <f>IF(IF(374&lt;=COUNTA(半紙!$B$11:$B$310),INDEX(半紙!$F$11:$F$310,374),IF(374&lt;=COUNTA(半紙!$B$11:$B$310)+COUNTA(条幅!$B$11:$B$310),INDEX(条幅!$F$11:$F$310,374-COUNTA(半紙!$B$11:$B$310)),IF(374&lt;=COUNTA(半紙!$B$11:$B$310)+COUNTA(条幅!$B$11:$B$310)+COUNTA(条幅4分の1!$B$11:$B$310),INDEX(条幅4分の1!$F$11:$F$310,374-COUNTA(半紙!$B$11:$B$310)-COUNTA(条幅!$B$11:$B$310)),"")))=0,"",IF(374&lt;=COUNTA(半紙!$B$11:$B$310),INDEX(半紙!$F$11:$F$310,374),IF(374&lt;=COUNTA(半紙!$B$11:$B$310)+COUNTA(条幅!$B$11:$B$310),INDEX(条幅!$F$11:$F$310,374-COUNTA(半紙!$B$11:$B$310)),IF(374&lt;=COUNTA(半紙!$B$11:$B$310)+COUNTA(条幅!$B$11:$B$310)+COUNTA(条幅4分の1!$B$11:$B$310),INDEX(条幅4分の1!$F$11:$F$310,374-COUNTA(半紙!$B$11:$B$310)-COUNTA(条幅!$B$11:$B$310)),""))))</f>
        <v/>
      </c>
      <c r="G379" s="38" t="str">
        <f>IF(IF(374&lt;=COUNTA(半紙!$B$11:$B$310),INDEX(半紙!$G$11:$G$310,374),IF(374&lt;=COUNTA(半紙!$B$11:$B$310)+COUNTA(条幅!$B$11:$B$310),INDEX(条幅!$G$11:$G$310,374-COUNTA(半紙!$B$11:$B$310)),IF(374&lt;=COUNTA(半紙!$B$11:$B$310)+COUNTA(条幅!$B$11:$B$310)+COUNTA(条幅4分の1!$B$11:$B$310),INDEX(条幅4分の1!$G$11:$G$310,374-COUNTA(半紙!$B$11:$B$310)-COUNTA(条幅!$B$11:$B$310)),"")))=0,"",IF(374&lt;=COUNTA(半紙!$B$11:$B$310),INDEX(半紙!$G$11:$G$310,374),IF(374&lt;=COUNTA(半紙!$B$11:$B$310)+COUNTA(条幅!$B$11:$B$310),INDEX(条幅!$G$11:$G$310,374-COUNTA(半紙!$B$11:$B$310)),IF(374&lt;=COUNTA(半紙!$B$11:$B$310)+COUNTA(条幅!$B$11:$B$310)+COUNTA(条幅4分の1!$B$11:$B$310),INDEX(条幅4分の1!$G$11:$G$310,374-COUNTA(半紙!$B$11:$B$310)-COUNTA(条幅!$B$11:$B$310)),""))))</f>
        <v/>
      </c>
      <c r="H379" s="38" t="str">
        <f>IF(IF(374&lt;=COUNTA(半紙!$B$11:$B$310),INDEX(半紙!$H$11:$H$310,374),IF(374&lt;=COUNTA(半紙!$B$11:$B$310)+COUNTA(条幅!$B$11:$B$310),INDEX(条幅!$H$11:$H$310,374-COUNTA(半紙!$B$11:$B$310)),IF(374&lt;=COUNTA(半紙!$B$11:$B$310)+COUNTA(条幅!$B$11:$B$310)+COUNTA(条幅4分の1!$B$11:$B$310),INDEX(条幅4分の1!$H$11:$H$310,374-COUNTA(半紙!$B$11:$B$310)-COUNTA(条幅!$B$11:$B$310)),"")))=0,"",IF(374&lt;=COUNTA(半紙!$B$11:$B$310),INDEX(半紙!$H$11:$H$310,374),IF(374&lt;=COUNTA(半紙!$B$11:$B$310)+COUNTA(条幅!$B$11:$B$310),INDEX(条幅!$H$11:$H$310,374-COUNTA(半紙!$B$11:$B$310)),IF(374&lt;=COUNTA(半紙!$B$11:$B$310)+COUNTA(条幅!$B$11:$B$310)+COUNTA(条幅4分の1!$B$11:$B$310),INDEX(条幅4分の1!$H$11:$H$310,374-COUNTA(半紙!$B$11:$B$310)-COUNTA(条幅!$B$11:$B$310)),""))))</f>
        <v/>
      </c>
      <c r="I379" s="38" t="str">
        <f>IF(IF(374&lt;=COUNTA(半紙!$B$11:$B$310),INDEX(半紙!$I$11:$I$310,374),IF(374&lt;=COUNTA(半紙!$B$11:$B$310)+COUNTA(条幅!$B$11:$B$310),INDEX(条幅!$I$11:$I$310,374-COUNTA(半紙!$B$11:$B$310)),IF(374&lt;=COUNTA(半紙!$B$11:$B$310)+COUNTA(条幅!$B$11:$B$310)+COUNTA(条幅4分の1!$B$11:$B$310),INDEX(条幅4分の1!$I$11:$I$310,374-COUNTA(半紙!$B$11:$B$310)-COUNTA(条幅!$B$11:$B$310)),"")))=0,"",IF(374&lt;=COUNTA(半紙!$B$11:$B$310),INDEX(半紙!$I$11:$I$310,374),IF(374&lt;=COUNTA(半紙!$B$11:$B$310)+COUNTA(条幅!$B$11:$B$310),INDEX(条幅!$I$11:$I$310,374-COUNTA(半紙!$B$11:$B$310)),IF(374&lt;=COUNTA(半紙!$B$11:$B$310)+COUNTA(条幅!$B$11:$B$310)+COUNTA(条幅4分の1!$B$11:$B$310),INDEX(条幅4分の1!$I$11:$I$310,374-COUNTA(半紙!$B$11:$B$310)-COUNTA(条幅!$B$11:$B$310)),""))))</f>
        <v/>
      </c>
      <c r="J379" s="38" t="str">
        <f>IF(IF(374&lt;=COUNTA(半紙!$B$11:$B$310),INDEX(半紙!$J$11:$J$310,374),IF(374&lt;=COUNTA(半紙!$B$11:$B$310)+COUNTA(条幅!$B$11:$B$310),INDEX(条幅!$J$11:$J$310,374-COUNTA(半紙!$B$11:$B$310)),IF(374&lt;=COUNTA(半紙!$B$11:$B$310)+COUNTA(条幅!$B$11:$B$310)+COUNTA(条幅4分の1!$B$11:$B$310),INDEX(条幅4分の1!$J$11:$J$310,374-COUNTA(半紙!$B$11:$B$310)-COUNTA(条幅!$B$11:$B$310)),"")))=0,"",IF(374&lt;=COUNTA(半紙!$B$11:$B$310),INDEX(半紙!$J$11:$J$310,374),IF(374&lt;=COUNTA(半紙!$B$11:$B$310)+COUNTA(条幅!$B$11:$B$310),INDEX(条幅!$J$11:$J$310,374-COUNTA(半紙!$B$11:$B$310)),IF(374&lt;=COUNTA(半紙!$B$11:$B$310)+COUNTA(条幅!$B$11:$B$310)+COUNTA(条幅4分の1!$B$11:$B$310),INDEX(条幅4分の1!$J$11:$J$310,374-COUNTA(半紙!$B$11:$B$310)-COUNTA(条幅!$B$11:$B$310)),""))))</f>
        <v/>
      </c>
      <c r="K379" s="38" t="str">
        <f>IF(IF(374&lt;=COUNTA(半紙!$B$11:$B$310),INDEX(半紙!$K$11:$K$310,374),IF(374&lt;=COUNTA(半紙!$B$11:$B$310)+COUNTA(条幅!$B$11:$B$310),INDEX(条幅!$K$11:$K$310,374-COUNTA(半紙!$B$11:$B$310)),IF(374&lt;=COUNTA(半紙!$B$11:$B$310)+COUNTA(条幅!$B$11:$B$310)+COUNTA(条幅4分の1!$B$11:$B$310),INDEX(条幅4分の1!$K$11:$K$310,374-COUNTA(半紙!$B$11:$B$310)-COUNTA(条幅!$B$11:$B$310)),"")))=0,"",IF(374&lt;=COUNTA(半紙!$B$11:$B$310),INDEX(半紙!$K$11:$K$310,374),IF(374&lt;=COUNTA(半紙!$B$11:$B$310)+COUNTA(条幅!$B$11:$B$310),INDEX(条幅!$K$11:$K$310,374-COUNTA(半紙!$B$11:$B$310)),IF(374&lt;=COUNTA(半紙!$B$11:$B$310)+COUNTA(条幅!$B$11:$B$310)+COUNTA(条幅4分の1!$B$11:$B$310),INDEX(条幅4分の1!$K$11:$K$310,374-COUNTA(半紙!$B$11:$B$310)-COUNTA(条幅!$B$11:$B$310)),""))))</f>
        <v/>
      </c>
      <c r="L379" s="48" t="str">
        <f>IF($B379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374))</f>
        <v/>
      </c>
    </row>
    <row r="380" spans="1:12" ht="15" customHeight="1">
      <c r="A380" s="37" t="str">
        <f>IF(375&lt;=COUNTA(半紙!$B$11:$B$310),"半紙",IF(375&lt;=COUNTA(半紙!$B$11:$B$310)+COUNTA(条幅!$B$11:$B$310),"条幅(半切)",IF(375&lt;=COUNTA(半紙!$B$11:$B$310)+COUNTA(条幅!$B$11:$B$310)+COUNTA(条幅4分の1!$B$11:$B$310),"条幅(1/4)","")))</f>
        <v/>
      </c>
      <c r="B380" s="38" t="str">
        <f>IF(IF(375&lt;=COUNTA(半紙!$B$11:$B$310),INDEX(半紙!$B$11:$B$310,375),IF(375&lt;=COUNTA(半紙!$B$11:$B$310)+COUNTA(条幅!$B$11:$B$310),INDEX(条幅!$B$11:$B$310,375-COUNTA(半紙!$B$11:$B$310)),IF(375&lt;=COUNTA(半紙!$B$11:$B$310)+COUNTA(条幅!$B$11:$B$310)+COUNTA(条幅4分の1!$B$11:$B$310),INDEX(条幅4分の1!$B$11:$B$310,375-COUNTA(半紙!$B$11:$B$310)-COUNTA(条幅!$B$11:$B$310)),"")))=0,"",IF(375&lt;=COUNTA(半紙!$B$11:$B$310),INDEX(半紙!$B$11:$B$310,375),IF(375&lt;=COUNTA(半紙!$B$11:$B$310)+COUNTA(条幅!$B$11:$B$310),INDEX(条幅!$B$11:$B$310,375-COUNTA(半紙!$B$11:$B$310)),IF(375&lt;=COUNTA(半紙!$B$11:$B$310)+COUNTA(条幅!$B$11:$B$310)+COUNTA(条幅4分の1!$B$11:$B$310),INDEX(条幅4分の1!$B$11:$B$310,375-COUNTA(半紙!$B$11:$B$310)-COUNTA(条幅!$B$11:$B$310)),""))))</f>
        <v/>
      </c>
      <c r="C380" s="38" t="str">
        <f>IF(IF(375&lt;=COUNTA(半紙!$B$11:$B$310),INDEX(半紙!$C$11:$C$310,375),IF(375&lt;=COUNTA(半紙!$B$11:$B$310)+COUNTA(条幅!$B$11:$B$310),INDEX(条幅!$C$11:$C$310,375-COUNTA(半紙!$B$11:$B$310)),IF(375&lt;=COUNTA(半紙!$B$11:$B$310)+COUNTA(条幅!$B$11:$B$310)+COUNTA(条幅4分の1!$B$11:$B$310),INDEX(条幅4分の1!$C$11:$C$310,375-COUNTA(半紙!$B$11:$B$310)-COUNTA(条幅!$B$11:$B$310)),"")))=0,"",IF(375&lt;=COUNTA(半紙!$B$11:$B$310),INDEX(半紙!$C$11:$C$310,375),IF(375&lt;=COUNTA(半紙!$B$11:$B$310)+COUNTA(条幅!$B$11:$B$310),INDEX(条幅!$C$11:$C$310,375-COUNTA(半紙!$B$11:$B$310)),IF(375&lt;=COUNTA(半紙!$B$11:$B$310)+COUNTA(条幅!$B$11:$B$310)+COUNTA(条幅4分の1!$B$11:$B$310),INDEX(条幅4分の1!$C$11:$C$310,375-COUNTA(半紙!$B$11:$B$310)-COUNTA(条幅!$B$11:$B$310)),""))))</f>
        <v/>
      </c>
      <c r="D380" s="38" t="str">
        <f>IF(IF(375&lt;=COUNTA(半紙!$B$11:$B$310),INDEX(半紙!$D$11:$D$310,375),IF(375&lt;=COUNTA(半紙!$B$11:$B$310)+COUNTA(条幅!$B$11:$B$310),INDEX(条幅!$D$11:$D$310,375-COUNTA(半紙!$B$11:$B$310)),IF(375&lt;=COUNTA(半紙!$B$11:$B$310)+COUNTA(条幅!$B$11:$B$310)+COUNTA(条幅4分の1!$B$11:$B$310),INDEX(条幅4分の1!$D$11:$D$310,375-COUNTA(半紙!$B$11:$B$310)-COUNTA(条幅!$B$11:$B$310)),"")))=0,"",IF(375&lt;=COUNTA(半紙!$B$11:$B$310),INDEX(半紙!$D$11:$D$310,375),IF(375&lt;=COUNTA(半紙!$B$11:$B$310)+COUNTA(条幅!$B$11:$B$310),INDEX(条幅!$D$11:$D$310,375-COUNTA(半紙!$B$11:$B$310)),IF(375&lt;=COUNTA(半紙!$B$11:$B$310)+COUNTA(条幅!$B$11:$B$310)+COUNTA(条幅4分の1!$B$11:$B$310),INDEX(条幅4分の1!$D$11:$D$310,375-COUNTA(半紙!$B$11:$B$310)-COUNTA(条幅!$B$11:$B$310)),""))))</f>
        <v/>
      </c>
      <c r="E380" s="38" t="str">
        <f>IF(IF(375&lt;=COUNTA(半紙!$B$11:$B$310),INDEX(半紙!$E$11:$E$310,375),IF(375&lt;=COUNTA(半紙!$B$11:$B$310)+COUNTA(条幅!$B$11:$B$310),INDEX(条幅!$E$11:$E$310,375-COUNTA(半紙!$B$11:$B$310)),IF(375&lt;=COUNTA(半紙!$B$11:$B$310)+COUNTA(条幅!$B$11:$B$310)+COUNTA(条幅4分の1!$B$11:$B$310),INDEX(条幅4分の1!$E$11:$E$310,375-COUNTA(半紙!$B$11:$B$310)-COUNTA(条幅!$B$11:$B$310)),"")))=0,"",IF(375&lt;=COUNTA(半紙!$B$11:$B$310),INDEX(半紙!$E$11:$E$310,375),IF(375&lt;=COUNTA(半紙!$B$11:$B$310)+COUNTA(条幅!$B$11:$B$310),INDEX(条幅!$E$11:$E$310,375-COUNTA(半紙!$B$11:$B$310)),IF(375&lt;=COUNTA(半紙!$B$11:$B$310)+COUNTA(条幅!$B$11:$B$310)+COUNTA(条幅4分の1!$B$11:$B$310),INDEX(条幅4分の1!$E$11:$E$310,375-COUNTA(半紙!$B$11:$B$310)-COUNTA(条幅!$B$11:$B$310)),""))))</f>
        <v/>
      </c>
      <c r="F380" s="38" t="str">
        <f>IF(IF(375&lt;=COUNTA(半紙!$B$11:$B$310),INDEX(半紙!$F$11:$F$310,375),IF(375&lt;=COUNTA(半紙!$B$11:$B$310)+COUNTA(条幅!$B$11:$B$310),INDEX(条幅!$F$11:$F$310,375-COUNTA(半紙!$B$11:$B$310)),IF(375&lt;=COUNTA(半紙!$B$11:$B$310)+COUNTA(条幅!$B$11:$B$310)+COUNTA(条幅4分の1!$B$11:$B$310),INDEX(条幅4分の1!$F$11:$F$310,375-COUNTA(半紙!$B$11:$B$310)-COUNTA(条幅!$B$11:$B$310)),"")))=0,"",IF(375&lt;=COUNTA(半紙!$B$11:$B$310),INDEX(半紙!$F$11:$F$310,375),IF(375&lt;=COUNTA(半紙!$B$11:$B$310)+COUNTA(条幅!$B$11:$B$310),INDEX(条幅!$F$11:$F$310,375-COUNTA(半紙!$B$11:$B$310)),IF(375&lt;=COUNTA(半紙!$B$11:$B$310)+COUNTA(条幅!$B$11:$B$310)+COUNTA(条幅4分の1!$B$11:$B$310),INDEX(条幅4分の1!$F$11:$F$310,375-COUNTA(半紙!$B$11:$B$310)-COUNTA(条幅!$B$11:$B$310)),""))))</f>
        <v/>
      </c>
      <c r="G380" s="38" t="str">
        <f>IF(IF(375&lt;=COUNTA(半紙!$B$11:$B$310),INDEX(半紙!$G$11:$G$310,375),IF(375&lt;=COUNTA(半紙!$B$11:$B$310)+COUNTA(条幅!$B$11:$B$310),INDEX(条幅!$G$11:$G$310,375-COUNTA(半紙!$B$11:$B$310)),IF(375&lt;=COUNTA(半紙!$B$11:$B$310)+COUNTA(条幅!$B$11:$B$310)+COUNTA(条幅4分の1!$B$11:$B$310),INDEX(条幅4分の1!$G$11:$G$310,375-COUNTA(半紙!$B$11:$B$310)-COUNTA(条幅!$B$11:$B$310)),"")))=0,"",IF(375&lt;=COUNTA(半紙!$B$11:$B$310),INDEX(半紙!$G$11:$G$310,375),IF(375&lt;=COUNTA(半紙!$B$11:$B$310)+COUNTA(条幅!$B$11:$B$310),INDEX(条幅!$G$11:$G$310,375-COUNTA(半紙!$B$11:$B$310)),IF(375&lt;=COUNTA(半紙!$B$11:$B$310)+COUNTA(条幅!$B$11:$B$310)+COUNTA(条幅4分の1!$B$11:$B$310),INDEX(条幅4分の1!$G$11:$G$310,375-COUNTA(半紙!$B$11:$B$310)-COUNTA(条幅!$B$11:$B$310)),""))))</f>
        <v/>
      </c>
      <c r="H380" s="38" t="str">
        <f>IF(IF(375&lt;=COUNTA(半紙!$B$11:$B$310),INDEX(半紙!$H$11:$H$310,375),IF(375&lt;=COUNTA(半紙!$B$11:$B$310)+COUNTA(条幅!$B$11:$B$310),INDEX(条幅!$H$11:$H$310,375-COUNTA(半紙!$B$11:$B$310)),IF(375&lt;=COUNTA(半紙!$B$11:$B$310)+COUNTA(条幅!$B$11:$B$310)+COUNTA(条幅4分の1!$B$11:$B$310),INDEX(条幅4分の1!$H$11:$H$310,375-COUNTA(半紙!$B$11:$B$310)-COUNTA(条幅!$B$11:$B$310)),"")))=0,"",IF(375&lt;=COUNTA(半紙!$B$11:$B$310),INDEX(半紙!$H$11:$H$310,375),IF(375&lt;=COUNTA(半紙!$B$11:$B$310)+COUNTA(条幅!$B$11:$B$310),INDEX(条幅!$H$11:$H$310,375-COUNTA(半紙!$B$11:$B$310)),IF(375&lt;=COUNTA(半紙!$B$11:$B$310)+COUNTA(条幅!$B$11:$B$310)+COUNTA(条幅4分の1!$B$11:$B$310),INDEX(条幅4分の1!$H$11:$H$310,375-COUNTA(半紙!$B$11:$B$310)-COUNTA(条幅!$B$11:$B$310)),""))))</f>
        <v/>
      </c>
      <c r="I380" s="38" t="str">
        <f>IF(IF(375&lt;=COUNTA(半紙!$B$11:$B$310),INDEX(半紙!$I$11:$I$310,375),IF(375&lt;=COUNTA(半紙!$B$11:$B$310)+COUNTA(条幅!$B$11:$B$310),INDEX(条幅!$I$11:$I$310,375-COUNTA(半紙!$B$11:$B$310)),IF(375&lt;=COUNTA(半紙!$B$11:$B$310)+COUNTA(条幅!$B$11:$B$310)+COUNTA(条幅4分の1!$B$11:$B$310),INDEX(条幅4分の1!$I$11:$I$310,375-COUNTA(半紙!$B$11:$B$310)-COUNTA(条幅!$B$11:$B$310)),"")))=0,"",IF(375&lt;=COUNTA(半紙!$B$11:$B$310),INDEX(半紙!$I$11:$I$310,375),IF(375&lt;=COUNTA(半紙!$B$11:$B$310)+COUNTA(条幅!$B$11:$B$310),INDEX(条幅!$I$11:$I$310,375-COUNTA(半紙!$B$11:$B$310)),IF(375&lt;=COUNTA(半紙!$B$11:$B$310)+COUNTA(条幅!$B$11:$B$310)+COUNTA(条幅4分の1!$B$11:$B$310),INDEX(条幅4分の1!$I$11:$I$310,375-COUNTA(半紙!$B$11:$B$310)-COUNTA(条幅!$B$11:$B$310)),""))))</f>
        <v/>
      </c>
      <c r="J380" s="38" t="str">
        <f>IF(IF(375&lt;=COUNTA(半紙!$B$11:$B$310),INDEX(半紙!$J$11:$J$310,375),IF(375&lt;=COUNTA(半紙!$B$11:$B$310)+COUNTA(条幅!$B$11:$B$310),INDEX(条幅!$J$11:$J$310,375-COUNTA(半紙!$B$11:$B$310)),IF(375&lt;=COUNTA(半紙!$B$11:$B$310)+COUNTA(条幅!$B$11:$B$310)+COUNTA(条幅4分の1!$B$11:$B$310),INDEX(条幅4分の1!$J$11:$J$310,375-COUNTA(半紙!$B$11:$B$310)-COUNTA(条幅!$B$11:$B$310)),"")))=0,"",IF(375&lt;=COUNTA(半紙!$B$11:$B$310),INDEX(半紙!$J$11:$J$310,375),IF(375&lt;=COUNTA(半紙!$B$11:$B$310)+COUNTA(条幅!$B$11:$B$310),INDEX(条幅!$J$11:$J$310,375-COUNTA(半紙!$B$11:$B$310)),IF(375&lt;=COUNTA(半紙!$B$11:$B$310)+COUNTA(条幅!$B$11:$B$310)+COUNTA(条幅4分の1!$B$11:$B$310),INDEX(条幅4分の1!$J$11:$J$310,375-COUNTA(半紙!$B$11:$B$310)-COUNTA(条幅!$B$11:$B$310)),""))))</f>
        <v/>
      </c>
      <c r="K380" s="38" t="str">
        <f>IF(IF(375&lt;=COUNTA(半紙!$B$11:$B$310),INDEX(半紙!$K$11:$K$310,375),IF(375&lt;=COUNTA(半紙!$B$11:$B$310)+COUNTA(条幅!$B$11:$B$310),INDEX(条幅!$K$11:$K$310,375-COUNTA(半紙!$B$11:$B$310)),IF(375&lt;=COUNTA(半紙!$B$11:$B$310)+COUNTA(条幅!$B$11:$B$310)+COUNTA(条幅4分の1!$B$11:$B$310),INDEX(条幅4分の1!$K$11:$K$310,375-COUNTA(半紙!$B$11:$B$310)-COUNTA(条幅!$B$11:$B$310)),"")))=0,"",IF(375&lt;=COUNTA(半紙!$B$11:$B$310),INDEX(半紙!$K$11:$K$310,375),IF(375&lt;=COUNTA(半紙!$B$11:$B$310)+COUNTA(条幅!$B$11:$B$310),INDEX(条幅!$K$11:$K$310,375-COUNTA(半紙!$B$11:$B$310)),IF(375&lt;=COUNTA(半紙!$B$11:$B$310)+COUNTA(条幅!$B$11:$B$310)+COUNTA(条幅4分の1!$B$11:$B$310),INDEX(条幅4分の1!$K$11:$K$310,375-COUNTA(半紙!$B$11:$B$310)-COUNTA(条幅!$B$11:$B$310)),""))))</f>
        <v/>
      </c>
      <c r="L380" s="48" t="str">
        <f>IF($B380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375))</f>
        <v/>
      </c>
    </row>
    <row r="381" spans="1:12" ht="15" customHeight="1">
      <c r="A381" s="37" t="str">
        <f>IF(376&lt;=COUNTA(半紙!$B$11:$B$310),"半紙",IF(376&lt;=COUNTA(半紙!$B$11:$B$310)+COUNTA(条幅!$B$11:$B$310),"条幅(半切)",IF(376&lt;=COUNTA(半紙!$B$11:$B$310)+COUNTA(条幅!$B$11:$B$310)+COUNTA(条幅4分の1!$B$11:$B$310),"条幅(1/4)","")))</f>
        <v/>
      </c>
      <c r="B381" s="38" t="str">
        <f>IF(IF(376&lt;=COUNTA(半紙!$B$11:$B$310),INDEX(半紙!$B$11:$B$310,376),IF(376&lt;=COUNTA(半紙!$B$11:$B$310)+COUNTA(条幅!$B$11:$B$310),INDEX(条幅!$B$11:$B$310,376-COUNTA(半紙!$B$11:$B$310)),IF(376&lt;=COUNTA(半紙!$B$11:$B$310)+COUNTA(条幅!$B$11:$B$310)+COUNTA(条幅4分の1!$B$11:$B$310),INDEX(条幅4分の1!$B$11:$B$310,376-COUNTA(半紙!$B$11:$B$310)-COUNTA(条幅!$B$11:$B$310)),"")))=0,"",IF(376&lt;=COUNTA(半紙!$B$11:$B$310),INDEX(半紙!$B$11:$B$310,376),IF(376&lt;=COUNTA(半紙!$B$11:$B$310)+COUNTA(条幅!$B$11:$B$310),INDEX(条幅!$B$11:$B$310,376-COUNTA(半紙!$B$11:$B$310)),IF(376&lt;=COUNTA(半紙!$B$11:$B$310)+COUNTA(条幅!$B$11:$B$310)+COUNTA(条幅4分の1!$B$11:$B$310),INDEX(条幅4分の1!$B$11:$B$310,376-COUNTA(半紙!$B$11:$B$310)-COUNTA(条幅!$B$11:$B$310)),""))))</f>
        <v/>
      </c>
      <c r="C381" s="38" t="str">
        <f>IF(IF(376&lt;=COUNTA(半紙!$B$11:$B$310),INDEX(半紙!$C$11:$C$310,376),IF(376&lt;=COUNTA(半紙!$B$11:$B$310)+COUNTA(条幅!$B$11:$B$310),INDEX(条幅!$C$11:$C$310,376-COUNTA(半紙!$B$11:$B$310)),IF(376&lt;=COUNTA(半紙!$B$11:$B$310)+COUNTA(条幅!$B$11:$B$310)+COUNTA(条幅4分の1!$B$11:$B$310),INDEX(条幅4分の1!$C$11:$C$310,376-COUNTA(半紙!$B$11:$B$310)-COUNTA(条幅!$B$11:$B$310)),"")))=0,"",IF(376&lt;=COUNTA(半紙!$B$11:$B$310),INDEX(半紙!$C$11:$C$310,376),IF(376&lt;=COUNTA(半紙!$B$11:$B$310)+COUNTA(条幅!$B$11:$B$310),INDEX(条幅!$C$11:$C$310,376-COUNTA(半紙!$B$11:$B$310)),IF(376&lt;=COUNTA(半紙!$B$11:$B$310)+COUNTA(条幅!$B$11:$B$310)+COUNTA(条幅4分の1!$B$11:$B$310),INDEX(条幅4分の1!$C$11:$C$310,376-COUNTA(半紙!$B$11:$B$310)-COUNTA(条幅!$B$11:$B$310)),""))))</f>
        <v/>
      </c>
      <c r="D381" s="38" t="str">
        <f>IF(IF(376&lt;=COUNTA(半紙!$B$11:$B$310),INDEX(半紙!$D$11:$D$310,376),IF(376&lt;=COUNTA(半紙!$B$11:$B$310)+COUNTA(条幅!$B$11:$B$310),INDEX(条幅!$D$11:$D$310,376-COUNTA(半紙!$B$11:$B$310)),IF(376&lt;=COUNTA(半紙!$B$11:$B$310)+COUNTA(条幅!$B$11:$B$310)+COUNTA(条幅4分の1!$B$11:$B$310),INDEX(条幅4分の1!$D$11:$D$310,376-COUNTA(半紙!$B$11:$B$310)-COUNTA(条幅!$B$11:$B$310)),"")))=0,"",IF(376&lt;=COUNTA(半紙!$B$11:$B$310),INDEX(半紙!$D$11:$D$310,376),IF(376&lt;=COUNTA(半紙!$B$11:$B$310)+COUNTA(条幅!$B$11:$B$310),INDEX(条幅!$D$11:$D$310,376-COUNTA(半紙!$B$11:$B$310)),IF(376&lt;=COUNTA(半紙!$B$11:$B$310)+COUNTA(条幅!$B$11:$B$310)+COUNTA(条幅4分の1!$B$11:$B$310),INDEX(条幅4分の1!$D$11:$D$310,376-COUNTA(半紙!$B$11:$B$310)-COUNTA(条幅!$B$11:$B$310)),""))))</f>
        <v/>
      </c>
      <c r="E381" s="38" t="str">
        <f>IF(IF(376&lt;=COUNTA(半紙!$B$11:$B$310),INDEX(半紙!$E$11:$E$310,376),IF(376&lt;=COUNTA(半紙!$B$11:$B$310)+COUNTA(条幅!$B$11:$B$310),INDEX(条幅!$E$11:$E$310,376-COUNTA(半紙!$B$11:$B$310)),IF(376&lt;=COUNTA(半紙!$B$11:$B$310)+COUNTA(条幅!$B$11:$B$310)+COUNTA(条幅4分の1!$B$11:$B$310),INDEX(条幅4分の1!$E$11:$E$310,376-COUNTA(半紙!$B$11:$B$310)-COUNTA(条幅!$B$11:$B$310)),"")))=0,"",IF(376&lt;=COUNTA(半紙!$B$11:$B$310),INDEX(半紙!$E$11:$E$310,376),IF(376&lt;=COUNTA(半紙!$B$11:$B$310)+COUNTA(条幅!$B$11:$B$310),INDEX(条幅!$E$11:$E$310,376-COUNTA(半紙!$B$11:$B$310)),IF(376&lt;=COUNTA(半紙!$B$11:$B$310)+COUNTA(条幅!$B$11:$B$310)+COUNTA(条幅4分の1!$B$11:$B$310),INDEX(条幅4分の1!$E$11:$E$310,376-COUNTA(半紙!$B$11:$B$310)-COUNTA(条幅!$B$11:$B$310)),""))))</f>
        <v/>
      </c>
      <c r="F381" s="38" t="str">
        <f>IF(IF(376&lt;=COUNTA(半紙!$B$11:$B$310),INDEX(半紙!$F$11:$F$310,376),IF(376&lt;=COUNTA(半紙!$B$11:$B$310)+COUNTA(条幅!$B$11:$B$310),INDEX(条幅!$F$11:$F$310,376-COUNTA(半紙!$B$11:$B$310)),IF(376&lt;=COUNTA(半紙!$B$11:$B$310)+COUNTA(条幅!$B$11:$B$310)+COUNTA(条幅4分の1!$B$11:$B$310),INDEX(条幅4分の1!$F$11:$F$310,376-COUNTA(半紙!$B$11:$B$310)-COUNTA(条幅!$B$11:$B$310)),"")))=0,"",IF(376&lt;=COUNTA(半紙!$B$11:$B$310),INDEX(半紙!$F$11:$F$310,376),IF(376&lt;=COUNTA(半紙!$B$11:$B$310)+COUNTA(条幅!$B$11:$B$310),INDEX(条幅!$F$11:$F$310,376-COUNTA(半紙!$B$11:$B$310)),IF(376&lt;=COUNTA(半紙!$B$11:$B$310)+COUNTA(条幅!$B$11:$B$310)+COUNTA(条幅4分の1!$B$11:$B$310),INDEX(条幅4分の1!$F$11:$F$310,376-COUNTA(半紙!$B$11:$B$310)-COUNTA(条幅!$B$11:$B$310)),""))))</f>
        <v/>
      </c>
      <c r="G381" s="38" t="str">
        <f>IF(IF(376&lt;=COUNTA(半紙!$B$11:$B$310),INDEX(半紙!$G$11:$G$310,376),IF(376&lt;=COUNTA(半紙!$B$11:$B$310)+COUNTA(条幅!$B$11:$B$310),INDEX(条幅!$G$11:$G$310,376-COUNTA(半紙!$B$11:$B$310)),IF(376&lt;=COUNTA(半紙!$B$11:$B$310)+COUNTA(条幅!$B$11:$B$310)+COUNTA(条幅4分の1!$B$11:$B$310),INDEX(条幅4分の1!$G$11:$G$310,376-COUNTA(半紙!$B$11:$B$310)-COUNTA(条幅!$B$11:$B$310)),"")))=0,"",IF(376&lt;=COUNTA(半紙!$B$11:$B$310),INDEX(半紙!$G$11:$G$310,376),IF(376&lt;=COUNTA(半紙!$B$11:$B$310)+COUNTA(条幅!$B$11:$B$310),INDEX(条幅!$G$11:$G$310,376-COUNTA(半紙!$B$11:$B$310)),IF(376&lt;=COUNTA(半紙!$B$11:$B$310)+COUNTA(条幅!$B$11:$B$310)+COUNTA(条幅4分の1!$B$11:$B$310),INDEX(条幅4分の1!$G$11:$G$310,376-COUNTA(半紙!$B$11:$B$310)-COUNTA(条幅!$B$11:$B$310)),""))))</f>
        <v/>
      </c>
      <c r="H381" s="38" t="str">
        <f>IF(IF(376&lt;=COUNTA(半紙!$B$11:$B$310),INDEX(半紙!$H$11:$H$310,376),IF(376&lt;=COUNTA(半紙!$B$11:$B$310)+COUNTA(条幅!$B$11:$B$310),INDEX(条幅!$H$11:$H$310,376-COUNTA(半紙!$B$11:$B$310)),IF(376&lt;=COUNTA(半紙!$B$11:$B$310)+COUNTA(条幅!$B$11:$B$310)+COUNTA(条幅4分の1!$B$11:$B$310),INDEX(条幅4分の1!$H$11:$H$310,376-COUNTA(半紙!$B$11:$B$310)-COUNTA(条幅!$B$11:$B$310)),"")))=0,"",IF(376&lt;=COUNTA(半紙!$B$11:$B$310),INDEX(半紙!$H$11:$H$310,376),IF(376&lt;=COUNTA(半紙!$B$11:$B$310)+COUNTA(条幅!$B$11:$B$310),INDEX(条幅!$H$11:$H$310,376-COUNTA(半紙!$B$11:$B$310)),IF(376&lt;=COUNTA(半紙!$B$11:$B$310)+COUNTA(条幅!$B$11:$B$310)+COUNTA(条幅4分の1!$B$11:$B$310),INDEX(条幅4分の1!$H$11:$H$310,376-COUNTA(半紙!$B$11:$B$310)-COUNTA(条幅!$B$11:$B$310)),""))))</f>
        <v/>
      </c>
      <c r="I381" s="38" t="str">
        <f>IF(IF(376&lt;=COUNTA(半紙!$B$11:$B$310),INDEX(半紙!$I$11:$I$310,376),IF(376&lt;=COUNTA(半紙!$B$11:$B$310)+COUNTA(条幅!$B$11:$B$310),INDEX(条幅!$I$11:$I$310,376-COUNTA(半紙!$B$11:$B$310)),IF(376&lt;=COUNTA(半紙!$B$11:$B$310)+COUNTA(条幅!$B$11:$B$310)+COUNTA(条幅4分の1!$B$11:$B$310),INDEX(条幅4分の1!$I$11:$I$310,376-COUNTA(半紙!$B$11:$B$310)-COUNTA(条幅!$B$11:$B$310)),"")))=0,"",IF(376&lt;=COUNTA(半紙!$B$11:$B$310),INDEX(半紙!$I$11:$I$310,376),IF(376&lt;=COUNTA(半紙!$B$11:$B$310)+COUNTA(条幅!$B$11:$B$310),INDEX(条幅!$I$11:$I$310,376-COUNTA(半紙!$B$11:$B$310)),IF(376&lt;=COUNTA(半紙!$B$11:$B$310)+COUNTA(条幅!$B$11:$B$310)+COUNTA(条幅4分の1!$B$11:$B$310),INDEX(条幅4分の1!$I$11:$I$310,376-COUNTA(半紙!$B$11:$B$310)-COUNTA(条幅!$B$11:$B$310)),""))))</f>
        <v/>
      </c>
      <c r="J381" s="38" t="str">
        <f>IF(IF(376&lt;=COUNTA(半紙!$B$11:$B$310),INDEX(半紙!$J$11:$J$310,376),IF(376&lt;=COUNTA(半紙!$B$11:$B$310)+COUNTA(条幅!$B$11:$B$310),INDEX(条幅!$J$11:$J$310,376-COUNTA(半紙!$B$11:$B$310)),IF(376&lt;=COUNTA(半紙!$B$11:$B$310)+COUNTA(条幅!$B$11:$B$310)+COUNTA(条幅4分の1!$B$11:$B$310),INDEX(条幅4分の1!$J$11:$J$310,376-COUNTA(半紙!$B$11:$B$310)-COUNTA(条幅!$B$11:$B$310)),"")))=0,"",IF(376&lt;=COUNTA(半紙!$B$11:$B$310),INDEX(半紙!$J$11:$J$310,376),IF(376&lt;=COUNTA(半紙!$B$11:$B$310)+COUNTA(条幅!$B$11:$B$310),INDEX(条幅!$J$11:$J$310,376-COUNTA(半紙!$B$11:$B$310)),IF(376&lt;=COUNTA(半紙!$B$11:$B$310)+COUNTA(条幅!$B$11:$B$310)+COUNTA(条幅4分の1!$B$11:$B$310),INDEX(条幅4分の1!$J$11:$J$310,376-COUNTA(半紙!$B$11:$B$310)-COUNTA(条幅!$B$11:$B$310)),""))))</f>
        <v/>
      </c>
      <c r="K381" s="38" t="str">
        <f>IF(IF(376&lt;=COUNTA(半紙!$B$11:$B$310),INDEX(半紙!$K$11:$K$310,376),IF(376&lt;=COUNTA(半紙!$B$11:$B$310)+COUNTA(条幅!$B$11:$B$310),INDEX(条幅!$K$11:$K$310,376-COUNTA(半紙!$B$11:$B$310)),IF(376&lt;=COUNTA(半紙!$B$11:$B$310)+COUNTA(条幅!$B$11:$B$310)+COUNTA(条幅4分の1!$B$11:$B$310),INDEX(条幅4分の1!$K$11:$K$310,376-COUNTA(半紙!$B$11:$B$310)-COUNTA(条幅!$B$11:$B$310)),"")))=0,"",IF(376&lt;=COUNTA(半紙!$B$11:$B$310),INDEX(半紙!$K$11:$K$310,376),IF(376&lt;=COUNTA(半紙!$B$11:$B$310)+COUNTA(条幅!$B$11:$B$310),INDEX(条幅!$K$11:$K$310,376-COUNTA(半紙!$B$11:$B$310)),IF(376&lt;=COUNTA(半紙!$B$11:$B$310)+COUNTA(条幅!$B$11:$B$310)+COUNTA(条幅4分の1!$B$11:$B$310),INDEX(条幅4分の1!$K$11:$K$310,376-COUNTA(半紙!$B$11:$B$310)-COUNTA(条幅!$B$11:$B$310)),""))))</f>
        <v/>
      </c>
      <c r="L381" s="48" t="str">
        <f>IF($B381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376))</f>
        <v/>
      </c>
    </row>
    <row r="382" spans="1:12" ht="15" customHeight="1">
      <c r="A382" s="37" t="str">
        <f>IF(377&lt;=COUNTA(半紙!$B$11:$B$310),"半紙",IF(377&lt;=COUNTA(半紙!$B$11:$B$310)+COUNTA(条幅!$B$11:$B$310),"条幅(半切)",IF(377&lt;=COUNTA(半紙!$B$11:$B$310)+COUNTA(条幅!$B$11:$B$310)+COUNTA(条幅4分の1!$B$11:$B$310),"条幅(1/4)","")))</f>
        <v/>
      </c>
      <c r="B382" s="38" t="str">
        <f>IF(IF(377&lt;=COUNTA(半紙!$B$11:$B$310),INDEX(半紙!$B$11:$B$310,377),IF(377&lt;=COUNTA(半紙!$B$11:$B$310)+COUNTA(条幅!$B$11:$B$310),INDEX(条幅!$B$11:$B$310,377-COUNTA(半紙!$B$11:$B$310)),IF(377&lt;=COUNTA(半紙!$B$11:$B$310)+COUNTA(条幅!$B$11:$B$310)+COUNTA(条幅4分の1!$B$11:$B$310),INDEX(条幅4分の1!$B$11:$B$310,377-COUNTA(半紙!$B$11:$B$310)-COUNTA(条幅!$B$11:$B$310)),"")))=0,"",IF(377&lt;=COUNTA(半紙!$B$11:$B$310),INDEX(半紙!$B$11:$B$310,377),IF(377&lt;=COUNTA(半紙!$B$11:$B$310)+COUNTA(条幅!$B$11:$B$310),INDEX(条幅!$B$11:$B$310,377-COUNTA(半紙!$B$11:$B$310)),IF(377&lt;=COUNTA(半紙!$B$11:$B$310)+COUNTA(条幅!$B$11:$B$310)+COUNTA(条幅4分の1!$B$11:$B$310),INDEX(条幅4分の1!$B$11:$B$310,377-COUNTA(半紙!$B$11:$B$310)-COUNTA(条幅!$B$11:$B$310)),""))))</f>
        <v/>
      </c>
      <c r="C382" s="38" t="str">
        <f>IF(IF(377&lt;=COUNTA(半紙!$B$11:$B$310),INDEX(半紙!$C$11:$C$310,377),IF(377&lt;=COUNTA(半紙!$B$11:$B$310)+COUNTA(条幅!$B$11:$B$310),INDEX(条幅!$C$11:$C$310,377-COUNTA(半紙!$B$11:$B$310)),IF(377&lt;=COUNTA(半紙!$B$11:$B$310)+COUNTA(条幅!$B$11:$B$310)+COUNTA(条幅4分の1!$B$11:$B$310),INDEX(条幅4分の1!$C$11:$C$310,377-COUNTA(半紙!$B$11:$B$310)-COUNTA(条幅!$B$11:$B$310)),"")))=0,"",IF(377&lt;=COUNTA(半紙!$B$11:$B$310),INDEX(半紙!$C$11:$C$310,377),IF(377&lt;=COUNTA(半紙!$B$11:$B$310)+COUNTA(条幅!$B$11:$B$310),INDEX(条幅!$C$11:$C$310,377-COUNTA(半紙!$B$11:$B$310)),IF(377&lt;=COUNTA(半紙!$B$11:$B$310)+COUNTA(条幅!$B$11:$B$310)+COUNTA(条幅4分の1!$B$11:$B$310),INDEX(条幅4分の1!$C$11:$C$310,377-COUNTA(半紙!$B$11:$B$310)-COUNTA(条幅!$B$11:$B$310)),""))))</f>
        <v/>
      </c>
      <c r="D382" s="38" t="str">
        <f>IF(IF(377&lt;=COUNTA(半紙!$B$11:$B$310),INDEX(半紙!$D$11:$D$310,377),IF(377&lt;=COUNTA(半紙!$B$11:$B$310)+COUNTA(条幅!$B$11:$B$310),INDEX(条幅!$D$11:$D$310,377-COUNTA(半紙!$B$11:$B$310)),IF(377&lt;=COUNTA(半紙!$B$11:$B$310)+COUNTA(条幅!$B$11:$B$310)+COUNTA(条幅4分の1!$B$11:$B$310),INDEX(条幅4分の1!$D$11:$D$310,377-COUNTA(半紙!$B$11:$B$310)-COUNTA(条幅!$B$11:$B$310)),"")))=0,"",IF(377&lt;=COUNTA(半紙!$B$11:$B$310),INDEX(半紙!$D$11:$D$310,377),IF(377&lt;=COUNTA(半紙!$B$11:$B$310)+COUNTA(条幅!$B$11:$B$310),INDEX(条幅!$D$11:$D$310,377-COUNTA(半紙!$B$11:$B$310)),IF(377&lt;=COUNTA(半紙!$B$11:$B$310)+COUNTA(条幅!$B$11:$B$310)+COUNTA(条幅4分の1!$B$11:$B$310),INDEX(条幅4分の1!$D$11:$D$310,377-COUNTA(半紙!$B$11:$B$310)-COUNTA(条幅!$B$11:$B$310)),""))))</f>
        <v/>
      </c>
      <c r="E382" s="38" t="str">
        <f>IF(IF(377&lt;=COUNTA(半紙!$B$11:$B$310),INDEX(半紙!$E$11:$E$310,377),IF(377&lt;=COUNTA(半紙!$B$11:$B$310)+COUNTA(条幅!$B$11:$B$310),INDEX(条幅!$E$11:$E$310,377-COUNTA(半紙!$B$11:$B$310)),IF(377&lt;=COUNTA(半紙!$B$11:$B$310)+COUNTA(条幅!$B$11:$B$310)+COUNTA(条幅4分の1!$B$11:$B$310),INDEX(条幅4分の1!$E$11:$E$310,377-COUNTA(半紙!$B$11:$B$310)-COUNTA(条幅!$B$11:$B$310)),"")))=0,"",IF(377&lt;=COUNTA(半紙!$B$11:$B$310),INDEX(半紙!$E$11:$E$310,377),IF(377&lt;=COUNTA(半紙!$B$11:$B$310)+COUNTA(条幅!$B$11:$B$310),INDEX(条幅!$E$11:$E$310,377-COUNTA(半紙!$B$11:$B$310)),IF(377&lt;=COUNTA(半紙!$B$11:$B$310)+COUNTA(条幅!$B$11:$B$310)+COUNTA(条幅4分の1!$B$11:$B$310),INDEX(条幅4分の1!$E$11:$E$310,377-COUNTA(半紙!$B$11:$B$310)-COUNTA(条幅!$B$11:$B$310)),""))))</f>
        <v/>
      </c>
      <c r="F382" s="38" t="str">
        <f>IF(IF(377&lt;=COUNTA(半紙!$B$11:$B$310),INDEX(半紙!$F$11:$F$310,377),IF(377&lt;=COUNTA(半紙!$B$11:$B$310)+COUNTA(条幅!$B$11:$B$310),INDEX(条幅!$F$11:$F$310,377-COUNTA(半紙!$B$11:$B$310)),IF(377&lt;=COUNTA(半紙!$B$11:$B$310)+COUNTA(条幅!$B$11:$B$310)+COUNTA(条幅4分の1!$B$11:$B$310),INDEX(条幅4分の1!$F$11:$F$310,377-COUNTA(半紙!$B$11:$B$310)-COUNTA(条幅!$B$11:$B$310)),"")))=0,"",IF(377&lt;=COUNTA(半紙!$B$11:$B$310),INDEX(半紙!$F$11:$F$310,377),IF(377&lt;=COUNTA(半紙!$B$11:$B$310)+COUNTA(条幅!$B$11:$B$310),INDEX(条幅!$F$11:$F$310,377-COUNTA(半紙!$B$11:$B$310)),IF(377&lt;=COUNTA(半紙!$B$11:$B$310)+COUNTA(条幅!$B$11:$B$310)+COUNTA(条幅4分の1!$B$11:$B$310),INDEX(条幅4分の1!$F$11:$F$310,377-COUNTA(半紙!$B$11:$B$310)-COUNTA(条幅!$B$11:$B$310)),""))))</f>
        <v/>
      </c>
      <c r="G382" s="38" t="str">
        <f>IF(IF(377&lt;=COUNTA(半紙!$B$11:$B$310),INDEX(半紙!$G$11:$G$310,377),IF(377&lt;=COUNTA(半紙!$B$11:$B$310)+COUNTA(条幅!$B$11:$B$310),INDEX(条幅!$G$11:$G$310,377-COUNTA(半紙!$B$11:$B$310)),IF(377&lt;=COUNTA(半紙!$B$11:$B$310)+COUNTA(条幅!$B$11:$B$310)+COUNTA(条幅4分の1!$B$11:$B$310),INDEX(条幅4分の1!$G$11:$G$310,377-COUNTA(半紙!$B$11:$B$310)-COUNTA(条幅!$B$11:$B$310)),"")))=0,"",IF(377&lt;=COUNTA(半紙!$B$11:$B$310),INDEX(半紙!$G$11:$G$310,377),IF(377&lt;=COUNTA(半紙!$B$11:$B$310)+COUNTA(条幅!$B$11:$B$310),INDEX(条幅!$G$11:$G$310,377-COUNTA(半紙!$B$11:$B$310)),IF(377&lt;=COUNTA(半紙!$B$11:$B$310)+COUNTA(条幅!$B$11:$B$310)+COUNTA(条幅4分の1!$B$11:$B$310),INDEX(条幅4分の1!$G$11:$G$310,377-COUNTA(半紙!$B$11:$B$310)-COUNTA(条幅!$B$11:$B$310)),""))))</f>
        <v/>
      </c>
      <c r="H382" s="38" t="str">
        <f>IF(IF(377&lt;=COUNTA(半紙!$B$11:$B$310),INDEX(半紙!$H$11:$H$310,377),IF(377&lt;=COUNTA(半紙!$B$11:$B$310)+COUNTA(条幅!$B$11:$B$310),INDEX(条幅!$H$11:$H$310,377-COUNTA(半紙!$B$11:$B$310)),IF(377&lt;=COUNTA(半紙!$B$11:$B$310)+COUNTA(条幅!$B$11:$B$310)+COUNTA(条幅4分の1!$B$11:$B$310),INDEX(条幅4分の1!$H$11:$H$310,377-COUNTA(半紙!$B$11:$B$310)-COUNTA(条幅!$B$11:$B$310)),"")))=0,"",IF(377&lt;=COUNTA(半紙!$B$11:$B$310),INDEX(半紙!$H$11:$H$310,377),IF(377&lt;=COUNTA(半紙!$B$11:$B$310)+COUNTA(条幅!$B$11:$B$310),INDEX(条幅!$H$11:$H$310,377-COUNTA(半紙!$B$11:$B$310)),IF(377&lt;=COUNTA(半紙!$B$11:$B$310)+COUNTA(条幅!$B$11:$B$310)+COUNTA(条幅4分の1!$B$11:$B$310),INDEX(条幅4分の1!$H$11:$H$310,377-COUNTA(半紙!$B$11:$B$310)-COUNTA(条幅!$B$11:$B$310)),""))))</f>
        <v/>
      </c>
      <c r="I382" s="38" t="str">
        <f>IF(IF(377&lt;=COUNTA(半紙!$B$11:$B$310),INDEX(半紙!$I$11:$I$310,377),IF(377&lt;=COUNTA(半紙!$B$11:$B$310)+COUNTA(条幅!$B$11:$B$310),INDEX(条幅!$I$11:$I$310,377-COUNTA(半紙!$B$11:$B$310)),IF(377&lt;=COUNTA(半紙!$B$11:$B$310)+COUNTA(条幅!$B$11:$B$310)+COUNTA(条幅4分の1!$B$11:$B$310),INDEX(条幅4分の1!$I$11:$I$310,377-COUNTA(半紙!$B$11:$B$310)-COUNTA(条幅!$B$11:$B$310)),"")))=0,"",IF(377&lt;=COUNTA(半紙!$B$11:$B$310),INDEX(半紙!$I$11:$I$310,377),IF(377&lt;=COUNTA(半紙!$B$11:$B$310)+COUNTA(条幅!$B$11:$B$310),INDEX(条幅!$I$11:$I$310,377-COUNTA(半紙!$B$11:$B$310)),IF(377&lt;=COUNTA(半紙!$B$11:$B$310)+COUNTA(条幅!$B$11:$B$310)+COUNTA(条幅4分の1!$B$11:$B$310),INDEX(条幅4分の1!$I$11:$I$310,377-COUNTA(半紙!$B$11:$B$310)-COUNTA(条幅!$B$11:$B$310)),""))))</f>
        <v/>
      </c>
      <c r="J382" s="38" t="str">
        <f>IF(IF(377&lt;=COUNTA(半紙!$B$11:$B$310),INDEX(半紙!$J$11:$J$310,377),IF(377&lt;=COUNTA(半紙!$B$11:$B$310)+COUNTA(条幅!$B$11:$B$310),INDEX(条幅!$J$11:$J$310,377-COUNTA(半紙!$B$11:$B$310)),IF(377&lt;=COUNTA(半紙!$B$11:$B$310)+COUNTA(条幅!$B$11:$B$310)+COUNTA(条幅4分の1!$B$11:$B$310),INDEX(条幅4分の1!$J$11:$J$310,377-COUNTA(半紙!$B$11:$B$310)-COUNTA(条幅!$B$11:$B$310)),"")))=0,"",IF(377&lt;=COUNTA(半紙!$B$11:$B$310),INDEX(半紙!$J$11:$J$310,377),IF(377&lt;=COUNTA(半紙!$B$11:$B$310)+COUNTA(条幅!$B$11:$B$310),INDEX(条幅!$J$11:$J$310,377-COUNTA(半紙!$B$11:$B$310)),IF(377&lt;=COUNTA(半紙!$B$11:$B$310)+COUNTA(条幅!$B$11:$B$310)+COUNTA(条幅4分の1!$B$11:$B$310),INDEX(条幅4分の1!$J$11:$J$310,377-COUNTA(半紙!$B$11:$B$310)-COUNTA(条幅!$B$11:$B$310)),""))))</f>
        <v/>
      </c>
      <c r="K382" s="38" t="str">
        <f>IF(IF(377&lt;=COUNTA(半紙!$B$11:$B$310),INDEX(半紙!$K$11:$K$310,377),IF(377&lt;=COUNTA(半紙!$B$11:$B$310)+COUNTA(条幅!$B$11:$B$310),INDEX(条幅!$K$11:$K$310,377-COUNTA(半紙!$B$11:$B$310)),IF(377&lt;=COUNTA(半紙!$B$11:$B$310)+COUNTA(条幅!$B$11:$B$310)+COUNTA(条幅4分の1!$B$11:$B$310),INDEX(条幅4分の1!$K$11:$K$310,377-COUNTA(半紙!$B$11:$B$310)-COUNTA(条幅!$B$11:$B$310)),"")))=0,"",IF(377&lt;=COUNTA(半紙!$B$11:$B$310),INDEX(半紙!$K$11:$K$310,377),IF(377&lt;=COUNTA(半紙!$B$11:$B$310)+COUNTA(条幅!$B$11:$B$310),INDEX(条幅!$K$11:$K$310,377-COUNTA(半紙!$B$11:$B$310)),IF(377&lt;=COUNTA(半紙!$B$11:$B$310)+COUNTA(条幅!$B$11:$B$310)+COUNTA(条幅4分の1!$B$11:$B$310),INDEX(条幅4分の1!$K$11:$K$310,377-COUNTA(半紙!$B$11:$B$310)-COUNTA(条幅!$B$11:$B$310)),""))))</f>
        <v/>
      </c>
      <c r="L382" s="48" t="str">
        <f>IF($B382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377))</f>
        <v/>
      </c>
    </row>
    <row r="383" spans="1:12" ht="15" customHeight="1">
      <c r="A383" s="37" t="str">
        <f>IF(378&lt;=COUNTA(半紙!$B$11:$B$310),"半紙",IF(378&lt;=COUNTA(半紙!$B$11:$B$310)+COUNTA(条幅!$B$11:$B$310),"条幅(半切)",IF(378&lt;=COUNTA(半紙!$B$11:$B$310)+COUNTA(条幅!$B$11:$B$310)+COUNTA(条幅4分の1!$B$11:$B$310),"条幅(1/4)","")))</f>
        <v/>
      </c>
      <c r="B383" s="38" t="str">
        <f>IF(IF(378&lt;=COUNTA(半紙!$B$11:$B$310),INDEX(半紙!$B$11:$B$310,378),IF(378&lt;=COUNTA(半紙!$B$11:$B$310)+COUNTA(条幅!$B$11:$B$310),INDEX(条幅!$B$11:$B$310,378-COUNTA(半紙!$B$11:$B$310)),IF(378&lt;=COUNTA(半紙!$B$11:$B$310)+COUNTA(条幅!$B$11:$B$310)+COUNTA(条幅4分の1!$B$11:$B$310),INDEX(条幅4分の1!$B$11:$B$310,378-COUNTA(半紙!$B$11:$B$310)-COUNTA(条幅!$B$11:$B$310)),"")))=0,"",IF(378&lt;=COUNTA(半紙!$B$11:$B$310),INDEX(半紙!$B$11:$B$310,378),IF(378&lt;=COUNTA(半紙!$B$11:$B$310)+COUNTA(条幅!$B$11:$B$310),INDEX(条幅!$B$11:$B$310,378-COUNTA(半紙!$B$11:$B$310)),IF(378&lt;=COUNTA(半紙!$B$11:$B$310)+COUNTA(条幅!$B$11:$B$310)+COUNTA(条幅4分の1!$B$11:$B$310),INDEX(条幅4分の1!$B$11:$B$310,378-COUNTA(半紙!$B$11:$B$310)-COUNTA(条幅!$B$11:$B$310)),""))))</f>
        <v/>
      </c>
      <c r="C383" s="38" t="str">
        <f>IF(IF(378&lt;=COUNTA(半紙!$B$11:$B$310),INDEX(半紙!$C$11:$C$310,378),IF(378&lt;=COUNTA(半紙!$B$11:$B$310)+COUNTA(条幅!$B$11:$B$310),INDEX(条幅!$C$11:$C$310,378-COUNTA(半紙!$B$11:$B$310)),IF(378&lt;=COUNTA(半紙!$B$11:$B$310)+COUNTA(条幅!$B$11:$B$310)+COUNTA(条幅4分の1!$B$11:$B$310),INDEX(条幅4分の1!$C$11:$C$310,378-COUNTA(半紙!$B$11:$B$310)-COUNTA(条幅!$B$11:$B$310)),"")))=0,"",IF(378&lt;=COUNTA(半紙!$B$11:$B$310),INDEX(半紙!$C$11:$C$310,378),IF(378&lt;=COUNTA(半紙!$B$11:$B$310)+COUNTA(条幅!$B$11:$B$310),INDEX(条幅!$C$11:$C$310,378-COUNTA(半紙!$B$11:$B$310)),IF(378&lt;=COUNTA(半紙!$B$11:$B$310)+COUNTA(条幅!$B$11:$B$310)+COUNTA(条幅4分の1!$B$11:$B$310),INDEX(条幅4分の1!$C$11:$C$310,378-COUNTA(半紙!$B$11:$B$310)-COUNTA(条幅!$B$11:$B$310)),""))))</f>
        <v/>
      </c>
      <c r="D383" s="38" t="str">
        <f>IF(IF(378&lt;=COUNTA(半紙!$B$11:$B$310),INDEX(半紙!$D$11:$D$310,378),IF(378&lt;=COUNTA(半紙!$B$11:$B$310)+COUNTA(条幅!$B$11:$B$310),INDEX(条幅!$D$11:$D$310,378-COUNTA(半紙!$B$11:$B$310)),IF(378&lt;=COUNTA(半紙!$B$11:$B$310)+COUNTA(条幅!$B$11:$B$310)+COUNTA(条幅4分の1!$B$11:$B$310),INDEX(条幅4分の1!$D$11:$D$310,378-COUNTA(半紙!$B$11:$B$310)-COUNTA(条幅!$B$11:$B$310)),"")))=0,"",IF(378&lt;=COUNTA(半紙!$B$11:$B$310),INDEX(半紙!$D$11:$D$310,378),IF(378&lt;=COUNTA(半紙!$B$11:$B$310)+COUNTA(条幅!$B$11:$B$310),INDEX(条幅!$D$11:$D$310,378-COUNTA(半紙!$B$11:$B$310)),IF(378&lt;=COUNTA(半紙!$B$11:$B$310)+COUNTA(条幅!$B$11:$B$310)+COUNTA(条幅4分の1!$B$11:$B$310),INDEX(条幅4分の1!$D$11:$D$310,378-COUNTA(半紙!$B$11:$B$310)-COUNTA(条幅!$B$11:$B$310)),""))))</f>
        <v/>
      </c>
      <c r="E383" s="38" t="str">
        <f>IF(IF(378&lt;=COUNTA(半紙!$B$11:$B$310),INDEX(半紙!$E$11:$E$310,378),IF(378&lt;=COUNTA(半紙!$B$11:$B$310)+COUNTA(条幅!$B$11:$B$310),INDEX(条幅!$E$11:$E$310,378-COUNTA(半紙!$B$11:$B$310)),IF(378&lt;=COUNTA(半紙!$B$11:$B$310)+COUNTA(条幅!$B$11:$B$310)+COUNTA(条幅4分の1!$B$11:$B$310),INDEX(条幅4分の1!$E$11:$E$310,378-COUNTA(半紙!$B$11:$B$310)-COUNTA(条幅!$B$11:$B$310)),"")))=0,"",IF(378&lt;=COUNTA(半紙!$B$11:$B$310),INDEX(半紙!$E$11:$E$310,378),IF(378&lt;=COUNTA(半紙!$B$11:$B$310)+COUNTA(条幅!$B$11:$B$310),INDEX(条幅!$E$11:$E$310,378-COUNTA(半紙!$B$11:$B$310)),IF(378&lt;=COUNTA(半紙!$B$11:$B$310)+COUNTA(条幅!$B$11:$B$310)+COUNTA(条幅4分の1!$B$11:$B$310),INDEX(条幅4分の1!$E$11:$E$310,378-COUNTA(半紙!$B$11:$B$310)-COUNTA(条幅!$B$11:$B$310)),""))))</f>
        <v/>
      </c>
      <c r="F383" s="38" t="str">
        <f>IF(IF(378&lt;=COUNTA(半紙!$B$11:$B$310),INDEX(半紙!$F$11:$F$310,378),IF(378&lt;=COUNTA(半紙!$B$11:$B$310)+COUNTA(条幅!$B$11:$B$310),INDEX(条幅!$F$11:$F$310,378-COUNTA(半紙!$B$11:$B$310)),IF(378&lt;=COUNTA(半紙!$B$11:$B$310)+COUNTA(条幅!$B$11:$B$310)+COUNTA(条幅4分の1!$B$11:$B$310),INDEX(条幅4分の1!$F$11:$F$310,378-COUNTA(半紙!$B$11:$B$310)-COUNTA(条幅!$B$11:$B$310)),"")))=0,"",IF(378&lt;=COUNTA(半紙!$B$11:$B$310),INDEX(半紙!$F$11:$F$310,378),IF(378&lt;=COUNTA(半紙!$B$11:$B$310)+COUNTA(条幅!$B$11:$B$310),INDEX(条幅!$F$11:$F$310,378-COUNTA(半紙!$B$11:$B$310)),IF(378&lt;=COUNTA(半紙!$B$11:$B$310)+COUNTA(条幅!$B$11:$B$310)+COUNTA(条幅4分の1!$B$11:$B$310),INDEX(条幅4分の1!$F$11:$F$310,378-COUNTA(半紙!$B$11:$B$310)-COUNTA(条幅!$B$11:$B$310)),""))))</f>
        <v/>
      </c>
      <c r="G383" s="38" t="str">
        <f>IF(IF(378&lt;=COUNTA(半紙!$B$11:$B$310),INDEX(半紙!$G$11:$G$310,378),IF(378&lt;=COUNTA(半紙!$B$11:$B$310)+COUNTA(条幅!$B$11:$B$310),INDEX(条幅!$G$11:$G$310,378-COUNTA(半紙!$B$11:$B$310)),IF(378&lt;=COUNTA(半紙!$B$11:$B$310)+COUNTA(条幅!$B$11:$B$310)+COUNTA(条幅4分の1!$B$11:$B$310),INDEX(条幅4分の1!$G$11:$G$310,378-COUNTA(半紙!$B$11:$B$310)-COUNTA(条幅!$B$11:$B$310)),"")))=0,"",IF(378&lt;=COUNTA(半紙!$B$11:$B$310),INDEX(半紙!$G$11:$G$310,378),IF(378&lt;=COUNTA(半紙!$B$11:$B$310)+COUNTA(条幅!$B$11:$B$310),INDEX(条幅!$G$11:$G$310,378-COUNTA(半紙!$B$11:$B$310)),IF(378&lt;=COUNTA(半紙!$B$11:$B$310)+COUNTA(条幅!$B$11:$B$310)+COUNTA(条幅4分の1!$B$11:$B$310),INDEX(条幅4分の1!$G$11:$G$310,378-COUNTA(半紙!$B$11:$B$310)-COUNTA(条幅!$B$11:$B$310)),""))))</f>
        <v/>
      </c>
      <c r="H383" s="38" t="str">
        <f>IF(IF(378&lt;=COUNTA(半紙!$B$11:$B$310),INDEX(半紙!$H$11:$H$310,378),IF(378&lt;=COUNTA(半紙!$B$11:$B$310)+COUNTA(条幅!$B$11:$B$310),INDEX(条幅!$H$11:$H$310,378-COUNTA(半紙!$B$11:$B$310)),IF(378&lt;=COUNTA(半紙!$B$11:$B$310)+COUNTA(条幅!$B$11:$B$310)+COUNTA(条幅4分の1!$B$11:$B$310),INDEX(条幅4分の1!$H$11:$H$310,378-COUNTA(半紙!$B$11:$B$310)-COUNTA(条幅!$B$11:$B$310)),"")))=0,"",IF(378&lt;=COUNTA(半紙!$B$11:$B$310),INDEX(半紙!$H$11:$H$310,378),IF(378&lt;=COUNTA(半紙!$B$11:$B$310)+COUNTA(条幅!$B$11:$B$310),INDEX(条幅!$H$11:$H$310,378-COUNTA(半紙!$B$11:$B$310)),IF(378&lt;=COUNTA(半紙!$B$11:$B$310)+COUNTA(条幅!$B$11:$B$310)+COUNTA(条幅4分の1!$B$11:$B$310),INDEX(条幅4分の1!$H$11:$H$310,378-COUNTA(半紙!$B$11:$B$310)-COUNTA(条幅!$B$11:$B$310)),""))))</f>
        <v/>
      </c>
      <c r="I383" s="38" t="str">
        <f>IF(IF(378&lt;=COUNTA(半紙!$B$11:$B$310),INDEX(半紙!$I$11:$I$310,378),IF(378&lt;=COUNTA(半紙!$B$11:$B$310)+COUNTA(条幅!$B$11:$B$310),INDEX(条幅!$I$11:$I$310,378-COUNTA(半紙!$B$11:$B$310)),IF(378&lt;=COUNTA(半紙!$B$11:$B$310)+COUNTA(条幅!$B$11:$B$310)+COUNTA(条幅4分の1!$B$11:$B$310),INDEX(条幅4分の1!$I$11:$I$310,378-COUNTA(半紙!$B$11:$B$310)-COUNTA(条幅!$B$11:$B$310)),"")))=0,"",IF(378&lt;=COUNTA(半紙!$B$11:$B$310),INDEX(半紙!$I$11:$I$310,378),IF(378&lt;=COUNTA(半紙!$B$11:$B$310)+COUNTA(条幅!$B$11:$B$310),INDEX(条幅!$I$11:$I$310,378-COUNTA(半紙!$B$11:$B$310)),IF(378&lt;=COUNTA(半紙!$B$11:$B$310)+COUNTA(条幅!$B$11:$B$310)+COUNTA(条幅4分の1!$B$11:$B$310),INDEX(条幅4分の1!$I$11:$I$310,378-COUNTA(半紙!$B$11:$B$310)-COUNTA(条幅!$B$11:$B$310)),""))))</f>
        <v/>
      </c>
      <c r="J383" s="38" t="str">
        <f>IF(IF(378&lt;=COUNTA(半紙!$B$11:$B$310),INDEX(半紙!$J$11:$J$310,378),IF(378&lt;=COUNTA(半紙!$B$11:$B$310)+COUNTA(条幅!$B$11:$B$310),INDEX(条幅!$J$11:$J$310,378-COUNTA(半紙!$B$11:$B$310)),IF(378&lt;=COUNTA(半紙!$B$11:$B$310)+COUNTA(条幅!$B$11:$B$310)+COUNTA(条幅4分の1!$B$11:$B$310),INDEX(条幅4分の1!$J$11:$J$310,378-COUNTA(半紙!$B$11:$B$310)-COUNTA(条幅!$B$11:$B$310)),"")))=0,"",IF(378&lt;=COUNTA(半紙!$B$11:$B$310),INDEX(半紙!$J$11:$J$310,378),IF(378&lt;=COUNTA(半紙!$B$11:$B$310)+COUNTA(条幅!$B$11:$B$310),INDEX(条幅!$J$11:$J$310,378-COUNTA(半紙!$B$11:$B$310)),IF(378&lt;=COUNTA(半紙!$B$11:$B$310)+COUNTA(条幅!$B$11:$B$310)+COUNTA(条幅4分の1!$B$11:$B$310),INDEX(条幅4分の1!$J$11:$J$310,378-COUNTA(半紙!$B$11:$B$310)-COUNTA(条幅!$B$11:$B$310)),""))))</f>
        <v/>
      </c>
      <c r="K383" s="38" t="str">
        <f>IF(IF(378&lt;=COUNTA(半紙!$B$11:$B$310),INDEX(半紙!$K$11:$K$310,378),IF(378&lt;=COUNTA(半紙!$B$11:$B$310)+COUNTA(条幅!$B$11:$B$310),INDEX(条幅!$K$11:$K$310,378-COUNTA(半紙!$B$11:$B$310)),IF(378&lt;=COUNTA(半紙!$B$11:$B$310)+COUNTA(条幅!$B$11:$B$310)+COUNTA(条幅4分の1!$B$11:$B$310),INDEX(条幅4分の1!$K$11:$K$310,378-COUNTA(半紙!$B$11:$B$310)-COUNTA(条幅!$B$11:$B$310)),"")))=0,"",IF(378&lt;=COUNTA(半紙!$B$11:$B$310),INDEX(半紙!$K$11:$K$310,378),IF(378&lt;=COUNTA(半紙!$B$11:$B$310)+COUNTA(条幅!$B$11:$B$310),INDEX(条幅!$K$11:$K$310,378-COUNTA(半紙!$B$11:$B$310)),IF(378&lt;=COUNTA(半紙!$B$11:$B$310)+COUNTA(条幅!$B$11:$B$310)+COUNTA(条幅4分の1!$B$11:$B$310),INDEX(条幅4分の1!$K$11:$K$310,378-COUNTA(半紙!$B$11:$B$310)-COUNTA(条幅!$B$11:$B$310)),""))))</f>
        <v/>
      </c>
      <c r="L383" s="48" t="str">
        <f>IF($B383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378))</f>
        <v/>
      </c>
    </row>
    <row r="384" spans="1:12" ht="15" customHeight="1">
      <c r="A384" s="37" t="str">
        <f>IF(379&lt;=COUNTA(半紙!$B$11:$B$310),"半紙",IF(379&lt;=COUNTA(半紙!$B$11:$B$310)+COUNTA(条幅!$B$11:$B$310),"条幅(半切)",IF(379&lt;=COUNTA(半紙!$B$11:$B$310)+COUNTA(条幅!$B$11:$B$310)+COUNTA(条幅4分の1!$B$11:$B$310),"条幅(1/4)","")))</f>
        <v/>
      </c>
      <c r="B384" s="38" t="str">
        <f>IF(IF(379&lt;=COUNTA(半紙!$B$11:$B$310),INDEX(半紙!$B$11:$B$310,379),IF(379&lt;=COUNTA(半紙!$B$11:$B$310)+COUNTA(条幅!$B$11:$B$310),INDEX(条幅!$B$11:$B$310,379-COUNTA(半紙!$B$11:$B$310)),IF(379&lt;=COUNTA(半紙!$B$11:$B$310)+COUNTA(条幅!$B$11:$B$310)+COUNTA(条幅4分の1!$B$11:$B$310),INDEX(条幅4分の1!$B$11:$B$310,379-COUNTA(半紙!$B$11:$B$310)-COUNTA(条幅!$B$11:$B$310)),"")))=0,"",IF(379&lt;=COUNTA(半紙!$B$11:$B$310),INDEX(半紙!$B$11:$B$310,379),IF(379&lt;=COUNTA(半紙!$B$11:$B$310)+COUNTA(条幅!$B$11:$B$310),INDEX(条幅!$B$11:$B$310,379-COUNTA(半紙!$B$11:$B$310)),IF(379&lt;=COUNTA(半紙!$B$11:$B$310)+COUNTA(条幅!$B$11:$B$310)+COUNTA(条幅4分の1!$B$11:$B$310),INDEX(条幅4分の1!$B$11:$B$310,379-COUNTA(半紙!$B$11:$B$310)-COUNTA(条幅!$B$11:$B$310)),""))))</f>
        <v/>
      </c>
      <c r="C384" s="38" t="str">
        <f>IF(IF(379&lt;=COUNTA(半紙!$B$11:$B$310),INDEX(半紙!$C$11:$C$310,379),IF(379&lt;=COUNTA(半紙!$B$11:$B$310)+COUNTA(条幅!$B$11:$B$310),INDEX(条幅!$C$11:$C$310,379-COUNTA(半紙!$B$11:$B$310)),IF(379&lt;=COUNTA(半紙!$B$11:$B$310)+COUNTA(条幅!$B$11:$B$310)+COUNTA(条幅4分の1!$B$11:$B$310),INDEX(条幅4分の1!$C$11:$C$310,379-COUNTA(半紙!$B$11:$B$310)-COUNTA(条幅!$B$11:$B$310)),"")))=0,"",IF(379&lt;=COUNTA(半紙!$B$11:$B$310),INDEX(半紙!$C$11:$C$310,379),IF(379&lt;=COUNTA(半紙!$B$11:$B$310)+COUNTA(条幅!$B$11:$B$310),INDEX(条幅!$C$11:$C$310,379-COUNTA(半紙!$B$11:$B$310)),IF(379&lt;=COUNTA(半紙!$B$11:$B$310)+COUNTA(条幅!$B$11:$B$310)+COUNTA(条幅4分の1!$B$11:$B$310),INDEX(条幅4分の1!$C$11:$C$310,379-COUNTA(半紙!$B$11:$B$310)-COUNTA(条幅!$B$11:$B$310)),""))))</f>
        <v/>
      </c>
      <c r="D384" s="38" t="str">
        <f>IF(IF(379&lt;=COUNTA(半紙!$B$11:$B$310),INDEX(半紙!$D$11:$D$310,379),IF(379&lt;=COUNTA(半紙!$B$11:$B$310)+COUNTA(条幅!$B$11:$B$310),INDEX(条幅!$D$11:$D$310,379-COUNTA(半紙!$B$11:$B$310)),IF(379&lt;=COUNTA(半紙!$B$11:$B$310)+COUNTA(条幅!$B$11:$B$310)+COUNTA(条幅4分の1!$B$11:$B$310),INDEX(条幅4分の1!$D$11:$D$310,379-COUNTA(半紙!$B$11:$B$310)-COUNTA(条幅!$B$11:$B$310)),"")))=0,"",IF(379&lt;=COUNTA(半紙!$B$11:$B$310),INDEX(半紙!$D$11:$D$310,379),IF(379&lt;=COUNTA(半紙!$B$11:$B$310)+COUNTA(条幅!$B$11:$B$310),INDEX(条幅!$D$11:$D$310,379-COUNTA(半紙!$B$11:$B$310)),IF(379&lt;=COUNTA(半紙!$B$11:$B$310)+COUNTA(条幅!$B$11:$B$310)+COUNTA(条幅4分の1!$B$11:$B$310),INDEX(条幅4分の1!$D$11:$D$310,379-COUNTA(半紙!$B$11:$B$310)-COUNTA(条幅!$B$11:$B$310)),""))))</f>
        <v/>
      </c>
      <c r="E384" s="38" t="str">
        <f>IF(IF(379&lt;=COUNTA(半紙!$B$11:$B$310),INDEX(半紙!$E$11:$E$310,379),IF(379&lt;=COUNTA(半紙!$B$11:$B$310)+COUNTA(条幅!$B$11:$B$310),INDEX(条幅!$E$11:$E$310,379-COUNTA(半紙!$B$11:$B$310)),IF(379&lt;=COUNTA(半紙!$B$11:$B$310)+COUNTA(条幅!$B$11:$B$310)+COUNTA(条幅4分の1!$B$11:$B$310),INDEX(条幅4分の1!$E$11:$E$310,379-COUNTA(半紙!$B$11:$B$310)-COUNTA(条幅!$B$11:$B$310)),"")))=0,"",IF(379&lt;=COUNTA(半紙!$B$11:$B$310),INDEX(半紙!$E$11:$E$310,379),IF(379&lt;=COUNTA(半紙!$B$11:$B$310)+COUNTA(条幅!$B$11:$B$310),INDEX(条幅!$E$11:$E$310,379-COUNTA(半紙!$B$11:$B$310)),IF(379&lt;=COUNTA(半紙!$B$11:$B$310)+COUNTA(条幅!$B$11:$B$310)+COUNTA(条幅4分の1!$B$11:$B$310),INDEX(条幅4分の1!$E$11:$E$310,379-COUNTA(半紙!$B$11:$B$310)-COUNTA(条幅!$B$11:$B$310)),""))))</f>
        <v/>
      </c>
      <c r="F384" s="38" t="str">
        <f>IF(IF(379&lt;=COUNTA(半紙!$B$11:$B$310),INDEX(半紙!$F$11:$F$310,379),IF(379&lt;=COUNTA(半紙!$B$11:$B$310)+COUNTA(条幅!$B$11:$B$310),INDEX(条幅!$F$11:$F$310,379-COUNTA(半紙!$B$11:$B$310)),IF(379&lt;=COUNTA(半紙!$B$11:$B$310)+COUNTA(条幅!$B$11:$B$310)+COUNTA(条幅4分の1!$B$11:$B$310),INDEX(条幅4分の1!$F$11:$F$310,379-COUNTA(半紙!$B$11:$B$310)-COUNTA(条幅!$B$11:$B$310)),"")))=0,"",IF(379&lt;=COUNTA(半紙!$B$11:$B$310),INDEX(半紙!$F$11:$F$310,379),IF(379&lt;=COUNTA(半紙!$B$11:$B$310)+COUNTA(条幅!$B$11:$B$310),INDEX(条幅!$F$11:$F$310,379-COUNTA(半紙!$B$11:$B$310)),IF(379&lt;=COUNTA(半紙!$B$11:$B$310)+COUNTA(条幅!$B$11:$B$310)+COUNTA(条幅4分の1!$B$11:$B$310),INDEX(条幅4分の1!$F$11:$F$310,379-COUNTA(半紙!$B$11:$B$310)-COUNTA(条幅!$B$11:$B$310)),""))))</f>
        <v/>
      </c>
      <c r="G384" s="38" t="str">
        <f>IF(IF(379&lt;=COUNTA(半紙!$B$11:$B$310),INDEX(半紙!$G$11:$G$310,379),IF(379&lt;=COUNTA(半紙!$B$11:$B$310)+COUNTA(条幅!$B$11:$B$310),INDEX(条幅!$G$11:$G$310,379-COUNTA(半紙!$B$11:$B$310)),IF(379&lt;=COUNTA(半紙!$B$11:$B$310)+COUNTA(条幅!$B$11:$B$310)+COUNTA(条幅4分の1!$B$11:$B$310),INDEX(条幅4分の1!$G$11:$G$310,379-COUNTA(半紙!$B$11:$B$310)-COUNTA(条幅!$B$11:$B$310)),"")))=0,"",IF(379&lt;=COUNTA(半紙!$B$11:$B$310),INDEX(半紙!$G$11:$G$310,379),IF(379&lt;=COUNTA(半紙!$B$11:$B$310)+COUNTA(条幅!$B$11:$B$310),INDEX(条幅!$G$11:$G$310,379-COUNTA(半紙!$B$11:$B$310)),IF(379&lt;=COUNTA(半紙!$B$11:$B$310)+COUNTA(条幅!$B$11:$B$310)+COUNTA(条幅4分の1!$B$11:$B$310),INDEX(条幅4分の1!$G$11:$G$310,379-COUNTA(半紙!$B$11:$B$310)-COUNTA(条幅!$B$11:$B$310)),""))))</f>
        <v/>
      </c>
      <c r="H384" s="38" t="str">
        <f>IF(IF(379&lt;=COUNTA(半紙!$B$11:$B$310),INDEX(半紙!$H$11:$H$310,379),IF(379&lt;=COUNTA(半紙!$B$11:$B$310)+COUNTA(条幅!$B$11:$B$310),INDEX(条幅!$H$11:$H$310,379-COUNTA(半紙!$B$11:$B$310)),IF(379&lt;=COUNTA(半紙!$B$11:$B$310)+COUNTA(条幅!$B$11:$B$310)+COUNTA(条幅4分の1!$B$11:$B$310),INDEX(条幅4分の1!$H$11:$H$310,379-COUNTA(半紙!$B$11:$B$310)-COUNTA(条幅!$B$11:$B$310)),"")))=0,"",IF(379&lt;=COUNTA(半紙!$B$11:$B$310),INDEX(半紙!$H$11:$H$310,379),IF(379&lt;=COUNTA(半紙!$B$11:$B$310)+COUNTA(条幅!$B$11:$B$310),INDEX(条幅!$H$11:$H$310,379-COUNTA(半紙!$B$11:$B$310)),IF(379&lt;=COUNTA(半紙!$B$11:$B$310)+COUNTA(条幅!$B$11:$B$310)+COUNTA(条幅4分の1!$B$11:$B$310),INDEX(条幅4分の1!$H$11:$H$310,379-COUNTA(半紙!$B$11:$B$310)-COUNTA(条幅!$B$11:$B$310)),""))))</f>
        <v/>
      </c>
      <c r="I384" s="38" t="str">
        <f>IF(IF(379&lt;=COUNTA(半紙!$B$11:$B$310),INDEX(半紙!$I$11:$I$310,379),IF(379&lt;=COUNTA(半紙!$B$11:$B$310)+COUNTA(条幅!$B$11:$B$310),INDEX(条幅!$I$11:$I$310,379-COUNTA(半紙!$B$11:$B$310)),IF(379&lt;=COUNTA(半紙!$B$11:$B$310)+COUNTA(条幅!$B$11:$B$310)+COUNTA(条幅4分の1!$B$11:$B$310),INDEX(条幅4分の1!$I$11:$I$310,379-COUNTA(半紙!$B$11:$B$310)-COUNTA(条幅!$B$11:$B$310)),"")))=0,"",IF(379&lt;=COUNTA(半紙!$B$11:$B$310),INDEX(半紙!$I$11:$I$310,379),IF(379&lt;=COUNTA(半紙!$B$11:$B$310)+COUNTA(条幅!$B$11:$B$310),INDEX(条幅!$I$11:$I$310,379-COUNTA(半紙!$B$11:$B$310)),IF(379&lt;=COUNTA(半紙!$B$11:$B$310)+COUNTA(条幅!$B$11:$B$310)+COUNTA(条幅4分の1!$B$11:$B$310),INDEX(条幅4分の1!$I$11:$I$310,379-COUNTA(半紙!$B$11:$B$310)-COUNTA(条幅!$B$11:$B$310)),""))))</f>
        <v/>
      </c>
      <c r="J384" s="38" t="str">
        <f>IF(IF(379&lt;=COUNTA(半紙!$B$11:$B$310),INDEX(半紙!$J$11:$J$310,379),IF(379&lt;=COUNTA(半紙!$B$11:$B$310)+COUNTA(条幅!$B$11:$B$310),INDEX(条幅!$J$11:$J$310,379-COUNTA(半紙!$B$11:$B$310)),IF(379&lt;=COUNTA(半紙!$B$11:$B$310)+COUNTA(条幅!$B$11:$B$310)+COUNTA(条幅4分の1!$B$11:$B$310),INDEX(条幅4分の1!$J$11:$J$310,379-COUNTA(半紙!$B$11:$B$310)-COUNTA(条幅!$B$11:$B$310)),"")))=0,"",IF(379&lt;=COUNTA(半紙!$B$11:$B$310),INDEX(半紙!$J$11:$J$310,379),IF(379&lt;=COUNTA(半紙!$B$11:$B$310)+COUNTA(条幅!$B$11:$B$310),INDEX(条幅!$J$11:$J$310,379-COUNTA(半紙!$B$11:$B$310)),IF(379&lt;=COUNTA(半紙!$B$11:$B$310)+COUNTA(条幅!$B$11:$B$310)+COUNTA(条幅4分の1!$B$11:$B$310),INDEX(条幅4分の1!$J$11:$J$310,379-COUNTA(半紙!$B$11:$B$310)-COUNTA(条幅!$B$11:$B$310)),""))))</f>
        <v/>
      </c>
      <c r="K384" s="38" t="str">
        <f>IF(IF(379&lt;=COUNTA(半紙!$B$11:$B$310),INDEX(半紙!$K$11:$K$310,379),IF(379&lt;=COUNTA(半紙!$B$11:$B$310)+COUNTA(条幅!$B$11:$B$310),INDEX(条幅!$K$11:$K$310,379-COUNTA(半紙!$B$11:$B$310)),IF(379&lt;=COUNTA(半紙!$B$11:$B$310)+COUNTA(条幅!$B$11:$B$310)+COUNTA(条幅4分の1!$B$11:$B$310),INDEX(条幅4分の1!$K$11:$K$310,379-COUNTA(半紙!$B$11:$B$310)-COUNTA(条幅!$B$11:$B$310)),"")))=0,"",IF(379&lt;=COUNTA(半紙!$B$11:$B$310),INDEX(半紙!$K$11:$K$310,379),IF(379&lt;=COUNTA(半紙!$B$11:$B$310)+COUNTA(条幅!$B$11:$B$310),INDEX(条幅!$K$11:$K$310,379-COUNTA(半紙!$B$11:$B$310)),IF(379&lt;=COUNTA(半紙!$B$11:$B$310)+COUNTA(条幅!$B$11:$B$310)+COUNTA(条幅4分の1!$B$11:$B$310),INDEX(条幅4分の1!$K$11:$K$310,379-COUNTA(半紙!$B$11:$B$310)-COUNTA(条幅!$B$11:$B$310)),""))))</f>
        <v/>
      </c>
      <c r="L384" s="48" t="str">
        <f>IF($B384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379))</f>
        <v/>
      </c>
    </row>
    <row r="385" spans="1:12" ht="15" customHeight="1">
      <c r="A385" s="37" t="str">
        <f>IF(380&lt;=COUNTA(半紙!$B$11:$B$310),"半紙",IF(380&lt;=COUNTA(半紙!$B$11:$B$310)+COUNTA(条幅!$B$11:$B$310),"条幅(半切)",IF(380&lt;=COUNTA(半紙!$B$11:$B$310)+COUNTA(条幅!$B$11:$B$310)+COUNTA(条幅4分の1!$B$11:$B$310),"条幅(1/4)","")))</f>
        <v/>
      </c>
      <c r="B385" s="38" t="str">
        <f>IF(IF(380&lt;=COUNTA(半紙!$B$11:$B$310),INDEX(半紙!$B$11:$B$310,380),IF(380&lt;=COUNTA(半紙!$B$11:$B$310)+COUNTA(条幅!$B$11:$B$310),INDEX(条幅!$B$11:$B$310,380-COUNTA(半紙!$B$11:$B$310)),IF(380&lt;=COUNTA(半紙!$B$11:$B$310)+COUNTA(条幅!$B$11:$B$310)+COUNTA(条幅4分の1!$B$11:$B$310),INDEX(条幅4分の1!$B$11:$B$310,380-COUNTA(半紙!$B$11:$B$310)-COUNTA(条幅!$B$11:$B$310)),"")))=0,"",IF(380&lt;=COUNTA(半紙!$B$11:$B$310),INDEX(半紙!$B$11:$B$310,380),IF(380&lt;=COUNTA(半紙!$B$11:$B$310)+COUNTA(条幅!$B$11:$B$310),INDEX(条幅!$B$11:$B$310,380-COUNTA(半紙!$B$11:$B$310)),IF(380&lt;=COUNTA(半紙!$B$11:$B$310)+COUNTA(条幅!$B$11:$B$310)+COUNTA(条幅4分の1!$B$11:$B$310),INDEX(条幅4分の1!$B$11:$B$310,380-COUNTA(半紙!$B$11:$B$310)-COUNTA(条幅!$B$11:$B$310)),""))))</f>
        <v/>
      </c>
      <c r="C385" s="38" t="str">
        <f>IF(IF(380&lt;=COUNTA(半紙!$B$11:$B$310),INDEX(半紙!$C$11:$C$310,380),IF(380&lt;=COUNTA(半紙!$B$11:$B$310)+COUNTA(条幅!$B$11:$B$310),INDEX(条幅!$C$11:$C$310,380-COUNTA(半紙!$B$11:$B$310)),IF(380&lt;=COUNTA(半紙!$B$11:$B$310)+COUNTA(条幅!$B$11:$B$310)+COUNTA(条幅4分の1!$B$11:$B$310),INDEX(条幅4分の1!$C$11:$C$310,380-COUNTA(半紙!$B$11:$B$310)-COUNTA(条幅!$B$11:$B$310)),"")))=0,"",IF(380&lt;=COUNTA(半紙!$B$11:$B$310),INDEX(半紙!$C$11:$C$310,380),IF(380&lt;=COUNTA(半紙!$B$11:$B$310)+COUNTA(条幅!$B$11:$B$310),INDEX(条幅!$C$11:$C$310,380-COUNTA(半紙!$B$11:$B$310)),IF(380&lt;=COUNTA(半紙!$B$11:$B$310)+COUNTA(条幅!$B$11:$B$310)+COUNTA(条幅4分の1!$B$11:$B$310),INDEX(条幅4分の1!$C$11:$C$310,380-COUNTA(半紙!$B$11:$B$310)-COUNTA(条幅!$B$11:$B$310)),""))))</f>
        <v/>
      </c>
      <c r="D385" s="38" t="str">
        <f>IF(IF(380&lt;=COUNTA(半紙!$B$11:$B$310),INDEX(半紙!$D$11:$D$310,380),IF(380&lt;=COUNTA(半紙!$B$11:$B$310)+COUNTA(条幅!$B$11:$B$310),INDEX(条幅!$D$11:$D$310,380-COUNTA(半紙!$B$11:$B$310)),IF(380&lt;=COUNTA(半紙!$B$11:$B$310)+COUNTA(条幅!$B$11:$B$310)+COUNTA(条幅4分の1!$B$11:$B$310),INDEX(条幅4分の1!$D$11:$D$310,380-COUNTA(半紙!$B$11:$B$310)-COUNTA(条幅!$B$11:$B$310)),"")))=0,"",IF(380&lt;=COUNTA(半紙!$B$11:$B$310),INDEX(半紙!$D$11:$D$310,380),IF(380&lt;=COUNTA(半紙!$B$11:$B$310)+COUNTA(条幅!$B$11:$B$310),INDEX(条幅!$D$11:$D$310,380-COUNTA(半紙!$B$11:$B$310)),IF(380&lt;=COUNTA(半紙!$B$11:$B$310)+COUNTA(条幅!$B$11:$B$310)+COUNTA(条幅4分の1!$B$11:$B$310),INDEX(条幅4分の1!$D$11:$D$310,380-COUNTA(半紙!$B$11:$B$310)-COUNTA(条幅!$B$11:$B$310)),""))))</f>
        <v/>
      </c>
      <c r="E385" s="38" t="str">
        <f>IF(IF(380&lt;=COUNTA(半紙!$B$11:$B$310),INDEX(半紙!$E$11:$E$310,380),IF(380&lt;=COUNTA(半紙!$B$11:$B$310)+COUNTA(条幅!$B$11:$B$310),INDEX(条幅!$E$11:$E$310,380-COUNTA(半紙!$B$11:$B$310)),IF(380&lt;=COUNTA(半紙!$B$11:$B$310)+COUNTA(条幅!$B$11:$B$310)+COUNTA(条幅4分の1!$B$11:$B$310),INDEX(条幅4分の1!$E$11:$E$310,380-COUNTA(半紙!$B$11:$B$310)-COUNTA(条幅!$B$11:$B$310)),"")))=0,"",IF(380&lt;=COUNTA(半紙!$B$11:$B$310),INDEX(半紙!$E$11:$E$310,380),IF(380&lt;=COUNTA(半紙!$B$11:$B$310)+COUNTA(条幅!$B$11:$B$310),INDEX(条幅!$E$11:$E$310,380-COUNTA(半紙!$B$11:$B$310)),IF(380&lt;=COUNTA(半紙!$B$11:$B$310)+COUNTA(条幅!$B$11:$B$310)+COUNTA(条幅4分の1!$B$11:$B$310),INDEX(条幅4分の1!$E$11:$E$310,380-COUNTA(半紙!$B$11:$B$310)-COUNTA(条幅!$B$11:$B$310)),""))))</f>
        <v/>
      </c>
      <c r="F385" s="38" t="str">
        <f>IF(IF(380&lt;=COUNTA(半紙!$B$11:$B$310),INDEX(半紙!$F$11:$F$310,380),IF(380&lt;=COUNTA(半紙!$B$11:$B$310)+COUNTA(条幅!$B$11:$B$310),INDEX(条幅!$F$11:$F$310,380-COUNTA(半紙!$B$11:$B$310)),IF(380&lt;=COUNTA(半紙!$B$11:$B$310)+COUNTA(条幅!$B$11:$B$310)+COUNTA(条幅4分の1!$B$11:$B$310),INDEX(条幅4分の1!$F$11:$F$310,380-COUNTA(半紙!$B$11:$B$310)-COUNTA(条幅!$B$11:$B$310)),"")))=0,"",IF(380&lt;=COUNTA(半紙!$B$11:$B$310),INDEX(半紙!$F$11:$F$310,380),IF(380&lt;=COUNTA(半紙!$B$11:$B$310)+COUNTA(条幅!$B$11:$B$310),INDEX(条幅!$F$11:$F$310,380-COUNTA(半紙!$B$11:$B$310)),IF(380&lt;=COUNTA(半紙!$B$11:$B$310)+COUNTA(条幅!$B$11:$B$310)+COUNTA(条幅4分の1!$B$11:$B$310),INDEX(条幅4分の1!$F$11:$F$310,380-COUNTA(半紙!$B$11:$B$310)-COUNTA(条幅!$B$11:$B$310)),""))))</f>
        <v/>
      </c>
      <c r="G385" s="38" t="str">
        <f>IF(IF(380&lt;=COUNTA(半紙!$B$11:$B$310),INDEX(半紙!$G$11:$G$310,380),IF(380&lt;=COUNTA(半紙!$B$11:$B$310)+COUNTA(条幅!$B$11:$B$310),INDEX(条幅!$G$11:$G$310,380-COUNTA(半紙!$B$11:$B$310)),IF(380&lt;=COUNTA(半紙!$B$11:$B$310)+COUNTA(条幅!$B$11:$B$310)+COUNTA(条幅4分の1!$B$11:$B$310),INDEX(条幅4分の1!$G$11:$G$310,380-COUNTA(半紙!$B$11:$B$310)-COUNTA(条幅!$B$11:$B$310)),"")))=0,"",IF(380&lt;=COUNTA(半紙!$B$11:$B$310),INDEX(半紙!$G$11:$G$310,380),IF(380&lt;=COUNTA(半紙!$B$11:$B$310)+COUNTA(条幅!$B$11:$B$310),INDEX(条幅!$G$11:$G$310,380-COUNTA(半紙!$B$11:$B$310)),IF(380&lt;=COUNTA(半紙!$B$11:$B$310)+COUNTA(条幅!$B$11:$B$310)+COUNTA(条幅4分の1!$B$11:$B$310),INDEX(条幅4分の1!$G$11:$G$310,380-COUNTA(半紙!$B$11:$B$310)-COUNTA(条幅!$B$11:$B$310)),""))))</f>
        <v/>
      </c>
      <c r="H385" s="38" t="str">
        <f>IF(IF(380&lt;=COUNTA(半紙!$B$11:$B$310),INDEX(半紙!$H$11:$H$310,380),IF(380&lt;=COUNTA(半紙!$B$11:$B$310)+COUNTA(条幅!$B$11:$B$310),INDEX(条幅!$H$11:$H$310,380-COUNTA(半紙!$B$11:$B$310)),IF(380&lt;=COUNTA(半紙!$B$11:$B$310)+COUNTA(条幅!$B$11:$B$310)+COUNTA(条幅4分の1!$B$11:$B$310),INDEX(条幅4分の1!$H$11:$H$310,380-COUNTA(半紙!$B$11:$B$310)-COUNTA(条幅!$B$11:$B$310)),"")))=0,"",IF(380&lt;=COUNTA(半紙!$B$11:$B$310),INDEX(半紙!$H$11:$H$310,380),IF(380&lt;=COUNTA(半紙!$B$11:$B$310)+COUNTA(条幅!$B$11:$B$310),INDEX(条幅!$H$11:$H$310,380-COUNTA(半紙!$B$11:$B$310)),IF(380&lt;=COUNTA(半紙!$B$11:$B$310)+COUNTA(条幅!$B$11:$B$310)+COUNTA(条幅4分の1!$B$11:$B$310),INDEX(条幅4分の1!$H$11:$H$310,380-COUNTA(半紙!$B$11:$B$310)-COUNTA(条幅!$B$11:$B$310)),""))))</f>
        <v/>
      </c>
      <c r="I385" s="38" t="str">
        <f>IF(IF(380&lt;=COUNTA(半紙!$B$11:$B$310),INDEX(半紙!$I$11:$I$310,380),IF(380&lt;=COUNTA(半紙!$B$11:$B$310)+COUNTA(条幅!$B$11:$B$310),INDEX(条幅!$I$11:$I$310,380-COUNTA(半紙!$B$11:$B$310)),IF(380&lt;=COUNTA(半紙!$B$11:$B$310)+COUNTA(条幅!$B$11:$B$310)+COUNTA(条幅4分の1!$B$11:$B$310),INDEX(条幅4分の1!$I$11:$I$310,380-COUNTA(半紙!$B$11:$B$310)-COUNTA(条幅!$B$11:$B$310)),"")))=0,"",IF(380&lt;=COUNTA(半紙!$B$11:$B$310),INDEX(半紙!$I$11:$I$310,380),IF(380&lt;=COUNTA(半紙!$B$11:$B$310)+COUNTA(条幅!$B$11:$B$310),INDEX(条幅!$I$11:$I$310,380-COUNTA(半紙!$B$11:$B$310)),IF(380&lt;=COUNTA(半紙!$B$11:$B$310)+COUNTA(条幅!$B$11:$B$310)+COUNTA(条幅4分の1!$B$11:$B$310),INDEX(条幅4分の1!$I$11:$I$310,380-COUNTA(半紙!$B$11:$B$310)-COUNTA(条幅!$B$11:$B$310)),""))))</f>
        <v/>
      </c>
      <c r="J385" s="38" t="str">
        <f>IF(IF(380&lt;=COUNTA(半紙!$B$11:$B$310),INDEX(半紙!$J$11:$J$310,380),IF(380&lt;=COUNTA(半紙!$B$11:$B$310)+COUNTA(条幅!$B$11:$B$310),INDEX(条幅!$J$11:$J$310,380-COUNTA(半紙!$B$11:$B$310)),IF(380&lt;=COUNTA(半紙!$B$11:$B$310)+COUNTA(条幅!$B$11:$B$310)+COUNTA(条幅4分の1!$B$11:$B$310),INDEX(条幅4分の1!$J$11:$J$310,380-COUNTA(半紙!$B$11:$B$310)-COUNTA(条幅!$B$11:$B$310)),"")))=0,"",IF(380&lt;=COUNTA(半紙!$B$11:$B$310),INDEX(半紙!$J$11:$J$310,380),IF(380&lt;=COUNTA(半紙!$B$11:$B$310)+COUNTA(条幅!$B$11:$B$310),INDEX(条幅!$J$11:$J$310,380-COUNTA(半紙!$B$11:$B$310)),IF(380&lt;=COUNTA(半紙!$B$11:$B$310)+COUNTA(条幅!$B$11:$B$310)+COUNTA(条幅4分の1!$B$11:$B$310),INDEX(条幅4分の1!$J$11:$J$310,380-COUNTA(半紙!$B$11:$B$310)-COUNTA(条幅!$B$11:$B$310)),""))))</f>
        <v/>
      </c>
      <c r="K385" s="38" t="str">
        <f>IF(IF(380&lt;=COUNTA(半紙!$B$11:$B$310),INDEX(半紙!$K$11:$K$310,380),IF(380&lt;=COUNTA(半紙!$B$11:$B$310)+COUNTA(条幅!$B$11:$B$310),INDEX(条幅!$K$11:$K$310,380-COUNTA(半紙!$B$11:$B$310)),IF(380&lt;=COUNTA(半紙!$B$11:$B$310)+COUNTA(条幅!$B$11:$B$310)+COUNTA(条幅4分の1!$B$11:$B$310),INDEX(条幅4分の1!$K$11:$K$310,380-COUNTA(半紙!$B$11:$B$310)-COUNTA(条幅!$B$11:$B$310)),"")))=0,"",IF(380&lt;=COUNTA(半紙!$B$11:$B$310),INDEX(半紙!$K$11:$K$310,380),IF(380&lt;=COUNTA(半紙!$B$11:$B$310)+COUNTA(条幅!$B$11:$B$310),INDEX(条幅!$K$11:$K$310,380-COUNTA(半紙!$B$11:$B$310)),IF(380&lt;=COUNTA(半紙!$B$11:$B$310)+COUNTA(条幅!$B$11:$B$310)+COUNTA(条幅4分の1!$B$11:$B$310),INDEX(条幅4分の1!$K$11:$K$310,380-COUNTA(半紙!$B$11:$B$310)-COUNTA(条幅!$B$11:$B$310)),""))))</f>
        <v/>
      </c>
      <c r="L385" s="48" t="str">
        <f>IF($B385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380))</f>
        <v/>
      </c>
    </row>
    <row r="386" spans="1:12" ht="15" customHeight="1">
      <c r="A386" s="37" t="str">
        <f>IF(381&lt;=COUNTA(半紙!$B$11:$B$310),"半紙",IF(381&lt;=COUNTA(半紙!$B$11:$B$310)+COUNTA(条幅!$B$11:$B$310),"条幅(半切)",IF(381&lt;=COUNTA(半紙!$B$11:$B$310)+COUNTA(条幅!$B$11:$B$310)+COUNTA(条幅4分の1!$B$11:$B$310),"条幅(1/4)","")))</f>
        <v/>
      </c>
      <c r="B386" s="38" t="str">
        <f>IF(IF(381&lt;=COUNTA(半紙!$B$11:$B$310),INDEX(半紙!$B$11:$B$310,381),IF(381&lt;=COUNTA(半紙!$B$11:$B$310)+COUNTA(条幅!$B$11:$B$310),INDEX(条幅!$B$11:$B$310,381-COUNTA(半紙!$B$11:$B$310)),IF(381&lt;=COUNTA(半紙!$B$11:$B$310)+COUNTA(条幅!$B$11:$B$310)+COUNTA(条幅4分の1!$B$11:$B$310),INDEX(条幅4分の1!$B$11:$B$310,381-COUNTA(半紙!$B$11:$B$310)-COUNTA(条幅!$B$11:$B$310)),"")))=0,"",IF(381&lt;=COUNTA(半紙!$B$11:$B$310),INDEX(半紙!$B$11:$B$310,381),IF(381&lt;=COUNTA(半紙!$B$11:$B$310)+COUNTA(条幅!$B$11:$B$310),INDEX(条幅!$B$11:$B$310,381-COUNTA(半紙!$B$11:$B$310)),IF(381&lt;=COUNTA(半紙!$B$11:$B$310)+COUNTA(条幅!$B$11:$B$310)+COUNTA(条幅4分の1!$B$11:$B$310),INDEX(条幅4分の1!$B$11:$B$310,381-COUNTA(半紙!$B$11:$B$310)-COUNTA(条幅!$B$11:$B$310)),""))))</f>
        <v/>
      </c>
      <c r="C386" s="38" t="str">
        <f>IF(IF(381&lt;=COUNTA(半紙!$B$11:$B$310),INDEX(半紙!$C$11:$C$310,381),IF(381&lt;=COUNTA(半紙!$B$11:$B$310)+COUNTA(条幅!$B$11:$B$310),INDEX(条幅!$C$11:$C$310,381-COUNTA(半紙!$B$11:$B$310)),IF(381&lt;=COUNTA(半紙!$B$11:$B$310)+COUNTA(条幅!$B$11:$B$310)+COUNTA(条幅4分の1!$B$11:$B$310),INDEX(条幅4分の1!$C$11:$C$310,381-COUNTA(半紙!$B$11:$B$310)-COUNTA(条幅!$B$11:$B$310)),"")))=0,"",IF(381&lt;=COUNTA(半紙!$B$11:$B$310),INDEX(半紙!$C$11:$C$310,381),IF(381&lt;=COUNTA(半紙!$B$11:$B$310)+COUNTA(条幅!$B$11:$B$310),INDEX(条幅!$C$11:$C$310,381-COUNTA(半紙!$B$11:$B$310)),IF(381&lt;=COUNTA(半紙!$B$11:$B$310)+COUNTA(条幅!$B$11:$B$310)+COUNTA(条幅4分の1!$B$11:$B$310),INDEX(条幅4分の1!$C$11:$C$310,381-COUNTA(半紙!$B$11:$B$310)-COUNTA(条幅!$B$11:$B$310)),""))))</f>
        <v/>
      </c>
      <c r="D386" s="38" t="str">
        <f>IF(IF(381&lt;=COUNTA(半紙!$B$11:$B$310),INDEX(半紙!$D$11:$D$310,381),IF(381&lt;=COUNTA(半紙!$B$11:$B$310)+COUNTA(条幅!$B$11:$B$310),INDEX(条幅!$D$11:$D$310,381-COUNTA(半紙!$B$11:$B$310)),IF(381&lt;=COUNTA(半紙!$B$11:$B$310)+COUNTA(条幅!$B$11:$B$310)+COUNTA(条幅4分の1!$B$11:$B$310),INDEX(条幅4分の1!$D$11:$D$310,381-COUNTA(半紙!$B$11:$B$310)-COUNTA(条幅!$B$11:$B$310)),"")))=0,"",IF(381&lt;=COUNTA(半紙!$B$11:$B$310),INDEX(半紙!$D$11:$D$310,381),IF(381&lt;=COUNTA(半紙!$B$11:$B$310)+COUNTA(条幅!$B$11:$B$310),INDEX(条幅!$D$11:$D$310,381-COUNTA(半紙!$B$11:$B$310)),IF(381&lt;=COUNTA(半紙!$B$11:$B$310)+COUNTA(条幅!$B$11:$B$310)+COUNTA(条幅4分の1!$B$11:$B$310),INDEX(条幅4分の1!$D$11:$D$310,381-COUNTA(半紙!$B$11:$B$310)-COUNTA(条幅!$B$11:$B$310)),""))))</f>
        <v/>
      </c>
      <c r="E386" s="38" t="str">
        <f>IF(IF(381&lt;=COUNTA(半紙!$B$11:$B$310),INDEX(半紙!$E$11:$E$310,381),IF(381&lt;=COUNTA(半紙!$B$11:$B$310)+COUNTA(条幅!$B$11:$B$310),INDEX(条幅!$E$11:$E$310,381-COUNTA(半紙!$B$11:$B$310)),IF(381&lt;=COUNTA(半紙!$B$11:$B$310)+COUNTA(条幅!$B$11:$B$310)+COUNTA(条幅4分の1!$B$11:$B$310),INDEX(条幅4分の1!$E$11:$E$310,381-COUNTA(半紙!$B$11:$B$310)-COUNTA(条幅!$B$11:$B$310)),"")))=0,"",IF(381&lt;=COUNTA(半紙!$B$11:$B$310),INDEX(半紙!$E$11:$E$310,381),IF(381&lt;=COUNTA(半紙!$B$11:$B$310)+COUNTA(条幅!$B$11:$B$310),INDEX(条幅!$E$11:$E$310,381-COUNTA(半紙!$B$11:$B$310)),IF(381&lt;=COUNTA(半紙!$B$11:$B$310)+COUNTA(条幅!$B$11:$B$310)+COUNTA(条幅4分の1!$B$11:$B$310),INDEX(条幅4分の1!$E$11:$E$310,381-COUNTA(半紙!$B$11:$B$310)-COUNTA(条幅!$B$11:$B$310)),""))))</f>
        <v/>
      </c>
      <c r="F386" s="38" t="str">
        <f>IF(IF(381&lt;=COUNTA(半紙!$B$11:$B$310),INDEX(半紙!$F$11:$F$310,381),IF(381&lt;=COUNTA(半紙!$B$11:$B$310)+COUNTA(条幅!$B$11:$B$310),INDEX(条幅!$F$11:$F$310,381-COUNTA(半紙!$B$11:$B$310)),IF(381&lt;=COUNTA(半紙!$B$11:$B$310)+COUNTA(条幅!$B$11:$B$310)+COUNTA(条幅4分の1!$B$11:$B$310),INDEX(条幅4分の1!$F$11:$F$310,381-COUNTA(半紙!$B$11:$B$310)-COUNTA(条幅!$B$11:$B$310)),"")))=0,"",IF(381&lt;=COUNTA(半紙!$B$11:$B$310),INDEX(半紙!$F$11:$F$310,381),IF(381&lt;=COUNTA(半紙!$B$11:$B$310)+COUNTA(条幅!$B$11:$B$310),INDEX(条幅!$F$11:$F$310,381-COUNTA(半紙!$B$11:$B$310)),IF(381&lt;=COUNTA(半紙!$B$11:$B$310)+COUNTA(条幅!$B$11:$B$310)+COUNTA(条幅4分の1!$B$11:$B$310),INDEX(条幅4分の1!$F$11:$F$310,381-COUNTA(半紙!$B$11:$B$310)-COUNTA(条幅!$B$11:$B$310)),""))))</f>
        <v/>
      </c>
      <c r="G386" s="38" t="str">
        <f>IF(IF(381&lt;=COUNTA(半紙!$B$11:$B$310),INDEX(半紙!$G$11:$G$310,381),IF(381&lt;=COUNTA(半紙!$B$11:$B$310)+COUNTA(条幅!$B$11:$B$310),INDEX(条幅!$G$11:$G$310,381-COUNTA(半紙!$B$11:$B$310)),IF(381&lt;=COUNTA(半紙!$B$11:$B$310)+COUNTA(条幅!$B$11:$B$310)+COUNTA(条幅4分の1!$B$11:$B$310),INDEX(条幅4分の1!$G$11:$G$310,381-COUNTA(半紙!$B$11:$B$310)-COUNTA(条幅!$B$11:$B$310)),"")))=0,"",IF(381&lt;=COUNTA(半紙!$B$11:$B$310),INDEX(半紙!$G$11:$G$310,381),IF(381&lt;=COUNTA(半紙!$B$11:$B$310)+COUNTA(条幅!$B$11:$B$310),INDEX(条幅!$G$11:$G$310,381-COUNTA(半紙!$B$11:$B$310)),IF(381&lt;=COUNTA(半紙!$B$11:$B$310)+COUNTA(条幅!$B$11:$B$310)+COUNTA(条幅4分の1!$B$11:$B$310),INDEX(条幅4分の1!$G$11:$G$310,381-COUNTA(半紙!$B$11:$B$310)-COUNTA(条幅!$B$11:$B$310)),""))))</f>
        <v/>
      </c>
      <c r="H386" s="38" t="str">
        <f>IF(IF(381&lt;=COUNTA(半紙!$B$11:$B$310),INDEX(半紙!$H$11:$H$310,381),IF(381&lt;=COUNTA(半紙!$B$11:$B$310)+COUNTA(条幅!$B$11:$B$310),INDEX(条幅!$H$11:$H$310,381-COUNTA(半紙!$B$11:$B$310)),IF(381&lt;=COUNTA(半紙!$B$11:$B$310)+COUNTA(条幅!$B$11:$B$310)+COUNTA(条幅4分の1!$B$11:$B$310),INDEX(条幅4分の1!$H$11:$H$310,381-COUNTA(半紙!$B$11:$B$310)-COUNTA(条幅!$B$11:$B$310)),"")))=0,"",IF(381&lt;=COUNTA(半紙!$B$11:$B$310),INDEX(半紙!$H$11:$H$310,381),IF(381&lt;=COUNTA(半紙!$B$11:$B$310)+COUNTA(条幅!$B$11:$B$310),INDEX(条幅!$H$11:$H$310,381-COUNTA(半紙!$B$11:$B$310)),IF(381&lt;=COUNTA(半紙!$B$11:$B$310)+COUNTA(条幅!$B$11:$B$310)+COUNTA(条幅4分の1!$B$11:$B$310),INDEX(条幅4分の1!$H$11:$H$310,381-COUNTA(半紙!$B$11:$B$310)-COUNTA(条幅!$B$11:$B$310)),""))))</f>
        <v/>
      </c>
      <c r="I386" s="38" t="str">
        <f>IF(IF(381&lt;=COUNTA(半紙!$B$11:$B$310),INDEX(半紙!$I$11:$I$310,381),IF(381&lt;=COUNTA(半紙!$B$11:$B$310)+COUNTA(条幅!$B$11:$B$310),INDEX(条幅!$I$11:$I$310,381-COUNTA(半紙!$B$11:$B$310)),IF(381&lt;=COUNTA(半紙!$B$11:$B$310)+COUNTA(条幅!$B$11:$B$310)+COUNTA(条幅4分の1!$B$11:$B$310),INDEX(条幅4分の1!$I$11:$I$310,381-COUNTA(半紙!$B$11:$B$310)-COUNTA(条幅!$B$11:$B$310)),"")))=0,"",IF(381&lt;=COUNTA(半紙!$B$11:$B$310),INDEX(半紙!$I$11:$I$310,381),IF(381&lt;=COUNTA(半紙!$B$11:$B$310)+COUNTA(条幅!$B$11:$B$310),INDEX(条幅!$I$11:$I$310,381-COUNTA(半紙!$B$11:$B$310)),IF(381&lt;=COUNTA(半紙!$B$11:$B$310)+COUNTA(条幅!$B$11:$B$310)+COUNTA(条幅4分の1!$B$11:$B$310),INDEX(条幅4分の1!$I$11:$I$310,381-COUNTA(半紙!$B$11:$B$310)-COUNTA(条幅!$B$11:$B$310)),""))))</f>
        <v/>
      </c>
      <c r="J386" s="38" t="str">
        <f>IF(IF(381&lt;=COUNTA(半紙!$B$11:$B$310),INDEX(半紙!$J$11:$J$310,381),IF(381&lt;=COUNTA(半紙!$B$11:$B$310)+COUNTA(条幅!$B$11:$B$310),INDEX(条幅!$J$11:$J$310,381-COUNTA(半紙!$B$11:$B$310)),IF(381&lt;=COUNTA(半紙!$B$11:$B$310)+COUNTA(条幅!$B$11:$B$310)+COUNTA(条幅4分の1!$B$11:$B$310),INDEX(条幅4分の1!$J$11:$J$310,381-COUNTA(半紙!$B$11:$B$310)-COUNTA(条幅!$B$11:$B$310)),"")))=0,"",IF(381&lt;=COUNTA(半紙!$B$11:$B$310),INDEX(半紙!$J$11:$J$310,381),IF(381&lt;=COUNTA(半紙!$B$11:$B$310)+COUNTA(条幅!$B$11:$B$310),INDEX(条幅!$J$11:$J$310,381-COUNTA(半紙!$B$11:$B$310)),IF(381&lt;=COUNTA(半紙!$B$11:$B$310)+COUNTA(条幅!$B$11:$B$310)+COUNTA(条幅4分の1!$B$11:$B$310),INDEX(条幅4分の1!$J$11:$J$310,381-COUNTA(半紙!$B$11:$B$310)-COUNTA(条幅!$B$11:$B$310)),""))))</f>
        <v/>
      </c>
      <c r="K386" s="38" t="str">
        <f>IF(IF(381&lt;=COUNTA(半紙!$B$11:$B$310),INDEX(半紙!$K$11:$K$310,381),IF(381&lt;=COUNTA(半紙!$B$11:$B$310)+COUNTA(条幅!$B$11:$B$310),INDEX(条幅!$K$11:$K$310,381-COUNTA(半紙!$B$11:$B$310)),IF(381&lt;=COUNTA(半紙!$B$11:$B$310)+COUNTA(条幅!$B$11:$B$310)+COUNTA(条幅4分の1!$B$11:$B$310),INDEX(条幅4分の1!$K$11:$K$310,381-COUNTA(半紙!$B$11:$B$310)-COUNTA(条幅!$B$11:$B$310)),"")))=0,"",IF(381&lt;=COUNTA(半紙!$B$11:$B$310),INDEX(半紙!$K$11:$K$310,381),IF(381&lt;=COUNTA(半紙!$B$11:$B$310)+COUNTA(条幅!$B$11:$B$310),INDEX(条幅!$K$11:$K$310,381-COUNTA(半紙!$B$11:$B$310)),IF(381&lt;=COUNTA(半紙!$B$11:$B$310)+COUNTA(条幅!$B$11:$B$310)+COUNTA(条幅4分の1!$B$11:$B$310),INDEX(条幅4分の1!$K$11:$K$310,381-COUNTA(半紙!$B$11:$B$310)-COUNTA(条幅!$B$11:$B$310)),""))))</f>
        <v/>
      </c>
      <c r="L386" s="48" t="str">
        <f>IF($B386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381))</f>
        <v/>
      </c>
    </row>
    <row r="387" spans="1:12" ht="15" customHeight="1">
      <c r="A387" s="37" t="str">
        <f>IF(382&lt;=COUNTA(半紙!$B$11:$B$310),"半紙",IF(382&lt;=COUNTA(半紙!$B$11:$B$310)+COUNTA(条幅!$B$11:$B$310),"条幅(半切)",IF(382&lt;=COUNTA(半紙!$B$11:$B$310)+COUNTA(条幅!$B$11:$B$310)+COUNTA(条幅4分の1!$B$11:$B$310),"条幅(1/4)","")))</f>
        <v/>
      </c>
      <c r="B387" s="38" t="str">
        <f>IF(IF(382&lt;=COUNTA(半紙!$B$11:$B$310),INDEX(半紙!$B$11:$B$310,382),IF(382&lt;=COUNTA(半紙!$B$11:$B$310)+COUNTA(条幅!$B$11:$B$310),INDEX(条幅!$B$11:$B$310,382-COUNTA(半紙!$B$11:$B$310)),IF(382&lt;=COUNTA(半紙!$B$11:$B$310)+COUNTA(条幅!$B$11:$B$310)+COUNTA(条幅4分の1!$B$11:$B$310),INDEX(条幅4分の1!$B$11:$B$310,382-COUNTA(半紙!$B$11:$B$310)-COUNTA(条幅!$B$11:$B$310)),"")))=0,"",IF(382&lt;=COUNTA(半紙!$B$11:$B$310),INDEX(半紙!$B$11:$B$310,382),IF(382&lt;=COUNTA(半紙!$B$11:$B$310)+COUNTA(条幅!$B$11:$B$310),INDEX(条幅!$B$11:$B$310,382-COUNTA(半紙!$B$11:$B$310)),IF(382&lt;=COUNTA(半紙!$B$11:$B$310)+COUNTA(条幅!$B$11:$B$310)+COUNTA(条幅4分の1!$B$11:$B$310),INDEX(条幅4分の1!$B$11:$B$310,382-COUNTA(半紙!$B$11:$B$310)-COUNTA(条幅!$B$11:$B$310)),""))))</f>
        <v/>
      </c>
      <c r="C387" s="38" t="str">
        <f>IF(IF(382&lt;=COUNTA(半紙!$B$11:$B$310),INDEX(半紙!$C$11:$C$310,382),IF(382&lt;=COUNTA(半紙!$B$11:$B$310)+COUNTA(条幅!$B$11:$B$310),INDEX(条幅!$C$11:$C$310,382-COUNTA(半紙!$B$11:$B$310)),IF(382&lt;=COUNTA(半紙!$B$11:$B$310)+COUNTA(条幅!$B$11:$B$310)+COUNTA(条幅4分の1!$B$11:$B$310),INDEX(条幅4分の1!$C$11:$C$310,382-COUNTA(半紙!$B$11:$B$310)-COUNTA(条幅!$B$11:$B$310)),"")))=0,"",IF(382&lt;=COUNTA(半紙!$B$11:$B$310),INDEX(半紙!$C$11:$C$310,382),IF(382&lt;=COUNTA(半紙!$B$11:$B$310)+COUNTA(条幅!$B$11:$B$310),INDEX(条幅!$C$11:$C$310,382-COUNTA(半紙!$B$11:$B$310)),IF(382&lt;=COUNTA(半紙!$B$11:$B$310)+COUNTA(条幅!$B$11:$B$310)+COUNTA(条幅4分の1!$B$11:$B$310),INDEX(条幅4分の1!$C$11:$C$310,382-COUNTA(半紙!$B$11:$B$310)-COUNTA(条幅!$B$11:$B$310)),""))))</f>
        <v/>
      </c>
      <c r="D387" s="38" t="str">
        <f>IF(IF(382&lt;=COUNTA(半紙!$B$11:$B$310),INDEX(半紙!$D$11:$D$310,382),IF(382&lt;=COUNTA(半紙!$B$11:$B$310)+COUNTA(条幅!$B$11:$B$310),INDEX(条幅!$D$11:$D$310,382-COUNTA(半紙!$B$11:$B$310)),IF(382&lt;=COUNTA(半紙!$B$11:$B$310)+COUNTA(条幅!$B$11:$B$310)+COUNTA(条幅4分の1!$B$11:$B$310),INDEX(条幅4分の1!$D$11:$D$310,382-COUNTA(半紙!$B$11:$B$310)-COUNTA(条幅!$B$11:$B$310)),"")))=0,"",IF(382&lt;=COUNTA(半紙!$B$11:$B$310),INDEX(半紙!$D$11:$D$310,382),IF(382&lt;=COUNTA(半紙!$B$11:$B$310)+COUNTA(条幅!$B$11:$B$310),INDEX(条幅!$D$11:$D$310,382-COUNTA(半紙!$B$11:$B$310)),IF(382&lt;=COUNTA(半紙!$B$11:$B$310)+COUNTA(条幅!$B$11:$B$310)+COUNTA(条幅4分の1!$B$11:$B$310),INDEX(条幅4分の1!$D$11:$D$310,382-COUNTA(半紙!$B$11:$B$310)-COUNTA(条幅!$B$11:$B$310)),""))))</f>
        <v/>
      </c>
      <c r="E387" s="38" t="str">
        <f>IF(IF(382&lt;=COUNTA(半紙!$B$11:$B$310),INDEX(半紙!$E$11:$E$310,382),IF(382&lt;=COUNTA(半紙!$B$11:$B$310)+COUNTA(条幅!$B$11:$B$310),INDEX(条幅!$E$11:$E$310,382-COUNTA(半紙!$B$11:$B$310)),IF(382&lt;=COUNTA(半紙!$B$11:$B$310)+COUNTA(条幅!$B$11:$B$310)+COUNTA(条幅4分の1!$B$11:$B$310),INDEX(条幅4分の1!$E$11:$E$310,382-COUNTA(半紙!$B$11:$B$310)-COUNTA(条幅!$B$11:$B$310)),"")))=0,"",IF(382&lt;=COUNTA(半紙!$B$11:$B$310),INDEX(半紙!$E$11:$E$310,382),IF(382&lt;=COUNTA(半紙!$B$11:$B$310)+COUNTA(条幅!$B$11:$B$310),INDEX(条幅!$E$11:$E$310,382-COUNTA(半紙!$B$11:$B$310)),IF(382&lt;=COUNTA(半紙!$B$11:$B$310)+COUNTA(条幅!$B$11:$B$310)+COUNTA(条幅4分の1!$B$11:$B$310),INDEX(条幅4分の1!$E$11:$E$310,382-COUNTA(半紙!$B$11:$B$310)-COUNTA(条幅!$B$11:$B$310)),""))))</f>
        <v/>
      </c>
      <c r="F387" s="38" t="str">
        <f>IF(IF(382&lt;=COUNTA(半紙!$B$11:$B$310),INDEX(半紙!$F$11:$F$310,382),IF(382&lt;=COUNTA(半紙!$B$11:$B$310)+COUNTA(条幅!$B$11:$B$310),INDEX(条幅!$F$11:$F$310,382-COUNTA(半紙!$B$11:$B$310)),IF(382&lt;=COUNTA(半紙!$B$11:$B$310)+COUNTA(条幅!$B$11:$B$310)+COUNTA(条幅4分の1!$B$11:$B$310),INDEX(条幅4分の1!$F$11:$F$310,382-COUNTA(半紙!$B$11:$B$310)-COUNTA(条幅!$B$11:$B$310)),"")))=0,"",IF(382&lt;=COUNTA(半紙!$B$11:$B$310),INDEX(半紙!$F$11:$F$310,382),IF(382&lt;=COUNTA(半紙!$B$11:$B$310)+COUNTA(条幅!$B$11:$B$310),INDEX(条幅!$F$11:$F$310,382-COUNTA(半紙!$B$11:$B$310)),IF(382&lt;=COUNTA(半紙!$B$11:$B$310)+COUNTA(条幅!$B$11:$B$310)+COUNTA(条幅4分の1!$B$11:$B$310),INDEX(条幅4分の1!$F$11:$F$310,382-COUNTA(半紙!$B$11:$B$310)-COUNTA(条幅!$B$11:$B$310)),""))))</f>
        <v/>
      </c>
      <c r="G387" s="38" t="str">
        <f>IF(IF(382&lt;=COUNTA(半紙!$B$11:$B$310),INDEX(半紙!$G$11:$G$310,382),IF(382&lt;=COUNTA(半紙!$B$11:$B$310)+COUNTA(条幅!$B$11:$B$310),INDEX(条幅!$G$11:$G$310,382-COUNTA(半紙!$B$11:$B$310)),IF(382&lt;=COUNTA(半紙!$B$11:$B$310)+COUNTA(条幅!$B$11:$B$310)+COUNTA(条幅4分の1!$B$11:$B$310),INDEX(条幅4分の1!$G$11:$G$310,382-COUNTA(半紙!$B$11:$B$310)-COUNTA(条幅!$B$11:$B$310)),"")))=0,"",IF(382&lt;=COUNTA(半紙!$B$11:$B$310),INDEX(半紙!$G$11:$G$310,382),IF(382&lt;=COUNTA(半紙!$B$11:$B$310)+COUNTA(条幅!$B$11:$B$310),INDEX(条幅!$G$11:$G$310,382-COUNTA(半紙!$B$11:$B$310)),IF(382&lt;=COUNTA(半紙!$B$11:$B$310)+COUNTA(条幅!$B$11:$B$310)+COUNTA(条幅4分の1!$B$11:$B$310),INDEX(条幅4分の1!$G$11:$G$310,382-COUNTA(半紙!$B$11:$B$310)-COUNTA(条幅!$B$11:$B$310)),""))))</f>
        <v/>
      </c>
      <c r="H387" s="38" t="str">
        <f>IF(IF(382&lt;=COUNTA(半紙!$B$11:$B$310),INDEX(半紙!$H$11:$H$310,382),IF(382&lt;=COUNTA(半紙!$B$11:$B$310)+COUNTA(条幅!$B$11:$B$310),INDEX(条幅!$H$11:$H$310,382-COUNTA(半紙!$B$11:$B$310)),IF(382&lt;=COUNTA(半紙!$B$11:$B$310)+COUNTA(条幅!$B$11:$B$310)+COUNTA(条幅4分の1!$B$11:$B$310),INDEX(条幅4分の1!$H$11:$H$310,382-COUNTA(半紙!$B$11:$B$310)-COUNTA(条幅!$B$11:$B$310)),"")))=0,"",IF(382&lt;=COUNTA(半紙!$B$11:$B$310),INDEX(半紙!$H$11:$H$310,382),IF(382&lt;=COUNTA(半紙!$B$11:$B$310)+COUNTA(条幅!$B$11:$B$310),INDEX(条幅!$H$11:$H$310,382-COUNTA(半紙!$B$11:$B$310)),IF(382&lt;=COUNTA(半紙!$B$11:$B$310)+COUNTA(条幅!$B$11:$B$310)+COUNTA(条幅4分の1!$B$11:$B$310),INDEX(条幅4分の1!$H$11:$H$310,382-COUNTA(半紙!$B$11:$B$310)-COUNTA(条幅!$B$11:$B$310)),""))))</f>
        <v/>
      </c>
      <c r="I387" s="38" t="str">
        <f>IF(IF(382&lt;=COUNTA(半紙!$B$11:$B$310),INDEX(半紙!$I$11:$I$310,382),IF(382&lt;=COUNTA(半紙!$B$11:$B$310)+COUNTA(条幅!$B$11:$B$310),INDEX(条幅!$I$11:$I$310,382-COUNTA(半紙!$B$11:$B$310)),IF(382&lt;=COUNTA(半紙!$B$11:$B$310)+COUNTA(条幅!$B$11:$B$310)+COUNTA(条幅4分の1!$B$11:$B$310),INDEX(条幅4分の1!$I$11:$I$310,382-COUNTA(半紙!$B$11:$B$310)-COUNTA(条幅!$B$11:$B$310)),"")))=0,"",IF(382&lt;=COUNTA(半紙!$B$11:$B$310),INDEX(半紙!$I$11:$I$310,382),IF(382&lt;=COUNTA(半紙!$B$11:$B$310)+COUNTA(条幅!$B$11:$B$310),INDEX(条幅!$I$11:$I$310,382-COUNTA(半紙!$B$11:$B$310)),IF(382&lt;=COUNTA(半紙!$B$11:$B$310)+COUNTA(条幅!$B$11:$B$310)+COUNTA(条幅4分の1!$B$11:$B$310),INDEX(条幅4分の1!$I$11:$I$310,382-COUNTA(半紙!$B$11:$B$310)-COUNTA(条幅!$B$11:$B$310)),""))))</f>
        <v/>
      </c>
      <c r="J387" s="38" t="str">
        <f>IF(IF(382&lt;=COUNTA(半紙!$B$11:$B$310),INDEX(半紙!$J$11:$J$310,382),IF(382&lt;=COUNTA(半紙!$B$11:$B$310)+COUNTA(条幅!$B$11:$B$310),INDEX(条幅!$J$11:$J$310,382-COUNTA(半紙!$B$11:$B$310)),IF(382&lt;=COUNTA(半紙!$B$11:$B$310)+COUNTA(条幅!$B$11:$B$310)+COUNTA(条幅4分の1!$B$11:$B$310),INDEX(条幅4分の1!$J$11:$J$310,382-COUNTA(半紙!$B$11:$B$310)-COUNTA(条幅!$B$11:$B$310)),"")))=0,"",IF(382&lt;=COUNTA(半紙!$B$11:$B$310),INDEX(半紙!$J$11:$J$310,382),IF(382&lt;=COUNTA(半紙!$B$11:$B$310)+COUNTA(条幅!$B$11:$B$310),INDEX(条幅!$J$11:$J$310,382-COUNTA(半紙!$B$11:$B$310)),IF(382&lt;=COUNTA(半紙!$B$11:$B$310)+COUNTA(条幅!$B$11:$B$310)+COUNTA(条幅4分の1!$B$11:$B$310),INDEX(条幅4分の1!$J$11:$J$310,382-COUNTA(半紙!$B$11:$B$310)-COUNTA(条幅!$B$11:$B$310)),""))))</f>
        <v/>
      </c>
      <c r="K387" s="38" t="str">
        <f>IF(IF(382&lt;=COUNTA(半紙!$B$11:$B$310),INDEX(半紙!$K$11:$K$310,382),IF(382&lt;=COUNTA(半紙!$B$11:$B$310)+COUNTA(条幅!$B$11:$B$310),INDEX(条幅!$K$11:$K$310,382-COUNTA(半紙!$B$11:$B$310)),IF(382&lt;=COUNTA(半紙!$B$11:$B$310)+COUNTA(条幅!$B$11:$B$310)+COUNTA(条幅4分の1!$B$11:$B$310),INDEX(条幅4分の1!$K$11:$K$310,382-COUNTA(半紙!$B$11:$B$310)-COUNTA(条幅!$B$11:$B$310)),"")))=0,"",IF(382&lt;=COUNTA(半紙!$B$11:$B$310),INDEX(半紙!$K$11:$K$310,382),IF(382&lt;=COUNTA(半紙!$B$11:$B$310)+COUNTA(条幅!$B$11:$B$310),INDEX(条幅!$K$11:$K$310,382-COUNTA(半紙!$B$11:$B$310)),IF(382&lt;=COUNTA(半紙!$B$11:$B$310)+COUNTA(条幅!$B$11:$B$310)+COUNTA(条幅4分の1!$B$11:$B$310),INDEX(条幅4分の1!$K$11:$K$310,382-COUNTA(半紙!$B$11:$B$310)-COUNTA(条幅!$B$11:$B$310)),""))))</f>
        <v/>
      </c>
      <c r="L387" s="48" t="str">
        <f>IF($B387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382))</f>
        <v/>
      </c>
    </row>
    <row r="388" spans="1:12" ht="15" customHeight="1">
      <c r="A388" s="37" t="str">
        <f>IF(383&lt;=COUNTA(半紙!$B$11:$B$310),"半紙",IF(383&lt;=COUNTA(半紙!$B$11:$B$310)+COUNTA(条幅!$B$11:$B$310),"条幅(半切)",IF(383&lt;=COUNTA(半紙!$B$11:$B$310)+COUNTA(条幅!$B$11:$B$310)+COUNTA(条幅4分の1!$B$11:$B$310),"条幅(1/4)","")))</f>
        <v/>
      </c>
      <c r="B388" s="38" t="str">
        <f>IF(IF(383&lt;=COUNTA(半紙!$B$11:$B$310),INDEX(半紙!$B$11:$B$310,383),IF(383&lt;=COUNTA(半紙!$B$11:$B$310)+COUNTA(条幅!$B$11:$B$310),INDEX(条幅!$B$11:$B$310,383-COUNTA(半紙!$B$11:$B$310)),IF(383&lt;=COUNTA(半紙!$B$11:$B$310)+COUNTA(条幅!$B$11:$B$310)+COUNTA(条幅4分の1!$B$11:$B$310),INDEX(条幅4分の1!$B$11:$B$310,383-COUNTA(半紙!$B$11:$B$310)-COUNTA(条幅!$B$11:$B$310)),"")))=0,"",IF(383&lt;=COUNTA(半紙!$B$11:$B$310),INDEX(半紙!$B$11:$B$310,383),IF(383&lt;=COUNTA(半紙!$B$11:$B$310)+COUNTA(条幅!$B$11:$B$310),INDEX(条幅!$B$11:$B$310,383-COUNTA(半紙!$B$11:$B$310)),IF(383&lt;=COUNTA(半紙!$B$11:$B$310)+COUNTA(条幅!$B$11:$B$310)+COUNTA(条幅4分の1!$B$11:$B$310),INDEX(条幅4分の1!$B$11:$B$310,383-COUNTA(半紙!$B$11:$B$310)-COUNTA(条幅!$B$11:$B$310)),""))))</f>
        <v/>
      </c>
      <c r="C388" s="38" t="str">
        <f>IF(IF(383&lt;=COUNTA(半紙!$B$11:$B$310),INDEX(半紙!$C$11:$C$310,383),IF(383&lt;=COUNTA(半紙!$B$11:$B$310)+COUNTA(条幅!$B$11:$B$310),INDEX(条幅!$C$11:$C$310,383-COUNTA(半紙!$B$11:$B$310)),IF(383&lt;=COUNTA(半紙!$B$11:$B$310)+COUNTA(条幅!$B$11:$B$310)+COUNTA(条幅4分の1!$B$11:$B$310),INDEX(条幅4分の1!$C$11:$C$310,383-COUNTA(半紙!$B$11:$B$310)-COUNTA(条幅!$B$11:$B$310)),"")))=0,"",IF(383&lt;=COUNTA(半紙!$B$11:$B$310),INDEX(半紙!$C$11:$C$310,383),IF(383&lt;=COUNTA(半紙!$B$11:$B$310)+COUNTA(条幅!$B$11:$B$310),INDEX(条幅!$C$11:$C$310,383-COUNTA(半紙!$B$11:$B$310)),IF(383&lt;=COUNTA(半紙!$B$11:$B$310)+COUNTA(条幅!$B$11:$B$310)+COUNTA(条幅4分の1!$B$11:$B$310),INDEX(条幅4分の1!$C$11:$C$310,383-COUNTA(半紙!$B$11:$B$310)-COUNTA(条幅!$B$11:$B$310)),""))))</f>
        <v/>
      </c>
      <c r="D388" s="38" t="str">
        <f>IF(IF(383&lt;=COUNTA(半紙!$B$11:$B$310),INDEX(半紙!$D$11:$D$310,383),IF(383&lt;=COUNTA(半紙!$B$11:$B$310)+COUNTA(条幅!$B$11:$B$310),INDEX(条幅!$D$11:$D$310,383-COUNTA(半紙!$B$11:$B$310)),IF(383&lt;=COUNTA(半紙!$B$11:$B$310)+COUNTA(条幅!$B$11:$B$310)+COUNTA(条幅4分の1!$B$11:$B$310),INDEX(条幅4分の1!$D$11:$D$310,383-COUNTA(半紙!$B$11:$B$310)-COUNTA(条幅!$B$11:$B$310)),"")))=0,"",IF(383&lt;=COUNTA(半紙!$B$11:$B$310),INDEX(半紙!$D$11:$D$310,383),IF(383&lt;=COUNTA(半紙!$B$11:$B$310)+COUNTA(条幅!$B$11:$B$310),INDEX(条幅!$D$11:$D$310,383-COUNTA(半紙!$B$11:$B$310)),IF(383&lt;=COUNTA(半紙!$B$11:$B$310)+COUNTA(条幅!$B$11:$B$310)+COUNTA(条幅4分の1!$B$11:$B$310),INDEX(条幅4分の1!$D$11:$D$310,383-COUNTA(半紙!$B$11:$B$310)-COUNTA(条幅!$B$11:$B$310)),""))))</f>
        <v/>
      </c>
      <c r="E388" s="38" t="str">
        <f>IF(IF(383&lt;=COUNTA(半紙!$B$11:$B$310),INDEX(半紙!$E$11:$E$310,383),IF(383&lt;=COUNTA(半紙!$B$11:$B$310)+COUNTA(条幅!$B$11:$B$310),INDEX(条幅!$E$11:$E$310,383-COUNTA(半紙!$B$11:$B$310)),IF(383&lt;=COUNTA(半紙!$B$11:$B$310)+COUNTA(条幅!$B$11:$B$310)+COUNTA(条幅4分の1!$B$11:$B$310),INDEX(条幅4分の1!$E$11:$E$310,383-COUNTA(半紙!$B$11:$B$310)-COUNTA(条幅!$B$11:$B$310)),"")))=0,"",IF(383&lt;=COUNTA(半紙!$B$11:$B$310),INDEX(半紙!$E$11:$E$310,383),IF(383&lt;=COUNTA(半紙!$B$11:$B$310)+COUNTA(条幅!$B$11:$B$310),INDEX(条幅!$E$11:$E$310,383-COUNTA(半紙!$B$11:$B$310)),IF(383&lt;=COUNTA(半紙!$B$11:$B$310)+COUNTA(条幅!$B$11:$B$310)+COUNTA(条幅4分の1!$B$11:$B$310),INDEX(条幅4分の1!$E$11:$E$310,383-COUNTA(半紙!$B$11:$B$310)-COUNTA(条幅!$B$11:$B$310)),""))))</f>
        <v/>
      </c>
      <c r="F388" s="38" t="str">
        <f>IF(IF(383&lt;=COUNTA(半紙!$B$11:$B$310),INDEX(半紙!$F$11:$F$310,383),IF(383&lt;=COUNTA(半紙!$B$11:$B$310)+COUNTA(条幅!$B$11:$B$310),INDEX(条幅!$F$11:$F$310,383-COUNTA(半紙!$B$11:$B$310)),IF(383&lt;=COUNTA(半紙!$B$11:$B$310)+COUNTA(条幅!$B$11:$B$310)+COUNTA(条幅4分の1!$B$11:$B$310),INDEX(条幅4分の1!$F$11:$F$310,383-COUNTA(半紙!$B$11:$B$310)-COUNTA(条幅!$B$11:$B$310)),"")))=0,"",IF(383&lt;=COUNTA(半紙!$B$11:$B$310),INDEX(半紙!$F$11:$F$310,383),IF(383&lt;=COUNTA(半紙!$B$11:$B$310)+COUNTA(条幅!$B$11:$B$310),INDEX(条幅!$F$11:$F$310,383-COUNTA(半紙!$B$11:$B$310)),IF(383&lt;=COUNTA(半紙!$B$11:$B$310)+COUNTA(条幅!$B$11:$B$310)+COUNTA(条幅4分の1!$B$11:$B$310),INDEX(条幅4分の1!$F$11:$F$310,383-COUNTA(半紙!$B$11:$B$310)-COUNTA(条幅!$B$11:$B$310)),""))))</f>
        <v/>
      </c>
      <c r="G388" s="38" t="str">
        <f>IF(IF(383&lt;=COUNTA(半紙!$B$11:$B$310),INDEX(半紙!$G$11:$G$310,383),IF(383&lt;=COUNTA(半紙!$B$11:$B$310)+COUNTA(条幅!$B$11:$B$310),INDEX(条幅!$G$11:$G$310,383-COUNTA(半紙!$B$11:$B$310)),IF(383&lt;=COUNTA(半紙!$B$11:$B$310)+COUNTA(条幅!$B$11:$B$310)+COUNTA(条幅4分の1!$B$11:$B$310),INDEX(条幅4分の1!$G$11:$G$310,383-COUNTA(半紙!$B$11:$B$310)-COUNTA(条幅!$B$11:$B$310)),"")))=0,"",IF(383&lt;=COUNTA(半紙!$B$11:$B$310),INDEX(半紙!$G$11:$G$310,383),IF(383&lt;=COUNTA(半紙!$B$11:$B$310)+COUNTA(条幅!$B$11:$B$310),INDEX(条幅!$G$11:$G$310,383-COUNTA(半紙!$B$11:$B$310)),IF(383&lt;=COUNTA(半紙!$B$11:$B$310)+COUNTA(条幅!$B$11:$B$310)+COUNTA(条幅4分の1!$B$11:$B$310),INDEX(条幅4分の1!$G$11:$G$310,383-COUNTA(半紙!$B$11:$B$310)-COUNTA(条幅!$B$11:$B$310)),""))))</f>
        <v/>
      </c>
      <c r="H388" s="38" t="str">
        <f>IF(IF(383&lt;=COUNTA(半紙!$B$11:$B$310),INDEX(半紙!$H$11:$H$310,383),IF(383&lt;=COUNTA(半紙!$B$11:$B$310)+COUNTA(条幅!$B$11:$B$310),INDEX(条幅!$H$11:$H$310,383-COUNTA(半紙!$B$11:$B$310)),IF(383&lt;=COUNTA(半紙!$B$11:$B$310)+COUNTA(条幅!$B$11:$B$310)+COUNTA(条幅4分の1!$B$11:$B$310),INDEX(条幅4分の1!$H$11:$H$310,383-COUNTA(半紙!$B$11:$B$310)-COUNTA(条幅!$B$11:$B$310)),"")))=0,"",IF(383&lt;=COUNTA(半紙!$B$11:$B$310),INDEX(半紙!$H$11:$H$310,383),IF(383&lt;=COUNTA(半紙!$B$11:$B$310)+COUNTA(条幅!$B$11:$B$310),INDEX(条幅!$H$11:$H$310,383-COUNTA(半紙!$B$11:$B$310)),IF(383&lt;=COUNTA(半紙!$B$11:$B$310)+COUNTA(条幅!$B$11:$B$310)+COUNTA(条幅4分の1!$B$11:$B$310),INDEX(条幅4分の1!$H$11:$H$310,383-COUNTA(半紙!$B$11:$B$310)-COUNTA(条幅!$B$11:$B$310)),""))))</f>
        <v/>
      </c>
      <c r="I388" s="38" t="str">
        <f>IF(IF(383&lt;=COUNTA(半紙!$B$11:$B$310),INDEX(半紙!$I$11:$I$310,383),IF(383&lt;=COUNTA(半紙!$B$11:$B$310)+COUNTA(条幅!$B$11:$B$310),INDEX(条幅!$I$11:$I$310,383-COUNTA(半紙!$B$11:$B$310)),IF(383&lt;=COUNTA(半紙!$B$11:$B$310)+COUNTA(条幅!$B$11:$B$310)+COUNTA(条幅4分の1!$B$11:$B$310),INDEX(条幅4分の1!$I$11:$I$310,383-COUNTA(半紙!$B$11:$B$310)-COUNTA(条幅!$B$11:$B$310)),"")))=0,"",IF(383&lt;=COUNTA(半紙!$B$11:$B$310),INDEX(半紙!$I$11:$I$310,383),IF(383&lt;=COUNTA(半紙!$B$11:$B$310)+COUNTA(条幅!$B$11:$B$310),INDEX(条幅!$I$11:$I$310,383-COUNTA(半紙!$B$11:$B$310)),IF(383&lt;=COUNTA(半紙!$B$11:$B$310)+COUNTA(条幅!$B$11:$B$310)+COUNTA(条幅4分の1!$B$11:$B$310),INDEX(条幅4分の1!$I$11:$I$310,383-COUNTA(半紙!$B$11:$B$310)-COUNTA(条幅!$B$11:$B$310)),""))))</f>
        <v/>
      </c>
      <c r="J388" s="38" t="str">
        <f>IF(IF(383&lt;=COUNTA(半紙!$B$11:$B$310),INDEX(半紙!$J$11:$J$310,383),IF(383&lt;=COUNTA(半紙!$B$11:$B$310)+COUNTA(条幅!$B$11:$B$310),INDEX(条幅!$J$11:$J$310,383-COUNTA(半紙!$B$11:$B$310)),IF(383&lt;=COUNTA(半紙!$B$11:$B$310)+COUNTA(条幅!$B$11:$B$310)+COUNTA(条幅4分の1!$B$11:$B$310),INDEX(条幅4分の1!$J$11:$J$310,383-COUNTA(半紙!$B$11:$B$310)-COUNTA(条幅!$B$11:$B$310)),"")))=0,"",IF(383&lt;=COUNTA(半紙!$B$11:$B$310),INDEX(半紙!$J$11:$J$310,383),IF(383&lt;=COUNTA(半紙!$B$11:$B$310)+COUNTA(条幅!$B$11:$B$310),INDEX(条幅!$J$11:$J$310,383-COUNTA(半紙!$B$11:$B$310)),IF(383&lt;=COUNTA(半紙!$B$11:$B$310)+COUNTA(条幅!$B$11:$B$310)+COUNTA(条幅4分の1!$B$11:$B$310),INDEX(条幅4分の1!$J$11:$J$310,383-COUNTA(半紙!$B$11:$B$310)-COUNTA(条幅!$B$11:$B$310)),""))))</f>
        <v/>
      </c>
      <c r="K388" s="38" t="str">
        <f>IF(IF(383&lt;=COUNTA(半紙!$B$11:$B$310),INDEX(半紙!$K$11:$K$310,383),IF(383&lt;=COUNTA(半紙!$B$11:$B$310)+COUNTA(条幅!$B$11:$B$310),INDEX(条幅!$K$11:$K$310,383-COUNTA(半紙!$B$11:$B$310)),IF(383&lt;=COUNTA(半紙!$B$11:$B$310)+COUNTA(条幅!$B$11:$B$310)+COUNTA(条幅4分の1!$B$11:$B$310),INDEX(条幅4分の1!$K$11:$K$310,383-COUNTA(半紙!$B$11:$B$310)-COUNTA(条幅!$B$11:$B$310)),"")))=0,"",IF(383&lt;=COUNTA(半紙!$B$11:$B$310),INDEX(半紙!$K$11:$K$310,383),IF(383&lt;=COUNTA(半紙!$B$11:$B$310)+COUNTA(条幅!$B$11:$B$310),INDEX(条幅!$K$11:$K$310,383-COUNTA(半紙!$B$11:$B$310)),IF(383&lt;=COUNTA(半紙!$B$11:$B$310)+COUNTA(条幅!$B$11:$B$310)+COUNTA(条幅4分の1!$B$11:$B$310),INDEX(条幅4分の1!$K$11:$K$310,383-COUNTA(半紙!$B$11:$B$310)-COUNTA(条幅!$B$11:$B$310)),""))))</f>
        <v/>
      </c>
      <c r="L388" s="48" t="str">
        <f>IF($B388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383))</f>
        <v/>
      </c>
    </row>
    <row r="389" spans="1:12" ht="15" customHeight="1">
      <c r="A389" s="37" t="str">
        <f>IF(384&lt;=COUNTA(半紙!$B$11:$B$310),"半紙",IF(384&lt;=COUNTA(半紙!$B$11:$B$310)+COUNTA(条幅!$B$11:$B$310),"条幅(半切)",IF(384&lt;=COUNTA(半紙!$B$11:$B$310)+COUNTA(条幅!$B$11:$B$310)+COUNTA(条幅4分の1!$B$11:$B$310),"条幅(1/4)","")))</f>
        <v/>
      </c>
      <c r="B389" s="38" t="str">
        <f>IF(IF(384&lt;=COUNTA(半紙!$B$11:$B$310),INDEX(半紙!$B$11:$B$310,384),IF(384&lt;=COUNTA(半紙!$B$11:$B$310)+COUNTA(条幅!$B$11:$B$310),INDEX(条幅!$B$11:$B$310,384-COUNTA(半紙!$B$11:$B$310)),IF(384&lt;=COUNTA(半紙!$B$11:$B$310)+COUNTA(条幅!$B$11:$B$310)+COUNTA(条幅4分の1!$B$11:$B$310),INDEX(条幅4分の1!$B$11:$B$310,384-COUNTA(半紙!$B$11:$B$310)-COUNTA(条幅!$B$11:$B$310)),"")))=0,"",IF(384&lt;=COUNTA(半紙!$B$11:$B$310),INDEX(半紙!$B$11:$B$310,384),IF(384&lt;=COUNTA(半紙!$B$11:$B$310)+COUNTA(条幅!$B$11:$B$310),INDEX(条幅!$B$11:$B$310,384-COUNTA(半紙!$B$11:$B$310)),IF(384&lt;=COUNTA(半紙!$B$11:$B$310)+COUNTA(条幅!$B$11:$B$310)+COUNTA(条幅4分の1!$B$11:$B$310),INDEX(条幅4分の1!$B$11:$B$310,384-COUNTA(半紙!$B$11:$B$310)-COUNTA(条幅!$B$11:$B$310)),""))))</f>
        <v/>
      </c>
      <c r="C389" s="38" t="str">
        <f>IF(IF(384&lt;=COUNTA(半紙!$B$11:$B$310),INDEX(半紙!$C$11:$C$310,384),IF(384&lt;=COUNTA(半紙!$B$11:$B$310)+COUNTA(条幅!$B$11:$B$310),INDEX(条幅!$C$11:$C$310,384-COUNTA(半紙!$B$11:$B$310)),IF(384&lt;=COUNTA(半紙!$B$11:$B$310)+COUNTA(条幅!$B$11:$B$310)+COUNTA(条幅4分の1!$B$11:$B$310),INDEX(条幅4分の1!$C$11:$C$310,384-COUNTA(半紙!$B$11:$B$310)-COUNTA(条幅!$B$11:$B$310)),"")))=0,"",IF(384&lt;=COUNTA(半紙!$B$11:$B$310),INDEX(半紙!$C$11:$C$310,384),IF(384&lt;=COUNTA(半紙!$B$11:$B$310)+COUNTA(条幅!$B$11:$B$310),INDEX(条幅!$C$11:$C$310,384-COUNTA(半紙!$B$11:$B$310)),IF(384&lt;=COUNTA(半紙!$B$11:$B$310)+COUNTA(条幅!$B$11:$B$310)+COUNTA(条幅4分の1!$B$11:$B$310),INDEX(条幅4分の1!$C$11:$C$310,384-COUNTA(半紙!$B$11:$B$310)-COUNTA(条幅!$B$11:$B$310)),""))))</f>
        <v/>
      </c>
      <c r="D389" s="38" t="str">
        <f>IF(IF(384&lt;=COUNTA(半紙!$B$11:$B$310),INDEX(半紙!$D$11:$D$310,384),IF(384&lt;=COUNTA(半紙!$B$11:$B$310)+COUNTA(条幅!$B$11:$B$310),INDEX(条幅!$D$11:$D$310,384-COUNTA(半紙!$B$11:$B$310)),IF(384&lt;=COUNTA(半紙!$B$11:$B$310)+COUNTA(条幅!$B$11:$B$310)+COUNTA(条幅4分の1!$B$11:$B$310),INDEX(条幅4分の1!$D$11:$D$310,384-COUNTA(半紙!$B$11:$B$310)-COUNTA(条幅!$B$11:$B$310)),"")))=0,"",IF(384&lt;=COUNTA(半紙!$B$11:$B$310),INDEX(半紙!$D$11:$D$310,384),IF(384&lt;=COUNTA(半紙!$B$11:$B$310)+COUNTA(条幅!$B$11:$B$310),INDEX(条幅!$D$11:$D$310,384-COUNTA(半紙!$B$11:$B$310)),IF(384&lt;=COUNTA(半紙!$B$11:$B$310)+COUNTA(条幅!$B$11:$B$310)+COUNTA(条幅4分の1!$B$11:$B$310),INDEX(条幅4分の1!$D$11:$D$310,384-COUNTA(半紙!$B$11:$B$310)-COUNTA(条幅!$B$11:$B$310)),""))))</f>
        <v/>
      </c>
      <c r="E389" s="38" t="str">
        <f>IF(IF(384&lt;=COUNTA(半紙!$B$11:$B$310),INDEX(半紙!$E$11:$E$310,384),IF(384&lt;=COUNTA(半紙!$B$11:$B$310)+COUNTA(条幅!$B$11:$B$310),INDEX(条幅!$E$11:$E$310,384-COUNTA(半紙!$B$11:$B$310)),IF(384&lt;=COUNTA(半紙!$B$11:$B$310)+COUNTA(条幅!$B$11:$B$310)+COUNTA(条幅4分の1!$B$11:$B$310),INDEX(条幅4分の1!$E$11:$E$310,384-COUNTA(半紙!$B$11:$B$310)-COUNTA(条幅!$B$11:$B$310)),"")))=0,"",IF(384&lt;=COUNTA(半紙!$B$11:$B$310),INDEX(半紙!$E$11:$E$310,384),IF(384&lt;=COUNTA(半紙!$B$11:$B$310)+COUNTA(条幅!$B$11:$B$310),INDEX(条幅!$E$11:$E$310,384-COUNTA(半紙!$B$11:$B$310)),IF(384&lt;=COUNTA(半紙!$B$11:$B$310)+COUNTA(条幅!$B$11:$B$310)+COUNTA(条幅4分の1!$B$11:$B$310),INDEX(条幅4分の1!$E$11:$E$310,384-COUNTA(半紙!$B$11:$B$310)-COUNTA(条幅!$B$11:$B$310)),""))))</f>
        <v/>
      </c>
      <c r="F389" s="38" t="str">
        <f>IF(IF(384&lt;=COUNTA(半紙!$B$11:$B$310),INDEX(半紙!$F$11:$F$310,384),IF(384&lt;=COUNTA(半紙!$B$11:$B$310)+COUNTA(条幅!$B$11:$B$310),INDEX(条幅!$F$11:$F$310,384-COUNTA(半紙!$B$11:$B$310)),IF(384&lt;=COUNTA(半紙!$B$11:$B$310)+COUNTA(条幅!$B$11:$B$310)+COUNTA(条幅4分の1!$B$11:$B$310),INDEX(条幅4分の1!$F$11:$F$310,384-COUNTA(半紙!$B$11:$B$310)-COUNTA(条幅!$B$11:$B$310)),"")))=0,"",IF(384&lt;=COUNTA(半紙!$B$11:$B$310),INDEX(半紙!$F$11:$F$310,384),IF(384&lt;=COUNTA(半紙!$B$11:$B$310)+COUNTA(条幅!$B$11:$B$310),INDEX(条幅!$F$11:$F$310,384-COUNTA(半紙!$B$11:$B$310)),IF(384&lt;=COUNTA(半紙!$B$11:$B$310)+COUNTA(条幅!$B$11:$B$310)+COUNTA(条幅4分の1!$B$11:$B$310),INDEX(条幅4分の1!$F$11:$F$310,384-COUNTA(半紙!$B$11:$B$310)-COUNTA(条幅!$B$11:$B$310)),""))))</f>
        <v/>
      </c>
      <c r="G389" s="38" t="str">
        <f>IF(IF(384&lt;=COUNTA(半紙!$B$11:$B$310),INDEX(半紙!$G$11:$G$310,384),IF(384&lt;=COUNTA(半紙!$B$11:$B$310)+COUNTA(条幅!$B$11:$B$310),INDEX(条幅!$G$11:$G$310,384-COUNTA(半紙!$B$11:$B$310)),IF(384&lt;=COUNTA(半紙!$B$11:$B$310)+COUNTA(条幅!$B$11:$B$310)+COUNTA(条幅4分の1!$B$11:$B$310),INDEX(条幅4分の1!$G$11:$G$310,384-COUNTA(半紙!$B$11:$B$310)-COUNTA(条幅!$B$11:$B$310)),"")))=0,"",IF(384&lt;=COUNTA(半紙!$B$11:$B$310),INDEX(半紙!$G$11:$G$310,384),IF(384&lt;=COUNTA(半紙!$B$11:$B$310)+COUNTA(条幅!$B$11:$B$310),INDEX(条幅!$G$11:$G$310,384-COUNTA(半紙!$B$11:$B$310)),IF(384&lt;=COUNTA(半紙!$B$11:$B$310)+COUNTA(条幅!$B$11:$B$310)+COUNTA(条幅4分の1!$B$11:$B$310),INDEX(条幅4分の1!$G$11:$G$310,384-COUNTA(半紙!$B$11:$B$310)-COUNTA(条幅!$B$11:$B$310)),""))))</f>
        <v/>
      </c>
      <c r="H389" s="38" t="str">
        <f>IF(IF(384&lt;=COUNTA(半紙!$B$11:$B$310),INDEX(半紙!$H$11:$H$310,384),IF(384&lt;=COUNTA(半紙!$B$11:$B$310)+COUNTA(条幅!$B$11:$B$310),INDEX(条幅!$H$11:$H$310,384-COUNTA(半紙!$B$11:$B$310)),IF(384&lt;=COUNTA(半紙!$B$11:$B$310)+COUNTA(条幅!$B$11:$B$310)+COUNTA(条幅4分の1!$B$11:$B$310),INDEX(条幅4分の1!$H$11:$H$310,384-COUNTA(半紙!$B$11:$B$310)-COUNTA(条幅!$B$11:$B$310)),"")))=0,"",IF(384&lt;=COUNTA(半紙!$B$11:$B$310),INDEX(半紙!$H$11:$H$310,384),IF(384&lt;=COUNTA(半紙!$B$11:$B$310)+COUNTA(条幅!$B$11:$B$310),INDEX(条幅!$H$11:$H$310,384-COUNTA(半紙!$B$11:$B$310)),IF(384&lt;=COUNTA(半紙!$B$11:$B$310)+COUNTA(条幅!$B$11:$B$310)+COUNTA(条幅4分の1!$B$11:$B$310),INDEX(条幅4分の1!$H$11:$H$310,384-COUNTA(半紙!$B$11:$B$310)-COUNTA(条幅!$B$11:$B$310)),""))))</f>
        <v/>
      </c>
      <c r="I389" s="38" t="str">
        <f>IF(IF(384&lt;=COUNTA(半紙!$B$11:$B$310),INDEX(半紙!$I$11:$I$310,384),IF(384&lt;=COUNTA(半紙!$B$11:$B$310)+COUNTA(条幅!$B$11:$B$310),INDEX(条幅!$I$11:$I$310,384-COUNTA(半紙!$B$11:$B$310)),IF(384&lt;=COUNTA(半紙!$B$11:$B$310)+COUNTA(条幅!$B$11:$B$310)+COUNTA(条幅4分の1!$B$11:$B$310),INDEX(条幅4分の1!$I$11:$I$310,384-COUNTA(半紙!$B$11:$B$310)-COUNTA(条幅!$B$11:$B$310)),"")))=0,"",IF(384&lt;=COUNTA(半紙!$B$11:$B$310),INDEX(半紙!$I$11:$I$310,384),IF(384&lt;=COUNTA(半紙!$B$11:$B$310)+COUNTA(条幅!$B$11:$B$310),INDEX(条幅!$I$11:$I$310,384-COUNTA(半紙!$B$11:$B$310)),IF(384&lt;=COUNTA(半紙!$B$11:$B$310)+COUNTA(条幅!$B$11:$B$310)+COUNTA(条幅4分の1!$B$11:$B$310),INDEX(条幅4分の1!$I$11:$I$310,384-COUNTA(半紙!$B$11:$B$310)-COUNTA(条幅!$B$11:$B$310)),""))))</f>
        <v/>
      </c>
      <c r="J389" s="38" t="str">
        <f>IF(IF(384&lt;=COUNTA(半紙!$B$11:$B$310),INDEX(半紙!$J$11:$J$310,384),IF(384&lt;=COUNTA(半紙!$B$11:$B$310)+COUNTA(条幅!$B$11:$B$310),INDEX(条幅!$J$11:$J$310,384-COUNTA(半紙!$B$11:$B$310)),IF(384&lt;=COUNTA(半紙!$B$11:$B$310)+COUNTA(条幅!$B$11:$B$310)+COUNTA(条幅4分の1!$B$11:$B$310),INDEX(条幅4分の1!$J$11:$J$310,384-COUNTA(半紙!$B$11:$B$310)-COUNTA(条幅!$B$11:$B$310)),"")))=0,"",IF(384&lt;=COUNTA(半紙!$B$11:$B$310),INDEX(半紙!$J$11:$J$310,384),IF(384&lt;=COUNTA(半紙!$B$11:$B$310)+COUNTA(条幅!$B$11:$B$310),INDEX(条幅!$J$11:$J$310,384-COUNTA(半紙!$B$11:$B$310)),IF(384&lt;=COUNTA(半紙!$B$11:$B$310)+COUNTA(条幅!$B$11:$B$310)+COUNTA(条幅4分の1!$B$11:$B$310),INDEX(条幅4分の1!$J$11:$J$310,384-COUNTA(半紙!$B$11:$B$310)-COUNTA(条幅!$B$11:$B$310)),""))))</f>
        <v/>
      </c>
      <c r="K389" s="38" t="str">
        <f>IF(IF(384&lt;=COUNTA(半紙!$B$11:$B$310),INDEX(半紙!$K$11:$K$310,384),IF(384&lt;=COUNTA(半紙!$B$11:$B$310)+COUNTA(条幅!$B$11:$B$310),INDEX(条幅!$K$11:$K$310,384-COUNTA(半紙!$B$11:$B$310)),IF(384&lt;=COUNTA(半紙!$B$11:$B$310)+COUNTA(条幅!$B$11:$B$310)+COUNTA(条幅4分の1!$B$11:$B$310),INDEX(条幅4分の1!$K$11:$K$310,384-COUNTA(半紙!$B$11:$B$310)-COUNTA(条幅!$B$11:$B$310)),"")))=0,"",IF(384&lt;=COUNTA(半紙!$B$11:$B$310),INDEX(半紙!$K$11:$K$310,384),IF(384&lt;=COUNTA(半紙!$B$11:$B$310)+COUNTA(条幅!$B$11:$B$310),INDEX(条幅!$K$11:$K$310,384-COUNTA(半紙!$B$11:$B$310)),IF(384&lt;=COUNTA(半紙!$B$11:$B$310)+COUNTA(条幅!$B$11:$B$310)+COUNTA(条幅4分の1!$B$11:$B$310),INDEX(条幅4分の1!$K$11:$K$310,384-COUNTA(半紙!$B$11:$B$310)-COUNTA(条幅!$B$11:$B$310)),""))))</f>
        <v/>
      </c>
      <c r="L389" s="48" t="str">
        <f>IF($B389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384))</f>
        <v/>
      </c>
    </row>
    <row r="390" spans="1:12" ht="15" customHeight="1">
      <c r="A390" s="37" t="str">
        <f>IF(385&lt;=COUNTA(半紙!$B$11:$B$310),"半紙",IF(385&lt;=COUNTA(半紙!$B$11:$B$310)+COUNTA(条幅!$B$11:$B$310),"条幅(半切)",IF(385&lt;=COUNTA(半紙!$B$11:$B$310)+COUNTA(条幅!$B$11:$B$310)+COUNTA(条幅4分の1!$B$11:$B$310),"条幅(1/4)","")))</f>
        <v/>
      </c>
      <c r="B390" s="38" t="str">
        <f>IF(IF(385&lt;=COUNTA(半紙!$B$11:$B$310),INDEX(半紙!$B$11:$B$310,385),IF(385&lt;=COUNTA(半紙!$B$11:$B$310)+COUNTA(条幅!$B$11:$B$310),INDEX(条幅!$B$11:$B$310,385-COUNTA(半紙!$B$11:$B$310)),IF(385&lt;=COUNTA(半紙!$B$11:$B$310)+COUNTA(条幅!$B$11:$B$310)+COUNTA(条幅4分の1!$B$11:$B$310),INDEX(条幅4分の1!$B$11:$B$310,385-COUNTA(半紙!$B$11:$B$310)-COUNTA(条幅!$B$11:$B$310)),"")))=0,"",IF(385&lt;=COUNTA(半紙!$B$11:$B$310),INDEX(半紙!$B$11:$B$310,385),IF(385&lt;=COUNTA(半紙!$B$11:$B$310)+COUNTA(条幅!$B$11:$B$310),INDEX(条幅!$B$11:$B$310,385-COUNTA(半紙!$B$11:$B$310)),IF(385&lt;=COUNTA(半紙!$B$11:$B$310)+COUNTA(条幅!$B$11:$B$310)+COUNTA(条幅4分の1!$B$11:$B$310),INDEX(条幅4分の1!$B$11:$B$310,385-COUNTA(半紙!$B$11:$B$310)-COUNTA(条幅!$B$11:$B$310)),""))))</f>
        <v/>
      </c>
      <c r="C390" s="38" t="str">
        <f>IF(IF(385&lt;=COUNTA(半紙!$B$11:$B$310),INDEX(半紙!$C$11:$C$310,385),IF(385&lt;=COUNTA(半紙!$B$11:$B$310)+COUNTA(条幅!$B$11:$B$310),INDEX(条幅!$C$11:$C$310,385-COUNTA(半紙!$B$11:$B$310)),IF(385&lt;=COUNTA(半紙!$B$11:$B$310)+COUNTA(条幅!$B$11:$B$310)+COUNTA(条幅4分の1!$B$11:$B$310),INDEX(条幅4分の1!$C$11:$C$310,385-COUNTA(半紙!$B$11:$B$310)-COUNTA(条幅!$B$11:$B$310)),"")))=0,"",IF(385&lt;=COUNTA(半紙!$B$11:$B$310),INDEX(半紙!$C$11:$C$310,385),IF(385&lt;=COUNTA(半紙!$B$11:$B$310)+COUNTA(条幅!$B$11:$B$310),INDEX(条幅!$C$11:$C$310,385-COUNTA(半紙!$B$11:$B$310)),IF(385&lt;=COUNTA(半紙!$B$11:$B$310)+COUNTA(条幅!$B$11:$B$310)+COUNTA(条幅4分の1!$B$11:$B$310),INDEX(条幅4分の1!$C$11:$C$310,385-COUNTA(半紙!$B$11:$B$310)-COUNTA(条幅!$B$11:$B$310)),""))))</f>
        <v/>
      </c>
      <c r="D390" s="38" t="str">
        <f>IF(IF(385&lt;=COUNTA(半紙!$B$11:$B$310),INDEX(半紙!$D$11:$D$310,385),IF(385&lt;=COUNTA(半紙!$B$11:$B$310)+COUNTA(条幅!$B$11:$B$310),INDEX(条幅!$D$11:$D$310,385-COUNTA(半紙!$B$11:$B$310)),IF(385&lt;=COUNTA(半紙!$B$11:$B$310)+COUNTA(条幅!$B$11:$B$310)+COUNTA(条幅4分の1!$B$11:$B$310),INDEX(条幅4分の1!$D$11:$D$310,385-COUNTA(半紙!$B$11:$B$310)-COUNTA(条幅!$B$11:$B$310)),"")))=0,"",IF(385&lt;=COUNTA(半紙!$B$11:$B$310),INDEX(半紙!$D$11:$D$310,385),IF(385&lt;=COUNTA(半紙!$B$11:$B$310)+COUNTA(条幅!$B$11:$B$310),INDEX(条幅!$D$11:$D$310,385-COUNTA(半紙!$B$11:$B$310)),IF(385&lt;=COUNTA(半紙!$B$11:$B$310)+COUNTA(条幅!$B$11:$B$310)+COUNTA(条幅4分の1!$B$11:$B$310),INDEX(条幅4分の1!$D$11:$D$310,385-COUNTA(半紙!$B$11:$B$310)-COUNTA(条幅!$B$11:$B$310)),""))))</f>
        <v/>
      </c>
      <c r="E390" s="38" t="str">
        <f>IF(IF(385&lt;=COUNTA(半紙!$B$11:$B$310),INDEX(半紙!$E$11:$E$310,385),IF(385&lt;=COUNTA(半紙!$B$11:$B$310)+COUNTA(条幅!$B$11:$B$310),INDEX(条幅!$E$11:$E$310,385-COUNTA(半紙!$B$11:$B$310)),IF(385&lt;=COUNTA(半紙!$B$11:$B$310)+COUNTA(条幅!$B$11:$B$310)+COUNTA(条幅4分の1!$B$11:$B$310),INDEX(条幅4分の1!$E$11:$E$310,385-COUNTA(半紙!$B$11:$B$310)-COUNTA(条幅!$B$11:$B$310)),"")))=0,"",IF(385&lt;=COUNTA(半紙!$B$11:$B$310),INDEX(半紙!$E$11:$E$310,385),IF(385&lt;=COUNTA(半紙!$B$11:$B$310)+COUNTA(条幅!$B$11:$B$310),INDEX(条幅!$E$11:$E$310,385-COUNTA(半紙!$B$11:$B$310)),IF(385&lt;=COUNTA(半紙!$B$11:$B$310)+COUNTA(条幅!$B$11:$B$310)+COUNTA(条幅4分の1!$B$11:$B$310),INDEX(条幅4分の1!$E$11:$E$310,385-COUNTA(半紙!$B$11:$B$310)-COUNTA(条幅!$B$11:$B$310)),""))))</f>
        <v/>
      </c>
      <c r="F390" s="38" t="str">
        <f>IF(IF(385&lt;=COUNTA(半紙!$B$11:$B$310),INDEX(半紙!$F$11:$F$310,385),IF(385&lt;=COUNTA(半紙!$B$11:$B$310)+COUNTA(条幅!$B$11:$B$310),INDEX(条幅!$F$11:$F$310,385-COUNTA(半紙!$B$11:$B$310)),IF(385&lt;=COUNTA(半紙!$B$11:$B$310)+COUNTA(条幅!$B$11:$B$310)+COUNTA(条幅4分の1!$B$11:$B$310),INDEX(条幅4分の1!$F$11:$F$310,385-COUNTA(半紙!$B$11:$B$310)-COUNTA(条幅!$B$11:$B$310)),"")))=0,"",IF(385&lt;=COUNTA(半紙!$B$11:$B$310),INDEX(半紙!$F$11:$F$310,385),IF(385&lt;=COUNTA(半紙!$B$11:$B$310)+COUNTA(条幅!$B$11:$B$310),INDEX(条幅!$F$11:$F$310,385-COUNTA(半紙!$B$11:$B$310)),IF(385&lt;=COUNTA(半紙!$B$11:$B$310)+COUNTA(条幅!$B$11:$B$310)+COUNTA(条幅4分の1!$B$11:$B$310),INDEX(条幅4分の1!$F$11:$F$310,385-COUNTA(半紙!$B$11:$B$310)-COUNTA(条幅!$B$11:$B$310)),""))))</f>
        <v/>
      </c>
      <c r="G390" s="38" t="str">
        <f>IF(IF(385&lt;=COUNTA(半紙!$B$11:$B$310),INDEX(半紙!$G$11:$G$310,385),IF(385&lt;=COUNTA(半紙!$B$11:$B$310)+COUNTA(条幅!$B$11:$B$310),INDEX(条幅!$G$11:$G$310,385-COUNTA(半紙!$B$11:$B$310)),IF(385&lt;=COUNTA(半紙!$B$11:$B$310)+COUNTA(条幅!$B$11:$B$310)+COUNTA(条幅4分の1!$B$11:$B$310),INDEX(条幅4分の1!$G$11:$G$310,385-COUNTA(半紙!$B$11:$B$310)-COUNTA(条幅!$B$11:$B$310)),"")))=0,"",IF(385&lt;=COUNTA(半紙!$B$11:$B$310),INDEX(半紙!$G$11:$G$310,385),IF(385&lt;=COUNTA(半紙!$B$11:$B$310)+COUNTA(条幅!$B$11:$B$310),INDEX(条幅!$G$11:$G$310,385-COUNTA(半紙!$B$11:$B$310)),IF(385&lt;=COUNTA(半紙!$B$11:$B$310)+COUNTA(条幅!$B$11:$B$310)+COUNTA(条幅4分の1!$B$11:$B$310),INDEX(条幅4分の1!$G$11:$G$310,385-COUNTA(半紙!$B$11:$B$310)-COUNTA(条幅!$B$11:$B$310)),""))))</f>
        <v/>
      </c>
      <c r="H390" s="38" t="str">
        <f>IF(IF(385&lt;=COUNTA(半紙!$B$11:$B$310),INDEX(半紙!$H$11:$H$310,385),IF(385&lt;=COUNTA(半紙!$B$11:$B$310)+COUNTA(条幅!$B$11:$B$310),INDEX(条幅!$H$11:$H$310,385-COUNTA(半紙!$B$11:$B$310)),IF(385&lt;=COUNTA(半紙!$B$11:$B$310)+COUNTA(条幅!$B$11:$B$310)+COUNTA(条幅4分の1!$B$11:$B$310),INDEX(条幅4分の1!$H$11:$H$310,385-COUNTA(半紙!$B$11:$B$310)-COUNTA(条幅!$B$11:$B$310)),"")))=0,"",IF(385&lt;=COUNTA(半紙!$B$11:$B$310),INDEX(半紙!$H$11:$H$310,385),IF(385&lt;=COUNTA(半紙!$B$11:$B$310)+COUNTA(条幅!$B$11:$B$310),INDEX(条幅!$H$11:$H$310,385-COUNTA(半紙!$B$11:$B$310)),IF(385&lt;=COUNTA(半紙!$B$11:$B$310)+COUNTA(条幅!$B$11:$B$310)+COUNTA(条幅4分の1!$B$11:$B$310),INDEX(条幅4分の1!$H$11:$H$310,385-COUNTA(半紙!$B$11:$B$310)-COUNTA(条幅!$B$11:$B$310)),""))))</f>
        <v/>
      </c>
      <c r="I390" s="38" t="str">
        <f>IF(IF(385&lt;=COUNTA(半紙!$B$11:$B$310),INDEX(半紙!$I$11:$I$310,385),IF(385&lt;=COUNTA(半紙!$B$11:$B$310)+COUNTA(条幅!$B$11:$B$310),INDEX(条幅!$I$11:$I$310,385-COUNTA(半紙!$B$11:$B$310)),IF(385&lt;=COUNTA(半紙!$B$11:$B$310)+COUNTA(条幅!$B$11:$B$310)+COUNTA(条幅4分の1!$B$11:$B$310),INDEX(条幅4分の1!$I$11:$I$310,385-COUNTA(半紙!$B$11:$B$310)-COUNTA(条幅!$B$11:$B$310)),"")))=0,"",IF(385&lt;=COUNTA(半紙!$B$11:$B$310),INDEX(半紙!$I$11:$I$310,385),IF(385&lt;=COUNTA(半紙!$B$11:$B$310)+COUNTA(条幅!$B$11:$B$310),INDEX(条幅!$I$11:$I$310,385-COUNTA(半紙!$B$11:$B$310)),IF(385&lt;=COUNTA(半紙!$B$11:$B$310)+COUNTA(条幅!$B$11:$B$310)+COUNTA(条幅4分の1!$B$11:$B$310),INDEX(条幅4分の1!$I$11:$I$310,385-COUNTA(半紙!$B$11:$B$310)-COUNTA(条幅!$B$11:$B$310)),""))))</f>
        <v/>
      </c>
      <c r="J390" s="38" t="str">
        <f>IF(IF(385&lt;=COUNTA(半紙!$B$11:$B$310),INDEX(半紙!$J$11:$J$310,385),IF(385&lt;=COUNTA(半紙!$B$11:$B$310)+COUNTA(条幅!$B$11:$B$310),INDEX(条幅!$J$11:$J$310,385-COUNTA(半紙!$B$11:$B$310)),IF(385&lt;=COUNTA(半紙!$B$11:$B$310)+COUNTA(条幅!$B$11:$B$310)+COUNTA(条幅4分の1!$B$11:$B$310),INDEX(条幅4分の1!$J$11:$J$310,385-COUNTA(半紙!$B$11:$B$310)-COUNTA(条幅!$B$11:$B$310)),"")))=0,"",IF(385&lt;=COUNTA(半紙!$B$11:$B$310),INDEX(半紙!$J$11:$J$310,385),IF(385&lt;=COUNTA(半紙!$B$11:$B$310)+COUNTA(条幅!$B$11:$B$310),INDEX(条幅!$J$11:$J$310,385-COUNTA(半紙!$B$11:$B$310)),IF(385&lt;=COUNTA(半紙!$B$11:$B$310)+COUNTA(条幅!$B$11:$B$310)+COUNTA(条幅4分の1!$B$11:$B$310),INDEX(条幅4分の1!$J$11:$J$310,385-COUNTA(半紙!$B$11:$B$310)-COUNTA(条幅!$B$11:$B$310)),""))))</f>
        <v/>
      </c>
      <c r="K390" s="38" t="str">
        <f>IF(IF(385&lt;=COUNTA(半紙!$B$11:$B$310),INDEX(半紙!$K$11:$K$310,385),IF(385&lt;=COUNTA(半紙!$B$11:$B$310)+COUNTA(条幅!$B$11:$B$310),INDEX(条幅!$K$11:$K$310,385-COUNTA(半紙!$B$11:$B$310)),IF(385&lt;=COUNTA(半紙!$B$11:$B$310)+COUNTA(条幅!$B$11:$B$310)+COUNTA(条幅4分の1!$B$11:$B$310),INDEX(条幅4分の1!$K$11:$K$310,385-COUNTA(半紙!$B$11:$B$310)-COUNTA(条幅!$B$11:$B$310)),"")))=0,"",IF(385&lt;=COUNTA(半紙!$B$11:$B$310),INDEX(半紙!$K$11:$K$310,385),IF(385&lt;=COUNTA(半紙!$B$11:$B$310)+COUNTA(条幅!$B$11:$B$310),INDEX(条幅!$K$11:$K$310,385-COUNTA(半紙!$B$11:$B$310)),IF(385&lt;=COUNTA(半紙!$B$11:$B$310)+COUNTA(条幅!$B$11:$B$310)+COUNTA(条幅4分の1!$B$11:$B$310),INDEX(条幅4分の1!$K$11:$K$310,385-COUNTA(半紙!$B$11:$B$310)-COUNTA(条幅!$B$11:$B$310)),""))))</f>
        <v/>
      </c>
      <c r="L390" s="48" t="str">
        <f>IF($B390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385))</f>
        <v/>
      </c>
    </row>
    <row r="391" spans="1:12" ht="15" customHeight="1">
      <c r="A391" s="37" t="str">
        <f>IF(386&lt;=COUNTA(半紙!$B$11:$B$310),"半紙",IF(386&lt;=COUNTA(半紙!$B$11:$B$310)+COUNTA(条幅!$B$11:$B$310),"条幅(半切)",IF(386&lt;=COUNTA(半紙!$B$11:$B$310)+COUNTA(条幅!$B$11:$B$310)+COUNTA(条幅4分の1!$B$11:$B$310),"条幅(1/4)","")))</f>
        <v/>
      </c>
      <c r="B391" s="38" t="str">
        <f>IF(IF(386&lt;=COUNTA(半紙!$B$11:$B$310),INDEX(半紙!$B$11:$B$310,386),IF(386&lt;=COUNTA(半紙!$B$11:$B$310)+COUNTA(条幅!$B$11:$B$310),INDEX(条幅!$B$11:$B$310,386-COUNTA(半紙!$B$11:$B$310)),IF(386&lt;=COUNTA(半紙!$B$11:$B$310)+COUNTA(条幅!$B$11:$B$310)+COUNTA(条幅4分の1!$B$11:$B$310),INDEX(条幅4分の1!$B$11:$B$310,386-COUNTA(半紙!$B$11:$B$310)-COUNTA(条幅!$B$11:$B$310)),"")))=0,"",IF(386&lt;=COUNTA(半紙!$B$11:$B$310),INDEX(半紙!$B$11:$B$310,386),IF(386&lt;=COUNTA(半紙!$B$11:$B$310)+COUNTA(条幅!$B$11:$B$310),INDEX(条幅!$B$11:$B$310,386-COUNTA(半紙!$B$11:$B$310)),IF(386&lt;=COUNTA(半紙!$B$11:$B$310)+COUNTA(条幅!$B$11:$B$310)+COUNTA(条幅4分の1!$B$11:$B$310),INDEX(条幅4分の1!$B$11:$B$310,386-COUNTA(半紙!$B$11:$B$310)-COUNTA(条幅!$B$11:$B$310)),""))))</f>
        <v/>
      </c>
      <c r="C391" s="38" t="str">
        <f>IF(IF(386&lt;=COUNTA(半紙!$B$11:$B$310),INDEX(半紙!$C$11:$C$310,386),IF(386&lt;=COUNTA(半紙!$B$11:$B$310)+COUNTA(条幅!$B$11:$B$310),INDEX(条幅!$C$11:$C$310,386-COUNTA(半紙!$B$11:$B$310)),IF(386&lt;=COUNTA(半紙!$B$11:$B$310)+COUNTA(条幅!$B$11:$B$310)+COUNTA(条幅4分の1!$B$11:$B$310),INDEX(条幅4分の1!$C$11:$C$310,386-COUNTA(半紙!$B$11:$B$310)-COUNTA(条幅!$B$11:$B$310)),"")))=0,"",IF(386&lt;=COUNTA(半紙!$B$11:$B$310),INDEX(半紙!$C$11:$C$310,386),IF(386&lt;=COUNTA(半紙!$B$11:$B$310)+COUNTA(条幅!$B$11:$B$310),INDEX(条幅!$C$11:$C$310,386-COUNTA(半紙!$B$11:$B$310)),IF(386&lt;=COUNTA(半紙!$B$11:$B$310)+COUNTA(条幅!$B$11:$B$310)+COUNTA(条幅4分の1!$B$11:$B$310),INDEX(条幅4分の1!$C$11:$C$310,386-COUNTA(半紙!$B$11:$B$310)-COUNTA(条幅!$B$11:$B$310)),""))))</f>
        <v/>
      </c>
      <c r="D391" s="38" t="str">
        <f>IF(IF(386&lt;=COUNTA(半紙!$B$11:$B$310),INDEX(半紙!$D$11:$D$310,386),IF(386&lt;=COUNTA(半紙!$B$11:$B$310)+COUNTA(条幅!$B$11:$B$310),INDEX(条幅!$D$11:$D$310,386-COUNTA(半紙!$B$11:$B$310)),IF(386&lt;=COUNTA(半紙!$B$11:$B$310)+COUNTA(条幅!$B$11:$B$310)+COUNTA(条幅4分の1!$B$11:$B$310),INDEX(条幅4分の1!$D$11:$D$310,386-COUNTA(半紙!$B$11:$B$310)-COUNTA(条幅!$B$11:$B$310)),"")))=0,"",IF(386&lt;=COUNTA(半紙!$B$11:$B$310),INDEX(半紙!$D$11:$D$310,386),IF(386&lt;=COUNTA(半紙!$B$11:$B$310)+COUNTA(条幅!$B$11:$B$310),INDEX(条幅!$D$11:$D$310,386-COUNTA(半紙!$B$11:$B$310)),IF(386&lt;=COUNTA(半紙!$B$11:$B$310)+COUNTA(条幅!$B$11:$B$310)+COUNTA(条幅4分の1!$B$11:$B$310),INDEX(条幅4分の1!$D$11:$D$310,386-COUNTA(半紙!$B$11:$B$310)-COUNTA(条幅!$B$11:$B$310)),""))))</f>
        <v/>
      </c>
      <c r="E391" s="38" t="str">
        <f>IF(IF(386&lt;=COUNTA(半紙!$B$11:$B$310),INDEX(半紙!$E$11:$E$310,386),IF(386&lt;=COUNTA(半紙!$B$11:$B$310)+COUNTA(条幅!$B$11:$B$310),INDEX(条幅!$E$11:$E$310,386-COUNTA(半紙!$B$11:$B$310)),IF(386&lt;=COUNTA(半紙!$B$11:$B$310)+COUNTA(条幅!$B$11:$B$310)+COUNTA(条幅4分の1!$B$11:$B$310),INDEX(条幅4分の1!$E$11:$E$310,386-COUNTA(半紙!$B$11:$B$310)-COUNTA(条幅!$B$11:$B$310)),"")))=0,"",IF(386&lt;=COUNTA(半紙!$B$11:$B$310),INDEX(半紙!$E$11:$E$310,386),IF(386&lt;=COUNTA(半紙!$B$11:$B$310)+COUNTA(条幅!$B$11:$B$310),INDEX(条幅!$E$11:$E$310,386-COUNTA(半紙!$B$11:$B$310)),IF(386&lt;=COUNTA(半紙!$B$11:$B$310)+COUNTA(条幅!$B$11:$B$310)+COUNTA(条幅4分の1!$B$11:$B$310),INDEX(条幅4分の1!$E$11:$E$310,386-COUNTA(半紙!$B$11:$B$310)-COUNTA(条幅!$B$11:$B$310)),""))))</f>
        <v/>
      </c>
      <c r="F391" s="38" t="str">
        <f>IF(IF(386&lt;=COUNTA(半紙!$B$11:$B$310),INDEX(半紙!$F$11:$F$310,386),IF(386&lt;=COUNTA(半紙!$B$11:$B$310)+COUNTA(条幅!$B$11:$B$310),INDEX(条幅!$F$11:$F$310,386-COUNTA(半紙!$B$11:$B$310)),IF(386&lt;=COUNTA(半紙!$B$11:$B$310)+COUNTA(条幅!$B$11:$B$310)+COUNTA(条幅4分の1!$B$11:$B$310),INDEX(条幅4分の1!$F$11:$F$310,386-COUNTA(半紙!$B$11:$B$310)-COUNTA(条幅!$B$11:$B$310)),"")))=0,"",IF(386&lt;=COUNTA(半紙!$B$11:$B$310),INDEX(半紙!$F$11:$F$310,386),IF(386&lt;=COUNTA(半紙!$B$11:$B$310)+COUNTA(条幅!$B$11:$B$310),INDEX(条幅!$F$11:$F$310,386-COUNTA(半紙!$B$11:$B$310)),IF(386&lt;=COUNTA(半紙!$B$11:$B$310)+COUNTA(条幅!$B$11:$B$310)+COUNTA(条幅4分の1!$B$11:$B$310),INDEX(条幅4分の1!$F$11:$F$310,386-COUNTA(半紙!$B$11:$B$310)-COUNTA(条幅!$B$11:$B$310)),""))))</f>
        <v/>
      </c>
      <c r="G391" s="38" t="str">
        <f>IF(IF(386&lt;=COUNTA(半紙!$B$11:$B$310),INDEX(半紙!$G$11:$G$310,386),IF(386&lt;=COUNTA(半紙!$B$11:$B$310)+COUNTA(条幅!$B$11:$B$310),INDEX(条幅!$G$11:$G$310,386-COUNTA(半紙!$B$11:$B$310)),IF(386&lt;=COUNTA(半紙!$B$11:$B$310)+COUNTA(条幅!$B$11:$B$310)+COUNTA(条幅4分の1!$B$11:$B$310),INDEX(条幅4分の1!$G$11:$G$310,386-COUNTA(半紙!$B$11:$B$310)-COUNTA(条幅!$B$11:$B$310)),"")))=0,"",IF(386&lt;=COUNTA(半紙!$B$11:$B$310),INDEX(半紙!$G$11:$G$310,386),IF(386&lt;=COUNTA(半紙!$B$11:$B$310)+COUNTA(条幅!$B$11:$B$310),INDEX(条幅!$G$11:$G$310,386-COUNTA(半紙!$B$11:$B$310)),IF(386&lt;=COUNTA(半紙!$B$11:$B$310)+COUNTA(条幅!$B$11:$B$310)+COUNTA(条幅4分の1!$B$11:$B$310),INDEX(条幅4分の1!$G$11:$G$310,386-COUNTA(半紙!$B$11:$B$310)-COUNTA(条幅!$B$11:$B$310)),""))))</f>
        <v/>
      </c>
      <c r="H391" s="38" t="str">
        <f>IF(IF(386&lt;=COUNTA(半紙!$B$11:$B$310),INDEX(半紙!$H$11:$H$310,386),IF(386&lt;=COUNTA(半紙!$B$11:$B$310)+COUNTA(条幅!$B$11:$B$310),INDEX(条幅!$H$11:$H$310,386-COUNTA(半紙!$B$11:$B$310)),IF(386&lt;=COUNTA(半紙!$B$11:$B$310)+COUNTA(条幅!$B$11:$B$310)+COUNTA(条幅4分の1!$B$11:$B$310),INDEX(条幅4分の1!$H$11:$H$310,386-COUNTA(半紙!$B$11:$B$310)-COUNTA(条幅!$B$11:$B$310)),"")))=0,"",IF(386&lt;=COUNTA(半紙!$B$11:$B$310),INDEX(半紙!$H$11:$H$310,386),IF(386&lt;=COUNTA(半紙!$B$11:$B$310)+COUNTA(条幅!$B$11:$B$310),INDEX(条幅!$H$11:$H$310,386-COUNTA(半紙!$B$11:$B$310)),IF(386&lt;=COUNTA(半紙!$B$11:$B$310)+COUNTA(条幅!$B$11:$B$310)+COUNTA(条幅4分の1!$B$11:$B$310),INDEX(条幅4分の1!$H$11:$H$310,386-COUNTA(半紙!$B$11:$B$310)-COUNTA(条幅!$B$11:$B$310)),""))))</f>
        <v/>
      </c>
      <c r="I391" s="38" t="str">
        <f>IF(IF(386&lt;=COUNTA(半紙!$B$11:$B$310),INDEX(半紙!$I$11:$I$310,386),IF(386&lt;=COUNTA(半紙!$B$11:$B$310)+COUNTA(条幅!$B$11:$B$310),INDEX(条幅!$I$11:$I$310,386-COUNTA(半紙!$B$11:$B$310)),IF(386&lt;=COUNTA(半紙!$B$11:$B$310)+COUNTA(条幅!$B$11:$B$310)+COUNTA(条幅4分の1!$B$11:$B$310),INDEX(条幅4分の1!$I$11:$I$310,386-COUNTA(半紙!$B$11:$B$310)-COUNTA(条幅!$B$11:$B$310)),"")))=0,"",IF(386&lt;=COUNTA(半紙!$B$11:$B$310),INDEX(半紙!$I$11:$I$310,386),IF(386&lt;=COUNTA(半紙!$B$11:$B$310)+COUNTA(条幅!$B$11:$B$310),INDEX(条幅!$I$11:$I$310,386-COUNTA(半紙!$B$11:$B$310)),IF(386&lt;=COUNTA(半紙!$B$11:$B$310)+COUNTA(条幅!$B$11:$B$310)+COUNTA(条幅4分の1!$B$11:$B$310),INDEX(条幅4分の1!$I$11:$I$310,386-COUNTA(半紙!$B$11:$B$310)-COUNTA(条幅!$B$11:$B$310)),""))))</f>
        <v/>
      </c>
      <c r="J391" s="38" t="str">
        <f>IF(IF(386&lt;=COUNTA(半紙!$B$11:$B$310),INDEX(半紙!$J$11:$J$310,386),IF(386&lt;=COUNTA(半紙!$B$11:$B$310)+COUNTA(条幅!$B$11:$B$310),INDEX(条幅!$J$11:$J$310,386-COUNTA(半紙!$B$11:$B$310)),IF(386&lt;=COUNTA(半紙!$B$11:$B$310)+COUNTA(条幅!$B$11:$B$310)+COUNTA(条幅4分の1!$B$11:$B$310),INDEX(条幅4分の1!$J$11:$J$310,386-COUNTA(半紙!$B$11:$B$310)-COUNTA(条幅!$B$11:$B$310)),"")))=0,"",IF(386&lt;=COUNTA(半紙!$B$11:$B$310),INDEX(半紙!$J$11:$J$310,386),IF(386&lt;=COUNTA(半紙!$B$11:$B$310)+COUNTA(条幅!$B$11:$B$310),INDEX(条幅!$J$11:$J$310,386-COUNTA(半紙!$B$11:$B$310)),IF(386&lt;=COUNTA(半紙!$B$11:$B$310)+COUNTA(条幅!$B$11:$B$310)+COUNTA(条幅4分の1!$B$11:$B$310),INDEX(条幅4分の1!$J$11:$J$310,386-COUNTA(半紙!$B$11:$B$310)-COUNTA(条幅!$B$11:$B$310)),""))))</f>
        <v/>
      </c>
      <c r="K391" s="38" t="str">
        <f>IF(IF(386&lt;=COUNTA(半紙!$B$11:$B$310),INDEX(半紙!$K$11:$K$310,386),IF(386&lt;=COUNTA(半紙!$B$11:$B$310)+COUNTA(条幅!$B$11:$B$310),INDEX(条幅!$K$11:$K$310,386-COUNTA(半紙!$B$11:$B$310)),IF(386&lt;=COUNTA(半紙!$B$11:$B$310)+COUNTA(条幅!$B$11:$B$310)+COUNTA(条幅4分の1!$B$11:$B$310),INDEX(条幅4分の1!$K$11:$K$310,386-COUNTA(半紙!$B$11:$B$310)-COUNTA(条幅!$B$11:$B$310)),"")))=0,"",IF(386&lt;=COUNTA(半紙!$B$11:$B$310),INDEX(半紙!$K$11:$K$310,386),IF(386&lt;=COUNTA(半紙!$B$11:$B$310)+COUNTA(条幅!$B$11:$B$310),INDEX(条幅!$K$11:$K$310,386-COUNTA(半紙!$B$11:$B$310)),IF(386&lt;=COUNTA(半紙!$B$11:$B$310)+COUNTA(条幅!$B$11:$B$310)+COUNTA(条幅4分の1!$B$11:$B$310),INDEX(条幅4分の1!$K$11:$K$310,386-COUNTA(半紙!$B$11:$B$310)-COUNTA(条幅!$B$11:$B$310)),""))))</f>
        <v/>
      </c>
      <c r="L391" s="48" t="str">
        <f>IF($B391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386))</f>
        <v/>
      </c>
    </row>
    <row r="392" spans="1:12" ht="15" customHeight="1">
      <c r="A392" s="37" t="str">
        <f>IF(387&lt;=COUNTA(半紙!$B$11:$B$310),"半紙",IF(387&lt;=COUNTA(半紙!$B$11:$B$310)+COUNTA(条幅!$B$11:$B$310),"条幅(半切)",IF(387&lt;=COUNTA(半紙!$B$11:$B$310)+COUNTA(条幅!$B$11:$B$310)+COUNTA(条幅4分の1!$B$11:$B$310),"条幅(1/4)","")))</f>
        <v/>
      </c>
      <c r="B392" s="38" t="str">
        <f>IF(IF(387&lt;=COUNTA(半紙!$B$11:$B$310),INDEX(半紙!$B$11:$B$310,387),IF(387&lt;=COUNTA(半紙!$B$11:$B$310)+COUNTA(条幅!$B$11:$B$310),INDEX(条幅!$B$11:$B$310,387-COUNTA(半紙!$B$11:$B$310)),IF(387&lt;=COUNTA(半紙!$B$11:$B$310)+COUNTA(条幅!$B$11:$B$310)+COUNTA(条幅4分の1!$B$11:$B$310),INDEX(条幅4分の1!$B$11:$B$310,387-COUNTA(半紙!$B$11:$B$310)-COUNTA(条幅!$B$11:$B$310)),"")))=0,"",IF(387&lt;=COUNTA(半紙!$B$11:$B$310),INDEX(半紙!$B$11:$B$310,387),IF(387&lt;=COUNTA(半紙!$B$11:$B$310)+COUNTA(条幅!$B$11:$B$310),INDEX(条幅!$B$11:$B$310,387-COUNTA(半紙!$B$11:$B$310)),IF(387&lt;=COUNTA(半紙!$B$11:$B$310)+COUNTA(条幅!$B$11:$B$310)+COUNTA(条幅4分の1!$B$11:$B$310),INDEX(条幅4分の1!$B$11:$B$310,387-COUNTA(半紙!$B$11:$B$310)-COUNTA(条幅!$B$11:$B$310)),""))))</f>
        <v/>
      </c>
      <c r="C392" s="38" t="str">
        <f>IF(IF(387&lt;=COUNTA(半紙!$B$11:$B$310),INDEX(半紙!$C$11:$C$310,387),IF(387&lt;=COUNTA(半紙!$B$11:$B$310)+COUNTA(条幅!$B$11:$B$310),INDEX(条幅!$C$11:$C$310,387-COUNTA(半紙!$B$11:$B$310)),IF(387&lt;=COUNTA(半紙!$B$11:$B$310)+COUNTA(条幅!$B$11:$B$310)+COUNTA(条幅4分の1!$B$11:$B$310),INDEX(条幅4分の1!$C$11:$C$310,387-COUNTA(半紙!$B$11:$B$310)-COUNTA(条幅!$B$11:$B$310)),"")))=0,"",IF(387&lt;=COUNTA(半紙!$B$11:$B$310),INDEX(半紙!$C$11:$C$310,387),IF(387&lt;=COUNTA(半紙!$B$11:$B$310)+COUNTA(条幅!$B$11:$B$310),INDEX(条幅!$C$11:$C$310,387-COUNTA(半紙!$B$11:$B$310)),IF(387&lt;=COUNTA(半紙!$B$11:$B$310)+COUNTA(条幅!$B$11:$B$310)+COUNTA(条幅4分の1!$B$11:$B$310),INDEX(条幅4分の1!$C$11:$C$310,387-COUNTA(半紙!$B$11:$B$310)-COUNTA(条幅!$B$11:$B$310)),""))))</f>
        <v/>
      </c>
      <c r="D392" s="38" t="str">
        <f>IF(IF(387&lt;=COUNTA(半紙!$B$11:$B$310),INDEX(半紙!$D$11:$D$310,387),IF(387&lt;=COUNTA(半紙!$B$11:$B$310)+COUNTA(条幅!$B$11:$B$310),INDEX(条幅!$D$11:$D$310,387-COUNTA(半紙!$B$11:$B$310)),IF(387&lt;=COUNTA(半紙!$B$11:$B$310)+COUNTA(条幅!$B$11:$B$310)+COUNTA(条幅4分の1!$B$11:$B$310),INDEX(条幅4分の1!$D$11:$D$310,387-COUNTA(半紙!$B$11:$B$310)-COUNTA(条幅!$B$11:$B$310)),"")))=0,"",IF(387&lt;=COUNTA(半紙!$B$11:$B$310),INDEX(半紙!$D$11:$D$310,387),IF(387&lt;=COUNTA(半紙!$B$11:$B$310)+COUNTA(条幅!$B$11:$B$310),INDEX(条幅!$D$11:$D$310,387-COUNTA(半紙!$B$11:$B$310)),IF(387&lt;=COUNTA(半紙!$B$11:$B$310)+COUNTA(条幅!$B$11:$B$310)+COUNTA(条幅4分の1!$B$11:$B$310),INDEX(条幅4分の1!$D$11:$D$310,387-COUNTA(半紙!$B$11:$B$310)-COUNTA(条幅!$B$11:$B$310)),""))))</f>
        <v/>
      </c>
      <c r="E392" s="38" t="str">
        <f>IF(IF(387&lt;=COUNTA(半紙!$B$11:$B$310),INDEX(半紙!$E$11:$E$310,387),IF(387&lt;=COUNTA(半紙!$B$11:$B$310)+COUNTA(条幅!$B$11:$B$310),INDEX(条幅!$E$11:$E$310,387-COUNTA(半紙!$B$11:$B$310)),IF(387&lt;=COUNTA(半紙!$B$11:$B$310)+COUNTA(条幅!$B$11:$B$310)+COUNTA(条幅4分の1!$B$11:$B$310),INDEX(条幅4分の1!$E$11:$E$310,387-COUNTA(半紙!$B$11:$B$310)-COUNTA(条幅!$B$11:$B$310)),"")))=0,"",IF(387&lt;=COUNTA(半紙!$B$11:$B$310),INDEX(半紙!$E$11:$E$310,387),IF(387&lt;=COUNTA(半紙!$B$11:$B$310)+COUNTA(条幅!$B$11:$B$310),INDEX(条幅!$E$11:$E$310,387-COUNTA(半紙!$B$11:$B$310)),IF(387&lt;=COUNTA(半紙!$B$11:$B$310)+COUNTA(条幅!$B$11:$B$310)+COUNTA(条幅4分の1!$B$11:$B$310),INDEX(条幅4分の1!$E$11:$E$310,387-COUNTA(半紙!$B$11:$B$310)-COUNTA(条幅!$B$11:$B$310)),""))))</f>
        <v/>
      </c>
      <c r="F392" s="38" t="str">
        <f>IF(IF(387&lt;=COUNTA(半紙!$B$11:$B$310),INDEX(半紙!$F$11:$F$310,387),IF(387&lt;=COUNTA(半紙!$B$11:$B$310)+COUNTA(条幅!$B$11:$B$310),INDEX(条幅!$F$11:$F$310,387-COUNTA(半紙!$B$11:$B$310)),IF(387&lt;=COUNTA(半紙!$B$11:$B$310)+COUNTA(条幅!$B$11:$B$310)+COUNTA(条幅4分の1!$B$11:$B$310),INDEX(条幅4分の1!$F$11:$F$310,387-COUNTA(半紙!$B$11:$B$310)-COUNTA(条幅!$B$11:$B$310)),"")))=0,"",IF(387&lt;=COUNTA(半紙!$B$11:$B$310),INDEX(半紙!$F$11:$F$310,387),IF(387&lt;=COUNTA(半紙!$B$11:$B$310)+COUNTA(条幅!$B$11:$B$310),INDEX(条幅!$F$11:$F$310,387-COUNTA(半紙!$B$11:$B$310)),IF(387&lt;=COUNTA(半紙!$B$11:$B$310)+COUNTA(条幅!$B$11:$B$310)+COUNTA(条幅4分の1!$B$11:$B$310),INDEX(条幅4分の1!$F$11:$F$310,387-COUNTA(半紙!$B$11:$B$310)-COUNTA(条幅!$B$11:$B$310)),""))))</f>
        <v/>
      </c>
      <c r="G392" s="38" t="str">
        <f>IF(IF(387&lt;=COUNTA(半紙!$B$11:$B$310),INDEX(半紙!$G$11:$G$310,387),IF(387&lt;=COUNTA(半紙!$B$11:$B$310)+COUNTA(条幅!$B$11:$B$310),INDEX(条幅!$G$11:$G$310,387-COUNTA(半紙!$B$11:$B$310)),IF(387&lt;=COUNTA(半紙!$B$11:$B$310)+COUNTA(条幅!$B$11:$B$310)+COUNTA(条幅4分の1!$B$11:$B$310),INDEX(条幅4分の1!$G$11:$G$310,387-COUNTA(半紙!$B$11:$B$310)-COUNTA(条幅!$B$11:$B$310)),"")))=0,"",IF(387&lt;=COUNTA(半紙!$B$11:$B$310),INDEX(半紙!$G$11:$G$310,387),IF(387&lt;=COUNTA(半紙!$B$11:$B$310)+COUNTA(条幅!$B$11:$B$310),INDEX(条幅!$G$11:$G$310,387-COUNTA(半紙!$B$11:$B$310)),IF(387&lt;=COUNTA(半紙!$B$11:$B$310)+COUNTA(条幅!$B$11:$B$310)+COUNTA(条幅4分の1!$B$11:$B$310),INDEX(条幅4分の1!$G$11:$G$310,387-COUNTA(半紙!$B$11:$B$310)-COUNTA(条幅!$B$11:$B$310)),""))))</f>
        <v/>
      </c>
      <c r="H392" s="38" t="str">
        <f>IF(IF(387&lt;=COUNTA(半紙!$B$11:$B$310),INDEX(半紙!$H$11:$H$310,387),IF(387&lt;=COUNTA(半紙!$B$11:$B$310)+COUNTA(条幅!$B$11:$B$310),INDEX(条幅!$H$11:$H$310,387-COUNTA(半紙!$B$11:$B$310)),IF(387&lt;=COUNTA(半紙!$B$11:$B$310)+COUNTA(条幅!$B$11:$B$310)+COUNTA(条幅4分の1!$B$11:$B$310),INDEX(条幅4分の1!$H$11:$H$310,387-COUNTA(半紙!$B$11:$B$310)-COUNTA(条幅!$B$11:$B$310)),"")))=0,"",IF(387&lt;=COUNTA(半紙!$B$11:$B$310),INDEX(半紙!$H$11:$H$310,387),IF(387&lt;=COUNTA(半紙!$B$11:$B$310)+COUNTA(条幅!$B$11:$B$310),INDEX(条幅!$H$11:$H$310,387-COUNTA(半紙!$B$11:$B$310)),IF(387&lt;=COUNTA(半紙!$B$11:$B$310)+COUNTA(条幅!$B$11:$B$310)+COUNTA(条幅4分の1!$B$11:$B$310),INDEX(条幅4分の1!$H$11:$H$310,387-COUNTA(半紙!$B$11:$B$310)-COUNTA(条幅!$B$11:$B$310)),""))))</f>
        <v/>
      </c>
      <c r="I392" s="38" t="str">
        <f>IF(IF(387&lt;=COUNTA(半紙!$B$11:$B$310),INDEX(半紙!$I$11:$I$310,387),IF(387&lt;=COUNTA(半紙!$B$11:$B$310)+COUNTA(条幅!$B$11:$B$310),INDEX(条幅!$I$11:$I$310,387-COUNTA(半紙!$B$11:$B$310)),IF(387&lt;=COUNTA(半紙!$B$11:$B$310)+COUNTA(条幅!$B$11:$B$310)+COUNTA(条幅4分の1!$B$11:$B$310),INDEX(条幅4分の1!$I$11:$I$310,387-COUNTA(半紙!$B$11:$B$310)-COUNTA(条幅!$B$11:$B$310)),"")))=0,"",IF(387&lt;=COUNTA(半紙!$B$11:$B$310),INDEX(半紙!$I$11:$I$310,387),IF(387&lt;=COUNTA(半紙!$B$11:$B$310)+COUNTA(条幅!$B$11:$B$310),INDEX(条幅!$I$11:$I$310,387-COUNTA(半紙!$B$11:$B$310)),IF(387&lt;=COUNTA(半紙!$B$11:$B$310)+COUNTA(条幅!$B$11:$B$310)+COUNTA(条幅4分の1!$B$11:$B$310),INDEX(条幅4分の1!$I$11:$I$310,387-COUNTA(半紙!$B$11:$B$310)-COUNTA(条幅!$B$11:$B$310)),""))))</f>
        <v/>
      </c>
      <c r="J392" s="38" t="str">
        <f>IF(IF(387&lt;=COUNTA(半紙!$B$11:$B$310),INDEX(半紙!$J$11:$J$310,387),IF(387&lt;=COUNTA(半紙!$B$11:$B$310)+COUNTA(条幅!$B$11:$B$310),INDEX(条幅!$J$11:$J$310,387-COUNTA(半紙!$B$11:$B$310)),IF(387&lt;=COUNTA(半紙!$B$11:$B$310)+COUNTA(条幅!$B$11:$B$310)+COUNTA(条幅4分の1!$B$11:$B$310),INDEX(条幅4分の1!$J$11:$J$310,387-COUNTA(半紙!$B$11:$B$310)-COUNTA(条幅!$B$11:$B$310)),"")))=0,"",IF(387&lt;=COUNTA(半紙!$B$11:$B$310),INDEX(半紙!$J$11:$J$310,387),IF(387&lt;=COUNTA(半紙!$B$11:$B$310)+COUNTA(条幅!$B$11:$B$310),INDEX(条幅!$J$11:$J$310,387-COUNTA(半紙!$B$11:$B$310)),IF(387&lt;=COUNTA(半紙!$B$11:$B$310)+COUNTA(条幅!$B$11:$B$310)+COUNTA(条幅4分の1!$B$11:$B$310),INDEX(条幅4分の1!$J$11:$J$310,387-COUNTA(半紙!$B$11:$B$310)-COUNTA(条幅!$B$11:$B$310)),""))))</f>
        <v/>
      </c>
      <c r="K392" s="38" t="str">
        <f>IF(IF(387&lt;=COUNTA(半紙!$B$11:$B$310),INDEX(半紙!$K$11:$K$310,387),IF(387&lt;=COUNTA(半紙!$B$11:$B$310)+COUNTA(条幅!$B$11:$B$310),INDEX(条幅!$K$11:$K$310,387-COUNTA(半紙!$B$11:$B$310)),IF(387&lt;=COUNTA(半紙!$B$11:$B$310)+COUNTA(条幅!$B$11:$B$310)+COUNTA(条幅4分の1!$B$11:$B$310),INDEX(条幅4分の1!$K$11:$K$310,387-COUNTA(半紙!$B$11:$B$310)-COUNTA(条幅!$B$11:$B$310)),"")))=0,"",IF(387&lt;=COUNTA(半紙!$B$11:$B$310),INDEX(半紙!$K$11:$K$310,387),IF(387&lt;=COUNTA(半紙!$B$11:$B$310)+COUNTA(条幅!$B$11:$B$310),INDEX(条幅!$K$11:$K$310,387-COUNTA(半紙!$B$11:$B$310)),IF(387&lt;=COUNTA(半紙!$B$11:$B$310)+COUNTA(条幅!$B$11:$B$310)+COUNTA(条幅4分の1!$B$11:$B$310),INDEX(条幅4分の1!$K$11:$K$310,387-COUNTA(半紙!$B$11:$B$310)-COUNTA(条幅!$B$11:$B$310)),""))))</f>
        <v/>
      </c>
      <c r="L392" s="48" t="str">
        <f>IF($B392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387))</f>
        <v/>
      </c>
    </row>
    <row r="393" spans="1:12" ht="15" customHeight="1">
      <c r="A393" s="37" t="str">
        <f>IF(388&lt;=COUNTA(半紙!$B$11:$B$310),"半紙",IF(388&lt;=COUNTA(半紙!$B$11:$B$310)+COUNTA(条幅!$B$11:$B$310),"条幅(半切)",IF(388&lt;=COUNTA(半紙!$B$11:$B$310)+COUNTA(条幅!$B$11:$B$310)+COUNTA(条幅4分の1!$B$11:$B$310),"条幅(1/4)","")))</f>
        <v/>
      </c>
      <c r="B393" s="38" t="str">
        <f>IF(IF(388&lt;=COUNTA(半紙!$B$11:$B$310),INDEX(半紙!$B$11:$B$310,388),IF(388&lt;=COUNTA(半紙!$B$11:$B$310)+COUNTA(条幅!$B$11:$B$310),INDEX(条幅!$B$11:$B$310,388-COUNTA(半紙!$B$11:$B$310)),IF(388&lt;=COUNTA(半紙!$B$11:$B$310)+COUNTA(条幅!$B$11:$B$310)+COUNTA(条幅4分の1!$B$11:$B$310),INDEX(条幅4分の1!$B$11:$B$310,388-COUNTA(半紙!$B$11:$B$310)-COUNTA(条幅!$B$11:$B$310)),"")))=0,"",IF(388&lt;=COUNTA(半紙!$B$11:$B$310),INDEX(半紙!$B$11:$B$310,388),IF(388&lt;=COUNTA(半紙!$B$11:$B$310)+COUNTA(条幅!$B$11:$B$310),INDEX(条幅!$B$11:$B$310,388-COUNTA(半紙!$B$11:$B$310)),IF(388&lt;=COUNTA(半紙!$B$11:$B$310)+COUNTA(条幅!$B$11:$B$310)+COUNTA(条幅4分の1!$B$11:$B$310),INDEX(条幅4分の1!$B$11:$B$310,388-COUNTA(半紙!$B$11:$B$310)-COUNTA(条幅!$B$11:$B$310)),""))))</f>
        <v/>
      </c>
      <c r="C393" s="38" t="str">
        <f>IF(IF(388&lt;=COUNTA(半紙!$B$11:$B$310),INDEX(半紙!$C$11:$C$310,388),IF(388&lt;=COUNTA(半紙!$B$11:$B$310)+COUNTA(条幅!$B$11:$B$310),INDEX(条幅!$C$11:$C$310,388-COUNTA(半紙!$B$11:$B$310)),IF(388&lt;=COUNTA(半紙!$B$11:$B$310)+COUNTA(条幅!$B$11:$B$310)+COUNTA(条幅4分の1!$B$11:$B$310),INDEX(条幅4分の1!$C$11:$C$310,388-COUNTA(半紙!$B$11:$B$310)-COUNTA(条幅!$B$11:$B$310)),"")))=0,"",IF(388&lt;=COUNTA(半紙!$B$11:$B$310),INDEX(半紙!$C$11:$C$310,388),IF(388&lt;=COUNTA(半紙!$B$11:$B$310)+COUNTA(条幅!$B$11:$B$310),INDEX(条幅!$C$11:$C$310,388-COUNTA(半紙!$B$11:$B$310)),IF(388&lt;=COUNTA(半紙!$B$11:$B$310)+COUNTA(条幅!$B$11:$B$310)+COUNTA(条幅4分の1!$B$11:$B$310),INDEX(条幅4分の1!$C$11:$C$310,388-COUNTA(半紙!$B$11:$B$310)-COUNTA(条幅!$B$11:$B$310)),""))))</f>
        <v/>
      </c>
      <c r="D393" s="38" t="str">
        <f>IF(IF(388&lt;=COUNTA(半紙!$B$11:$B$310),INDEX(半紙!$D$11:$D$310,388),IF(388&lt;=COUNTA(半紙!$B$11:$B$310)+COUNTA(条幅!$B$11:$B$310),INDEX(条幅!$D$11:$D$310,388-COUNTA(半紙!$B$11:$B$310)),IF(388&lt;=COUNTA(半紙!$B$11:$B$310)+COUNTA(条幅!$B$11:$B$310)+COUNTA(条幅4分の1!$B$11:$B$310),INDEX(条幅4分の1!$D$11:$D$310,388-COUNTA(半紙!$B$11:$B$310)-COUNTA(条幅!$B$11:$B$310)),"")))=0,"",IF(388&lt;=COUNTA(半紙!$B$11:$B$310),INDEX(半紙!$D$11:$D$310,388),IF(388&lt;=COUNTA(半紙!$B$11:$B$310)+COUNTA(条幅!$B$11:$B$310),INDEX(条幅!$D$11:$D$310,388-COUNTA(半紙!$B$11:$B$310)),IF(388&lt;=COUNTA(半紙!$B$11:$B$310)+COUNTA(条幅!$B$11:$B$310)+COUNTA(条幅4分の1!$B$11:$B$310),INDEX(条幅4分の1!$D$11:$D$310,388-COUNTA(半紙!$B$11:$B$310)-COUNTA(条幅!$B$11:$B$310)),""))))</f>
        <v/>
      </c>
      <c r="E393" s="38" t="str">
        <f>IF(IF(388&lt;=COUNTA(半紙!$B$11:$B$310),INDEX(半紙!$E$11:$E$310,388),IF(388&lt;=COUNTA(半紙!$B$11:$B$310)+COUNTA(条幅!$B$11:$B$310),INDEX(条幅!$E$11:$E$310,388-COUNTA(半紙!$B$11:$B$310)),IF(388&lt;=COUNTA(半紙!$B$11:$B$310)+COUNTA(条幅!$B$11:$B$310)+COUNTA(条幅4分の1!$B$11:$B$310),INDEX(条幅4分の1!$E$11:$E$310,388-COUNTA(半紙!$B$11:$B$310)-COUNTA(条幅!$B$11:$B$310)),"")))=0,"",IF(388&lt;=COUNTA(半紙!$B$11:$B$310),INDEX(半紙!$E$11:$E$310,388),IF(388&lt;=COUNTA(半紙!$B$11:$B$310)+COUNTA(条幅!$B$11:$B$310),INDEX(条幅!$E$11:$E$310,388-COUNTA(半紙!$B$11:$B$310)),IF(388&lt;=COUNTA(半紙!$B$11:$B$310)+COUNTA(条幅!$B$11:$B$310)+COUNTA(条幅4分の1!$B$11:$B$310),INDEX(条幅4分の1!$E$11:$E$310,388-COUNTA(半紙!$B$11:$B$310)-COUNTA(条幅!$B$11:$B$310)),""))))</f>
        <v/>
      </c>
      <c r="F393" s="38" t="str">
        <f>IF(IF(388&lt;=COUNTA(半紙!$B$11:$B$310),INDEX(半紙!$F$11:$F$310,388),IF(388&lt;=COUNTA(半紙!$B$11:$B$310)+COUNTA(条幅!$B$11:$B$310),INDEX(条幅!$F$11:$F$310,388-COUNTA(半紙!$B$11:$B$310)),IF(388&lt;=COUNTA(半紙!$B$11:$B$310)+COUNTA(条幅!$B$11:$B$310)+COUNTA(条幅4分の1!$B$11:$B$310),INDEX(条幅4分の1!$F$11:$F$310,388-COUNTA(半紙!$B$11:$B$310)-COUNTA(条幅!$B$11:$B$310)),"")))=0,"",IF(388&lt;=COUNTA(半紙!$B$11:$B$310),INDEX(半紙!$F$11:$F$310,388),IF(388&lt;=COUNTA(半紙!$B$11:$B$310)+COUNTA(条幅!$B$11:$B$310),INDEX(条幅!$F$11:$F$310,388-COUNTA(半紙!$B$11:$B$310)),IF(388&lt;=COUNTA(半紙!$B$11:$B$310)+COUNTA(条幅!$B$11:$B$310)+COUNTA(条幅4分の1!$B$11:$B$310),INDEX(条幅4分の1!$F$11:$F$310,388-COUNTA(半紙!$B$11:$B$310)-COUNTA(条幅!$B$11:$B$310)),""))))</f>
        <v/>
      </c>
      <c r="G393" s="38" t="str">
        <f>IF(IF(388&lt;=COUNTA(半紙!$B$11:$B$310),INDEX(半紙!$G$11:$G$310,388),IF(388&lt;=COUNTA(半紙!$B$11:$B$310)+COUNTA(条幅!$B$11:$B$310),INDEX(条幅!$G$11:$G$310,388-COUNTA(半紙!$B$11:$B$310)),IF(388&lt;=COUNTA(半紙!$B$11:$B$310)+COUNTA(条幅!$B$11:$B$310)+COUNTA(条幅4分の1!$B$11:$B$310),INDEX(条幅4分の1!$G$11:$G$310,388-COUNTA(半紙!$B$11:$B$310)-COUNTA(条幅!$B$11:$B$310)),"")))=0,"",IF(388&lt;=COUNTA(半紙!$B$11:$B$310),INDEX(半紙!$G$11:$G$310,388),IF(388&lt;=COUNTA(半紙!$B$11:$B$310)+COUNTA(条幅!$B$11:$B$310),INDEX(条幅!$G$11:$G$310,388-COUNTA(半紙!$B$11:$B$310)),IF(388&lt;=COUNTA(半紙!$B$11:$B$310)+COUNTA(条幅!$B$11:$B$310)+COUNTA(条幅4分の1!$B$11:$B$310),INDEX(条幅4分の1!$G$11:$G$310,388-COUNTA(半紙!$B$11:$B$310)-COUNTA(条幅!$B$11:$B$310)),""))))</f>
        <v/>
      </c>
      <c r="H393" s="38" t="str">
        <f>IF(IF(388&lt;=COUNTA(半紙!$B$11:$B$310),INDEX(半紙!$H$11:$H$310,388),IF(388&lt;=COUNTA(半紙!$B$11:$B$310)+COUNTA(条幅!$B$11:$B$310),INDEX(条幅!$H$11:$H$310,388-COUNTA(半紙!$B$11:$B$310)),IF(388&lt;=COUNTA(半紙!$B$11:$B$310)+COUNTA(条幅!$B$11:$B$310)+COUNTA(条幅4分の1!$B$11:$B$310),INDEX(条幅4分の1!$H$11:$H$310,388-COUNTA(半紙!$B$11:$B$310)-COUNTA(条幅!$B$11:$B$310)),"")))=0,"",IF(388&lt;=COUNTA(半紙!$B$11:$B$310),INDEX(半紙!$H$11:$H$310,388),IF(388&lt;=COUNTA(半紙!$B$11:$B$310)+COUNTA(条幅!$B$11:$B$310),INDEX(条幅!$H$11:$H$310,388-COUNTA(半紙!$B$11:$B$310)),IF(388&lt;=COUNTA(半紙!$B$11:$B$310)+COUNTA(条幅!$B$11:$B$310)+COUNTA(条幅4分の1!$B$11:$B$310),INDEX(条幅4分の1!$H$11:$H$310,388-COUNTA(半紙!$B$11:$B$310)-COUNTA(条幅!$B$11:$B$310)),""))))</f>
        <v/>
      </c>
      <c r="I393" s="38" t="str">
        <f>IF(IF(388&lt;=COUNTA(半紙!$B$11:$B$310),INDEX(半紙!$I$11:$I$310,388),IF(388&lt;=COUNTA(半紙!$B$11:$B$310)+COUNTA(条幅!$B$11:$B$310),INDEX(条幅!$I$11:$I$310,388-COUNTA(半紙!$B$11:$B$310)),IF(388&lt;=COUNTA(半紙!$B$11:$B$310)+COUNTA(条幅!$B$11:$B$310)+COUNTA(条幅4分の1!$B$11:$B$310),INDEX(条幅4分の1!$I$11:$I$310,388-COUNTA(半紙!$B$11:$B$310)-COUNTA(条幅!$B$11:$B$310)),"")))=0,"",IF(388&lt;=COUNTA(半紙!$B$11:$B$310),INDEX(半紙!$I$11:$I$310,388),IF(388&lt;=COUNTA(半紙!$B$11:$B$310)+COUNTA(条幅!$B$11:$B$310),INDEX(条幅!$I$11:$I$310,388-COUNTA(半紙!$B$11:$B$310)),IF(388&lt;=COUNTA(半紙!$B$11:$B$310)+COUNTA(条幅!$B$11:$B$310)+COUNTA(条幅4分の1!$B$11:$B$310),INDEX(条幅4分の1!$I$11:$I$310,388-COUNTA(半紙!$B$11:$B$310)-COUNTA(条幅!$B$11:$B$310)),""))))</f>
        <v/>
      </c>
      <c r="J393" s="38" t="str">
        <f>IF(IF(388&lt;=COUNTA(半紙!$B$11:$B$310),INDEX(半紙!$J$11:$J$310,388),IF(388&lt;=COUNTA(半紙!$B$11:$B$310)+COUNTA(条幅!$B$11:$B$310),INDEX(条幅!$J$11:$J$310,388-COUNTA(半紙!$B$11:$B$310)),IF(388&lt;=COUNTA(半紙!$B$11:$B$310)+COUNTA(条幅!$B$11:$B$310)+COUNTA(条幅4分の1!$B$11:$B$310),INDEX(条幅4分の1!$J$11:$J$310,388-COUNTA(半紙!$B$11:$B$310)-COUNTA(条幅!$B$11:$B$310)),"")))=0,"",IF(388&lt;=COUNTA(半紙!$B$11:$B$310),INDEX(半紙!$J$11:$J$310,388),IF(388&lt;=COUNTA(半紙!$B$11:$B$310)+COUNTA(条幅!$B$11:$B$310),INDEX(条幅!$J$11:$J$310,388-COUNTA(半紙!$B$11:$B$310)),IF(388&lt;=COUNTA(半紙!$B$11:$B$310)+COUNTA(条幅!$B$11:$B$310)+COUNTA(条幅4分の1!$B$11:$B$310),INDEX(条幅4分の1!$J$11:$J$310,388-COUNTA(半紙!$B$11:$B$310)-COUNTA(条幅!$B$11:$B$310)),""))))</f>
        <v/>
      </c>
      <c r="K393" s="38" t="str">
        <f>IF(IF(388&lt;=COUNTA(半紙!$B$11:$B$310),INDEX(半紙!$K$11:$K$310,388),IF(388&lt;=COUNTA(半紙!$B$11:$B$310)+COUNTA(条幅!$B$11:$B$310),INDEX(条幅!$K$11:$K$310,388-COUNTA(半紙!$B$11:$B$310)),IF(388&lt;=COUNTA(半紙!$B$11:$B$310)+COUNTA(条幅!$B$11:$B$310)+COUNTA(条幅4分の1!$B$11:$B$310),INDEX(条幅4分の1!$K$11:$K$310,388-COUNTA(半紙!$B$11:$B$310)-COUNTA(条幅!$B$11:$B$310)),"")))=0,"",IF(388&lt;=COUNTA(半紙!$B$11:$B$310),INDEX(半紙!$K$11:$K$310,388),IF(388&lt;=COUNTA(半紙!$B$11:$B$310)+COUNTA(条幅!$B$11:$B$310),INDEX(条幅!$K$11:$K$310,388-COUNTA(半紙!$B$11:$B$310)),IF(388&lt;=COUNTA(半紙!$B$11:$B$310)+COUNTA(条幅!$B$11:$B$310)+COUNTA(条幅4分の1!$B$11:$B$310),INDEX(条幅4分の1!$K$11:$K$310,388-COUNTA(半紙!$B$11:$B$310)-COUNTA(条幅!$B$11:$B$310)),""))))</f>
        <v/>
      </c>
      <c r="L393" s="48" t="str">
        <f>IF($B393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388))</f>
        <v/>
      </c>
    </row>
    <row r="394" spans="1:12" ht="15" customHeight="1">
      <c r="A394" s="37" t="str">
        <f>IF(389&lt;=COUNTA(半紙!$B$11:$B$310),"半紙",IF(389&lt;=COUNTA(半紙!$B$11:$B$310)+COUNTA(条幅!$B$11:$B$310),"条幅(半切)",IF(389&lt;=COUNTA(半紙!$B$11:$B$310)+COUNTA(条幅!$B$11:$B$310)+COUNTA(条幅4分の1!$B$11:$B$310),"条幅(1/4)","")))</f>
        <v/>
      </c>
      <c r="B394" s="38" t="str">
        <f>IF(IF(389&lt;=COUNTA(半紙!$B$11:$B$310),INDEX(半紙!$B$11:$B$310,389),IF(389&lt;=COUNTA(半紙!$B$11:$B$310)+COUNTA(条幅!$B$11:$B$310),INDEX(条幅!$B$11:$B$310,389-COUNTA(半紙!$B$11:$B$310)),IF(389&lt;=COUNTA(半紙!$B$11:$B$310)+COUNTA(条幅!$B$11:$B$310)+COUNTA(条幅4分の1!$B$11:$B$310),INDEX(条幅4分の1!$B$11:$B$310,389-COUNTA(半紙!$B$11:$B$310)-COUNTA(条幅!$B$11:$B$310)),"")))=0,"",IF(389&lt;=COUNTA(半紙!$B$11:$B$310),INDEX(半紙!$B$11:$B$310,389),IF(389&lt;=COUNTA(半紙!$B$11:$B$310)+COUNTA(条幅!$B$11:$B$310),INDEX(条幅!$B$11:$B$310,389-COUNTA(半紙!$B$11:$B$310)),IF(389&lt;=COUNTA(半紙!$B$11:$B$310)+COUNTA(条幅!$B$11:$B$310)+COUNTA(条幅4分の1!$B$11:$B$310),INDEX(条幅4分の1!$B$11:$B$310,389-COUNTA(半紙!$B$11:$B$310)-COUNTA(条幅!$B$11:$B$310)),""))))</f>
        <v/>
      </c>
      <c r="C394" s="38" t="str">
        <f>IF(IF(389&lt;=COUNTA(半紙!$B$11:$B$310),INDEX(半紙!$C$11:$C$310,389),IF(389&lt;=COUNTA(半紙!$B$11:$B$310)+COUNTA(条幅!$B$11:$B$310),INDEX(条幅!$C$11:$C$310,389-COUNTA(半紙!$B$11:$B$310)),IF(389&lt;=COUNTA(半紙!$B$11:$B$310)+COUNTA(条幅!$B$11:$B$310)+COUNTA(条幅4分の1!$B$11:$B$310),INDEX(条幅4分の1!$C$11:$C$310,389-COUNTA(半紙!$B$11:$B$310)-COUNTA(条幅!$B$11:$B$310)),"")))=0,"",IF(389&lt;=COUNTA(半紙!$B$11:$B$310),INDEX(半紙!$C$11:$C$310,389),IF(389&lt;=COUNTA(半紙!$B$11:$B$310)+COUNTA(条幅!$B$11:$B$310),INDEX(条幅!$C$11:$C$310,389-COUNTA(半紙!$B$11:$B$310)),IF(389&lt;=COUNTA(半紙!$B$11:$B$310)+COUNTA(条幅!$B$11:$B$310)+COUNTA(条幅4分の1!$B$11:$B$310),INDEX(条幅4分の1!$C$11:$C$310,389-COUNTA(半紙!$B$11:$B$310)-COUNTA(条幅!$B$11:$B$310)),""))))</f>
        <v/>
      </c>
      <c r="D394" s="38" t="str">
        <f>IF(IF(389&lt;=COUNTA(半紙!$B$11:$B$310),INDEX(半紙!$D$11:$D$310,389),IF(389&lt;=COUNTA(半紙!$B$11:$B$310)+COUNTA(条幅!$B$11:$B$310),INDEX(条幅!$D$11:$D$310,389-COUNTA(半紙!$B$11:$B$310)),IF(389&lt;=COUNTA(半紙!$B$11:$B$310)+COUNTA(条幅!$B$11:$B$310)+COUNTA(条幅4分の1!$B$11:$B$310),INDEX(条幅4分の1!$D$11:$D$310,389-COUNTA(半紙!$B$11:$B$310)-COUNTA(条幅!$B$11:$B$310)),"")))=0,"",IF(389&lt;=COUNTA(半紙!$B$11:$B$310),INDEX(半紙!$D$11:$D$310,389),IF(389&lt;=COUNTA(半紙!$B$11:$B$310)+COUNTA(条幅!$B$11:$B$310),INDEX(条幅!$D$11:$D$310,389-COUNTA(半紙!$B$11:$B$310)),IF(389&lt;=COUNTA(半紙!$B$11:$B$310)+COUNTA(条幅!$B$11:$B$310)+COUNTA(条幅4分の1!$B$11:$B$310),INDEX(条幅4分の1!$D$11:$D$310,389-COUNTA(半紙!$B$11:$B$310)-COUNTA(条幅!$B$11:$B$310)),""))))</f>
        <v/>
      </c>
      <c r="E394" s="38" t="str">
        <f>IF(IF(389&lt;=COUNTA(半紙!$B$11:$B$310),INDEX(半紙!$E$11:$E$310,389),IF(389&lt;=COUNTA(半紙!$B$11:$B$310)+COUNTA(条幅!$B$11:$B$310),INDEX(条幅!$E$11:$E$310,389-COUNTA(半紙!$B$11:$B$310)),IF(389&lt;=COUNTA(半紙!$B$11:$B$310)+COUNTA(条幅!$B$11:$B$310)+COUNTA(条幅4分の1!$B$11:$B$310),INDEX(条幅4分の1!$E$11:$E$310,389-COUNTA(半紙!$B$11:$B$310)-COUNTA(条幅!$B$11:$B$310)),"")))=0,"",IF(389&lt;=COUNTA(半紙!$B$11:$B$310),INDEX(半紙!$E$11:$E$310,389),IF(389&lt;=COUNTA(半紙!$B$11:$B$310)+COUNTA(条幅!$B$11:$B$310),INDEX(条幅!$E$11:$E$310,389-COUNTA(半紙!$B$11:$B$310)),IF(389&lt;=COUNTA(半紙!$B$11:$B$310)+COUNTA(条幅!$B$11:$B$310)+COUNTA(条幅4分の1!$B$11:$B$310),INDEX(条幅4分の1!$E$11:$E$310,389-COUNTA(半紙!$B$11:$B$310)-COUNTA(条幅!$B$11:$B$310)),""))))</f>
        <v/>
      </c>
      <c r="F394" s="38" t="str">
        <f>IF(IF(389&lt;=COUNTA(半紙!$B$11:$B$310),INDEX(半紙!$F$11:$F$310,389),IF(389&lt;=COUNTA(半紙!$B$11:$B$310)+COUNTA(条幅!$B$11:$B$310),INDEX(条幅!$F$11:$F$310,389-COUNTA(半紙!$B$11:$B$310)),IF(389&lt;=COUNTA(半紙!$B$11:$B$310)+COUNTA(条幅!$B$11:$B$310)+COUNTA(条幅4分の1!$B$11:$B$310),INDEX(条幅4分の1!$F$11:$F$310,389-COUNTA(半紙!$B$11:$B$310)-COUNTA(条幅!$B$11:$B$310)),"")))=0,"",IF(389&lt;=COUNTA(半紙!$B$11:$B$310),INDEX(半紙!$F$11:$F$310,389),IF(389&lt;=COUNTA(半紙!$B$11:$B$310)+COUNTA(条幅!$B$11:$B$310),INDEX(条幅!$F$11:$F$310,389-COUNTA(半紙!$B$11:$B$310)),IF(389&lt;=COUNTA(半紙!$B$11:$B$310)+COUNTA(条幅!$B$11:$B$310)+COUNTA(条幅4分の1!$B$11:$B$310),INDEX(条幅4分の1!$F$11:$F$310,389-COUNTA(半紙!$B$11:$B$310)-COUNTA(条幅!$B$11:$B$310)),""))))</f>
        <v/>
      </c>
      <c r="G394" s="38" t="str">
        <f>IF(IF(389&lt;=COUNTA(半紙!$B$11:$B$310),INDEX(半紙!$G$11:$G$310,389),IF(389&lt;=COUNTA(半紙!$B$11:$B$310)+COUNTA(条幅!$B$11:$B$310),INDEX(条幅!$G$11:$G$310,389-COUNTA(半紙!$B$11:$B$310)),IF(389&lt;=COUNTA(半紙!$B$11:$B$310)+COUNTA(条幅!$B$11:$B$310)+COUNTA(条幅4分の1!$B$11:$B$310),INDEX(条幅4分の1!$G$11:$G$310,389-COUNTA(半紙!$B$11:$B$310)-COUNTA(条幅!$B$11:$B$310)),"")))=0,"",IF(389&lt;=COUNTA(半紙!$B$11:$B$310),INDEX(半紙!$G$11:$G$310,389),IF(389&lt;=COUNTA(半紙!$B$11:$B$310)+COUNTA(条幅!$B$11:$B$310),INDEX(条幅!$G$11:$G$310,389-COUNTA(半紙!$B$11:$B$310)),IF(389&lt;=COUNTA(半紙!$B$11:$B$310)+COUNTA(条幅!$B$11:$B$310)+COUNTA(条幅4分の1!$B$11:$B$310),INDEX(条幅4分の1!$G$11:$G$310,389-COUNTA(半紙!$B$11:$B$310)-COUNTA(条幅!$B$11:$B$310)),""))))</f>
        <v/>
      </c>
      <c r="H394" s="38" t="str">
        <f>IF(IF(389&lt;=COUNTA(半紙!$B$11:$B$310),INDEX(半紙!$H$11:$H$310,389),IF(389&lt;=COUNTA(半紙!$B$11:$B$310)+COUNTA(条幅!$B$11:$B$310),INDEX(条幅!$H$11:$H$310,389-COUNTA(半紙!$B$11:$B$310)),IF(389&lt;=COUNTA(半紙!$B$11:$B$310)+COUNTA(条幅!$B$11:$B$310)+COUNTA(条幅4分の1!$B$11:$B$310),INDEX(条幅4分の1!$H$11:$H$310,389-COUNTA(半紙!$B$11:$B$310)-COUNTA(条幅!$B$11:$B$310)),"")))=0,"",IF(389&lt;=COUNTA(半紙!$B$11:$B$310),INDEX(半紙!$H$11:$H$310,389),IF(389&lt;=COUNTA(半紙!$B$11:$B$310)+COUNTA(条幅!$B$11:$B$310),INDEX(条幅!$H$11:$H$310,389-COUNTA(半紙!$B$11:$B$310)),IF(389&lt;=COUNTA(半紙!$B$11:$B$310)+COUNTA(条幅!$B$11:$B$310)+COUNTA(条幅4分の1!$B$11:$B$310),INDEX(条幅4分の1!$H$11:$H$310,389-COUNTA(半紙!$B$11:$B$310)-COUNTA(条幅!$B$11:$B$310)),""))))</f>
        <v/>
      </c>
      <c r="I394" s="38" t="str">
        <f>IF(IF(389&lt;=COUNTA(半紙!$B$11:$B$310),INDEX(半紙!$I$11:$I$310,389),IF(389&lt;=COUNTA(半紙!$B$11:$B$310)+COUNTA(条幅!$B$11:$B$310),INDEX(条幅!$I$11:$I$310,389-COUNTA(半紙!$B$11:$B$310)),IF(389&lt;=COUNTA(半紙!$B$11:$B$310)+COUNTA(条幅!$B$11:$B$310)+COUNTA(条幅4分の1!$B$11:$B$310),INDEX(条幅4分の1!$I$11:$I$310,389-COUNTA(半紙!$B$11:$B$310)-COUNTA(条幅!$B$11:$B$310)),"")))=0,"",IF(389&lt;=COUNTA(半紙!$B$11:$B$310),INDEX(半紙!$I$11:$I$310,389),IF(389&lt;=COUNTA(半紙!$B$11:$B$310)+COUNTA(条幅!$B$11:$B$310),INDEX(条幅!$I$11:$I$310,389-COUNTA(半紙!$B$11:$B$310)),IF(389&lt;=COUNTA(半紙!$B$11:$B$310)+COUNTA(条幅!$B$11:$B$310)+COUNTA(条幅4分の1!$B$11:$B$310),INDEX(条幅4分の1!$I$11:$I$310,389-COUNTA(半紙!$B$11:$B$310)-COUNTA(条幅!$B$11:$B$310)),""))))</f>
        <v/>
      </c>
      <c r="J394" s="38" t="str">
        <f>IF(IF(389&lt;=COUNTA(半紙!$B$11:$B$310),INDEX(半紙!$J$11:$J$310,389),IF(389&lt;=COUNTA(半紙!$B$11:$B$310)+COUNTA(条幅!$B$11:$B$310),INDEX(条幅!$J$11:$J$310,389-COUNTA(半紙!$B$11:$B$310)),IF(389&lt;=COUNTA(半紙!$B$11:$B$310)+COUNTA(条幅!$B$11:$B$310)+COUNTA(条幅4分の1!$B$11:$B$310),INDEX(条幅4分の1!$J$11:$J$310,389-COUNTA(半紙!$B$11:$B$310)-COUNTA(条幅!$B$11:$B$310)),"")))=0,"",IF(389&lt;=COUNTA(半紙!$B$11:$B$310),INDEX(半紙!$J$11:$J$310,389),IF(389&lt;=COUNTA(半紙!$B$11:$B$310)+COUNTA(条幅!$B$11:$B$310),INDEX(条幅!$J$11:$J$310,389-COUNTA(半紙!$B$11:$B$310)),IF(389&lt;=COUNTA(半紙!$B$11:$B$310)+COUNTA(条幅!$B$11:$B$310)+COUNTA(条幅4分の1!$B$11:$B$310),INDEX(条幅4分の1!$J$11:$J$310,389-COUNTA(半紙!$B$11:$B$310)-COUNTA(条幅!$B$11:$B$310)),""))))</f>
        <v/>
      </c>
      <c r="K394" s="38" t="str">
        <f>IF(IF(389&lt;=COUNTA(半紙!$B$11:$B$310),INDEX(半紙!$K$11:$K$310,389),IF(389&lt;=COUNTA(半紙!$B$11:$B$310)+COUNTA(条幅!$B$11:$B$310),INDEX(条幅!$K$11:$K$310,389-COUNTA(半紙!$B$11:$B$310)),IF(389&lt;=COUNTA(半紙!$B$11:$B$310)+COUNTA(条幅!$B$11:$B$310)+COUNTA(条幅4分の1!$B$11:$B$310),INDEX(条幅4分の1!$K$11:$K$310,389-COUNTA(半紙!$B$11:$B$310)-COUNTA(条幅!$B$11:$B$310)),"")))=0,"",IF(389&lt;=COUNTA(半紙!$B$11:$B$310),INDEX(半紙!$K$11:$K$310,389),IF(389&lt;=COUNTA(半紙!$B$11:$B$310)+COUNTA(条幅!$B$11:$B$310),INDEX(条幅!$K$11:$K$310,389-COUNTA(半紙!$B$11:$B$310)),IF(389&lt;=COUNTA(半紙!$B$11:$B$310)+COUNTA(条幅!$B$11:$B$310)+COUNTA(条幅4分の1!$B$11:$B$310),INDEX(条幅4分の1!$K$11:$K$310,389-COUNTA(半紙!$B$11:$B$310)-COUNTA(条幅!$B$11:$B$310)),""))))</f>
        <v/>
      </c>
      <c r="L394" s="48" t="str">
        <f>IF($B394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389))</f>
        <v/>
      </c>
    </row>
    <row r="395" spans="1:12" ht="15" customHeight="1">
      <c r="A395" s="37" t="str">
        <f>IF(390&lt;=COUNTA(半紙!$B$11:$B$310),"半紙",IF(390&lt;=COUNTA(半紙!$B$11:$B$310)+COUNTA(条幅!$B$11:$B$310),"条幅(半切)",IF(390&lt;=COUNTA(半紙!$B$11:$B$310)+COUNTA(条幅!$B$11:$B$310)+COUNTA(条幅4分の1!$B$11:$B$310),"条幅(1/4)","")))</f>
        <v/>
      </c>
      <c r="B395" s="38" t="str">
        <f>IF(IF(390&lt;=COUNTA(半紙!$B$11:$B$310),INDEX(半紙!$B$11:$B$310,390),IF(390&lt;=COUNTA(半紙!$B$11:$B$310)+COUNTA(条幅!$B$11:$B$310),INDEX(条幅!$B$11:$B$310,390-COUNTA(半紙!$B$11:$B$310)),IF(390&lt;=COUNTA(半紙!$B$11:$B$310)+COUNTA(条幅!$B$11:$B$310)+COUNTA(条幅4分の1!$B$11:$B$310),INDEX(条幅4分の1!$B$11:$B$310,390-COUNTA(半紙!$B$11:$B$310)-COUNTA(条幅!$B$11:$B$310)),"")))=0,"",IF(390&lt;=COUNTA(半紙!$B$11:$B$310),INDEX(半紙!$B$11:$B$310,390),IF(390&lt;=COUNTA(半紙!$B$11:$B$310)+COUNTA(条幅!$B$11:$B$310),INDEX(条幅!$B$11:$B$310,390-COUNTA(半紙!$B$11:$B$310)),IF(390&lt;=COUNTA(半紙!$B$11:$B$310)+COUNTA(条幅!$B$11:$B$310)+COUNTA(条幅4分の1!$B$11:$B$310),INDEX(条幅4分の1!$B$11:$B$310,390-COUNTA(半紙!$B$11:$B$310)-COUNTA(条幅!$B$11:$B$310)),""))))</f>
        <v/>
      </c>
      <c r="C395" s="38" t="str">
        <f>IF(IF(390&lt;=COUNTA(半紙!$B$11:$B$310),INDEX(半紙!$C$11:$C$310,390),IF(390&lt;=COUNTA(半紙!$B$11:$B$310)+COUNTA(条幅!$B$11:$B$310),INDEX(条幅!$C$11:$C$310,390-COUNTA(半紙!$B$11:$B$310)),IF(390&lt;=COUNTA(半紙!$B$11:$B$310)+COUNTA(条幅!$B$11:$B$310)+COUNTA(条幅4分の1!$B$11:$B$310),INDEX(条幅4分の1!$C$11:$C$310,390-COUNTA(半紙!$B$11:$B$310)-COUNTA(条幅!$B$11:$B$310)),"")))=0,"",IF(390&lt;=COUNTA(半紙!$B$11:$B$310),INDEX(半紙!$C$11:$C$310,390),IF(390&lt;=COUNTA(半紙!$B$11:$B$310)+COUNTA(条幅!$B$11:$B$310),INDEX(条幅!$C$11:$C$310,390-COUNTA(半紙!$B$11:$B$310)),IF(390&lt;=COUNTA(半紙!$B$11:$B$310)+COUNTA(条幅!$B$11:$B$310)+COUNTA(条幅4分の1!$B$11:$B$310),INDEX(条幅4分の1!$C$11:$C$310,390-COUNTA(半紙!$B$11:$B$310)-COUNTA(条幅!$B$11:$B$310)),""))))</f>
        <v/>
      </c>
      <c r="D395" s="38" t="str">
        <f>IF(IF(390&lt;=COUNTA(半紙!$B$11:$B$310),INDEX(半紙!$D$11:$D$310,390),IF(390&lt;=COUNTA(半紙!$B$11:$B$310)+COUNTA(条幅!$B$11:$B$310),INDEX(条幅!$D$11:$D$310,390-COUNTA(半紙!$B$11:$B$310)),IF(390&lt;=COUNTA(半紙!$B$11:$B$310)+COUNTA(条幅!$B$11:$B$310)+COUNTA(条幅4分の1!$B$11:$B$310),INDEX(条幅4分の1!$D$11:$D$310,390-COUNTA(半紙!$B$11:$B$310)-COUNTA(条幅!$B$11:$B$310)),"")))=0,"",IF(390&lt;=COUNTA(半紙!$B$11:$B$310),INDEX(半紙!$D$11:$D$310,390),IF(390&lt;=COUNTA(半紙!$B$11:$B$310)+COUNTA(条幅!$B$11:$B$310),INDEX(条幅!$D$11:$D$310,390-COUNTA(半紙!$B$11:$B$310)),IF(390&lt;=COUNTA(半紙!$B$11:$B$310)+COUNTA(条幅!$B$11:$B$310)+COUNTA(条幅4分の1!$B$11:$B$310),INDEX(条幅4分の1!$D$11:$D$310,390-COUNTA(半紙!$B$11:$B$310)-COUNTA(条幅!$B$11:$B$310)),""))))</f>
        <v/>
      </c>
      <c r="E395" s="38" t="str">
        <f>IF(IF(390&lt;=COUNTA(半紙!$B$11:$B$310),INDEX(半紙!$E$11:$E$310,390),IF(390&lt;=COUNTA(半紙!$B$11:$B$310)+COUNTA(条幅!$B$11:$B$310),INDEX(条幅!$E$11:$E$310,390-COUNTA(半紙!$B$11:$B$310)),IF(390&lt;=COUNTA(半紙!$B$11:$B$310)+COUNTA(条幅!$B$11:$B$310)+COUNTA(条幅4分の1!$B$11:$B$310),INDEX(条幅4分の1!$E$11:$E$310,390-COUNTA(半紙!$B$11:$B$310)-COUNTA(条幅!$B$11:$B$310)),"")))=0,"",IF(390&lt;=COUNTA(半紙!$B$11:$B$310),INDEX(半紙!$E$11:$E$310,390),IF(390&lt;=COUNTA(半紙!$B$11:$B$310)+COUNTA(条幅!$B$11:$B$310),INDEX(条幅!$E$11:$E$310,390-COUNTA(半紙!$B$11:$B$310)),IF(390&lt;=COUNTA(半紙!$B$11:$B$310)+COUNTA(条幅!$B$11:$B$310)+COUNTA(条幅4分の1!$B$11:$B$310),INDEX(条幅4分の1!$E$11:$E$310,390-COUNTA(半紙!$B$11:$B$310)-COUNTA(条幅!$B$11:$B$310)),""))))</f>
        <v/>
      </c>
      <c r="F395" s="38" t="str">
        <f>IF(IF(390&lt;=COUNTA(半紙!$B$11:$B$310),INDEX(半紙!$F$11:$F$310,390),IF(390&lt;=COUNTA(半紙!$B$11:$B$310)+COUNTA(条幅!$B$11:$B$310),INDEX(条幅!$F$11:$F$310,390-COUNTA(半紙!$B$11:$B$310)),IF(390&lt;=COUNTA(半紙!$B$11:$B$310)+COUNTA(条幅!$B$11:$B$310)+COUNTA(条幅4分の1!$B$11:$B$310),INDEX(条幅4分の1!$F$11:$F$310,390-COUNTA(半紙!$B$11:$B$310)-COUNTA(条幅!$B$11:$B$310)),"")))=0,"",IF(390&lt;=COUNTA(半紙!$B$11:$B$310),INDEX(半紙!$F$11:$F$310,390),IF(390&lt;=COUNTA(半紙!$B$11:$B$310)+COUNTA(条幅!$B$11:$B$310),INDEX(条幅!$F$11:$F$310,390-COUNTA(半紙!$B$11:$B$310)),IF(390&lt;=COUNTA(半紙!$B$11:$B$310)+COUNTA(条幅!$B$11:$B$310)+COUNTA(条幅4分の1!$B$11:$B$310),INDEX(条幅4分の1!$F$11:$F$310,390-COUNTA(半紙!$B$11:$B$310)-COUNTA(条幅!$B$11:$B$310)),""))))</f>
        <v/>
      </c>
      <c r="G395" s="38" t="str">
        <f>IF(IF(390&lt;=COUNTA(半紙!$B$11:$B$310),INDEX(半紙!$G$11:$G$310,390),IF(390&lt;=COUNTA(半紙!$B$11:$B$310)+COUNTA(条幅!$B$11:$B$310),INDEX(条幅!$G$11:$G$310,390-COUNTA(半紙!$B$11:$B$310)),IF(390&lt;=COUNTA(半紙!$B$11:$B$310)+COUNTA(条幅!$B$11:$B$310)+COUNTA(条幅4分の1!$B$11:$B$310),INDEX(条幅4分の1!$G$11:$G$310,390-COUNTA(半紙!$B$11:$B$310)-COUNTA(条幅!$B$11:$B$310)),"")))=0,"",IF(390&lt;=COUNTA(半紙!$B$11:$B$310),INDEX(半紙!$G$11:$G$310,390),IF(390&lt;=COUNTA(半紙!$B$11:$B$310)+COUNTA(条幅!$B$11:$B$310),INDEX(条幅!$G$11:$G$310,390-COUNTA(半紙!$B$11:$B$310)),IF(390&lt;=COUNTA(半紙!$B$11:$B$310)+COUNTA(条幅!$B$11:$B$310)+COUNTA(条幅4分の1!$B$11:$B$310),INDEX(条幅4分の1!$G$11:$G$310,390-COUNTA(半紙!$B$11:$B$310)-COUNTA(条幅!$B$11:$B$310)),""))))</f>
        <v/>
      </c>
      <c r="H395" s="38" t="str">
        <f>IF(IF(390&lt;=COUNTA(半紙!$B$11:$B$310),INDEX(半紙!$H$11:$H$310,390),IF(390&lt;=COUNTA(半紙!$B$11:$B$310)+COUNTA(条幅!$B$11:$B$310),INDEX(条幅!$H$11:$H$310,390-COUNTA(半紙!$B$11:$B$310)),IF(390&lt;=COUNTA(半紙!$B$11:$B$310)+COUNTA(条幅!$B$11:$B$310)+COUNTA(条幅4分の1!$B$11:$B$310),INDEX(条幅4分の1!$H$11:$H$310,390-COUNTA(半紙!$B$11:$B$310)-COUNTA(条幅!$B$11:$B$310)),"")))=0,"",IF(390&lt;=COUNTA(半紙!$B$11:$B$310),INDEX(半紙!$H$11:$H$310,390),IF(390&lt;=COUNTA(半紙!$B$11:$B$310)+COUNTA(条幅!$B$11:$B$310),INDEX(条幅!$H$11:$H$310,390-COUNTA(半紙!$B$11:$B$310)),IF(390&lt;=COUNTA(半紙!$B$11:$B$310)+COUNTA(条幅!$B$11:$B$310)+COUNTA(条幅4分の1!$B$11:$B$310),INDEX(条幅4分の1!$H$11:$H$310,390-COUNTA(半紙!$B$11:$B$310)-COUNTA(条幅!$B$11:$B$310)),""))))</f>
        <v/>
      </c>
      <c r="I395" s="38" t="str">
        <f>IF(IF(390&lt;=COUNTA(半紙!$B$11:$B$310),INDEX(半紙!$I$11:$I$310,390),IF(390&lt;=COUNTA(半紙!$B$11:$B$310)+COUNTA(条幅!$B$11:$B$310),INDEX(条幅!$I$11:$I$310,390-COUNTA(半紙!$B$11:$B$310)),IF(390&lt;=COUNTA(半紙!$B$11:$B$310)+COUNTA(条幅!$B$11:$B$310)+COUNTA(条幅4分の1!$B$11:$B$310),INDEX(条幅4分の1!$I$11:$I$310,390-COUNTA(半紙!$B$11:$B$310)-COUNTA(条幅!$B$11:$B$310)),"")))=0,"",IF(390&lt;=COUNTA(半紙!$B$11:$B$310),INDEX(半紙!$I$11:$I$310,390),IF(390&lt;=COUNTA(半紙!$B$11:$B$310)+COUNTA(条幅!$B$11:$B$310),INDEX(条幅!$I$11:$I$310,390-COUNTA(半紙!$B$11:$B$310)),IF(390&lt;=COUNTA(半紙!$B$11:$B$310)+COUNTA(条幅!$B$11:$B$310)+COUNTA(条幅4分の1!$B$11:$B$310),INDEX(条幅4分の1!$I$11:$I$310,390-COUNTA(半紙!$B$11:$B$310)-COUNTA(条幅!$B$11:$B$310)),""))))</f>
        <v/>
      </c>
      <c r="J395" s="38" t="str">
        <f>IF(IF(390&lt;=COUNTA(半紙!$B$11:$B$310),INDEX(半紙!$J$11:$J$310,390),IF(390&lt;=COUNTA(半紙!$B$11:$B$310)+COUNTA(条幅!$B$11:$B$310),INDEX(条幅!$J$11:$J$310,390-COUNTA(半紙!$B$11:$B$310)),IF(390&lt;=COUNTA(半紙!$B$11:$B$310)+COUNTA(条幅!$B$11:$B$310)+COUNTA(条幅4分の1!$B$11:$B$310),INDEX(条幅4分の1!$J$11:$J$310,390-COUNTA(半紙!$B$11:$B$310)-COUNTA(条幅!$B$11:$B$310)),"")))=0,"",IF(390&lt;=COUNTA(半紙!$B$11:$B$310),INDEX(半紙!$J$11:$J$310,390),IF(390&lt;=COUNTA(半紙!$B$11:$B$310)+COUNTA(条幅!$B$11:$B$310),INDEX(条幅!$J$11:$J$310,390-COUNTA(半紙!$B$11:$B$310)),IF(390&lt;=COUNTA(半紙!$B$11:$B$310)+COUNTA(条幅!$B$11:$B$310)+COUNTA(条幅4分の1!$B$11:$B$310),INDEX(条幅4分の1!$J$11:$J$310,390-COUNTA(半紙!$B$11:$B$310)-COUNTA(条幅!$B$11:$B$310)),""))))</f>
        <v/>
      </c>
      <c r="K395" s="38" t="str">
        <f>IF(IF(390&lt;=COUNTA(半紙!$B$11:$B$310),INDEX(半紙!$K$11:$K$310,390),IF(390&lt;=COUNTA(半紙!$B$11:$B$310)+COUNTA(条幅!$B$11:$B$310),INDEX(条幅!$K$11:$K$310,390-COUNTA(半紙!$B$11:$B$310)),IF(390&lt;=COUNTA(半紙!$B$11:$B$310)+COUNTA(条幅!$B$11:$B$310)+COUNTA(条幅4分の1!$B$11:$B$310),INDEX(条幅4分の1!$K$11:$K$310,390-COUNTA(半紙!$B$11:$B$310)-COUNTA(条幅!$B$11:$B$310)),"")))=0,"",IF(390&lt;=COUNTA(半紙!$B$11:$B$310),INDEX(半紙!$K$11:$K$310,390),IF(390&lt;=COUNTA(半紙!$B$11:$B$310)+COUNTA(条幅!$B$11:$B$310),INDEX(条幅!$K$11:$K$310,390-COUNTA(半紙!$B$11:$B$310)),IF(390&lt;=COUNTA(半紙!$B$11:$B$310)+COUNTA(条幅!$B$11:$B$310)+COUNTA(条幅4分の1!$B$11:$B$310),INDEX(条幅4分の1!$K$11:$K$310,390-COUNTA(半紙!$B$11:$B$310)-COUNTA(条幅!$B$11:$B$310)),""))))</f>
        <v/>
      </c>
      <c r="L395" s="48" t="str">
        <f>IF($B395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390))</f>
        <v/>
      </c>
    </row>
    <row r="396" spans="1:12" ht="15" customHeight="1">
      <c r="A396" s="37" t="str">
        <f>IF(391&lt;=COUNTA(半紙!$B$11:$B$310),"半紙",IF(391&lt;=COUNTA(半紙!$B$11:$B$310)+COUNTA(条幅!$B$11:$B$310),"条幅(半切)",IF(391&lt;=COUNTA(半紙!$B$11:$B$310)+COUNTA(条幅!$B$11:$B$310)+COUNTA(条幅4分の1!$B$11:$B$310),"条幅(1/4)","")))</f>
        <v/>
      </c>
      <c r="B396" s="38" t="str">
        <f>IF(IF(391&lt;=COUNTA(半紙!$B$11:$B$310),INDEX(半紙!$B$11:$B$310,391),IF(391&lt;=COUNTA(半紙!$B$11:$B$310)+COUNTA(条幅!$B$11:$B$310),INDEX(条幅!$B$11:$B$310,391-COUNTA(半紙!$B$11:$B$310)),IF(391&lt;=COUNTA(半紙!$B$11:$B$310)+COUNTA(条幅!$B$11:$B$310)+COUNTA(条幅4分の1!$B$11:$B$310),INDEX(条幅4分の1!$B$11:$B$310,391-COUNTA(半紙!$B$11:$B$310)-COUNTA(条幅!$B$11:$B$310)),"")))=0,"",IF(391&lt;=COUNTA(半紙!$B$11:$B$310),INDEX(半紙!$B$11:$B$310,391),IF(391&lt;=COUNTA(半紙!$B$11:$B$310)+COUNTA(条幅!$B$11:$B$310),INDEX(条幅!$B$11:$B$310,391-COUNTA(半紙!$B$11:$B$310)),IF(391&lt;=COUNTA(半紙!$B$11:$B$310)+COUNTA(条幅!$B$11:$B$310)+COUNTA(条幅4分の1!$B$11:$B$310),INDEX(条幅4分の1!$B$11:$B$310,391-COUNTA(半紙!$B$11:$B$310)-COUNTA(条幅!$B$11:$B$310)),""))))</f>
        <v/>
      </c>
      <c r="C396" s="38" t="str">
        <f>IF(IF(391&lt;=COUNTA(半紙!$B$11:$B$310),INDEX(半紙!$C$11:$C$310,391),IF(391&lt;=COUNTA(半紙!$B$11:$B$310)+COUNTA(条幅!$B$11:$B$310),INDEX(条幅!$C$11:$C$310,391-COUNTA(半紙!$B$11:$B$310)),IF(391&lt;=COUNTA(半紙!$B$11:$B$310)+COUNTA(条幅!$B$11:$B$310)+COUNTA(条幅4分の1!$B$11:$B$310),INDEX(条幅4分の1!$C$11:$C$310,391-COUNTA(半紙!$B$11:$B$310)-COUNTA(条幅!$B$11:$B$310)),"")))=0,"",IF(391&lt;=COUNTA(半紙!$B$11:$B$310),INDEX(半紙!$C$11:$C$310,391),IF(391&lt;=COUNTA(半紙!$B$11:$B$310)+COUNTA(条幅!$B$11:$B$310),INDEX(条幅!$C$11:$C$310,391-COUNTA(半紙!$B$11:$B$310)),IF(391&lt;=COUNTA(半紙!$B$11:$B$310)+COUNTA(条幅!$B$11:$B$310)+COUNTA(条幅4分の1!$B$11:$B$310),INDEX(条幅4分の1!$C$11:$C$310,391-COUNTA(半紙!$B$11:$B$310)-COUNTA(条幅!$B$11:$B$310)),""))))</f>
        <v/>
      </c>
      <c r="D396" s="38" t="str">
        <f>IF(IF(391&lt;=COUNTA(半紙!$B$11:$B$310),INDEX(半紙!$D$11:$D$310,391),IF(391&lt;=COUNTA(半紙!$B$11:$B$310)+COUNTA(条幅!$B$11:$B$310),INDEX(条幅!$D$11:$D$310,391-COUNTA(半紙!$B$11:$B$310)),IF(391&lt;=COUNTA(半紙!$B$11:$B$310)+COUNTA(条幅!$B$11:$B$310)+COUNTA(条幅4分の1!$B$11:$B$310),INDEX(条幅4分の1!$D$11:$D$310,391-COUNTA(半紙!$B$11:$B$310)-COUNTA(条幅!$B$11:$B$310)),"")))=0,"",IF(391&lt;=COUNTA(半紙!$B$11:$B$310),INDEX(半紙!$D$11:$D$310,391),IF(391&lt;=COUNTA(半紙!$B$11:$B$310)+COUNTA(条幅!$B$11:$B$310),INDEX(条幅!$D$11:$D$310,391-COUNTA(半紙!$B$11:$B$310)),IF(391&lt;=COUNTA(半紙!$B$11:$B$310)+COUNTA(条幅!$B$11:$B$310)+COUNTA(条幅4分の1!$B$11:$B$310),INDEX(条幅4分の1!$D$11:$D$310,391-COUNTA(半紙!$B$11:$B$310)-COUNTA(条幅!$B$11:$B$310)),""))))</f>
        <v/>
      </c>
      <c r="E396" s="38" t="str">
        <f>IF(IF(391&lt;=COUNTA(半紙!$B$11:$B$310),INDEX(半紙!$E$11:$E$310,391),IF(391&lt;=COUNTA(半紙!$B$11:$B$310)+COUNTA(条幅!$B$11:$B$310),INDEX(条幅!$E$11:$E$310,391-COUNTA(半紙!$B$11:$B$310)),IF(391&lt;=COUNTA(半紙!$B$11:$B$310)+COUNTA(条幅!$B$11:$B$310)+COUNTA(条幅4分の1!$B$11:$B$310),INDEX(条幅4分の1!$E$11:$E$310,391-COUNTA(半紙!$B$11:$B$310)-COUNTA(条幅!$B$11:$B$310)),"")))=0,"",IF(391&lt;=COUNTA(半紙!$B$11:$B$310),INDEX(半紙!$E$11:$E$310,391),IF(391&lt;=COUNTA(半紙!$B$11:$B$310)+COUNTA(条幅!$B$11:$B$310),INDEX(条幅!$E$11:$E$310,391-COUNTA(半紙!$B$11:$B$310)),IF(391&lt;=COUNTA(半紙!$B$11:$B$310)+COUNTA(条幅!$B$11:$B$310)+COUNTA(条幅4分の1!$B$11:$B$310),INDEX(条幅4分の1!$E$11:$E$310,391-COUNTA(半紙!$B$11:$B$310)-COUNTA(条幅!$B$11:$B$310)),""))))</f>
        <v/>
      </c>
      <c r="F396" s="38" t="str">
        <f>IF(IF(391&lt;=COUNTA(半紙!$B$11:$B$310),INDEX(半紙!$F$11:$F$310,391),IF(391&lt;=COUNTA(半紙!$B$11:$B$310)+COUNTA(条幅!$B$11:$B$310),INDEX(条幅!$F$11:$F$310,391-COUNTA(半紙!$B$11:$B$310)),IF(391&lt;=COUNTA(半紙!$B$11:$B$310)+COUNTA(条幅!$B$11:$B$310)+COUNTA(条幅4分の1!$B$11:$B$310),INDEX(条幅4分の1!$F$11:$F$310,391-COUNTA(半紙!$B$11:$B$310)-COUNTA(条幅!$B$11:$B$310)),"")))=0,"",IF(391&lt;=COUNTA(半紙!$B$11:$B$310),INDEX(半紙!$F$11:$F$310,391),IF(391&lt;=COUNTA(半紙!$B$11:$B$310)+COUNTA(条幅!$B$11:$B$310),INDEX(条幅!$F$11:$F$310,391-COUNTA(半紙!$B$11:$B$310)),IF(391&lt;=COUNTA(半紙!$B$11:$B$310)+COUNTA(条幅!$B$11:$B$310)+COUNTA(条幅4分の1!$B$11:$B$310),INDEX(条幅4分の1!$F$11:$F$310,391-COUNTA(半紙!$B$11:$B$310)-COUNTA(条幅!$B$11:$B$310)),""))))</f>
        <v/>
      </c>
      <c r="G396" s="38" t="str">
        <f>IF(IF(391&lt;=COUNTA(半紙!$B$11:$B$310),INDEX(半紙!$G$11:$G$310,391),IF(391&lt;=COUNTA(半紙!$B$11:$B$310)+COUNTA(条幅!$B$11:$B$310),INDEX(条幅!$G$11:$G$310,391-COUNTA(半紙!$B$11:$B$310)),IF(391&lt;=COUNTA(半紙!$B$11:$B$310)+COUNTA(条幅!$B$11:$B$310)+COUNTA(条幅4分の1!$B$11:$B$310),INDEX(条幅4分の1!$G$11:$G$310,391-COUNTA(半紙!$B$11:$B$310)-COUNTA(条幅!$B$11:$B$310)),"")))=0,"",IF(391&lt;=COUNTA(半紙!$B$11:$B$310),INDEX(半紙!$G$11:$G$310,391),IF(391&lt;=COUNTA(半紙!$B$11:$B$310)+COUNTA(条幅!$B$11:$B$310),INDEX(条幅!$G$11:$G$310,391-COUNTA(半紙!$B$11:$B$310)),IF(391&lt;=COUNTA(半紙!$B$11:$B$310)+COUNTA(条幅!$B$11:$B$310)+COUNTA(条幅4分の1!$B$11:$B$310),INDEX(条幅4分の1!$G$11:$G$310,391-COUNTA(半紙!$B$11:$B$310)-COUNTA(条幅!$B$11:$B$310)),""))))</f>
        <v/>
      </c>
      <c r="H396" s="38" t="str">
        <f>IF(IF(391&lt;=COUNTA(半紙!$B$11:$B$310),INDEX(半紙!$H$11:$H$310,391),IF(391&lt;=COUNTA(半紙!$B$11:$B$310)+COUNTA(条幅!$B$11:$B$310),INDEX(条幅!$H$11:$H$310,391-COUNTA(半紙!$B$11:$B$310)),IF(391&lt;=COUNTA(半紙!$B$11:$B$310)+COUNTA(条幅!$B$11:$B$310)+COUNTA(条幅4分の1!$B$11:$B$310),INDEX(条幅4分の1!$H$11:$H$310,391-COUNTA(半紙!$B$11:$B$310)-COUNTA(条幅!$B$11:$B$310)),"")))=0,"",IF(391&lt;=COUNTA(半紙!$B$11:$B$310),INDEX(半紙!$H$11:$H$310,391),IF(391&lt;=COUNTA(半紙!$B$11:$B$310)+COUNTA(条幅!$B$11:$B$310),INDEX(条幅!$H$11:$H$310,391-COUNTA(半紙!$B$11:$B$310)),IF(391&lt;=COUNTA(半紙!$B$11:$B$310)+COUNTA(条幅!$B$11:$B$310)+COUNTA(条幅4分の1!$B$11:$B$310),INDEX(条幅4分の1!$H$11:$H$310,391-COUNTA(半紙!$B$11:$B$310)-COUNTA(条幅!$B$11:$B$310)),""))))</f>
        <v/>
      </c>
      <c r="I396" s="38" t="str">
        <f>IF(IF(391&lt;=COUNTA(半紙!$B$11:$B$310),INDEX(半紙!$I$11:$I$310,391),IF(391&lt;=COUNTA(半紙!$B$11:$B$310)+COUNTA(条幅!$B$11:$B$310),INDEX(条幅!$I$11:$I$310,391-COUNTA(半紙!$B$11:$B$310)),IF(391&lt;=COUNTA(半紙!$B$11:$B$310)+COUNTA(条幅!$B$11:$B$310)+COUNTA(条幅4分の1!$B$11:$B$310),INDEX(条幅4分の1!$I$11:$I$310,391-COUNTA(半紙!$B$11:$B$310)-COUNTA(条幅!$B$11:$B$310)),"")))=0,"",IF(391&lt;=COUNTA(半紙!$B$11:$B$310),INDEX(半紙!$I$11:$I$310,391),IF(391&lt;=COUNTA(半紙!$B$11:$B$310)+COUNTA(条幅!$B$11:$B$310),INDEX(条幅!$I$11:$I$310,391-COUNTA(半紙!$B$11:$B$310)),IF(391&lt;=COUNTA(半紙!$B$11:$B$310)+COUNTA(条幅!$B$11:$B$310)+COUNTA(条幅4分の1!$B$11:$B$310),INDEX(条幅4分の1!$I$11:$I$310,391-COUNTA(半紙!$B$11:$B$310)-COUNTA(条幅!$B$11:$B$310)),""))))</f>
        <v/>
      </c>
      <c r="J396" s="38" t="str">
        <f>IF(IF(391&lt;=COUNTA(半紙!$B$11:$B$310),INDEX(半紙!$J$11:$J$310,391),IF(391&lt;=COUNTA(半紙!$B$11:$B$310)+COUNTA(条幅!$B$11:$B$310),INDEX(条幅!$J$11:$J$310,391-COUNTA(半紙!$B$11:$B$310)),IF(391&lt;=COUNTA(半紙!$B$11:$B$310)+COUNTA(条幅!$B$11:$B$310)+COUNTA(条幅4分の1!$B$11:$B$310),INDEX(条幅4分の1!$J$11:$J$310,391-COUNTA(半紙!$B$11:$B$310)-COUNTA(条幅!$B$11:$B$310)),"")))=0,"",IF(391&lt;=COUNTA(半紙!$B$11:$B$310),INDEX(半紙!$J$11:$J$310,391),IF(391&lt;=COUNTA(半紙!$B$11:$B$310)+COUNTA(条幅!$B$11:$B$310),INDEX(条幅!$J$11:$J$310,391-COUNTA(半紙!$B$11:$B$310)),IF(391&lt;=COUNTA(半紙!$B$11:$B$310)+COUNTA(条幅!$B$11:$B$310)+COUNTA(条幅4分の1!$B$11:$B$310),INDEX(条幅4分の1!$J$11:$J$310,391-COUNTA(半紙!$B$11:$B$310)-COUNTA(条幅!$B$11:$B$310)),""))))</f>
        <v/>
      </c>
      <c r="K396" s="38" t="str">
        <f>IF(IF(391&lt;=COUNTA(半紙!$B$11:$B$310),INDEX(半紙!$K$11:$K$310,391),IF(391&lt;=COUNTA(半紙!$B$11:$B$310)+COUNTA(条幅!$B$11:$B$310),INDEX(条幅!$K$11:$K$310,391-COUNTA(半紙!$B$11:$B$310)),IF(391&lt;=COUNTA(半紙!$B$11:$B$310)+COUNTA(条幅!$B$11:$B$310)+COUNTA(条幅4分の1!$B$11:$B$310),INDEX(条幅4分の1!$K$11:$K$310,391-COUNTA(半紙!$B$11:$B$310)-COUNTA(条幅!$B$11:$B$310)),"")))=0,"",IF(391&lt;=COUNTA(半紙!$B$11:$B$310),INDEX(半紙!$K$11:$K$310,391),IF(391&lt;=COUNTA(半紙!$B$11:$B$310)+COUNTA(条幅!$B$11:$B$310),INDEX(条幅!$K$11:$K$310,391-COUNTA(半紙!$B$11:$B$310)),IF(391&lt;=COUNTA(半紙!$B$11:$B$310)+COUNTA(条幅!$B$11:$B$310)+COUNTA(条幅4分の1!$B$11:$B$310),INDEX(条幅4分の1!$K$11:$K$310,391-COUNTA(半紙!$B$11:$B$310)-COUNTA(条幅!$B$11:$B$310)),""))))</f>
        <v/>
      </c>
      <c r="L396" s="48" t="str">
        <f>IF($B396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391))</f>
        <v/>
      </c>
    </row>
    <row r="397" spans="1:12" ht="15" customHeight="1">
      <c r="A397" s="37" t="str">
        <f>IF(392&lt;=COUNTA(半紙!$B$11:$B$310),"半紙",IF(392&lt;=COUNTA(半紙!$B$11:$B$310)+COUNTA(条幅!$B$11:$B$310),"条幅(半切)",IF(392&lt;=COUNTA(半紙!$B$11:$B$310)+COUNTA(条幅!$B$11:$B$310)+COUNTA(条幅4分の1!$B$11:$B$310),"条幅(1/4)","")))</f>
        <v/>
      </c>
      <c r="B397" s="38" t="str">
        <f>IF(IF(392&lt;=COUNTA(半紙!$B$11:$B$310),INDEX(半紙!$B$11:$B$310,392),IF(392&lt;=COUNTA(半紙!$B$11:$B$310)+COUNTA(条幅!$B$11:$B$310),INDEX(条幅!$B$11:$B$310,392-COUNTA(半紙!$B$11:$B$310)),IF(392&lt;=COUNTA(半紙!$B$11:$B$310)+COUNTA(条幅!$B$11:$B$310)+COUNTA(条幅4分の1!$B$11:$B$310),INDEX(条幅4分の1!$B$11:$B$310,392-COUNTA(半紙!$B$11:$B$310)-COUNTA(条幅!$B$11:$B$310)),"")))=0,"",IF(392&lt;=COUNTA(半紙!$B$11:$B$310),INDEX(半紙!$B$11:$B$310,392),IF(392&lt;=COUNTA(半紙!$B$11:$B$310)+COUNTA(条幅!$B$11:$B$310),INDEX(条幅!$B$11:$B$310,392-COUNTA(半紙!$B$11:$B$310)),IF(392&lt;=COUNTA(半紙!$B$11:$B$310)+COUNTA(条幅!$B$11:$B$310)+COUNTA(条幅4分の1!$B$11:$B$310),INDEX(条幅4分の1!$B$11:$B$310,392-COUNTA(半紙!$B$11:$B$310)-COUNTA(条幅!$B$11:$B$310)),""))))</f>
        <v/>
      </c>
      <c r="C397" s="38" t="str">
        <f>IF(IF(392&lt;=COUNTA(半紙!$B$11:$B$310),INDEX(半紙!$C$11:$C$310,392),IF(392&lt;=COUNTA(半紙!$B$11:$B$310)+COUNTA(条幅!$B$11:$B$310),INDEX(条幅!$C$11:$C$310,392-COUNTA(半紙!$B$11:$B$310)),IF(392&lt;=COUNTA(半紙!$B$11:$B$310)+COUNTA(条幅!$B$11:$B$310)+COUNTA(条幅4分の1!$B$11:$B$310),INDEX(条幅4分の1!$C$11:$C$310,392-COUNTA(半紙!$B$11:$B$310)-COUNTA(条幅!$B$11:$B$310)),"")))=0,"",IF(392&lt;=COUNTA(半紙!$B$11:$B$310),INDEX(半紙!$C$11:$C$310,392),IF(392&lt;=COUNTA(半紙!$B$11:$B$310)+COUNTA(条幅!$B$11:$B$310),INDEX(条幅!$C$11:$C$310,392-COUNTA(半紙!$B$11:$B$310)),IF(392&lt;=COUNTA(半紙!$B$11:$B$310)+COUNTA(条幅!$B$11:$B$310)+COUNTA(条幅4分の1!$B$11:$B$310),INDEX(条幅4分の1!$C$11:$C$310,392-COUNTA(半紙!$B$11:$B$310)-COUNTA(条幅!$B$11:$B$310)),""))))</f>
        <v/>
      </c>
      <c r="D397" s="38" t="str">
        <f>IF(IF(392&lt;=COUNTA(半紙!$B$11:$B$310),INDEX(半紙!$D$11:$D$310,392),IF(392&lt;=COUNTA(半紙!$B$11:$B$310)+COUNTA(条幅!$B$11:$B$310),INDEX(条幅!$D$11:$D$310,392-COUNTA(半紙!$B$11:$B$310)),IF(392&lt;=COUNTA(半紙!$B$11:$B$310)+COUNTA(条幅!$B$11:$B$310)+COUNTA(条幅4分の1!$B$11:$B$310),INDEX(条幅4分の1!$D$11:$D$310,392-COUNTA(半紙!$B$11:$B$310)-COUNTA(条幅!$B$11:$B$310)),"")))=0,"",IF(392&lt;=COUNTA(半紙!$B$11:$B$310),INDEX(半紙!$D$11:$D$310,392),IF(392&lt;=COUNTA(半紙!$B$11:$B$310)+COUNTA(条幅!$B$11:$B$310),INDEX(条幅!$D$11:$D$310,392-COUNTA(半紙!$B$11:$B$310)),IF(392&lt;=COUNTA(半紙!$B$11:$B$310)+COUNTA(条幅!$B$11:$B$310)+COUNTA(条幅4分の1!$B$11:$B$310),INDEX(条幅4分の1!$D$11:$D$310,392-COUNTA(半紙!$B$11:$B$310)-COUNTA(条幅!$B$11:$B$310)),""))))</f>
        <v/>
      </c>
      <c r="E397" s="38" t="str">
        <f>IF(IF(392&lt;=COUNTA(半紙!$B$11:$B$310),INDEX(半紙!$E$11:$E$310,392),IF(392&lt;=COUNTA(半紙!$B$11:$B$310)+COUNTA(条幅!$B$11:$B$310),INDEX(条幅!$E$11:$E$310,392-COUNTA(半紙!$B$11:$B$310)),IF(392&lt;=COUNTA(半紙!$B$11:$B$310)+COUNTA(条幅!$B$11:$B$310)+COUNTA(条幅4分の1!$B$11:$B$310),INDEX(条幅4分の1!$E$11:$E$310,392-COUNTA(半紙!$B$11:$B$310)-COUNTA(条幅!$B$11:$B$310)),"")))=0,"",IF(392&lt;=COUNTA(半紙!$B$11:$B$310),INDEX(半紙!$E$11:$E$310,392),IF(392&lt;=COUNTA(半紙!$B$11:$B$310)+COUNTA(条幅!$B$11:$B$310),INDEX(条幅!$E$11:$E$310,392-COUNTA(半紙!$B$11:$B$310)),IF(392&lt;=COUNTA(半紙!$B$11:$B$310)+COUNTA(条幅!$B$11:$B$310)+COUNTA(条幅4分の1!$B$11:$B$310),INDEX(条幅4分の1!$E$11:$E$310,392-COUNTA(半紙!$B$11:$B$310)-COUNTA(条幅!$B$11:$B$310)),""))))</f>
        <v/>
      </c>
      <c r="F397" s="38" t="str">
        <f>IF(IF(392&lt;=COUNTA(半紙!$B$11:$B$310),INDEX(半紙!$F$11:$F$310,392),IF(392&lt;=COUNTA(半紙!$B$11:$B$310)+COUNTA(条幅!$B$11:$B$310),INDEX(条幅!$F$11:$F$310,392-COUNTA(半紙!$B$11:$B$310)),IF(392&lt;=COUNTA(半紙!$B$11:$B$310)+COUNTA(条幅!$B$11:$B$310)+COUNTA(条幅4分の1!$B$11:$B$310),INDEX(条幅4分の1!$F$11:$F$310,392-COUNTA(半紙!$B$11:$B$310)-COUNTA(条幅!$B$11:$B$310)),"")))=0,"",IF(392&lt;=COUNTA(半紙!$B$11:$B$310),INDEX(半紙!$F$11:$F$310,392),IF(392&lt;=COUNTA(半紙!$B$11:$B$310)+COUNTA(条幅!$B$11:$B$310),INDEX(条幅!$F$11:$F$310,392-COUNTA(半紙!$B$11:$B$310)),IF(392&lt;=COUNTA(半紙!$B$11:$B$310)+COUNTA(条幅!$B$11:$B$310)+COUNTA(条幅4分の1!$B$11:$B$310),INDEX(条幅4分の1!$F$11:$F$310,392-COUNTA(半紙!$B$11:$B$310)-COUNTA(条幅!$B$11:$B$310)),""))))</f>
        <v/>
      </c>
      <c r="G397" s="38" t="str">
        <f>IF(IF(392&lt;=COUNTA(半紙!$B$11:$B$310),INDEX(半紙!$G$11:$G$310,392),IF(392&lt;=COUNTA(半紙!$B$11:$B$310)+COUNTA(条幅!$B$11:$B$310),INDEX(条幅!$G$11:$G$310,392-COUNTA(半紙!$B$11:$B$310)),IF(392&lt;=COUNTA(半紙!$B$11:$B$310)+COUNTA(条幅!$B$11:$B$310)+COUNTA(条幅4分の1!$B$11:$B$310),INDEX(条幅4分の1!$G$11:$G$310,392-COUNTA(半紙!$B$11:$B$310)-COUNTA(条幅!$B$11:$B$310)),"")))=0,"",IF(392&lt;=COUNTA(半紙!$B$11:$B$310),INDEX(半紙!$G$11:$G$310,392),IF(392&lt;=COUNTA(半紙!$B$11:$B$310)+COUNTA(条幅!$B$11:$B$310),INDEX(条幅!$G$11:$G$310,392-COUNTA(半紙!$B$11:$B$310)),IF(392&lt;=COUNTA(半紙!$B$11:$B$310)+COUNTA(条幅!$B$11:$B$310)+COUNTA(条幅4分の1!$B$11:$B$310),INDEX(条幅4分の1!$G$11:$G$310,392-COUNTA(半紙!$B$11:$B$310)-COUNTA(条幅!$B$11:$B$310)),""))))</f>
        <v/>
      </c>
      <c r="H397" s="38" t="str">
        <f>IF(IF(392&lt;=COUNTA(半紙!$B$11:$B$310),INDEX(半紙!$H$11:$H$310,392),IF(392&lt;=COUNTA(半紙!$B$11:$B$310)+COUNTA(条幅!$B$11:$B$310),INDEX(条幅!$H$11:$H$310,392-COUNTA(半紙!$B$11:$B$310)),IF(392&lt;=COUNTA(半紙!$B$11:$B$310)+COUNTA(条幅!$B$11:$B$310)+COUNTA(条幅4分の1!$B$11:$B$310),INDEX(条幅4分の1!$H$11:$H$310,392-COUNTA(半紙!$B$11:$B$310)-COUNTA(条幅!$B$11:$B$310)),"")))=0,"",IF(392&lt;=COUNTA(半紙!$B$11:$B$310),INDEX(半紙!$H$11:$H$310,392),IF(392&lt;=COUNTA(半紙!$B$11:$B$310)+COUNTA(条幅!$B$11:$B$310),INDEX(条幅!$H$11:$H$310,392-COUNTA(半紙!$B$11:$B$310)),IF(392&lt;=COUNTA(半紙!$B$11:$B$310)+COUNTA(条幅!$B$11:$B$310)+COUNTA(条幅4分の1!$B$11:$B$310),INDEX(条幅4分の1!$H$11:$H$310,392-COUNTA(半紙!$B$11:$B$310)-COUNTA(条幅!$B$11:$B$310)),""))))</f>
        <v/>
      </c>
      <c r="I397" s="38" t="str">
        <f>IF(IF(392&lt;=COUNTA(半紙!$B$11:$B$310),INDEX(半紙!$I$11:$I$310,392),IF(392&lt;=COUNTA(半紙!$B$11:$B$310)+COUNTA(条幅!$B$11:$B$310),INDEX(条幅!$I$11:$I$310,392-COUNTA(半紙!$B$11:$B$310)),IF(392&lt;=COUNTA(半紙!$B$11:$B$310)+COUNTA(条幅!$B$11:$B$310)+COUNTA(条幅4分の1!$B$11:$B$310),INDEX(条幅4分の1!$I$11:$I$310,392-COUNTA(半紙!$B$11:$B$310)-COUNTA(条幅!$B$11:$B$310)),"")))=0,"",IF(392&lt;=COUNTA(半紙!$B$11:$B$310),INDEX(半紙!$I$11:$I$310,392),IF(392&lt;=COUNTA(半紙!$B$11:$B$310)+COUNTA(条幅!$B$11:$B$310),INDEX(条幅!$I$11:$I$310,392-COUNTA(半紙!$B$11:$B$310)),IF(392&lt;=COUNTA(半紙!$B$11:$B$310)+COUNTA(条幅!$B$11:$B$310)+COUNTA(条幅4分の1!$B$11:$B$310),INDEX(条幅4分の1!$I$11:$I$310,392-COUNTA(半紙!$B$11:$B$310)-COUNTA(条幅!$B$11:$B$310)),""))))</f>
        <v/>
      </c>
      <c r="J397" s="38" t="str">
        <f>IF(IF(392&lt;=COUNTA(半紙!$B$11:$B$310),INDEX(半紙!$J$11:$J$310,392),IF(392&lt;=COUNTA(半紙!$B$11:$B$310)+COUNTA(条幅!$B$11:$B$310),INDEX(条幅!$J$11:$J$310,392-COUNTA(半紙!$B$11:$B$310)),IF(392&lt;=COUNTA(半紙!$B$11:$B$310)+COUNTA(条幅!$B$11:$B$310)+COUNTA(条幅4分の1!$B$11:$B$310),INDEX(条幅4分の1!$J$11:$J$310,392-COUNTA(半紙!$B$11:$B$310)-COUNTA(条幅!$B$11:$B$310)),"")))=0,"",IF(392&lt;=COUNTA(半紙!$B$11:$B$310),INDEX(半紙!$J$11:$J$310,392),IF(392&lt;=COUNTA(半紙!$B$11:$B$310)+COUNTA(条幅!$B$11:$B$310),INDEX(条幅!$J$11:$J$310,392-COUNTA(半紙!$B$11:$B$310)),IF(392&lt;=COUNTA(半紙!$B$11:$B$310)+COUNTA(条幅!$B$11:$B$310)+COUNTA(条幅4分の1!$B$11:$B$310),INDEX(条幅4分の1!$J$11:$J$310,392-COUNTA(半紙!$B$11:$B$310)-COUNTA(条幅!$B$11:$B$310)),""))))</f>
        <v/>
      </c>
      <c r="K397" s="38" t="str">
        <f>IF(IF(392&lt;=COUNTA(半紙!$B$11:$B$310),INDEX(半紙!$K$11:$K$310,392),IF(392&lt;=COUNTA(半紙!$B$11:$B$310)+COUNTA(条幅!$B$11:$B$310),INDEX(条幅!$K$11:$K$310,392-COUNTA(半紙!$B$11:$B$310)),IF(392&lt;=COUNTA(半紙!$B$11:$B$310)+COUNTA(条幅!$B$11:$B$310)+COUNTA(条幅4分の1!$B$11:$B$310),INDEX(条幅4分の1!$K$11:$K$310,392-COUNTA(半紙!$B$11:$B$310)-COUNTA(条幅!$B$11:$B$310)),"")))=0,"",IF(392&lt;=COUNTA(半紙!$B$11:$B$310),INDEX(半紙!$K$11:$K$310,392),IF(392&lt;=COUNTA(半紙!$B$11:$B$310)+COUNTA(条幅!$B$11:$B$310),INDEX(条幅!$K$11:$K$310,392-COUNTA(半紙!$B$11:$B$310)),IF(392&lt;=COUNTA(半紙!$B$11:$B$310)+COUNTA(条幅!$B$11:$B$310)+COUNTA(条幅4分の1!$B$11:$B$310),INDEX(条幅4分の1!$K$11:$K$310,392-COUNTA(半紙!$B$11:$B$310)-COUNTA(条幅!$B$11:$B$310)),""))))</f>
        <v/>
      </c>
      <c r="L397" s="48" t="str">
        <f>IF($B397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392))</f>
        <v/>
      </c>
    </row>
    <row r="398" spans="1:12" ht="15" customHeight="1">
      <c r="A398" s="37" t="str">
        <f>IF(393&lt;=COUNTA(半紙!$B$11:$B$310),"半紙",IF(393&lt;=COUNTA(半紙!$B$11:$B$310)+COUNTA(条幅!$B$11:$B$310),"条幅(半切)",IF(393&lt;=COUNTA(半紙!$B$11:$B$310)+COUNTA(条幅!$B$11:$B$310)+COUNTA(条幅4分の1!$B$11:$B$310),"条幅(1/4)","")))</f>
        <v/>
      </c>
      <c r="B398" s="38" t="str">
        <f>IF(IF(393&lt;=COUNTA(半紙!$B$11:$B$310),INDEX(半紙!$B$11:$B$310,393),IF(393&lt;=COUNTA(半紙!$B$11:$B$310)+COUNTA(条幅!$B$11:$B$310),INDEX(条幅!$B$11:$B$310,393-COUNTA(半紙!$B$11:$B$310)),IF(393&lt;=COUNTA(半紙!$B$11:$B$310)+COUNTA(条幅!$B$11:$B$310)+COUNTA(条幅4分の1!$B$11:$B$310),INDEX(条幅4分の1!$B$11:$B$310,393-COUNTA(半紙!$B$11:$B$310)-COUNTA(条幅!$B$11:$B$310)),"")))=0,"",IF(393&lt;=COUNTA(半紙!$B$11:$B$310),INDEX(半紙!$B$11:$B$310,393),IF(393&lt;=COUNTA(半紙!$B$11:$B$310)+COUNTA(条幅!$B$11:$B$310),INDEX(条幅!$B$11:$B$310,393-COUNTA(半紙!$B$11:$B$310)),IF(393&lt;=COUNTA(半紙!$B$11:$B$310)+COUNTA(条幅!$B$11:$B$310)+COUNTA(条幅4分の1!$B$11:$B$310),INDEX(条幅4分の1!$B$11:$B$310,393-COUNTA(半紙!$B$11:$B$310)-COUNTA(条幅!$B$11:$B$310)),""))))</f>
        <v/>
      </c>
      <c r="C398" s="38" t="str">
        <f>IF(IF(393&lt;=COUNTA(半紙!$B$11:$B$310),INDEX(半紙!$C$11:$C$310,393),IF(393&lt;=COUNTA(半紙!$B$11:$B$310)+COUNTA(条幅!$B$11:$B$310),INDEX(条幅!$C$11:$C$310,393-COUNTA(半紙!$B$11:$B$310)),IF(393&lt;=COUNTA(半紙!$B$11:$B$310)+COUNTA(条幅!$B$11:$B$310)+COUNTA(条幅4分の1!$B$11:$B$310),INDEX(条幅4分の1!$C$11:$C$310,393-COUNTA(半紙!$B$11:$B$310)-COUNTA(条幅!$B$11:$B$310)),"")))=0,"",IF(393&lt;=COUNTA(半紙!$B$11:$B$310),INDEX(半紙!$C$11:$C$310,393),IF(393&lt;=COUNTA(半紙!$B$11:$B$310)+COUNTA(条幅!$B$11:$B$310),INDEX(条幅!$C$11:$C$310,393-COUNTA(半紙!$B$11:$B$310)),IF(393&lt;=COUNTA(半紙!$B$11:$B$310)+COUNTA(条幅!$B$11:$B$310)+COUNTA(条幅4分の1!$B$11:$B$310),INDEX(条幅4分の1!$C$11:$C$310,393-COUNTA(半紙!$B$11:$B$310)-COUNTA(条幅!$B$11:$B$310)),""))))</f>
        <v/>
      </c>
      <c r="D398" s="38" t="str">
        <f>IF(IF(393&lt;=COUNTA(半紙!$B$11:$B$310),INDEX(半紙!$D$11:$D$310,393),IF(393&lt;=COUNTA(半紙!$B$11:$B$310)+COUNTA(条幅!$B$11:$B$310),INDEX(条幅!$D$11:$D$310,393-COUNTA(半紙!$B$11:$B$310)),IF(393&lt;=COUNTA(半紙!$B$11:$B$310)+COUNTA(条幅!$B$11:$B$310)+COUNTA(条幅4分の1!$B$11:$B$310),INDEX(条幅4分の1!$D$11:$D$310,393-COUNTA(半紙!$B$11:$B$310)-COUNTA(条幅!$B$11:$B$310)),"")))=0,"",IF(393&lt;=COUNTA(半紙!$B$11:$B$310),INDEX(半紙!$D$11:$D$310,393),IF(393&lt;=COUNTA(半紙!$B$11:$B$310)+COUNTA(条幅!$B$11:$B$310),INDEX(条幅!$D$11:$D$310,393-COUNTA(半紙!$B$11:$B$310)),IF(393&lt;=COUNTA(半紙!$B$11:$B$310)+COUNTA(条幅!$B$11:$B$310)+COUNTA(条幅4分の1!$B$11:$B$310),INDEX(条幅4分の1!$D$11:$D$310,393-COUNTA(半紙!$B$11:$B$310)-COUNTA(条幅!$B$11:$B$310)),""))))</f>
        <v/>
      </c>
      <c r="E398" s="38" t="str">
        <f>IF(IF(393&lt;=COUNTA(半紙!$B$11:$B$310),INDEX(半紙!$E$11:$E$310,393),IF(393&lt;=COUNTA(半紙!$B$11:$B$310)+COUNTA(条幅!$B$11:$B$310),INDEX(条幅!$E$11:$E$310,393-COUNTA(半紙!$B$11:$B$310)),IF(393&lt;=COUNTA(半紙!$B$11:$B$310)+COUNTA(条幅!$B$11:$B$310)+COUNTA(条幅4分の1!$B$11:$B$310),INDEX(条幅4分の1!$E$11:$E$310,393-COUNTA(半紙!$B$11:$B$310)-COUNTA(条幅!$B$11:$B$310)),"")))=0,"",IF(393&lt;=COUNTA(半紙!$B$11:$B$310),INDEX(半紙!$E$11:$E$310,393),IF(393&lt;=COUNTA(半紙!$B$11:$B$310)+COUNTA(条幅!$B$11:$B$310),INDEX(条幅!$E$11:$E$310,393-COUNTA(半紙!$B$11:$B$310)),IF(393&lt;=COUNTA(半紙!$B$11:$B$310)+COUNTA(条幅!$B$11:$B$310)+COUNTA(条幅4分の1!$B$11:$B$310),INDEX(条幅4分の1!$E$11:$E$310,393-COUNTA(半紙!$B$11:$B$310)-COUNTA(条幅!$B$11:$B$310)),""))))</f>
        <v/>
      </c>
      <c r="F398" s="38" t="str">
        <f>IF(IF(393&lt;=COUNTA(半紙!$B$11:$B$310),INDEX(半紙!$F$11:$F$310,393),IF(393&lt;=COUNTA(半紙!$B$11:$B$310)+COUNTA(条幅!$B$11:$B$310),INDEX(条幅!$F$11:$F$310,393-COUNTA(半紙!$B$11:$B$310)),IF(393&lt;=COUNTA(半紙!$B$11:$B$310)+COUNTA(条幅!$B$11:$B$310)+COUNTA(条幅4分の1!$B$11:$B$310),INDEX(条幅4分の1!$F$11:$F$310,393-COUNTA(半紙!$B$11:$B$310)-COUNTA(条幅!$B$11:$B$310)),"")))=0,"",IF(393&lt;=COUNTA(半紙!$B$11:$B$310),INDEX(半紙!$F$11:$F$310,393),IF(393&lt;=COUNTA(半紙!$B$11:$B$310)+COUNTA(条幅!$B$11:$B$310),INDEX(条幅!$F$11:$F$310,393-COUNTA(半紙!$B$11:$B$310)),IF(393&lt;=COUNTA(半紙!$B$11:$B$310)+COUNTA(条幅!$B$11:$B$310)+COUNTA(条幅4分の1!$B$11:$B$310),INDEX(条幅4分の1!$F$11:$F$310,393-COUNTA(半紙!$B$11:$B$310)-COUNTA(条幅!$B$11:$B$310)),""))))</f>
        <v/>
      </c>
      <c r="G398" s="38" t="str">
        <f>IF(IF(393&lt;=COUNTA(半紙!$B$11:$B$310),INDEX(半紙!$G$11:$G$310,393),IF(393&lt;=COUNTA(半紙!$B$11:$B$310)+COUNTA(条幅!$B$11:$B$310),INDEX(条幅!$G$11:$G$310,393-COUNTA(半紙!$B$11:$B$310)),IF(393&lt;=COUNTA(半紙!$B$11:$B$310)+COUNTA(条幅!$B$11:$B$310)+COUNTA(条幅4分の1!$B$11:$B$310),INDEX(条幅4分の1!$G$11:$G$310,393-COUNTA(半紙!$B$11:$B$310)-COUNTA(条幅!$B$11:$B$310)),"")))=0,"",IF(393&lt;=COUNTA(半紙!$B$11:$B$310),INDEX(半紙!$G$11:$G$310,393),IF(393&lt;=COUNTA(半紙!$B$11:$B$310)+COUNTA(条幅!$B$11:$B$310),INDEX(条幅!$G$11:$G$310,393-COUNTA(半紙!$B$11:$B$310)),IF(393&lt;=COUNTA(半紙!$B$11:$B$310)+COUNTA(条幅!$B$11:$B$310)+COUNTA(条幅4分の1!$B$11:$B$310),INDEX(条幅4分の1!$G$11:$G$310,393-COUNTA(半紙!$B$11:$B$310)-COUNTA(条幅!$B$11:$B$310)),""))))</f>
        <v/>
      </c>
      <c r="H398" s="38" t="str">
        <f>IF(IF(393&lt;=COUNTA(半紙!$B$11:$B$310),INDEX(半紙!$H$11:$H$310,393),IF(393&lt;=COUNTA(半紙!$B$11:$B$310)+COUNTA(条幅!$B$11:$B$310),INDEX(条幅!$H$11:$H$310,393-COUNTA(半紙!$B$11:$B$310)),IF(393&lt;=COUNTA(半紙!$B$11:$B$310)+COUNTA(条幅!$B$11:$B$310)+COUNTA(条幅4分の1!$B$11:$B$310),INDEX(条幅4分の1!$H$11:$H$310,393-COUNTA(半紙!$B$11:$B$310)-COUNTA(条幅!$B$11:$B$310)),"")))=0,"",IF(393&lt;=COUNTA(半紙!$B$11:$B$310),INDEX(半紙!$H$11:$H$310,393),IF(393&lt;=COUNTA(半紙!$B$11:$B$310)+COUNTA(条幅!$B$11:$B$310),INDEX(条幅!$H$11:$H$310,393-COUNTA(半紙!$B$11:$B$310)),IF(393&lt;=COUNTA(半紙!$B$11:$B$310)+COUNTA(条幅!$B$11:$B$310)+COUNTA(条幅4分の1!$B$11:$B$310),INDEX(条幅4分の1!$H$11:$H$310,393-COUNTA(半紙!$B$11:$B$310)-COUNTA(条幅!$B$11:$B$310)),""))))</f>
        <v/>
      </c>
      <c r="I398" s="38" t="str">
        <f>IF(IF(393&lt;=COUNTA(半紙!$B$11:$B$310),INDEX(半紙!$I$11:$I$310,393),IF(393&lt;=COUNTA(半紙!$B$11:$B$310)+COUNTA(条幅!$B$11:$B$310),INDEX(条幅!$I$11:$I$310,393-COUNTA(半紙!$B$11:$B$310)),IF(393&lt;=COUNTA(半紙!$B$11:$B$310)+COUNTA(条幅!$B$11:$B$310)+COUNTA(条幅4分の1!$B$11:$B$310),INDEX(条幅4分の1!$I$11:$I$310,393-COUNTA(半紙!$B$11:$B$310)-COUNTA(条幅!$B$11:$B$310)),"")))=0,"",IF(393&lt;=COUNTA(半紙!$B$11:$B$310),INDEX(半紙!$I$11:$I$310,393),IF(393&lt;=COUNTA(半紙!$B$11:$B$310)+COUNTA(条幅!$B$11:$B$310),INDEX(条幅!$I$11:$I$310,393-COUNTA(半紙!$B$11:$B$310)),IF(393&lt;=COUNTA(半紙!$B$11:$B$310)+COUNTA(条幅!$B$11:$B$310)+COUNTA(条幅4分の1!$B$11:$B$310),INDEX(条幅4分の1!$I$11:$I$310,393-COUNTA(半紙!$B$11:$B$310)-COUNTA(条幅!$B$11:$B$310)),""))))</f>
        <v/>
      </c>
      <c r="J398" s="38" t="str">
        <f>IF(IF(393&lt;=COUNTA(半紙!$B$11:$B$310),INDEX(半紙!$J$11:$J$310,393),IF(393&lt;=COUNTA(半紙!$B$11:$B$310)+COUNTA(条幅!$B$11:$B$310),INDEX(条幅!$J$11:$J$310,393-COUNTA(半紙!$B$11:$B$310)),IF(393&lt;=COUNTA(半紙!$B$11:$B$310)+COUNTA(条幅!$B$11:$B$310)+COUNTA(条幅4分の1!$B$11:$B$310),INDEX(条幅4分の1!$J$11:$J$310,393-COUNTA(半紙!$B$11:$B$310)-COUNTA(条幅!$B$11:$B$310)),"")))=0,"",IF(393&lt;=COUNTA(半紙!$B$11:$B$310),INDEX(半紙!$J$11:$J$310,393),IF(393&lt;=COUNTA(半紙!$B$11:$B$310)+COUNTA(条幅!$B$11:$B$310),INDEX(条幅!$J$11:$J$310,393-COUNTA(半紙!$B$11:$B$310)),IF(393&lt;=COUNTA(半紙!$B$11:$B$310)+COUNTA(条幅!$B$11:$B$310)+COUNTA(条幅4分の1!$B$11:$B$310),INDEX(条幅4分の1!$J$11:$J$310,393-COUNTA(半紙!$B$11:$B$310)-COUNTA(条幅!$B$11:$B$310)),""))))</f>
        <v/>
      </c>
      <c r="K398" s="38" t="str">
        <f>IF(IF(393&lt;=COUNTA(半紙!$B$11:$B$310),INDEX(半紙!$K$11:$K$310,393),IF(393&lt;=COUNTA(半紙!$B$11:$B$310)+COUNTA(条幅!$B$11:$B$310),INDEX(条幅!$K$11:$K$310,393-COUNTA(半紙!$B$11:$B$310)),IF(393&lt;=COUNTA(半紙!$B$11:$B$310)+COUNTA(条幅!$B$11:$B$310)+COUNTA(条幅4分の1!$B$11:$B$310),INDEX(条幅4分の1!$K$11:$K$310,393-COUNTA(半紙!$B$11:$B$310)-COUNTA(条幅!$B$11:$B$310)),"")))=0,"",IF(393&lt;=COUNTA(半紙!$B$11:$B$310),INDEX(半紙!$K$11:$K$310,393),IF(393&lt;=COUNTA(半紙!$B$11:$B$310)+COUNTA(条幅!$B$11:$B$310),INDEX(条幅!$K$11:$K$310,393-COUNTA(半紙!$B$11:$B$310)),IF(393&lt;=COUNTA(半紙!$B$11:$B$310)+COUNTA(条幅!$B$11:$B$310)+COUNTA(条幅4分の1!$B$11:$B$310),INDEX(条幅4分の1!$K$11:$K$310,393-COUNTA(半紙!$B$11:$B$310)-COUNTA(条幅!$B$11:$B$310)),""))))</f>
        <v/>
      </c>
      <c r="L398" s="48" t="str">
        <f>IF($B398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393))</f>
        <v/>
      </c>
    </row>
    <row r="399" spans="1:12" ht="15" customHeight="1">
      <c r="A399" s="37" t="str">
        <f>IF(394&lt;=COUNTA(半紙!$B$11:$B$310),"半紙",IF(394&lt;=COUNTA(半紙!$B$11:$B$310)+COUNTA(条幅!$B$11:$B$310),"条幅(半切)",IF(394&lt;=COUNTA(半紙!$B$11:$B$310)+COUNTA(条幅!$B$11:$B$310)+COUNTA(条幅4分の1!$B$11:$B$310),"条幅(1/4)","")))</f>
        <v/>
      </c>
      <c r="B399" s="38" t="str">
        <f>IF(IF(394&lt;=COUNTA(半紙!$B$11:$B$310),INDEX(半紙!$B$11:$B$310,394),IF(394&lt;=COUNTA(半紙!$B$11:$B$310)+COUNTA(条幅!$B$11:$B$310),INDEX(条幅!$B$11:$B$310,394-COUNTA(半紙!$B$11:$B$310)),IF(394&lt;=COUNTA(半紙!$B$11:$B$310)+COUNTA(条幅!$B$11:$B$310)+COUNTA(条幅4分の1!$B$11:$B$310),INDEX(条幅4分の1!$B$11:$B$310,394-COUNTA(半紙!$B$11:$B$310)-COUNTA(条幅!$B$11:$B$310)),"")))=0,"",IF(394&lt;=COUNTA(半紙!$B$11:$B$310),INDEX(半紙!$B$11:$B$310,394),IF(394&lt;=COUNTA(半紙!$B$11:$B$310)+COUNTA(条幅!$B$11:$B$310),INDEX(条幅!$B$11:$B$310,394-COUNTA(半紙!$B$11:$B$310)),IF(394&lt;=COUNTA(半紙!$B$11:$B$310)+COUNTA(条幅!$B$11:$B$310)+COUNTA(条幅4分の1!$B$11:$B$310),INDEX(条幅4分の1!$B$11:$B$310,394-COUNTA(半紙!$B$11:$B$310)-COUNTA(条幅!$B$11:$B$310)),""))))</f>
        <v/>
      </c>
      <c r="C399" s="38" t="str">
        <f>IF(IF(394&lt;=COUNTA(半紙!$B$11:$B$310),INDEX(半紙!$C$11:$C$310,394),IF(394&lt;=COUNTA(半紙!$B$11:$B$310)+COUNTA(条幅!$B$11:$B$310),INDEX(条幅!$C$11:$C$310,394-COUNTA(半紙!$B$11:$B$310)),IF(394&lt;=COUNTA(半紙!$B$11:$B$310)+COUNTA(条幅!$B$11:$B$310)+COUNTA(条幅4分の1!$B$11:$B$310),INDEX(条幅4分の1!$C$11:$C$310,394-COUNTA(半紙!$B$11:$B$310)-COUNTA(条幅!$B$11:$B$310)),"")))=0,"",IF(394&lt;=COUNTA(半紙!$B$11:$B$310),INDEX(半紙!$C$11:$C$310,394),IF(394&lt;=COUNTA(半紙!$B$11:$B$310)+COUNTA(条幅!$B$11:$B$310),INDEX(条幅!$C$11:$C$310,394-COUNTA(半紙!$B$11:$B$310)),IF(394&lt;=COUNTA(半紙!$B$11:$B$310)+COUNTA(条幅!$B$11:$B$310)+COUNTA(条幅4分の1!$B$11:$B$310),INDEX(条幅4分の1!$C$11:$C$310,394-COUNTA(半紙!$B$11:$B$310)-COUNTA(条幅!$B$11:$B$310)),""))))</f>
        <v/>
      </c>
      <c r="D399" s="38" t="str">
        <f>IF(IF(394&lt;=COUNTA(半紙!$B$11:$B$310),INDEX(半紙!$D$11:$D$310,394),IF(394&lt;=COUNTA(半紙!$B$11:$B$310)+COUNTA(条幅!$B$11:$B$310),INDEX(条幅!$D$11:$D$310,394-COUNTA(半紙!$B$11:$B$310)),IF(394&lt;=COUNTA(半紙!$B$11:$B$310)+COUNTA(条幅!$B$11:$B$310)+COUNTA(条幅4分の1!$B$11:$B$310),INDEX(条幅4分の1!$D$11:$D$310,394-COUNTA(半紙!$B$11:$B$310)-COUNTA(条幅!$B$11:$B$310)),"")))=0,"",IF(394&lt;=COUNTA(半紙!$B$11:$B$310),INDEX(半紙!$D$11:$D$310,394),IF(394&lt;=COUNTA(半紙!$B$11:$B$310)+COUNTA(条幅!$B$11:$B$310),INDEX(条幅!$D$11:$D$310,394-COUNTA(半紙!$B$11:$B$310)),IF(394&lt;=COUNTA(半紙!$B$11:$B$310)+COUNTA(条幅!$B$11:$B$310)+COUNTA(条幅4分の1!$B$11:$B$310),INDEX(条幅4分の1!$D$11:$D$310,394-COUNTA(半紙!$B$11:$B$310)-COUNTA(条幅!$B$11:$B$310)),""))))</f>
        <v/>
      </c>
      <c r="E399" s="38" t="str">
        <f>IF(IF(394&lt;=COUNTA(半紙!$B$11:$B$310),INDEX(半紙!$E$11:$E$310,394),IF(394&lt;=COUNTA(半紙!$B$11:$B$310)+COUNTA(条幅!$B$11:$B$310),INDEX(条幅!$E$11:$E$310,394-COUNTA(半紙!$B$11:$B$310)),IF(394&lt;=COUNTA(半紙!$B$11:$B$310)+COUNTA(条幅!$B$11:$B$310)+COUNTA(条幅4分の1!$B$11:$B$310),INDEX(条幅4分の1!$E$11:$E$310,394-COUNTA(半紙!$B$11:$B$310)-COUNTA(条幅!$B$11:$B$310)),"")))=0,"",IF(394&lt;=COUNTA(半紙!$B$11:$B$310),INDEX(半紙!$E$11:$E$310,394),IF(394&lt;=COUNTA(半紙!$B$11:$B$310)+COUNTA(条幅!$B$11:$B$310),INDEX(条幅!$E$11:$E$310,394-COUNTA(半紙!$B$11:$B$310)),IF(394&lt;=COUNTA(半紙!$B$11:$B$310)+COUNTA(条幅!$B$11:$B$310)+COUNTA(条幅4分の1!$B$11:$B$310),INDEX(条幅4分の1!$E$11:$E$310,394-COUNTA(半紙!$B$11:$B$310)-COUNTA(条幅!$B$11:$B$310)),""))))</f>
        <v/>
      </c>
      <c r="F399" s="38" t="str">
        <f>IF(IF(394&lt;=COUNTA(半紙!$B$11:$B$310),INDEX(半紙!$F$11:$F$310,394),IF(394&lt;=COUNTA(半紙!$B$11:$B$310)+COUNTA(条幅!$B$11:$B$310),INDEX(条幅!$F$11:$F$310,394-COUNTA(半紙!$B$11:$B$310)),IF(394&lt;=COUNTA(半紙!$B$11:$B$310)+COUNTA(条幅!$B$11:$B$310)+COUNTA(条幅4分の1!$B$11:$B$310),INDEX(条幅4分の1!$F$11:$F$310,394-COUNTA(半紙!$B$11:$B$310)-COUNTA(条幅!$B$11:$B$310)),"")))=0,"",IF(394&lt;=COUNTA(半紙!$B$11:$B$310),INDEX(半紙!$F$11:$F$310,394),IF(394&lt;=COUNTA(半紙!$B$11:$B$310)+COUNTA(条幅!$B$11:$B$310),INDEX(条幅!$F$11:$F$310,394-COUNTA(半紙!$B$11:$B$310)),IF(394&lt;=COUNTA(半紙!$B$11:$B$310)+COUNTA(条幅!$B$11:$B$310)+COUNTA(条幅4分の1!$B$11:$B$310),INDEX(条幅4分の1!$F$11:$F$310,394-COUNTA(半紙!$B$11:$B$310)-COUNTA(条幅!$B$11:$B$310)),""))))</f>
        <v/>
      </c>
      <c r="G399" s="38" t="str">
        <f>IF(IF(394&lt;=COUNTA(半紙!$B$11:$B$310),INDEX(半紙!$G$11:$G$310,394),IF(394&lt;=COUNTA(半紙!$B$11:$B$310)+COUNTA(条幅!$B$11:$B$310),INDEX(条幅!$G$11:$G$310,394-COUNTA(半紙!$B$11:$B$310)),IF(394&lt;=COUNTA(半紙!$B$11:$B$310)+COUNTA(条幅!$B$11:$B$310)+COUNTA(条幅4分の1!$B$11:$B$310),INDEX(条幅4分の1!$G$11:$G$310,394-COUNTA(半紙!$B$11:$B$310)-COUNTA(条幅!$B$11:$B$310)),"")))=0,"",IF(394&lt;=COUNTA(半紙!$B$11:$B$310),INDEX(半紙!$G$11:$G$310,394),IF(394&lt;=COUNTA(半紙!$B$11:$B$310)+COUNTA(条幅!$B$11:$B$310),INDEX(条幅!$G$11:$G$310,394-COUNTA(半紙!$B$11:$B$310)),IF(394&lt;=COUNTA(半紙!$B$11:$B$310)+COUNTA(条幅!$B$11:$B$310)+COUNTA(条幅4分の1!$B$11:$B$310),INDEX(条幅4分の1!$G$11:$G$310,394-COUNTA(半紙!$B$11:$B$310)-COUNTA(条幅!$B$11:$B$310)),""))))</f>
        <v/>
      </c>
      <c r="H399" s="38" t="str">
        <f>IF(IF(394&lt;=COUNTA(半紙!$B$11:$B$310),INDEX(半紙!$H$11:$H$310,394),IF(394&lt;=COUNTA(半紙!$B$11:$B$310)+COUNTA(条幅!$B$11:$B$310),INDEX(条幅!$H$11:$H$310,394-COUNTA(半紙!$B$11:$B$310)),IF(394&lt;=COUNTA(半紙!$B$11:$B$310)+COUNTA(条幅!$B$11:$B$310)+COUNTA(条幅4分の1!$B$11:$B$310),INDEX(条幅4分の1!$H$11:$H$310,394-COUNTA(半紙!$B$11:$B$310)-COUNTA(条幅!$B$11:$B$310)),"")))=0,"",IF(394&lt;=COUNTA(半紙!$B$11:$B$310),INDEX(半紙!$H$11:$H$310,394),IF(394&lt;=COUNTA(半紙!$B$11:$B$310)+COUNTA(条幅!$B$11:$B$310),INDEX(条幅!$H$11:$H$310,394-COUNTA(半紙!$B$11:$B$310)),IF(394&lt;=COUNTA(半紙!$B$11:$B$310)+COUNTA(条幅!$B$11:$B$310)+COUNTA(条幅4分の1!$B$11:$B$310),INDEX(条幅4分の1!$H$11:$H$310,394-COUNTA(半紙!$B$11:$B$310)-COUNTA(条幅!$B$11:$B$310)),""))))</f>
        <v/>
      </c>
      <c r="I399" s="38" t="str">
        <f>IF(IF(394&lt;=COUNTA(半紙!$B$11:$B$310),INDEX(半紙!$I$11:$I$310,394),IF(394&lt;=COUNTA(半紙!$B$11:$B$310)+COUNTA(条幅!$B$11:$B$310),INDEX(条幅!$I$11:$I$310,394-COUNTA(半紙!$B$11:$B$310)),IF(394&lt;=COUNTA(半紙!$B$11:$B$310)+COUNTA(条幅!$B$11:$B$310)+COUNTA(条幅4分の1!$B$11:$B$310),INDEX(条幅4分の1!$I$11:$I$310,394-COUNTA(半紙!$B$11:$B$310)-COUNTA(条幅!$B$11:$B$310)),"")))=0,"",IF(394&lt;=COUNTA(半紙!$B$11:$B$310),INDEX(半紙!$I$11:$I$310,394),IF(394&lt;=COUNTA(半紙!$B$11:$B$310)+COUNTA(条幅!$B$11:$B$310),INDEX(条幅!$I$11:$I$310,394-COUNTA(半紙!$B$11:$B$310)),IF(394&lt;=COUNTA(半紙!$B$11:$B$310)+COUNTA(条幅!$B$11:$B$310)+COUNTA(条幅4分の1!$B$11:$B$310),INDEX(条幅4分の1!$I$11:$I$310,394-COUNTA(半紙!$B$11:$B$310)-COUNTA(条幅!$B$11:$B$310)),""))))</f>
        <v/>
      </c>
      <c r="J399" s="38" t="str">
        <f>IF(IF(394&lt;=COUNTA(半紙!$B$11:$B$310),INDEX(半紙!$J$11:$J$310,394),IF(394&lt;=COUNTA(半紙!$B$11:$B$310)+COUNTA(条幅!$B$11:$B$310),INDEX(条幅!$J$11:$J$310,394-COUNTA(半紙!$B$11:$B$310)),IF(394&lt;=COUNTA(半紙!$B$11:$B$310)+COUNTA(条幅!$B$11:$B$310)+COUNTA(条幅4分の1!$B$11:$B$310),INDEX(条幅4分の1!$J$11:$J$310,394-COUNTA(半紙!$B$11:$B$310)-COUNTA(条幅!$B$11:$B$310)),"")))=0,"",IF(394&lt;=COUNTA(半紙!$B$11:$B$310),INDEX(半紙!$J$11:$J$310,394),IF(394&lt;=COUNTA(半紙!$B$11:$B$310)+COUNTA(条幅!$B$11:$B$310),INDEX(条幅!$J$11:$J$310,394-COUNTA(半紙!$B$11:$B$310)),IF(394&lt;=COUNTA(半紙!$B$11:$B$310)+COUNTA(条幅!$B$11:$B$310)+COUNTA(条幅4分の1!$B$11:$B$310),INDEX(条幅4分の1!$J$11:$J$310,394-COUNTA(半紙!$B$11:$B$310)-COUNTA(条幅!$B$11:$B$310)),""))))</f>
        <v/>
      </c>
      <c r="K399" s="38" t="str">
        <f>IF(IF(394&lt;=COUNTA(半紙!$B$11:$B$310),INDEX(半紙!$K$11:$K$310,394),IF(394&lt;=COUNTA(半紙!$B$11:$B$310)+COUNTA(条幅!$B$11:$B$310),INDEX(条幅!$K$11:$K$310,394-COUNTA(半紙!$B$11:$B$310)),IF(394&lt;=COUNTA(半紙!$B$11:$B$310)+COUNTA(条幅!$B$11:$B$310)+COUNTA(条幅4分の1!$B$11:$B$310),INDEX(条幅4分の1!$K$11:$K$310,394-COUNTA(半紙!$B$11:$B$310)-COUNTA(条幅!$B$11:$B$310)),"")))=0,"",IF(394&lt;=COUNTA(半紙!$B$11:$B$310),INDEX(半紙!$K$11:$K$310,394),IF(394&lt;=COUNTA(半紙!$B$11:$B$310)+COUNTA(条幅!$B$11:$B$310),INDEX(条幅!$K$11:$K$310,394-COUNTA(半紙!$B$11:$B$310)),IF(394&lt;=COUNTA(半紙!$B$11:$B$310)+COUNTA(条幅!$B$11:$B$310)+COUNTA(条幅4分の1!$B$11:$B$310),INDEX(条幅4分の1!$K$11:$K$310,394-COUNTA(半紙!$B$11:$B$310)-COUNTA(条幅!$B$11:$B$310)),""))))</f>
        <v/>
      </c>
      <c r="L399" s="48" t="str">
        <f>IF($B399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394))</f>
        <v/>
      </c>
    </row>
    <row r="400" spans="1:12" ht="15" customHeight="1">
      <c r="A400" s="37" t="str">
        <f>IF(395&lt;=COUNTA(半紙!$B$11:$B$310),"半紙",IF(395&lt;=COUNTA(半紙!$B$11:$B$310)+COUNTA(条幅!$B$11:$B$310),"条幅(半切)",IF(395&lt;=COUNTA(半紙!$B$11:$B$310)+COUNTA(条幅!$B$11:$B$310)+COUNTA(条幅4分の1!$B$11:$B$310),"条幅(1/4)","")))</f>
        <v/>
      </c>
      <c r="B400" s="38" t="str">
        <f>IF(IF(395&lt;=COUNTA(半紙!$B$11:$B$310),INDEX(半紙!$B$11:$B$310,395),IF(395&lt;=COUNTA(半紙!$B$11:$B$310)+COUNTA(条幅!$B$11:$B$310),INDEX(条幅!$B$11:$B$310,395-COUNTA(半紙!$B$11:$B$310)),IF(395&lt;=COUNTA(半紙!$B$11:$B$310)+COUNTA(条幅!$B$11:$B$310)+COUNTA(条幅4分の1!$B$11:$B$310),INDEX(条幅4分の1!$B$11:$B$310,395-COUNTA(半紙!$B$11:$B$310)-COUNTA(条幅!$B$11:$B$310)),"")))=0,"",IF(395&lt;=COUNTA(半紙!$B$11:$B$310),INDEX(半紙!$B$11:$B$310,395),IF(395&lt;=COUNTA(半紙!$B$11:$B$310)+COUNTA(条幅!$B$11:$B$310),INDEX(条幅!$B$11:$B$310,395-COUNTA(半紙!$B$11:$B$310)),IF(395&lt;=COUNTA(半紙!$B$11:$B$310)+COUNTA(条幅!$B$11:$B$310)+COUNTA(条幅4分の1!$B$11:$B$310),INDEX(条幅4分の1!$B$11:$B$310,395-COUNTA(半紙!$B$11:$B$310)-COUNTA(条幅!$B$11:$B$310)),""))))</f>
        <v/>
      </c>
      <c r="C400" s="38" t="str">
        <f>IF(IF(395&lt;=COUNTA(半紙!$B$11:$B$310),INDEX(半紙!$C$11:$C$310,395),IF(395&lt;=COUNTA(半紙!$B$11:$B$310)+COUNTA(条幅!$B$11:$B$310),INDEX(条幅!$C$11:$C$310,395-COUNTA(半紙!$B$11:$B$310)),IF(395&lt;=COUNTA(半紙!$B$11:$B$310)+COUNTA(条幅!$B$11:$B$310)+COUNTA(条幅4分の1!$B$11:$B$310),INDEX(条幅4分の1!$C$11:$C$310,395-COUNTA(半紙!$B$11:$B$310)-COUNTA(条幅!$B$11:$B$310)),"")))=0,"",IF(395&lt;=COUNTA(半紙!$B$11:$B$310),INDEX(半紙!$C$11:$C$310,395),IF(395&lt;=COUNTA(半紙!$B$11:$B$310)+COUNTA(条幅!$B$11:$B$310),INDEX(条幅!$C$11:$C$310,395-COUNTA(半紙!$B$11:$B$310)),IF(395&lt;=COUNTA(半紙!$B$11:$B$310)+COUNTA(条幅!$B$11:$B$310)+COUNTA(条幅4分の1!$B$11:$B$310),INDEX(条幅4分の1!$C$11:$C$310,395-COUNTA(半紙!$B$11:$B$310)-COUNTA(条幅!$B$11:$B$310)),""))))</f>
        <v/>
      </c>
      <c r="D400" s="38" t="str">
        <f>IF(IF(395&lt;=COUNTA(半紙!$B$11:$B$310),INDEX(半紙!$D$11:$D$310,395),IF(395&lt;=COUNTA(半紙!$B$11:$B$310)+COUNTA(条幅!$B$11:$B$310),INDEX(条幅!$D$11:$D$310,395-COUNTA(半紙!$B$11:$B$310)),IF(395&lt;=COUNTA(半紙!$B$11:$B$310)+COUNTA(条幅!$B$11:$B$310)+COUNTA(条幅4分の1!$B$11:$B$310),INDEX(条幅4分の1!$D$11:$D$310,395-COUNTA(半紙!$B$11:$B$310)-COUNTA(条幅!$B$11:$B$310)),"")))=0,"",IF(395&lt;=COUNTA(半紙!$B$11:$B$310),INDEX(半紙!$D$11:$D$310,395),IF(395&lt;=COUNTA(半紙!$B$11:$B$310)+COUNTA(条幅!$B$11:$B$310),INDEX(条幅!$D$11:$D$310,395-COUNTA(半紙!$B$11:$B$310)),IF(395&lt;=COUNTA(半紙!$B$11:$B$310)+COUNTA(条幅!$B$11:$B$310)+COUNTA(条幅4分の1!$B$11:$B$310),INDEX(条幅4分の1!$D$11:$D$310,395-COUNTA(半紙!$B$11:$B$310)-COUNTA(条幅!$B$11:$B$310)),""))))</f>
        <v/>
      </c>
      <c r="E400" s="38" t="str">
        <f>IF(IF(395&lt;=COUNTA(半紙!$B$11:$B$310),INDEX(半紙!$E$11:$E$310,395),IF(395&lt;=COUNTA(半紙!$B$11:$B$310)+COUNTA(条幅!$B$11:$B$310),INDEX(条幅!$E$11:$E$310,395-COUNTA(半紙!$B$11:$B$310)),IF(395&lt;=COUNTA(半紙!$B$11:$B$310)+COUNTA(条幅!$B$11:$B$310)+COUNTA(条幅4分の1!$B$11:$B$310),INDEX(条幅4分の1!$E$11:$E$310,395-COUNTA(半紙!$B$11:$B$310)-COUNTA(条幅!$B$11:$B$310)),"")))=0,"",IF(395&lt;=COUNTA(半紙!$B$11:$B$310),INDEX(半紙!$E$11:$E$310,395),IF(395&lt;=COUNTA(半紙!$B$11:$B$310)+COUNTA(条幅!$B$11:$B$310),INDEX(条幅!$E$11:$E$310,395-COUNTA(半紙!$B$11:$B$310)),IF(395&lt;=COUNTA(半紙!$B$11:$B$310)+COUNTA(条幅!$B$11:$B$310)+COUNTA(条幅4分の1!$B$11:$B$310),INDEX(条幅4分の1!$E$11:$E$310,395-COUNTA(半紙!$B$11:$B$310)-COUNTA(条幅!$B$11:$B$310)),""))))</f>
        <v/>
      </c>
      <c r="F400" s="38" t="str">
        <f>IF(IF(395&lt;=COUNTA(半紙!$B$11:$B$310),INDEX(半紙!$F$11:$F$310,395),IF(395&lt;=COUNTA(半紙!$B$11:$B$310)+COUNTA(条幅!$B$11:$B$310),INDEX(条幅!$F$11:$F$310,395-COUNTA(半紙!$B$11:$B$310)),IF(395&lt;=COUNTA(半紙!$B$11:$B$310)+COUNTA(条幅!$B$11:$B$310)+COUNTA(条幅4分の1!$B$11:$B$310),INDEX(条幅4分の1!$F$11:$F$310,395-COUNTA(半紙!$B$11:$B$310)-COUNTA(条幅!$B$11:$B$310)),"")))=0,"",IF(395&lt;=COUNTA(半紙!$B$11:$B$310),INDEX(半紙!$F$11:$F$310,395),IF(395&lt;=COUNTA(半紙!$B$11:$B$310)+COUNTA(条幅!$B$11:$B$310),INDEX(条幅!$F$11:$F$310,395-COUNTA(半紙!$B$11:$B$310)),IF(395&lt;=COUNTA(半紙!$B$11:$B$310)+COUNTA(条幅!$B$11:$B$310)+COUNTA(条幅4分の1!$B$11:$B$310),INDEX(条幅4分の1!$F$11:$F$310,395-COUNTA(半紙!$B$11:$B$310)-COUNTA(条幅!$B$11:$B$310)),""))))</f>
        <v/>
      </c>
      <c r="G400" s="38" t="str">
        <f>IF(IF(395&lt;=COUNTA(半紙!$B$11:$B$310),INDEX(半紙!$G$11:$G$310,395),IF(395&lt;=COUNTA(半紙!$B$11:$B$310)+COUNTA(条幅!$B$11:$B$310),INDEX(条幅!$G$11:$G$310,395-COUNTA(半紙!$B$11:$B$310)),IF(395&lt;=COUNTA(半紙!$B$11:$B$310)+COUNTA(条幅!$B$11:$B$310)+COUNTA(条幅4分の1!$B$11:$B$310),INDEX(条幅4分の1!$G$11:$G$310,395-COUNTA(半紙!$B$11:$B$310)-COUNTA(条幅!$B$11:$B$310)),"")))=0,"",IF(395&lt;=COUNTA(半紙!$B$11:$B$310),INDEX(半紙!$G$11:$G$310,395),IF(395&lt;=COUNTA(半紙!$B$11:$B$310)+COUNTA(条幅!$B$11:$B$310),INDEX(条幅!$G$11:$G$310,395-COUNTA(半紙!$B$11:$B$310)),IF(395&lt;=COUNTA(半紙!$B$11:$B$310)+COUNTA(条幅!$B$11:$B$310)+COUNTA(条幅4分の1!$B$11:$B$310),INDEX(条幅4分の1!$G$11:$G$310,395-COUNTA(半紙!$B$11:$B$310)-COUNTA(条幅!$B$11:$B$310)),""))))</f>
        <v/>
      </c>
      <c r="H400" s="38" t="str">
        <f>IF(IF(395&lt;=COUNTA(半紙!$B$11:$B$310),INDEX(半紙!$H$11:$H$310,395),IF(395&lt;=COUNTA(半紙!$B$11:$B$310)+COUNTA(条幅!$B$11:$B$310),INDEX(条幅!$H$11:$H$310,395-COUNTA(半紙!$B$11:$B$310)),IF(395&lt;=COUNTA(半紙!$B$11:$B$310)+COUNTA(条幅!$B$11:$B$310)+COUNTA(条幅4分の1!$B$11:$B$310),INDEX(条幅4分の1!$H$11:$H$310,395-COUNTA(半紙!$B$11:$B$310)-COUNTA(条幅!$B$11:$B$310)),"")))=0,"",IF(395&lt;=COUNTA(半紙!$B$11:$B$310),INDEX(半紙!$H$11:$H$310,395),IF(395&lt;=COUNTA(半紙!$B$11:$B$310)+COUNTA(条幅!$B$11:$B$310),INDEX(条幅!$H$11:$H$310,395-COUNTA(半紙!$B$11:$B$310)),IF(395&lt;=COUNTA(半紙!$B$11:$B$310)+COUNTA(条幅!$B$11:$B$310)+COUNTA(条幅4分の1!$B$11:$B$310),INDEX(条幅4分の1!$H$11:$H$310,395-COUNTA(半紙!$B$11:$B$310)-COUNTA(条幅!$B$11:$B$310)),""))))</f>
        <v/>
      </c>
      <c r="I400" s="38" t="str">
        <f>IF(IF(395&lt;=COUNTA(半紙!$B$11:$B$310),INDEX(半紙!$I$11:$I$310,395),IF(395&lt;=COUNTA(半紙!$B$11:$B$310)+COUNTA(条幅!$B$11:$B$310),INDEX(条幅!$I$11:$I$310,395-COUNTA(半紙!$B$11:$B$310)),IF(395&lt;=COUNTA(半紙!$B$11:$B$310)+COUNTA(条幅!$B$11:$B$310)+COUNTA(条幅4分の1!$B$11:$B$310),INDEX(条幅4分の1!$I$11:$I$310,395-COUNTA(半紙!$B$11:$B$310)-COUNTA(条幅!$B$11:$B$310)),"")))=0,"",IF(395&lt;=COUNTA(半紙!$B$11:$B$310),INDEX(半紙!$I$11:$I$310,395),IF(395&lt;=COUNTA(半紙!$B$11:$B$310)+COUNTA(条幅!$B$11:$B$310),INDEX(条幅!$I$11:$I$310,395-COUNTA(半紙!$B$11:$B$310)),IF(395&lt;=COUNTA(半紙!$B$11:$B$310)+COUNTA(条幅!$B$11:$B$310)+COUNTA(条幅4分の1!$B$11:$B$310),INDEX(条幅4分の1!$I$11:$I$310,395-COUNTA(半紙!$B$11:$B$310)-COUNTA(条幅!$B$11:$B$310)),""))))</f>
        <v/>
      </c>
      <c r="J400" s="38" t="str">
        <f>IF(IF(395&lt;=COUNTA(半紙!$B$11:$B$310),INDEX(半紙!$J$11:$J$310,395),IF(395&lt;=COUNTA(半紙!$B$11:$B$310)+COUNTA(条幅!$B$11:$B$310),INDEX(条幅!$J$11:$J$310,395-COUNTA(半紙!$B$11:$B$310)),IF(395&lt;=COUNTA(半紙!$B$11:$B$310)+COUNTA(条幅!$B$11:$B$310)+COUNTA(条幅4分の1!$B$11:$B$310),INDEX(条幅4分の1!$J$11:$J$310,395-COUNTA(半紙!$B$11:$B$310)-COUNTA(条幅!$B$11:$B$310)),"")))=0,"",IF(395&lt;=COUNTA(半紙!$B$11:$B$310),INDEX(半紙!$J$11:$J$310,395),IF(395&lt;=COUNTA(半紙!$B$11:$B$310)+COUNTA(条幅!$B$11:$B$310),INDEX(条幅!$J$11:$J$310,395-COUNTA(半紙!$B$11:$B$310)),IF(395&lt;=COUNTA(半紙!$B$11:$B$310)+COUNTA(条幅!$B$11:$B$310)+COUNTA(条幅4分の1!$B$11:$B$310),INDEX(条幅4分の1!$J$11:$J$310,395-COUNTA(半紙!$B$11:$B$310)-COUNTA(条幅!$B$11:$B$310)),""))))</f>
        <v/>
      </c>
      <c r="K400" s="38" t="str">
        <f>IF(IF(395&lt;=COUNTA(半紙!$B$11:$B$310),INDEX(半紙!$K$11:$K$310,395),IF(395&lt;=COUNTA(半紙!$B$11:$B$310)+COUNTA(条幅!$B$11:$B$310),INDEX(条幅!$K$11:$K$310,395-COUNTA(半紙!$B$11:$B$310)),IF(395&lt;=COUNTA(半紙!$B$11:$B$310)+COUNTA(条幅!$B$11:$B$310)+COUNTA(条幅4分の1!$B$11:$B$310),INDEX(条幅4分の1!$K$11:$K$310,395-COUNTA(半紙!$B$11:$B$310)-COUNTA(条幅!$B$11:$B$310)),"")))=0,"",IF(395&lt;=COUNTA(半紙!$B$11:$B$310),INDEX(半紙!$K$11:$K$310,395),IF(395&lt;=COUNTA(半紙!$B$11:$B$310)+COUNTA(条幅!$B$11:$B$310),INDEX(条幅!$K$11:$K$310,395-COUNTA(半紙!$B$11:$B$310)),IF(395&lt;=COUNTA(半紙!$B$11:$B$310)+COUNTA(条幅!$B$11:$B$310)+COUNTA(条幅4分の1!$B$11:$B$310),INDEX(条幅4分の1!$K$11:$K$310,395-COUNTA(半紙!$B$11:$B$310)-COUNTA(条幅!$B$11:$B$310)),""))))</f>
        <v/>
      </c>
      <c r="L400" s="48" t="str">
        <f>IF($B400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395))</f>
        <v/>
      </c>
    </row>
    <row r="401" spans="1:12" ht="15" customHeight="1">
      <c r="A401" s="37" t="str">
        <f>IF(396&lt;=COUNTA(半紙!$B$11:$B$310),"半紙",IF(396&lt;=COUNTA(半紙!$B$11:$B$310)+COUNTA(条幅!$B$11:$B$310),"条幅(半切)",IF(396&lt;=COUNTA(半紙!$B$11:$B$310)+COUNTA(条幅!$B$11:$B$310)+COUNTA(条幅4分の1!$B$11:$B$310),"条幅(1/4)","")))</f>
        <v/>
      </c>
      <c r="B401" s="38" t="str">
        <f>IF(IF(396&lt;=COUNTA(半紙!$B$11:$B$310),INDEX(半紙!$B$11:$B$310,396),IF(396&lt;=COUNTA(半紙!$B$11:$B$310)+COUNTA(条幅!$B$11:$B$310),INDEX(条幅!$B$11:$B$310,396-COUNTA(半紙!$B$11:$B$310)),IF(396&lt;=COUNTA(半紙!$B$11:$B$310)+COUNTA(条幅!$B$11:$B$310)+COUNTA(条幅4分の1!$B$11:$B$310),INDEX(条幅4分の1!$B$11:$B$310,396-COUNTA(半紙!$B$11:$B$310)-COUNTA(条幅!$B$11:$B$310)),"")))=0,"",IF(396&lt;=COUNTA(半紙!$B$11:$B$310),INDEX(半紙!$B$11:$B$310,396),IF(396&lt;=COUNTA(半紙!$B$11:$B$310)+COUNTA(条幅!$B$11:$B$310),INDEX(条幅!$B$11:$B$310,396-COUNTA(半紙!$B$11:$B$310)),IF(396&lt;=COUNTA(半紙!$B$11:$B$310)+COUNTA(条幅!$B$11:$B$310)+COUNTA(条幅4分の1!$B$11:$B$310),INDEX(条幅4分の1!$B$11:$B$310,396-COUNTA(半紙!$B$11:$B$310)-COUNTA(条幅!$B$11:$B$310)),""))))</f>
        <v/>
      </c>
      <c r="C401" s="38" t="str">
        <f>IF(IF(396&lt;=COUNTA(半紙!$B$11:$B$310),INDEX(半紙!$C$11:$C$310,396),IF(396&lt;=COUNTA(半紙!$B$11:$B$310)+COUNTA(条幅!$B$11:$B$310),INDEX(条幅!$C$11:$C$310,396-COUNTA(半紙!$B$11:$B$310)),IF(396&lt;=COUNTA(半紙!$B$11:$B$310)+COUNTA(条幅!$B$11:$B$310)+COUNTA(条幅4分の1!$B$11:$B$310),INDEX(条幅4分の1!$C$11:$C$310,396-COUNTA(半紙!$B$11:$B$310)-COUNTA(条幅!$B$11:$B$310)),"")))=0,"",IF(396&lt;=COUNTA(半紙!$B$11:$B$310),INDEX(半紙!$C$11:$C$310,396),IF(396&lt;=COUNTA(半紙!$B$11:$B$310)+COUNTA(条幅!$B$11:$B$310),INDEX(条幅!$C$11:$C$310,396-COUNTA(半紙!$B$11:$B$310)),IF(396&lt;=COUNTA(半紙!$B$11:$B$310)+COUNTA(条幅!$B$11:$B$310)+COUNTA(条幅4分の1!$B$11:$B$310),INDEX(条幅4分の1!$C$11:$C$310,396-COUNTA(半紙!$B$11:$B$310)-COUNTA(条幅!$B$11:$B$310)),""))))</f>
        <v/>
      </c>
      <c r="D401" s="38" t="str">
        <f>IF(IF(396&lt;=COUNTA(半紙!$B$11:$B$310),INDEX(半紙!$D$11:$D$310,396),IF(396&lt;=COUNTA(半紙!$B$11:$B$310)+COUNTA(条幅!$B$11:$B$310),INDEX(条幅!$D$11:$D$310,396-COUNTA(半紙!$B$11:$B$310)),IF(396&lt;=COUNTA(半紙!$B$11:$B$310)+COUNTA(条幅!$B$11:$B$310)+COUNTA(条幅4分の1!$B$11:$B$310),INDEX(条幅4分の1!$D$11:$D$310,396-COUNTA(半紙!$B$11:$B$310)-COUNTA(条幅!$B$11:$B$310)),"")))=0,"",IF(396&lt;=COUNTA(半紙!$B$11:$B$310),INDEX(半紙!$D$11:$D$310,396),IF(396&lt;=COUNTA(半紙!$B$11:$B$310)+COUNTA(条幅!$B$11:$B$310),INDEX(条幅!$D$11:$D$310,396-COUNTA(半紙!$B$11:$B$310)),IF(396&lt;=COUNTA(半紙!$B$11:$B$310)+COUNTA(条幅!$B$11:$B$310)+COUNTA(条幅4分の1!$B$11:$B$310),INDEX(条幅4分の1!$D$11:$D$310,396-COUNTA(半紙!$B$11:$B$310)-COUNTA(条幅!$B$11:$B$310)),""))))</f>
        <v/>
      </c>
      <c r="E401" s="38" t="str">
        <f>IF(IF(396&lt;=COUNTA(半紙!$B$11:$B$310),INDEX(半紙!$E$11:$E$310,396),IF(396&lt;=COUNTA(半紙!$B$11:$B$310)+COUNTA(条幅!$B$11:$B$310),INDEX(条幅!$E$11:$E$310,396-COUNTA(半紙!$B$11:$B$310)),IF(396&lt;=COUNTA(半紙!$B$11:$B$310)+COUNTA(条幅!$B$11:$B$310)+COUNTA(条幅4分の1!$B$11:$B$310),INDEX(条幅4分の1!$E$11:$E$310,396-COUNTA(半紙!$B$11:$B$310)-COUNTA(条幅!$B$11:$B$310)),"")))=0,"",IF(396&lt;=COUNTA(半紙!$B$11:$B$310),INDEX(半紙!$E$11:$E$310,396),IF(396&lt;=COUNTA(半紙!$B$11:$B$310)+COUNTA(条幅!$B$11:$B$310),INDEX(条幅!$E$11:$E$310,396-COUNTA(半紙!$B$11:$B$310)),IF(396&lt;=COUNTA(半紙!$B$11:$B$310)+COUNTA(条幅!$B$11:$B$310)+COUNTA(条幅4分の1!$B$11:$B$310),INDEX(条幅4分の1!$E$11:$E$310,396-COUNTA(半紙!$B$11:$B$310)-COUNTA(条幅!$B$11:$B$310)),""))))</f>
        <v/>
      </c>
      <c r="F401" s="38" t="str">
        <f>IF(IF(396&lt;=COUNTA(半紙!$B$11:$B$310),INDEX(半紙!$F$11:$F$310,396),IF(396&lt;=COUNTA(半紙!$B$11:$B$310)+COUNTA(条幅!$B$11:$B$310),INDEX(条幅!$F$11:$F$310,396-COUNTA(半紙!$B$11:$B$310)),IF(396&lt;=COUNTA(半紙!$B$11:$B$310)+COUNTA(条幅!$B$11:$B$310)+COUNTA(条幅4分の1!$B$11:$B$310),INDEX(条幅4分の1!$F$11:$F$310,396-COUNTA(半紙!$B$11:$B$310)-COUNTA(条幅!$B$11:$B$310)),"")))=0,"",IF(396&lt;=COUNTA(半紙!$B$11:$B$310),INDEX(半紙!$F$11:$F$310,396),IF(396&lt;=COUNTA(半紙!$B$11:$B$310)+COUNTA(条幅!$B$11:$B$310),INDEX(条幅!$F$11:$F$310,396-COUNTA(半紙!$B$11:$B$310)),IF(396&lt;=COUNTA(半紙!$B$11:$B$310)+COUNTA(条幅!$B$11:$B$310)+COUNTA(条幅4分の1!$B$11:$B$310),INDEX(条幅4分の1!$F$11:$F$310,396-COUNTA(半紙!$B$11:$B$310)-COUNTA(条幅!$B$11:$B$310)),""))))</f>
        <v/>
      </c>
      <c r="G401" s="38" t="str">
        <f>IF(IF(396&lt;=COUNTA(半紙!$B$11:$B$310),INDEX(半紙!$G$11:$G$310,396),IF(396&lt;=COUNTA(半紙!$B$11:$B$310)+COUNTA(条幅!$B$11:$B$310),INDEX(条幅!$G$11:$G$310,396-COUNTA(半紙!$B$11:$B$310)),IF(396&lt;=COUNTA(半紙!$B$11:$B$310)+COUNTA(条幅!$B$11:$B$310)+COUNTA(条幅4分の1!$B$11:$B$310),INDEX(条幅4分の1!$G$11:$G$310,396-COUNTA(半紙!$B$11:$B$310)-COUNTA(条幅!$B$11:$B$310)),"")))=0,"",IF(396&lt;=COUNTA(半紙!$B$11:$B$310),INDEX(半紙!$G$11:$G$310,396),IF(396&lt;=COUNTA(半紙!$B$11:$B$310)+COUNTA(条幅!$B$11:$B$310),INDEX(条幅!$G$11:$G$310,396-COUNTA(半紙!$B$11:$B$310)),IF(396&lt;=COUNTA(半紙!$B$11:$B$310)+COUNTA(条幅!$B$11:$B$310)+COUNTA(条幅4分の1!$B$11:$B$310),INDEX(条幅4分の1!$G$11:$G$310,396-COUNTA(半紙!$B$11:$B$310)-COUNTA(条幅!$B$11:$B$310)),""))))</f>
        <v/>
      </c>
      <c r="H401" s="38" t="str">
        <f>IF(IF(396&lt;=COUNTA(半紙!$B$11:$B$310),INDEX(半紙!$H$11:$H$310,396),IF(396&lt;=COUNTA(半紙!$B$11:$B$310)+COUNTA(条幅!$B$11:$B$310),INDEX(条幅!$H$11:$H$310,396-COUNTA(半紙!$B$11:$B$310)),IF(396&lt;=COUNTA(半紙!$B$11:$B$310)+COUNTA(条幅!$B$11:$B$310)+COUNTA(条幅4分の1!$B$11:$B$310),INDEX(条幅4分の1!$H$11:$H$310,396-COUNTA(半紙!$B$11:$B$310)-COUNTA(条幅!$B$11:$B$310)),"")))=0,"",IF(396&lt;=COUNTA(半紙!$B$11:$B$310),INDEX(半紙!$H$11:$H$310,396),IF(396&lt;=COUNTA(半紙!$B$11:$B$310)+COUNTA(条幅!$B$11:$B$310),INDEX(条幅!$H$11:$H$310,396-COUNTA(半紙!$B$11:$B$310)),IF(396&lt;=COUNTA(半紙!$B$11:$B$310)+COUNTA(条幅!$B$11:$B$310)+COUNTA(条幅4分の1!$B$11:$B$310),INDEX(条幅4分の1!$H$11:$H$310,396-COUNTA(半紙!$B$11:$B$310)-COUNTA(条幅!$B$11:$B$310)),""))))</f>
        <v/>
      </c>
      <c r="I401" s="38" t="str">
        <f>IF(IF(396&lt;=COUNTA(半紙!$B$11:$B$310),INDEX(半紙!$I$11:$I$310,396),IF(396&lt;=COUNTA(半紙!$B$11:$B$310)+COUNTA(条幅!$B$11:$B$310),INDEX(条幅!$I$11:$I$310,396-COUNTA(半紙!$B$11:$B$310)),IF(396&lt;=COUNTA(半紙!$B$11:$B$310)+COUNTA(条幅!$B$11:$B$310)+COUNTA(条幅4分の1!$B$11:$B$310),INDEX(条幅4分の1!$I$11:$I$310,396-COUNTA(半紙!$B$11:$B$310)-COUNTA(条幅!$B$11:$B$310)),"")))=0,"",IF(396&lt;=COUNTA(半紙!$B$11:$B$310),INDEX(半紙!$I$11:$I$310,396),IF(396&lt;=COUNTA(半紙!$B$11:$B$310)+COUNTA(条幅!$B$11:$B$310),INDEX(条幅!$I$11:$I$310,396-COUNTA(半紙!$B$11:$B$310)),IF(396&lt;=COUNTA(半紙!$B$11:$B$310)+COUNTA(条幅!$B$11:$B$310)+COUNTA(条幅4分の1!$B$11:$B$310),INDEX(条幅4分の1!$I$11:$I$310,396-COUNTA(半紙!$B$11:$B$310)-COUNTA(条幅!$B$11:$B$310)),""))))</f>
        <v/>
      </c>
      <c r="J401" s="38" t="str">
        <f>IF(IF(396&lt;=COUNTA(半紙!$B$11:$B$310),INDEX(半紙!$J$11:$J$310,396),IF(396&lt;=COUNTA(半紙!$B$11:$B$310)+COUNTA(条幅!$B$11:$B$310),INDEX(条幅!$J$11:$J$310,396-COUNTA(半紙!$B$11:$B$310)),IF(396&lt;=COUNTA(半紙!$B$11:$B$310)+COUNTA(条幅!$B$11:$B$310)+COUNTA(条幅4分の1!$B$11:$B$310),INDEX(条幅4分の1!$J$11:$J$310,396-COUNTA(半紙!$B$11:$B$310)-COUNTA(条幅!$B$11:$B$310)),"")))=0,"",IF(396&lt;=COUNTA(半紙!$B$11:$B$310),INDEX(半紙!$J$11:$J$310,396),IF(396&lt;=COUNTA(半紙!$B$11:$B$310)+COUNTA(条幅!$B$11:$B$310),INDEX(条幅!$J$11:$J$310,396-COUNTA(半紙!$B$11:$B$310)),IF(396&lt;=COUNTA(半紙!$B$11:$B$310)+COUNTA(条幅!$B$11:$B$310)+COUNTA(条幅4分の1!$B$11:$B$310),INDEX(条幅4分の1!$J$11:$J$310,396-COUNTA(半紙!$B$11:$B$310)-COUNTA(条幅!$B$11:$B$310)),""))))</f>
        <v/>
      </c>
      <c r="K401" s="38" t="str">
        <f>IF(IF(396&lt;=COUNTA(半紙!$B$11:$B$310),INDEX(半紙!$K$11:$K$310,396),IF(396&lt;=COUNTA(半紙!$B$11:$B$310)+COUNTA(条幅!$B$11:$B$310),INDEX(条幅!$K$11:$K$310,396-COUNTA(半紙!$B$11:$B$310)),IF(396&lt;=COUNTA(半紙!$B$11:$B$310)+COUNTA(条幅!$B$11:$B$310)+COUNTA(条幅4分の1!$B$11:$B$310),INDEX(条幅4分の1!$K$11:$K$310,396-COUNTA(半紙!$B$11:$B$310)-COUNTA(条幅!$B$11:$B$310)),"")))=0,"",IF(396&lt;=COUNTA(半紙!$B$11:$B$310),INDEX(半紙!$K$11:$K$310,396),IF(396&lt;=COUNTA(半紙!$B$11:$B$310)+COUNTA(条幅!$B$11:$B$310),INDEX(条幅!$K$11:$K$310,396-COUNTA(半紙!$B$11:$B$310)),IF(396&lt;=COUNTA(半紙!$B$11:$B$310)+COUNTA(条幅!$B$11:$B$310)+COUNTA(条幅4分の1!$B$11:$B$310),INDEX(条幅4分の1!$K$11:$K$310,396-COUNTA(半紙!$B$11:$B$310)-COUNTA(条幅!$B$11:$B$310)),""))))</f>
        <v/>
      </c>
      <c r="L401" s="48" t="str">
        <f>IF($B401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396))</f>
        <v/>
      </c>
    </row>
    <row r="402" spans="1:12" ht="15" customHeight="1">
      <c r="A402" s="37" t="str">
        <f>IF(397&lt;=COUNTA(半紙!$B$11:$B$310),"半紙",IF(397&lt;=COUNTA(半紙!$B$11:$B$310)+COUNTA(条幅!$B$11:$B$310),"条幅(半切)",IF(397&lt;=COUNTA(半紙!$B$11:$B$310)+COUNTA(条幅!$B$11:$B$310)+COUNTA(条幅4分の1!$B$11:$B$310),"条幅(1/4)","")))</f>
        <v/>
      </c>
      <c r="B402" s="38" t="str">
        <f>IF(IF(397&lt;=COUNTA(半紙!$B$11:$B$310),INDEX(半紙!$B$11:$B$310,397),IF(397&lt;=COUNTA(半紙!$B$11:$B$310)+COUNTA(条幅!$B$11:$B$310),INDEX(条幅!$B$11:$B$310,397-COUNTA(半紙!$B$11:$B$310)),IF(397&lt;=COUNTA(半紙!$B$11:$B$310)+COUNTA(条幅!$B$11:$B$310)+COUNTA(条幅4分の1!$B$11:$B$310),INDEX(条幅4分の1!$B$11:$B$310,397-COUNTA(半紙!$B$11:$B$310)-COUNTA(条幅!$B$11:$B$310)),"")))=0,"",IF(397&lt;=COUNTA(半紙!$B$11:$B$310),INDEX(半紙!$B$11:$B$310,397),IF(397&lt;=COUNTA(半紙!$B$11:$B$310)+COUNTA(条幅!$B$11:$B$310),INDEX(条幅!$B$11:$B$310,397-COUNTA(半紙!$B$11:$B$310)),IF(397&lt;=COUNTA(半紙!$B$11:$B$310)+COUNTA(条幅!$B$11:$B$310)+COUNTA(条幅4分の1!$B$11:$B$310),INDEX(条幅4分の1!$B$11:$B$310,397-COUNTA(半紙!$B$11:$B$310)-COUNTA(条幅!$B$11:$B$310)),""))))</f>
        <v/>
      </c>
      <c r="C402" s="38" t="str">
        <f>IF(IF(397&lt;=COUNTA(半紙!$B$11:$B$310),INDEX(半紙!$C$11:$C$310,397),IF(397&lt;=COUNTA(半紙!$B$11:$B$310)+COUNTA(条幅!$B$11:$B$310),INDEX(条幅!$C$11:$C$310,397-COUNTA(半紙!$B$11:$B$310)),IF(397&lt;=COUNTA(半紙!$B$11:$B$310)+COUNTA(条幅!$B$11:$B$310)+COUNTA(条幅4分の1!$B$11:$B$310),INDEX(条幅4分の1!$C$11:$C$310,397-COUNTA(半紙!$B$11:$B$310)-COUNTA(条幅!$B$11:$B$310)),"")))=0,"",IF(397&lt;=COUNTA(半紙!$B$11:$B$310),INDEX(半紙!$C$11:$C$310,397),IF(397&lt;=COUNTA(半紙!$B$11:$B$310)+COUNTA(条幅!$B$11:$B$310),INDEX(条幅!$C$11:$C$310,397-COUNTA(半紙!$B$11:$B$310)),IF(397&lt;=COUNTA(半紙!$B$11:$B$310)+COUNTA(条幅!$B$11:$B$310)+COUNTA(条幅4分の1!$B$11:$B$310),INDEX(条幅4分の1!$C$11:$C$310,397-COUNTA(半紙!$B$11:$B$310)-COUNTA(条幅!$B$11:$B$310)),""))))</f>
        <v/>
      </c>
      <c r="D402" s="38" t="str">
        <f>IF(IF(397&lt;=COUNTA(半紙!$B$11:$B$310),INDEX(半紙!$D$11:$D$310,397),IF(397&lt;=COUNTA(半紙!$B$11:$B$310)+COUNTA(条幅!$B$11:$B$310),INDEX(条幅!$D$11:$D$310,397-COUNTA(半紙!$B$11:$B$310)),IF(397&lt;=COUNTA(半紙!$B$11:$B$310)+COUNTA(条幅!$B$11:$B$310)+COUNTA(条幅4分の1!$B$11:$B$310),INDEX(条幅4分の1!$D$11:$D$310,397-COUNTA(半紙!$B$11:$B$310)-COUNTA(条幅!$B$11:$B$310)),"")))=0,"",IF(397&lt;=COUNTA(半紙!$B$11:$B$310),INDEX(半紙!$D$11:$D$310,397),IF(397&lt;=COUNTA(半紙!$B$11:$B$310)+COUNTA(条幅!$B$11:$B$310),INDEX(条幅!$D$11:$D$310,397-COUNTA(半紙!$B$11:$B$310)),IF(397&lt;=COUNTA(半紙!$B$11:$B$310)+COUNTA(条幅!$B$11:$B$310)+COUNTA(条幅4分の1!$B$11:$B$310),INDEX(条幅4分の1!$D$11:$D$310,397-COUNTA(半紙!$B$11:$B$310)-COUNTA(条幅!$B$11:$B$310)),""))))</f>
        <v/>
      </c>
      <c r="E402" s="38" t="str">
        <f>IF(IF(397&lt;=COUNTA(半紙!$B$11:$B$310),INDEX(半紙!$E$11:$E$310,397),IF(397&lt;=COUNTA(半紙!$B$11:$B$310)+COUNTA(条幅!$B$11:$B$310),INDEX(条幅!$E$11:$E$310,397-COUNTA(半紙!$B$11:$B$310)),IF(397&lt;=COUNTA(半紙!$B$11:$B$310)+COUNTA(条幅!$B$11:$B$310)+COUNTA(条幅4分の1!$B$11:$B$310),INDEX(条幅4分の1!$E$11:$E$310,397-COUNTA(半紙!$B$11:$B$310)-COUNTA(条幅!$B$11:$B$310)),"")))=0,"",IF(397&lt;=COUNTA(半紙!$B$11:$B$310),INDEX(半紙!$E$11:$E$310,397),IF(397&lt;=COUNTA(半紙!$B$11:$B$310)+COUNTA(条幅!$B$11:$B$310),INDEX(条幅!$E$11:$E$310,397-COUNTA(半紙!$B$11:$B$310)),IF(397&lt;=COUNTA(半紙!$B$11:$B$310)+COUNTA(条幅!$B$11:$B$310)+COUNTA(条幅4分の1!$B$11:$B$310),INDEX(条幅4分の1!$E$11:$E$310,397-COUNTA(半紙!$B$11:$B$310)-COUNTA(条幅!$B$11:$B$310)),""))))</f>
        <v/>
      </c>
      <c r="F402" s="38" t="str">
        <f>IF(IF(397&lt;=COUNTA(半紙!$B$11:$B$310),INDEX(半紙!$F$11:$F$310,397),IF(397&lt;=COUNTA(半紙!$B$11:$B$310)+COUNTA(条幅!$B$11:$B$310),INDEX(条幅!$F$11:$F$310,397-COUNTA(半紙!$B$11:$B$310)),IF(397&lt;=COUNTA(半紙!$B$11:$B$310)+COUNTA(条幅!$B$11:$B$310)+COUNTA(条幅4分の1!$B$11:$B$310),INDEX(条幅4分の1!$F$11:$F$310,397-COUNTA(半紙!$B$11:$B$310)-COUNTA(条幅!$B$11:$B$310)),"")))=0,"",IF(397&lt;=COUNTA(半紙!$B$11:$B$310),INDEX(半紙!$F$11:$F$310,397),IF(397&lt;=COUNTA(半紙!$B$11:$B$310)+COUNTA(条幅!$B$11:$B$310),INDEX(条幅!$F$11:$F$310,397-COUNTA(半紙!$B$11:$B$310)),IF(397&lt;=COUNTA(半紙!$B$11:$B$310)+COUNTA(条幅!$B$11:$B$310)+COUNTA(条幅4分の1!$B$11:$B$310),INDEX(条幅4分の1!$F$11:$F$310,397-COUNTA(半紙!$B$11:$B$310)-COUNTA(条幅!$B$11:$B$310)),""))))</f>
        <v/>
      </c>
      <c r="G402" s="38" t="str">
        <f>IF(IF(397&lt;=COUNTA(半紙!$B$11:$B$310),INDEX(半紙!$G$11:$G$310,397),IF(397&lt;=COUNTA(半紙!$B$11:$B$310)+COUNTA(条幅!$B$11:$B$310),INDEX(条幅!$G$11:$G$310,397-COUNTA(半紙!$B$11:$B$310)),IF(397&lt;=COUNTA(半紙!$B$11:$B$310)+COUNTA(条幅!$B$11:$B$310)+COUNTA(条幅4分の1!$B$11:$B$310),INDEX(条幅4分の1!$G$11:$G$310,397-COUNTA(半紙!$B$11:$B$310)-COUNTA(条幅!$B$11:$B$310)),"")))=0,"",IF(397&lt;=COUNTA(半紙!$B$11:$B$310),INDEX(半紙!$G$11:$G$310,397),IF(397&lt;=COUNTA(半紙!$B$11:$B$310)+COUNTA(条幅!$B$11:$B$310),INDEX(条幅!$G$11:$G$310,397-COUNTA(半紙!$B$11:$B$310)),IF(397&lt;=COUNTA(半紙!$B$11:$B$310)+COUNTA(条幅!$B$11:$B$310)+COUNTA(条幅4分の1!$B$11:$B$310),INDEX(条幅4分の1!$G$11:$G$310,397-COUNTA(半紙!$B$11:$B$310)-COUNTA(条幅!$B$11:$B$310)),""))))</f>
        <v/>
      </c>
      <c r="H402" s="38" t="str">
        <f>IF(IF(397&lt;=COUNTA(半紙!$B$11:$B$310),INDEX(半紙!$H$11:$H$310,397),IF(397&lt;=COUNTA(半紙!$B$11:$B$310)+COUNTA(条幅!$B$11:$B$310),INDEX(条幅!$H$11:$H$310,397-COUNTA(半紙!$B$11:$B$310)),IF(397&lt;=COUNTA(半紙!$B$11:$B$310)+COUNTA(条幅!$B$11:$B$310)+COUNTA(条幅4分の1!$B$11:$B$310),INDEX(条幅4分の1!$H$11:$H$310,397-COUNTA(半紙!$B$11:$B$310)-COUNTA(条幅!$B$11:$B$310)),"")))=0,"",IF(397&lt;=COUNTA(半紙!$B$11:$B$310),INDEX(半紙!$H$11:$H$310,397),IF(397&lt;=COUNTA(半紙!$B$11:$B$310)+COUNTA(条幅!$B$11:$B$310),INDEX(条幅!$H$11:$H$310,397-COUNTA(半紙!$B$11:$B$310)),IF(397&lt;=COUNTA(半紙!$B$11:$B$310)+COUNTA(条幅!$B$11:$B$310)+COUNTA(条幅4分の1!$B$11:$B$310),INDEX(条幅4分の1!$H$11:$H$310,397-COUNTA(半紙!$B$11:$B$310)-COUNTA(条幅!$B$11:$B$310)),""))))</f>
        <v/>
      </c>
      <c r="I402" s="38" t="str">
        <f>IF(IF(397&lt;=COUNTA(半紙!$B$11:$B$310),INDEX(半紙!$I$11:$I$310,397),IF(397&lt;=COUNTA(半紙!$B$11:$B$310)+COUNTA(条幅!$B$11:$B$310),INDEX(条幅!$I$11:$I$310,397-COUNTA(半紙!$B$11:$B$310)),IF(397&lt;=COUNTA(半紙!$B$11:$B$310)+COUNTA(条幅!$B$11:$B$310)+COUNTA(条幅4分の1!$B$11:$B$310),INDEX(条幅4分の1!$I$11:$I$310,397-COUNTA(半紙!$B$11:$B$310)-COUNTA(条幅!$B$11:$B$310)),"")))=0,"",IF(397&lt;=COUNTA(半紙!$B$11:$B$310),INDEX(半紙!$I$11:$I$310,397),IF(397&lt;=COUNTA(半紙!$B$11:$B$310)+COUNTA(条幅!$B$11:$B$310),INDEX(条幅!$I$11:$I$310,397-COUNTA(半紙!$B$11:$B$310)),IF(397&lt;=COUNTA(半紙!$B$11:$B$310)+COUNTA(条幅!$B$11:$B$310)+COUNTA(条幅4分の1!$B$11:$B$310),INDEX(条幅4分の1!$I$11:$I$310,397-COUNTA(半紙!$B$11:$B$310)-COUNTA(条幅!$B$11:$B$310)),""))))</f>
        <v/>
      </c>
      <c r="J402" s="38" t="str">
        <f>IF(IF(397&lt;=COUNTA(半紙!$B$11:$B$310),INDEX(半紙!$J$11:$J$310,397),IF(397&lt;=COUNTA(半紙!$B$11:$B$310)+COUNTA(条幅!$B$11:$B$310),INDEX(条幅!$J$11:$J$310,397-COUNTA(半紙!$B$11:$B$310)),IF(397&lt;=COUNTA(半紙!$B$11:$B$310)+COUNTA(条幅!$B$11:$B$310)+COUNTA(条幅4分の1!$B$11:$B$310),INDEX(条幅4分の1!$J$11:$J$310,397-COUNTA(半紙!$B$11:$B$310)-COUNTA(条幅!$B$11:$B$310)),"")))=0,"",IF(397&lt;=COUNTA(半紙!$B$11:$B$310),INDEX(半紙!$J$11:$J$310,397),IF(397&lt;=COUNTA(半紙!$B$11:$B$310)+COUNTA(条幅!$B$11:$B$310),INDEX(条幅!$J$11:$J$310,397-COUNTA(半紙!$B$11:$B$310)),IF(397&lt;=COUNTA(半紙!$B$11:$B$310)+COUNTA(条幅!$B$11:$B$310)+COUNTA(条幅4分の1!$B$11:$B$310),INDEX(条幅4分の1!$J$11:$J$310,397-COUNTA(半紙!$B$11:$B$310)-COUNTA(条幅!$B$11:$B$310)),""))))</f>
        <v/>
      </c>
      <c r="K402" s="38" t="str">
        <f>IF(IF(397&lt;=COUNTA(半紙!$B$11:$B$310),INDEX(半紙!$K$11:$K$310,397),IF(397&lt;=COUNTA(半紙!$B$11:$B$310)+COUNTA(条幅!$B$11:$B$310),INDEX(条幅!$K$11:$K$310,397-COUNTA(半紙!$B$11:$B$310)),IF(397&lt;=COUNTA(半紙!$B$11:$B$310)+COUNTA(条幅!$B$11:$B$310)+COUNTA(条幅4分の1!$B$11:$B$310),INDEX(条幅4分の1!$K$11:$K$310,397-COUNTA(半紙!$B$11:$B$310)-COUNTA(条幅!$B$11:$B$310)),"")))=0,"",IF(397&lt;=COUNTA(半紙!$B$11:$B$310),INDEX(半紙!$K$11:$K$310,397),IF(397&lt;=COUNTA(半紙!$B$11:$B$310)+COUNTA(条幅!$B$11:$B$310),INDEX(条幅!$K$11:$K$310,397-COUNTA(半紙!$B$11:$B$310)),IF(397&lt;=COUNTA(半紙!$B$11:$B$310)+COUNTA(条幅!$B$11:$B$310)+COUNTA(条幅4分の1!$B$11:$B$310),INDEX(条幅4分の1!$K$11:$K$310,397-COUNTA(半紙!$B$11:$B$310)-COUNTA(条幅!$B$11:$B$310)),""))))</f>
        <v/>
      </c>
      <c r="L402" s="48" t="str">
        <f>IF($B402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397))</f>
        <v/>
      </c>
    </row>
    <row r="403" spans="1:12" ht="15" customHeight="1">
      <c r="A403" s="37" t="str">
        <f>IF(398&lt;=COUNTA(半紙!$B$11:$B$310),"半紙",IF(398&lt;=COUNTA(半紙!$B$11:$B$310)+COUNTA(条幅!$B$11:$B$310),"条幅(半切)",IF(398&lt;=COUNTA(半紙!$B$11:$B$310)+COUNTA(条幅!$B$11:$B$310)+COUNTA(条幅4分の1!$B$11:$B$310),"条幅(1/4)","")))</f>
        <v/>
      </c>
      <c r="B403" s="38" t="str">
        <f>IF(IF(398&lt;=COUNTA(半紙!$B$11:$B$310),INDEX(半紙!$B$11:$B$310,398),IF(398&lt;=COUNTA(半紙!$B$11:$B$310)+COUNTA(条幅!$B$11:$B$310),INDEX(条幅!$B$11:$B$310,398-COUNTA(半紙!$B$11:$B$310)),IF(398&lt;=COUNTA(半紙!$B$11:$B$310)+COUNTA(条幅!$B$11:$B$310)+COUNTA(条幅4分の1!$B$11:$B$310),INDEX(条幅4分の1!$B$11:$B$310,398-COUNTA(半紙!$B$11:$B$310)-COUNTA(条幅!$B$11:$B$310)),"")))=0,"",IF(398&lt;=COUNTA(半紙!$B$11:$B$310),INDEX(半紙!$B$11:$B$310,398),IF(398&lt;=COUNTA(半紙!$B$11:$B$310)+COUNTA(条幅!$B$11:$B$310),INDEX(条幅!$B$11:$B$310,398-COUNTA(半紙!$B$11:$B$310)),IF(398&lt;=COUNTA(半紙!$B$11:$B$310)+COUNTA(条幅!$B$11:$B$310)+COUNTA(条幅4分の1!$B$11:$B$310),INDEX(条幅4分の1!$B$11:$B$310,398-COUNTA(半紙!$B$11:$B$310)-COUNTA(条幅!$B$11:$B$310)),""))))</f>
        <v/>
      </c>
      <c r="C403" s="38" t="str">
        <f>IF(IF(398&lt;=COUNTA(半紙!$B$11:$B$310),INDEX(半紙!$C$11:$C$310,398),IF(398&lt;=COUNTA(半紙!$B$11:$B$310)+COUNTA(条幅!$B$11:$B$310),INDEX(条幅!$C$11:$C$310,398-COUNTA(半紙!$B$11:$B$310)),IF(398&lt;=COUNTA(半紙!$B$11:$B$310)+COUNTA(条幅!$B$11:$B$310)+COUNTA(条幅4分の1!$B$11:$B$310),INDEX(条幅4分の1!$C$11:$C$310,398-COUNTA(半紙!$B$11:$B$310)-COUNTA(条幅!$B$11:$B$310)),"")))=0,"",IF(398&lt;=COUNTA(半紙!$B$11:$B$310),INDEX(半紙!$C$11:$C$310,398),IF(398&lt;=COUNTA(半紙!$B$11:$B$310)+COUNTA(条幅!$B$11:$B$310),INDEX(条幅!$C$11:$C$310,398-COUNTA(半紙!$B$11:$B$310)),IF(398&lt;=COUNTA(半紙!$B$11:$B$310)+COUNTA(条幅!$B$11:$B$310)+COUNTA(条幅4分の1!$B$11:$B$310),INDEX(条幅4分の1!$C$11:$C$310,398-COUNTA(半紙!$B$11:$B$310)-COUNTA(条幅!$B$11:$B$310)),""))))</f>
        <v/>
      </c>
      <c r="D403" s="38" t="str">
        <f>IF(IF(398&lt;=COUNTA(半紙!$B$11:$B$310),INDEX(半紙!$D$11:$D$310,398),IF(398&lt;=COUNTA(半紙!$B$11:$B$310)+COUNTA(条幅!$B$11:$B$310),INDEX(条幅!$D$11:$D$310,398-COUNTA(半紙!$B$11:$B$310)),IF(398&lt;=COUNTA(半紙!$B$11:$B$310)+COUNTA(条幅!$B$11:$B$310)+COUNTA(条幅4分の1!$B$11:$B$310),INDEX(条幅4分の1!$D$11:$D$310,398-COUNTA(半紙!$B$11:$B$310)-COUNTA(条幅!$B$11:$B$310)),"")))=0,"",IF(398&lt;=COUNTA(半紙!$B$11:$B$310),INDEX(半紙!$D$11:$D$310,398),IF(398&lt;=COUNTA(半紙!$B$11:$B$310)+COUNTA(条幅!$B$11:$B$310),INDEX(条幅!$D$11:$D$310,398-COUNTA(半紙!$B$11:$B$310)),IF(398&lt;=COUNTA(半紙!$B$11:$B$310)+COUNTA(条幅!$B$11:$B$310)+COUNTA(条幅4分の1!$B$11:$B$310),INDEX(条幅4分の1!$D$11:$D$310,398-COUNTA(半紙!$B$11:$B$310)-COUNTA(条幅!$B$11:$B$310)),""))))</f>
        <v/>
      </c>
      <c r="E403" s="38" t="str">
        <f>IF(IF(398&lt;=COUNTA(半紙!$B$11:$B$310),INDEX(半紙!$E$11:$E$310,398),IF(398&lt;=COUNTA(半紙!$B$11:$B$310)+COUNTA(条幅!$B$11:$B$310),INDEX(条幅!$E$11:$E$310,398-COUNTA(半紙!$B$11:$B$310)),IF(398&lt;=COUNTA(半紙!$B$11:$B$310)+COUNTA(条幅!$B$11:$B$310)+COUNTA(条幅4分の1!$B$11:$B$310),INDEX(条幅4分の1!$E$11:$E$310,398-COUNTA(半紙!$B$11:$B$310)-COUNTA(条幅!$B$11:$B$310)),"")))=0,"",IF(398&lt;=COUNTA(半紙!$B$11:$B$310),INDEX(半紙!$E$11:$E$310,398),IF(398&lt;=COUNTA(半紙!$B$11:$B$310)+COUNTA(条幅!$B$11:$B$310),INDEX(条幅!$E$11:$E$310,398-COUNTA(半紙!$B$11:$B$310)),IF(398&lt;=COUNTA(半紙!$B$11:$B$310)+COUNTA(条幅!$B$11:$B$310)+COUNTA(条幅4分の1!$B$11:$B$310),INDEX(条幅4分の1!$E$11:$E$310,398-COUNTA(半紙!$B$11:$B$310)-COUNTA(条幅!$B$11:$B$310)),""))))</f>
        <v/>
      </c>
      <c r="F403" s="38" t="str">
        <f>IF(IF(398&lt;=COUNTA(半紙!$B$11:$B$310),INDEX(半紙!$F$11:$F$310,398),IF(398&lt;=COUNTA(半紙!$B$11:$B$310)+COUNTA(条幅!$B$11:$B$310),INDEX(条幅!$F$11:$F$310,398-COUNTA(半紙!$B$11:$B$310)),IF(398&lt;=COUNTA(半紙!$B$11:$B$310)+COUNTA(条幅!$B$11:$B$310)+COUNTA(条幅4分の1!$B$11:$B$310),INDEX(条幅4分の1!$F$11:$F$310,398-COUNTA(半紙!$B$11:$B$310)-COUNTA(条幅!$B$11:$B$310)),"")))=0,"",IF(398&lt;=COUNTA(半紙!$B$11:$B$310),INDEX(半紙!$F$11:$F$310,398),IF(398&lt;=COUNTA(半紙!$B$11:$B$310)+COUNTA(条幅!$B$11:$B$310),INDEX(条幅!$F$11:$F$310,398-COUNTA(半紙!$B$11:$B$310)),IF(398&lt;=COUNTA(半紙!$B$11:$B$310)+COUNTA(条幅!$B$11:$B$310)+COUNTA(条幅4分の1!$B$11:$B$310),INDEX(条幅4分の1!$F$11:$F$310,398-COUNTA(半紙!$B$11:$B$310)-COUNTA(条幅!$B$11:$B$310)),""))))</f>
        <v/>
      </c>
      <c r="G403" s="38" t="str">
        <f>IF(IF(398&lt;=COUNTA(半紙!$B$11:$B$310),INDEX(半紙!$G$11:$G$310,398),IF(398&lt;=COUNTA(半紙!$B$11:$B$310)+COUNTA(条幅!$B$11:$B$310),INDEX(条幅!$G$11:$G$310,398-COUNTA(半紙!$B$11:$B$310)),IF(398&lt;=COUNTA(半紙!$B$11:$B$310)+COUNTA(条幅!$B$11:$B$310)+COUNTA(条幅4分の1!$B$11:$B$310),INDEX(条幅4分の1!$G$11:$G$310,398-COUNTA(半紙!$B$11:$B$310)-COUNTA(条幅!$B$11:$B$310)),"")))=0,"",IF(398&lt;=COUNTA(半紙!$B$11:$B$310),INDEX(半紙!$G$11:$G$310,398),IF(398&lt;=COUNTA(半紙!$B$11:$B$310)+COUNTA(条幅!$B$11:$B$310),INDEX(条幅!$G$11:$G$310,398-COUNTA(半紙!$B$11:$B$310)),IF(398&lt;=COUNTA(半紙!$B$11:$B$310)+COUNTA(条幅!$B$11:$B$310)+COUNTA(条幅4分の1!$B$11:$B$310),INDEX(条幅4分の1!$G$11:$G$310,398-COUNTA(半紙!$B$11:$B$310)-COUNTA(条幅!$B$11:$B$310)),""))))</f>
        <v/>
      </c>
      <c r="H403" s="38" t="str">
        <f>IF(IF(398&lt;=COUNTA(半紙!$B$11:$B$310),INDEX(半紙!$H$11:$H$310,398),IF(398&lt;=COUNTA(半紙!$B$11:$B$310)+COUNTA(条幅!$B$11:$B$310),INDEX(条幅!$H$11:$H$310,398-COUNTA(半紙!$B$11:$B$310)),IF(398&lt;=COUNTA(半紙!$B$11:$B$310)+COUNTA(条幅!$B$11:$B$310)+COUNTA(条幅4分の1!$B$11:$B$310),INDEX(条幅4分の1!$H$11:$H$310,398-COUNTA(半紙!$B$11:$B$310)-COUNTA(条幅!$B$11:$B$310)),"")))=0,"",IF(398&lt;=COUNTA(半紙!$B$11:$B$310),INDEX(半紙!$H$11:$H$310,398),IF(398&lt;=COUNTA(半紙!$B$11:$B$310)+COUNTA(条幅!$B$11:$B$310),INDEX(条幅!$H$11:$H$310,398-COUNTA(半紙!$B$11:$B$310)),IF(398&lt;=COUNTA(半紙!$B$11:$B$310)+COUNTA(条幅!$B$11:$B$310)+COUNTA(条幅4分の1!$B$11:$B$310),INDEX(条幅4分の1!$H$11:$H$310,398-COUNTA(半紙!$B$11:$B$310)-COUNTA(条幅!$B$11:$B$310)),""))))</f>
        <v/>
      </c>
      <c r="I403" s="38" t="str">
        <f>IF(IF(398&lt;=COUNTA(半紙!$B$11:$B$310),INDEX(半紙!$I$11:$I$310,398),IF(398&lt;=COUNTA(半紙!$B$11:$B$310)+COUNTA(条幅!$B$11:$B$310),INDEX(条幅!$I$11:$I$310,398-COUNTA(半紙!$B$11:$B$310)),IF(398&lt;=COUNTA(半紙!$B$11:$B$310)+COUNTA(条幅!$B$11:$B$310)+COUNTA(条幅4分の1!$B$11:$B$310),INDEX(条幅4分の1!$I$11:$I$310,398-COUNTA(半紙!$B$11:$B$310)-COUNTA(条幅!$B$11:$B$310)),"")))=0,"",IF(398&lt;=COUNTA(半紙!$B$11:$B$310),INDEX(半紙!$I$11:$I$310,398),IF(398&lt;=COUNTA(半紙!$B$11:$B$310)+COUNTA(条幅!$B$11:$B$310),INDEX(条幅!$I$11:$I$310,398-COUNTA(半紙!$B$11:$B$310)),IF(398&lt;=COUNTA(半紙!$B$11:$B$310)+COUNTA(条幅!$B$11:$B$310)+COUNTA(条幅4分の1!$B$11:$B$310),INDEX(条幅4分の1!$I$11:$I$310,398-COUNTA(半紙!$B$11:$B$310)-COUNTA(条幅!$B$11:$B$310)),""))))</f>
        <v/>
      </c>
      <c r="J403" s="38" t="str">
        <f>IF(IF(398&lt;=COUNTA(半紙!$B$11:$B$310),INDEX(半紙!$J$11:$J$310,398),IF(398&lt;=COUNTA(半紙!$B$11:$B$310)+COUNTA(条幅!$B$11:$B$310),INDEX(条幅!$J$11:$J$310,398-COUNTA(半紙!$B$11:$B$310)),IF(398&lt;=COUNTA(半紙!$B$11:$B$310)+COUNTA(条幅!$B$11:$B$310)+COUNTA(条幅4分の1!$B$11:$B$310),INDEX(条幅4分の1!$J$11:$J$310,398-COUNTA(半紙!$B$11:$B$310)-COUNTA(条幅!$B$11:$B$310)),"")))=0,"",IF(398&lt;=COUNTA(半紙!$B$11:$B$310),INDEX(半紙!$J$11:$J$310,398),IF(398&lt;=COUNTA(半紙!$B$11:$B$310)+COUNTA(条幅!$B$11:$B$310),INDEX(条幅!$J$11:$J$310,398-COUNTA(半紙!$B$11:$B$310)),IF(398&lt;=COUNTA(半紙!$B$11:$B$310)+COUNTA(条幅!$B$11:$B$310)+COUNTA(条幅4分の1!$B$11:$B$310),INDEX(条幅4分の1!$J$11:$J$310,398-COUNTA(半紙!$B$11:$B$310)-COUNTA(条幅!$B$11:$B$310)),""))))</f>
        <v/>
      </c>
      <c r="K403" s="38" t="str">
        <f>IF(IF(398&lt;=COUNTA(半紙!$B$11:$B$310),INDEX(半紙!$K$11:$K$310,398),IF(398&lt;=COUNTA(半紙!$B$11:$B$310)+COUNTA(条幅!$B$11:$B$310),INDEX(条幅!$K$11:$K$310,398-COUNTA(半紙!$B$11:$B$310)),IF(398&lt;=COUNTA(半紙!$B$11:$B$310)+COUNTA(条幅!$B$11:$B$310)+COUNTA(条幅4分の1!$B$11:$B$310),INDEX(条幅4分の1!$K$11:$K$310,398-COUNTA(半紙!$B$11:$B$310)-COUNTA(条幅!$B$11:$B$310)),"")))=0,"",IF(398&lt;=COUNTA(半紙!$B$11:$B$310),INDEX(半紙!$K$11:$K$310,398),IF(398&lt;=COUNTA(半紙!$B$11:$B$310)+COUNTA(条幅!$B$11:$B$310),INDEX(条幅!$K$11:$K$310,398-COUNTA(半紙!$B$11:$B$310)),IF(398&lt;=COUNTA(半紙!$B$11:$B$310)+COUNTA(条幅!$B$11:$B$310)+COUNTA(条幅4分の1!$B$11:$B$310),INDEX(条幅4分の1!$K$11:$K$310,398-COUNTA(半紙!$B$11:$B$310)-COUNTA(条幅!$B$11:$B$310)),""))))</f>
        <v/>
      </c>
      <c r="L403" s="48" t="str">
        <f>IF($B403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398))</f>
        <v/>
      </c>
    </row>
    <row r="404" spans="1:12" ht="15" customHeight="1">
      <c r="A404" s="37" t="str">
        <f>IF(399&lt;=COUNTA(半紙!$B$11:$B$310),"半紙",IF(399&lt;=COUNTA(半紙!$B$11:$B$310)+COUNTA(条幅!$B$11:$B$310),"条幅(半切)",IF(399&lt;=COUNTA(半紙!$B$11:$B$310)+COUNTA(条幅!$B$11:$B$310)+COUNTA(条幅4分の1!$B$11:$B$310),"条幅(1/4)","")))</f>
        <v/>
      </c>
      <c r="B404" s="38" t="str">
        <f>IF(IF(399&lt;=COUNTA(半紙!$B$11:$B$310),INDEX(半紙!$B$11:$B$310,399),IF(399&lt;=COUNTA(半紙!$B$11:$B$310)+COUNTA(条幅!$B$11:$B$310),INDEX(条幅!$B$11:$B$310,399-COUNTA(半紙!$B$11:$B$310)),IF(399&lt;=COUNTA(半紙!$B$11:$B$310)+COUNTA(条幅!$B$11:$B$310)+COUNTA(条幅4分の1!$B$11:$B$310),INDEX(条幅4分の1!$B$11:$B$310,399-COUNTA(半紙!$B$11:$B$310)-COUNTA(条幅!$B$11:$B$310)),"")))=0,"",IF(399&lt;=COUNTA(半紙!$B$11:$B$310),INDEX(半紙!$B$11:$B$310,399),IF(399&lt;=COUNTA(半紙!$B$11:$B$310)+COUNTA(条幅!$B$11:$B$310),INDEX(条幅!$B$11:$B$310,399-COUNTA(半紙!$B$11:$B$310)),IF(399&lt;=COUNTA(半紙!$B$11:$B$310)+COUNTA(条幅!$B$11:$B$310)+COUNTA(条幅4分の1!$B$11:$B$310),INDEX(条幅4分の1!$B$11:$B$310,399-COUNTA(半紙!$B$11:$B$310)-COUNTA(条幅!$B$11:$B$310)),""))))</f>
        <v/>
      </c>
      <c r="C404" s="38" t="str">
        <f>IF(IF(399&lt;=COUNTA(半紙!$B$11:$B$310),INDEX(半紙!$C$11:$C$310,399),IF(399&lt;=COUNTA(半紙!$B$11:$B$310)+COUNTA(条幅!$B$11:$B$310),INDEX(条幅!$C$11:$C$310,399-COUNTA(半紙!$B$11:$B$310)),IF(399&lt;=COUNTA(半紙!$B$11:$B$310)+COUNTA(条幅!$B$11:$B$310)+COUNTA(条幅4分の1!$B$11:$B$310),INDEX(条幅4分の1!$C$11:$C$310,399-COUNTA(半紙!$B$11:$B$310)-COUNTA(条幅!$B$11:$B$310)),"")))=0,"",IF(399&lt;=COUNTA(半紙!$B$11:$B$310),INDEX(半紙!$C$11:$C$310,399),IF(399&lt;=COUNTA(半紙!$B$11:$B$310)+COUNTA(条幅!$B$11:$B$310),INDEX(条幅!$C$11:$C$310,399-COUNTA(半紙!$B$11:$B$310)),IF(399&lt;=COUNTA(半紙!$B$11:$B$310)+COUNTA(条幅!$B$11:$B$310)+COUNTA(条幅4分の1!$B$11:$B$310),INDEX(条幅4分の1!$C$11:$C$310,399-COUNTA(半紙!$B$11:$B$310)-COUNTA(条幅!$B$11:$B$310)),""))))</f>
        <v/>
      </c>
      <c r="D404" s="38" t="str">
        <f>IF(IF(399&lt;=COUNTA(半紙!$B$11:$B$310),INDEX(半紙!$D$11:$D$310,399),IF(399&lt;=COUNTA(半紙!$B$11:$B$310)+COUNTA(条幅!$B$11:$B$310),INDEX(条幅!$D$11:$D$310,399-COUNTA(半紙!$B$11:$B$310)),IF(399&lt;=COUNTA(半紙!$B$11:$B$310)+COUNTA(条幅!$B$11:$B$310)+COUNTA(条幅4分の1!$B$11:$B$310),INDEX(条幅4分の1!$D$11:$D$310,399-COUNTA(半紙!$B$11:$B$310)-COUNTA(条幅!$B$11:$B$310)),"")))=0,"",IF(399&lt;=COUNTA(半紙!$B$11:$B$310),INDEX(半紙!$D$11:$D$310,399),IF(399&lt;=COUNTA(半紙!$B$11:$B$310)+COUNTA(条幅!$B$11:$B$310),INDEX(条幅!$D$11:$D$310,399-COUNTA(半紙!$B$11:$B$310)),IF(399&lt;=COUNTA(半紙!$B$11:$B$310)+COUNTA(条幅!$B$11:$B$310)+COUNTA(条幅4分の1!$B$11:$B$310),INDEX(条幅4分の1!$D$11:$D$310,399-COUNTA(半紙!$B$11:$B$310)-COUNTA(条幅!$B$11:$B$310)),""))))</f>
        <v/>
      </c>
      <c r="E404" s="38" t="str">
        <f>IF(IF(399&lt;=COUNTA(半紙!$B$11:$B$310),INDEX(半紙!$E$11:$E$310,399),IF(399&lt;=COUNTA(半紙!$B$11:$B$310)+COUNTA(条幅!$B$11:$B$310),INDEX(条幅!$E$11:$E$310,399-COUNTA(半紙!$B$11:$B$310)),IF(399&lt;=COUNTA(半紙!$B$11:$B$310)+COUNTA(条幅!$B$11:$B$310)+COUNTA(条幅4分の1!$B$11:$B$310),INDEX(条幅4分の1!$E$11:$E$310,399-COUNTA(半紙!$B$11:$B$310)-COUNTA(条幅!$B$11:$B$310)),"")))=0,"",IF(399&lt;=COUNTA(半紙!$B$11:$B$310),INDEX(半紙!$E$11:$E$310,399),IF(399&lt;=COUNTA(半紙!$B$11:$B$310)+COUNTA(条幅!$B$11:$B$310),INDEX(条幅!$E$11:$E$310,399-COUNTA(半紙!$B$11:$B$310)),IF(399&lt;=COUNTA(半紙!$B$11:$B$310)+COUNTA(条幅!$B$11:$B$310)+COUNTA(条幅4分の1!$B$11:$B$310),INDEX(条幅4分の1!$E$11:$E$310,399-COUNTA(半紙!$B$11:$B$310)-COUNTA(条幅!$B$11:$B$310)),""))))</f>
        <v/>
      </c>
      <c r="F404" s="38" t="str">
        <f>IF(IF(399&lt;=COUNTA(半紙!$B$11:$B$310),INDEX(半紙!$F$11:$F$310,399),IF(399&lt;=COUNTA(半紙!$B$11:$B$310)+COUNTA(条幅!$B$11:$B$310),INDEX(条幅!$F$11:$F$310,399-COUNTA(半紙!$B$11:$B$310)),IF(399&lt;=COUNTA(半紙!$B$11:$B$310)+COUNTA(条幅!$B$11:$B$310)+COUNTA(条幅4分の1!$B$11:$B$310),INDEX(条幅4分の1!$F$11:$F$310,399-COUNTA(半紙!$B$11:$B$310)-COUNTA(条幅!$B$11:$B$310)),"")))=0,"",IF(399&lt;=COUNTA(半紙!$B$11:$B$310),INDEX(半紙!$F$11:$F$310,399),IF(399&lt;=COUNTA(半紙!$B$11:$B$310)+COUNTA(条幅!$B$11:$B$310),INDEX(条幅!$F$11:$F$310,399-COUNTA(半紙!$B$11:$B$310)),IF(399&lt;=COUNTA(半紙!$B$11:$B$310)+COUNTA(条幅!$B$11:$B$310)+COUNTA(条幅4分の1!$B$11:$B$310),INDEX(条幅4分の1!$F$11:$F$310,399-COUNTA(半紙!$B$11:$B$310)-COUNTA(条幅!$B$11:$B$310)),""))))</f>
        <v/>
      </c>
      <c r="G404" s="38" t="str">
        <f>IF(IF(399&lt;=COUNTA(半紙!$B$11:$B$310),INDEX(半紙!$G$11:$G$310,399),IF(399&lt;=COUNTA(半紙!$B$11:$B$310)+COUNTA(条幅!$B$11:$B$310),INDEX(条幅!$G$11:$G$310,399-COUNTA(半紙!$B$11:$B$310)),IF(399&lt;=COUNTA(半紙!$B$11:$B$310)+COUNTA(条幅!$B$11:$B$310)+COUNTA(条幅4分の1!$B$11:$B$310),INDEX(条幅4分の1!$G$11:$G$310,399-COUNTA(半紙!$B$11:$B$310)-COUNTA(条幅!$B$11:$B$310)),"")))=0,"",IF(399&lt;=COUNTA(半紙!$B$11:$B$310),INDEX(半紙!$G$11:$G$310,399),IF(399&lt;=COUNTA(半紙!$B$11:$B$310)+COUNTA(条幅!$B$11:$B$310),INDEX(条幅!$G$11:$G$310,399-COUNTA(半紙!$B$11:$B$310)),IF(399&lt;=COUNTA(半紙!$B$11:$B$310)+COUNTA(条幅!$B$11:$B$310)+COUNTA(条幅4分の1!$B$11:$B$310),INDEX(条幅4分の1!$G$11:$G$310,399-COUNTA(半紙!$B$11:$B$310)-COUNTA(条幅!$B$11:$B$310)),""))))</f>
        <v/>
      </c>
      <c r="H404" s="38" t="str">
        <f>IF(IF(399&lt;=COUNTA(半紙!$B$11:$B$310),INDEX(半紙!$H$11:$H$310,399),IF(399&lt;=COUNTA(半紙!$B$11:$B$310)+COUNTA(条幅!$B$11:$B$310),INDEX(条幅!$H$11:$H$310,399-COUNTA(半紙!$B$11:$B$310)),IF(399&lt;=COUNTA(半紙!$B$11:$B$310)+COUNTA(条幅!$B$11:$B$310)+COUNTA(条幅4分の1!$B$11:$B$310),INDEX(条幅4分の1!$H$11:$H$310,399-COUNTA(半紙!$B$11:$B$310)-COUNTA(条幅!$B$11:$B$310)),"")))=0,"",IF(399&lt;=COUNTA(半紙!$B$11:$B$310),INDEX(半紙!$H$11:$H$310,399),IF(399&lt;=COUNTA(半紙!$B$11:$B$310)+COUNTA(条幅!$B$11:$B$310),INDEX(条幅!$H$11:$H$310,399-COUNTA(半紙!$B$11:$B$310)),IF(399&lt;=COUNTA(半紙!$B$11:$B$310)+COUNTA(条幅!$B$11:$B$310)+COUNTA(条幅4分の1!$B$11:$B$310),INDEX(条幅4分の1!$H$11:$H$310,399-COUNTA(半紙!$B$11:$B$310)-COUNTA(条幅!$B$11:$B$310)),""))))</f>
        <v/>
      </c>
      <c r="I404" s="38" t="str">
        <f>IF(IF(399&lt;=COUNTA(半紙!$B$11:$B$310),INDEX(半紙!$I$11:$I$310,399),IF(399&lt;=COUNTA(半紙!$B$11:$B$310)+COUNTA(条幅!$B$11:$B$310),INDEX(条幅!$I$11:$I$310,399-COUNTA(半紙!$B$11:$B$310)),IF(399&lt;=COUNTA(半紙!$B$11:$B$310)+COUNTA(条幅!$B$11:$B$310)+COUNTA(条幅4分の1!$B$11:$B$310),INDEX(条幅4分の1!$I$11:$I$310,399-COUNTA(半紙!$B$11:$B$310)-COUNTA(条幅!$B$11:$B$310)),"")))=0,"",IF(399&lt;=COUNTA(半紙!$B$11:$B$310),INDEX(半紙!$I$11:$I$310,399),IF(399&lt;=COUNTA(半紙!$B$11:$B$310)+COUNTA(条幅!$B$11:$B$310),INDEX(条幅!$I$11:$I$310,399-COUNTA(半紙!$B$11:$B$310)),IF(399&lt;=COUNTA(半紙!$B$11:$B$310)+COUNTA(条幅!$B$11:$B$310)+COUNTA(条幅4分の1!$B$11:$B$310),INDEX(条幅4分の1!$I$11:$I$310,399-COUNTA(半紙!$B$11:$B$310)-COUNTA(条幅!$B$11:$B$310)),""))))</f>
        <v/>
      </c>
      <c r="J404" s="38" t="str">
        <f>IF(IF(399&lt;=COUNTA(半紙!$B$11:$B$310),INDEX(半紙!$J$11:$J$310,399),IF(399&lt;=COUNTA(半紙!$B$11:$B$310)+COUNTA(条幅!$B$11:$B$310),INDEX(条幅!$J$11:$J$310,399-COUNTA(半紙!$B$11:$B$310)),IF(399&lt;=COUNTA(半紙!$B$11:$B$310)+COUNTA(条幅!$B$11:$B$310)+COUNTA(条幅4分の1!$B$11:$B$310),INDEX(条幅4分の1!$J$11:$J$310,399-COUNTA(半紙!$B$11:$B$310)-COUNTA(条幅!$B$11:$B$310)),"")))=0,"",IF(399&lt;=COUNTA(半紙!$B$11:$B$310),INDEX(半紙!$J$11:$J$310,399),IF(399&lt;=COUNTA(半紙!$B$11:$B$310)+COUNTA(条幅!$B$11:$B$310),INDEX(条幅!$J$11:$J$310,399-COUNTA(半紙!$B$11:$B$310)),IF(399&lt;=COUNTA(半紙!$B$11:$B$310)+COUNTA(条幅!$B$11:$B$310)+COUNTA(条幅4分の1!$B$11:$B$310),INDEX(条幅4分の1!$J$11:$J$310,399-COUNTA(半紙!$B$11:$B$310)-COUNTA(条幅!$B$11:$B$310)),""))))</f>
        <v/>
      </c>
      <c r="K404" s="38" t="str">
        <f>IF(IF(399&lt;=COUNTA(半紙!$B$11:$B$310),INDEX(半紙!$K$11:$K$310,399),IF(399&lt;=COUNTA(半紙!$B$11:$B$310)+COUNTA(条幅!$B$11:$B$310),INDEX(条幅!$K$11:$K$310,399-COUNTA(半紙!$B$11:$B$310)),IF(399&lt;=COUNTA(半紙!$B$11:$B$310)+COUNTA(条幅!$B$11:$B$310)+COUNTA(条幅4分の1!$B$11:$B$310),INDEX(条幅4分の1!$K$11:$K$310,399-COUNTA(半紙!$B$11:$B$310)-COUNTA(条幅!$B$11:$B$310)),"")))=0,"",IF(399&lt;=COUNTA(半紙!$B$11:$B$310),INDEX(半紙!$K$11:$K$310,399),IF(399&lt;=COUNTA(半紙!$B$11:$B$310)+COUNTA(条幅!$B$11:$B$310),INDEX(条幅!$K$11:$K$310,399-COUNTA(半紙!$B$11:$B$310)),IF(399&lt;=COUNTA(半紙!$B$11:$B$310)+COUNTA(条幅!$B$11:$B$310)+COUNTA(条幅4分の1!$B$11:$B$310),INDEX(条幅4分の1!$K$11:$K$310,399-COUNTA(半紙!$B$11:$B$310)-COUNTA(条幅!$B$11:$B$310)),""))))</f>
        <v/>
      </c>
      <c r="L404" s="48" t="str">
        <f>IF($B404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399))</f>
        <v/>
      </c>
    </row>
    <row r="405" spans="1:12" ht="15" customHeight="1">
      <c r="A405" s="37" t="str">
        <f>IF(400&lt;=COUNTA(半紙!$B$11:$B$310),"半紙",IF(400&lt;=COUNTA(半紙!$B$11:$B$310)+COUNTA(条幅!$B$11:$B$310),"条幅(半切)",IF(400&lt;=COUNTA(半紙!$B$11:$B$310)+COUNTA(条幅!$B$11:$B$310)+COUNTA(条幅4分の1!$B$11:$B$310),"条幅(1/4)","")))</f>
        <v/>
      </c>
      <c r="B405" s="38" t="str">
        <f>IF(IF(400&lt;=COUNTA(半紙!$B$11:$B$310),INDEX(半紙!$B$11:$B$310,400),IF(400&lt;=COUNTA(半紙!$B$11:$B$310)+COUNTA(条幅!$B$11:$B$310),INDEX(条幅!$B$11:$B$310,400-COUNTA(半紙!$B$11:$B$310)),IF(400&lt;=COUNTA(半紙!$B$11:$B$310)+COUNTA(条幅!$B$11:$B$310)+COUNTA(条幅4分の1!$B$11:$B$310),INDEX(条幅4分の1!$B$11:$B$310,400-COUNTA(半紙!$B$11:$B$310)-COUNTA(条幅!$B$11:$B$310)),"")))=0,"",IF(400&lt;=COUNTA(半紙!$B$11:$B$310),INDEX(半紙!$B$11:$B$310,400),IF(400&lt;=COUNTA(半紙!$B$11:$B$310)+COUNTA(条幅!$B$11:$B$310),INDEX(条幅!$B$11:$B$310,400-COUNTA(半紙!$B$11:$B$310)),IF(400&lt;=COUNTA(半紙!$B$11:$B$310)+COUNTA(条幅!$B$11:$B$310)+COUNTA(条幅4分の1!$B$11:$B$310),INDEX(条幅4分の1!$B$11:$B$310,400-COUNTA(半紙!$B$11:$B$310)-COUNTA(条幅!$B$11:$B$310)),""))))</f>
        <v/>
      </c>
      <c r="C405" s="38" t="str">
        <f>IF(IF(400&lt;=COUNTA(半紙!$B$11:$B$310),INDEX(半紙!$C$11:$C$310,400),IF(400&lt;=COUNTA(半紙!$B$11:$B$310)+COUNTA(条幅!$B$11:$B$310),INDEX(条幅!$C$11:$C$310,400-COUNTA(半紙!$B$11:$B$310)),IF(400&lt;=COUNTA(半紙!$B$11:$B$310)+COUNTA(条幅!$B$11:$B$310)+COUNTA(条幅4分の1!$B$11:$B$310),INDEX(条幅4分の1!$C$11:$C$310,400-COUNTA(半紙!$B$11:$B$310)-COUNTA(条幅!$B$11:$B$310)),"")))=0,"",IF(400&lt;=COUNTA(半紙!$B$11:$B$310),INDEX(半紙!$C$11:$C$310,400),IF(400&lt;=COUNTA(半紙!$B$11:$B$310)+COUNTA(条幅!$B$11:$B$310),INDEX(条幅!$C$11:$C$310,400-COUNTA(半紙!$B$11:$B$310)),IF(400&lt;=COUNTA(半紙!$B$11:$B$310)+COUNTA(条幅!$B$11:$B$310)+COUNTA(条幅4分の1!$B$11:$B$310),INDEX(条幅4分の1!$C$11:$C$310,400-COUNTA(半紙!$B$11:$B$310)-COUNTA(条幅!$B$11:$B$310)),""))))</f>
        <v/>
      </c>
      <c r="D405" s="38" t="str">
        <f>IF(IF(400&lt;=COUNTA(半紙!$B$11:$B$310),INDEX(半紙!$D$11:$D$310,400),IF(400&lt;=COUNTA(半紙!$B$11:$B$310)+COUNTA(条幅!$B$11:$B$310),INDEX(条幅!$D$11:$D$310,400-COUNTA(半紙!$B$11:$B$310)),IF(400&lt;=COUNTA(半紙!$B$11:$B$310)+COUNTA(条幅!$B$11:$B$310)+COUNTA(条幅4分の1!$B$11:$B$310),INDEX(条幅4分の1!$D$11:$D$310,400-COUNTA(半紙!$B$11:$B$310)-COUNTA(条幅!$B$11:$B$310)),"")))=0,"",IF(400&lt;=COUNTA(半紙!$B$11:$B$310),INDEX(半紙!$D$11:$D$310,400),IF(400&lt;=COUNTA(半紙!$B$11:$B$310)+COUNTA(条幅!$B$11:$B$310),INDEX(条幅!$D$11:$D$310,400-COUNTA(半紙!$B$11:$B$310)),IF(400&lt;=COUNTA(半紙!$B$11:$B$310)+COUNTA(条幅!$B$11:$B$310)+COUNTA(条幅4分の1!$B$11:$B$310),INDEX(条幅4分の1!$D$11:$D$310,400-COUNTA(半紙!$B$11:$B$310)-COUNTA(条幅!$B$11:$B$310)),""))))</f>
        <v/>
      </c>
      <c r="E405" s="38" t="str">
        <f>IF(IF(400&lt;=COUNTA(半紙!$B$11:$B$310),INDEX(半紙!$E$11:$E$310,400),IF(400&lt;=COUNTA(半紙!$B$11:$B$310)+COUNTA(条幅!$B$11:$B$310),INDEX(条幅!$E$11:$E$310,400-COUNTA(半紙!$B$11:$B$310)),IF(400&lt;=COUNTA(半紙!$B$11:$B$310)+COUNTA(条幅!$B$11:$B$310)+COUNTA(条幅4分の1!$B$11:$B$310),INDEX(条幅4分の1!$E$11:$E$310,400-COUNTA(半紙!$B$11:$B$310)-COUNTA(条幅!$B$11:$B$310)),"")))=0,"",IF(400&lt;=COUNTA(半紙!$B$11:$B$310),INDEX(半紙!$E$11:$E$310,400),IF(400&lt;=COUNTA(半紙!$B$11:$B$310)+COUNTA(条幅!$B$11:$B$310),INDEX(条幅!$E$11:$E$310,400-COUNTA(半紙!$B$11:$B$310)),IF(400&lt;=COUNTA(半紙!$B$11:$B$310)+COUNTA(条幅!$B$11:$B$310)+COUNTA(条幅4分の1!$B$11:$B$310),INDEX(条幅4分の1!$E$11:$E$310,400-COUNTA(半紙!$B$11:$B$310)-COUNTA(条幅!$B$11:$B$310)),""))))</f>
        <v/>
      </c>
      <c r="F405" s="38" t="str">
        <f>IF(IF(400&lt;=COUNTA(半紙!$B$11:$B$310),INDEX(半紙!$F$11:$F$310,400),IF(400&lt;=COUNTA(半紙!$B$11:$B$310)+COUNTA(条幅!$B$11:$B$310),INDEX(条幅!$F$11:$F$310,400-COUNTA(半紙!$B$11:$B$310)),IF(400&lt;=COUNTA(半紙!$B$11:$B$310)+COUNTA(条幅!$B$11:$B$310)+COUNTA(条幅4分の1!$B$11:$B$310),INDEX(条幅4分の1!$F$11:$F$310,400-COUNTA(半紙!$B$11:$B$310)-COUNTA(条幅!$B$11:$B$310)),"")))=0,"",IF(400&lt;=COUNTA(半紙!$B$11:$B$310),INDEX(半紙!$F$11:$F$310,400),IF(400&lt;=COUNTA(半紙!$B$11:$B$310)+COUNTA(条幅!$B$11:$B$310),INDEX(条幅!$F$11:$F$310,400-COUNTA(半紙!$B$11:$B$310)),IF(400&lt;=COUNTA(半紙!$B$11:$B$310)+COUNTA(条幅!$B$11:$B$310)+COUNTA(条幅4分の1!$B$11:$B$310),INDEX(条幅4分の1!$F$11:$F$310,400-COUNTA(半紙!$B$11:$B$310)-COUNTA(条幅!$B$11:$B$310)),""))))</f>
        <v/>
      </c>
      <c r="G405" s="38" t="str">
        <f>IF(IF(400&lt;=COUNTA(半紙!$B$11:$B$310),INDEX(半紙!$G$11:$G$310,400),IF(400&lt;=COUNTA(半紙!$B$11:$B$310)+COUNTA(条幅!$B$11:$B$310),INDEX(条幅!$G$11:$G$310,400-COUNTA(半紙!$B$11:$B$310)),IF(400&lt;=COUNTA(半紙!$B$11:$B$310)+COUNTA(条幅!$B$11:$B$310)+COUNTA(条幅4分の1!$B$11:$B$310),INDEX(条幅4分の1!$G$11:$G$310,400-COUNTA(半紙!$B$11:$B$310)-COUNTA(条幅!$B$11:$B$310)),"")))=0,"",IF(400&lt;=COUNTA(半紙!$B$11:$B$310),INDEX(半紙!$G$11:$G$310,400),IF(400&lt;=COUNTA(半紙!$B$11:$B$310)+COUNTA(条幅!$B$11:$B$310),INDEX(条幅!$G$11:$G$310,400-COUNTA(半紙!$B$11:$B$310)),IF(400&lt;=COUNTA(半紙!$B$11:$B$310)+COUNTA(条幅!$B$11:$B$310)+COUNTA(条幅4分の1!$B$11:$B$310),INDEX(条幅4分の1!$G$11:$G$310,400-COUNTA(半紙!$B$11:$B$310)-COUNTA(条幅!$B$11:$B$310)),""))))</f>
        <v/>
      </c>
      <c r="H405" s="38" t="str">
        <f>IF(IF(400&lt;=COUNTA(半紙!$B$11:$B$310),INDEX(半紙!$H$11:$H$310,400),IF(400&lt;=COUNTA(半紙!$B$11:$B$310)+COUNTA(条幅!$B$11:$B$310),INDEX(条幅!$H$11:$H$310,400-COUNTA(半紙!$B$11:$B$310)),IF(400&lt;=COUNTA(半紙!$B$11:$B$310)+COUNTA(条幅!$B$11:$B$310)+COUNTA(条幅4分の1!$B$11:$B$310),INDEX(条幅4分の1!$H$11:$H$310,400-COUNTA(半紙!$B$11:$B$310)-COUNTA(条幅!$B$11:$B$310)),"")))=0,"",IF(400&lt;=COUNTA(半紙!$B$11:$B$310),INDEX(半紙!$H$11:$H$310,400),IF(400&lt;=COUNTA(半紙!$B$11:$B$310)+COUNTA(条幅!$B$11:$B$310),INDEX(条幅!$H$11:$H$310,400-COUNTA(半紙!$B$11:$B$310)),IF(400&lt;=COUNTA(半紙!$B$11:$B$310)+COUNTA(条幅!$B$11:$B$310)+COUNTA(条幅4分の1!$B$11:$B$310),INDEX(条幅4分の1!$H$11:$H$310,400-COUNTA(半紙!$B$11:$B$310)-COUNTA(条幅!$B$11:$B$310)),""))))</f>
        <v/>
      </c>
      <c r="I405" s="38" t="str">
        <f>IF(IF(400&lt;=COUNTA(半紙!$B$11:$B$310),INDEX(半紙!$I$11:$I$310,400),IF(400&lt;=COUNTA(半紙!$B$11:$B$310)+COUNTA(条幅!$B$11:$B$310),INDEX(条幅!$I$11:$I$310,400-COUNTA(半紙!$B$11:$B$310)),IF(400&lt;=COUNTA(半紙!$B$11:$B$310)+COUNTA(条幅!$B$11:$B$310)+COUNTA(条幅4分の1!$B$11:$B$310),INDEX(条幅4分の1!$I$11:$I$310,400-COUNTA(半紙!$B$11:$B$310)-COUNTA(条幅!$B$11:$B$310)),"")))=0,"",IF(400&lt;=COUNTA(半紙!$B$11:$B$310),INDEX(半紙!$I$11:$I$310,400),IF(400&lt;=COUNTA(半紙!$B$11:$B$310)+COUNTA(条幅!$B$11:$B$310),INDEX(条幅!$I$11:$I$310,400-COUNTA(半紙!$B$11:$B$310)),IF(400&lt;=COUNTA(半紙!$B$11:$B$310)+COUNTA(条幅!$B$11:$B$310)+COUNTA(条幅4分の1!$B$11:$B$310),INDEX(条幅4分の1!$I$11:$I$310,400-COUNTA(半紙!$B$11:$B$310)-COUNTA(条幅!$B$11:$B$310)),""))))</f>
        <v/>
      </c>
      <c r="J405" s="38" t="str">
        <f>IF(IF(400&lt;=COUNTA(半紙!$B$11:$B$310),INDEX(半紙!$J$11:$J$310,400),IF(400&lt;=COUNTA(半紙!$B$11:$B$310)+COUNTA(条幅!$B$11:$B$310),INDEX(条幅!$J$11:$J$310,400-COUNTA(半紙!$B$11:$B$310)),IF(400&lt;=COUNTA(半紙!$B$11:$B$310)+COUNTA(条幅!$B$11:$B$310)+COUNTA(条幅4分の1!$B$11:$B$310),INDEX(条幅4分の1!$J$11:$J$310,400-COUNTA(半紙!$B$11:$B$310)-COUNTA(条幅!$B$11:$B$310)),"")))=0,"",IF(400&lt;=COUNTA(半紙!$B$11:$B$310),INDEX(半紙!$J$11:$J$310,400),IF(400&lt;=COUNTA(半紙!$B$11:$B$310)+COUNTA(条幅!$B$11:$B$310),INDEX(条幅!$J$11:$J$310,400-COUNTA(半紙!$B$11:$B$310)),IF(400&lt;=COUNTA(半紙!$B$11:$B$310)+COUNTA(条幅!$B$11:$B$310)+COUNTA(条幅4分の1!$B$11:$B$310),INDEX(条幅4分の1!$J$11:$J$310,400-COUNTA(半紙!$B$11:$B$310)-COUNTA(条幅!$B$11:$B$310)),""))))</f>
        <v/>
      </c>
      <c r="K405" s="38" t="str">
        <f>IF(IF(400&lt;=COUNTA(半紙!$B$11:$B$310),INDEX(半紙!$K$11:$K$310,400),IF(400&lt;=COUNTA(半紙!$B$11:$B$310)+COUNTA(条幅!$B$11:$B$310),INDEX(条幅!$K$11:$K$310,400-COUNTA(半紙!$B$11:$B$310)),IF(400&lt;=COUNTA(半紙!$B$11:$B$310)+COUNTA(条幅!$B$11:$B$310)+COUNTA(条幅4分の1!$B$11:$B$310),INDEX(条幅4分の1!$K$11:$K$310,400-COUNTA(半紙!$B$11:$B$310)-COUNTA(条幅!$B$11:$B$310)),"")))=0,"",IF(400&lt;=COUNTA(半紙!$B$11:$B$310),INDEX(半紙!$K$11:$K$310,400),IF(400&lt;=COUNTA(半紙!$B$11:$B$310)+COUNTA(条幅!$B$11:$B$310),INDEX(条幅!$K$11:$K$310,400-COUNTA(半紙!$B$11:$B$310)),IF(400&lt;=COUNTA(半紙!$B$11:$B$310)+COUNTA(条幅!$B$11:$B$310)+COUNTA(条幅4分の1!$B$11:$B$310),INDEX(条幅4分の1!$K$11:$K$310,400-COUNTA(半紙!$B$11:$B$310)-COUNTA(条幅!$B$11:$B$310)),""))))</f>
        <v/>
      </c>
      <c r="L405" s="48" t="str">
        <f>IF($B405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400))</f>
        <v/>
      </c>
    </row>
    <row r="406" spans="1:12" ht="15" customHeight="1">
      <c r="A406" s="37" t="str">
        <f>IF(401&lt;=COUNTA(半紙!$B$11:$B$310),"半紙",IF(401&lt;=COUNTA(半紙!$B$11:$B$310)+COUNTA(条幅!$B$11:$B$310),"条幅(半切)",IF(401&lt;=COUNTA(半紙!$B$11:$B$310)+COUNTA(条幅!$B$11:$B$310)+COUNTA(条幅4分の1!$B$11:$B$310),"条幅(1/4)","")))</f>
        <v/>
      </c>
      <c r="B406" s="38" t="str">
        <f>IF(IF(401&lt;=COUNTA(半紙!$B$11:$B$310),INDEX(半紙!$B$11:$B$310,401),IF(401&lt;=COUNTA(半紙!$B$11:$B$310)+COUNTA(条幅!$B$11:$B$310),INDEX(条幅!$B$11:$B$310,401-COUNTA(半紙!$B$11:$B$310)),IF(401&lt;=COUNTA(半紙!$B$11:$B$310)+COUNTA(条幅!$B$11:$B$310)+COUNTA(条幅4分の1!$B$11:$B$310),INDEX(条幅4分の1!$B$11:$B$310,401-COUNTA(半紙!$B$11:$B$310)-COUNTA(条幅!$B$11:$B$310)),"")))=0,"",IF(401&lt;=COUNTA(半紙!$B$11:$B$310),INDEX(半紙!$B$11:$B$310,401),IF(401&lt;=COUNTA(半紙!$B$11:$B$310)+COUNTA(条幅!$B$11:$B$310),INDEX(条幅!$B$11:$B$310,401-COUNTA(半紙!$B$11:$B$310)),IF(401&lt;=COUNTA(半紙!$B$11:$B$310)+COUNTA(条幅!$B$11:$B$310)+COUNTA(条幅4分の1!$B$11:$B$310),INDEX(条幅4分の1!$B$11:$B$310,401-COUNTA(半紙!$B$11:$B$310)-COUNTA(条幅!$B$11:$B$310)),""))))</f>
        <v/>
      </c>
      <c r="C406" s="38" t="str">
        <f>IF(IF(401&lt;=COUNTA(半紙!$B$11:$B$310),INDEX(半紙!$C$11:$C$310,401),IF(401&lt;=COUNTA(半紙!$B$11:$B$310)+COUNTA(条幅!$B$11:$B$310),INDEX(条幅!$C$11:$C$310,401-COUNTA(半紙!$B$11:$B$310)),IF(401&lt;=COUNTA(半紙!$B$11:$B$310)+COUNTA(条幅!$B$11:$B$310)+COUNTA(条幅4分の1!$B$11:$B$310),INDEX(条幅4分の1!$C$11:$C$310,401-COUNTA(半紙!$B$11:$B$310)-COUNTA(条幅!$B$11:$B$310)),"")))=0,"",IF(401&lt;=COUNTA(半紙!$B$11:$B$310),INDEX(半紙!$C$11:$C$310,401),IF(401&lt;=COUNTA(半紙!$B$11:$B$310)+COUNTA(条幅!$B$11:$B$310),INDEX(条幅!$C$11:$C$310,401-COUNTA(半紙!$B$11:$B$310)),IF(401&lt;=COUNTA(半紙!$B$11:$B$310)+COUNTA(条幅!$B$11:$B$310)+COUNTA(条幅4分の1!$B$11:$B$310),INDEX(条幅4分の1!$C$11:$C$310,401-COUNTA(半紙!$B$11:$B$310)-COUNTA(条幅!$B$11:$B$310)),""))))</f>
        <v/>
      </c>
      <c r="D406" s="38" t="str">
        <f>IF(IF(401&lt;=COUNTA(半紙!$B$11:$B$310),INDEX(半紙!$D$11:$D$310,401),IF(401&lt;=COUNTA(半紙!$B$11:$B$310)+COUNTA(条幅!$B$11:$B$310),INDEX(条幅!$D$11:$D$310,401-COUNTA(半紙!$B$11:$B$310)),IF(401&lt;=COUNTA(半紙!$B$11:$B$310)+COUNTA(条幅!$B$11:$B$310)+COUNTA(条幅4分の1!$B$11:$B$310),INDEX(条幅4分の1!$D$11:$D$310,401-COUNTA(半紙!$B$11:$B$310)-COUNTA(条幅!$B$11:$B$310)),"")))=0,"",IF(401&lt;=COUNTA(半紙!$B$11:$B$310),INDEX(半紙!$D$11:$D$310,401),IF(401&lt;=COUNTA(半紙!$B$11:$B$310)+COUNTA(条幅!$B$11:$B$310),INDEX(条幅!$D$11:$D$310,401-COUNTA(半紙!$B$11:$B$310)),IF(401&lt;=COUNTA(半紙!$B$11:$B$310)+COUNTA(条幅!$B$11:$B$310)+COUNTA(条幅4分の1!$B$11:$B$310),INDEX(条幅4分の1!$D$11:$D$310,401-COUNTA(半紙!$B$11:$B$310)-COUNTA(条幅!$B$11:$B$310)),""))))</f>
        <v/>
      </c>
      <c r="E406" s="38" t="str">
        <f>IF(IF(401&lt;=COUNTA(半紙!$B$11:$B$310),INDEX(半紙!$E$11:$E$310,401),IF(401&lt;=COUNTA(半紙!$B$11:$B$310)+COUNTA(条幅!$B$11:$B$310),INDEX(条幅!$E$11:$E$310,401-COUNTA(半紙!$B$11:$B$310)),IF(401&lt;=COUNTA(半紙!$B$11:$B$310)+COUNTA(条幅!$B$11:$B$310)+COUNTA(条幅4分の1!$B$11:$B$310),INDEX(条幅4分の1!$E$11:$E$310,401-COUNTA(半紙!$B$11:$B$310)-COUNTA(条幅!$B$11:$B$310)),"")))=0,"",IF(401&lt;=COUNTA(半紙!$B$11:$B$310),INDEX(半紙!$E$11:$E$310,401),IF(401&lt;=COUNTA(半紙!$B$11:$B$310)+COUNTA(条幅!$B$11:$B$310),INDEX(条幅!$E$11:$E$310,401-COUNTA(半紙!$B$11:$B$310)),IF(401&lt;=COUNTA(半紙!$B$11:$B$310)+COUNTA(条幅!$B$11:$B$310)+COUNTA(条幅4分の1!$B$11:$B$310),INDEX(条幅4分の1!$E$11:$E$310,401-COUNTA(半紙!$B$11:$B$310)-COUNTA(条幅!$B$11:$B$310)),""))))</f>
        <v/>
      </c>
      <c r="F406" s="38" t="str">
        <f>IF(IF(401&lt;=COUNTA(半紙!$B$11:$B$310),INDEX(半紙!$F$11:$F$310,401),IF(401&lt;=COUNTA(半紙!$B$11:$B$310)+COUNTA(条幅!$B$11:$B$310),INDEX(条幅!$F$11:$F$310,401-COUNTA(半紙!$B$11:$B$310)),IF(401&lt;=COUNTA(半紙!$B$11:$B$310)+COUNTA(条幅!$B$11:$B$310)+COUNTA(条幅4分の1!$B$11:$B$310),INDEX(条幅4分の1!$F$11:$F$310,401-COUNTA(半紙!$B$11:$B$310)-COUNTA(条幅!$B$11:$B$310)),"")))=0,"",IF(401&lt;=COUNTA(半紙!$B$11:$B$310),INDEX(半紙!$F$11:$F$310,401),IF(401&lt;=COUNTA(半紙!$B$11:$B$310)+COUNTA(条幅!$B$11:$B$310),INDEX(条幅!$F$11:$F$310,401-COUNTA(半紙!$B$11:$B$310)),IF(401&lt;=COUNTA(半紙!$B$11:$B$310)+COUNTA(条幅!$B$11:$B$310)+COUNTA(条幅4分の1!$B$11:$B$310),INDEX(条幅4分の1!$F$11:$F$310,401-COUNTA(半紙!$B$11:$B$310)-COUNTA(条幅!$B$11:$B$310)),""))))</f>
        <v/>
      </c>
      <c r="G406" s="38" t="str">
        <f>IF(IF(401&lt;=COUNTA(半紙!$B$11:$B$310),INDEX(半紙!$G$11:$G$310,401),IF(401&lt;=COUNTA(半紙!$B$11:$B$310)+COUNTA(条幅!$B$11:$B$310),INDEX(条幅!$G$11:$G$310,401-COUNTA(半紙!$B$11:$B$310)),IF(401&lt;=COUNTA(半紙!$B$11:$B$310)+COUNTA(条幅!$B$11:$B$310)+COUNTA(条幅4分の1!$B$11:$B$310),INDEX(条幅4分の1!$G$11:$G$310,401-COUNTA(半紙!$B$11:$B$310)-COUNTA(条幅!$B$11:$B$310)),"")))=0,"",IF(401&lt;=COUNTA(半紙!$B$11:$B$310),INDEX(半紙!$G$11:$G$310,401),IF(401&lt;=COUNTA(半紙!$B$11:$B$310)+COUNTA(条幅!$B$11:$B$310),INDEX(条幅!$G$11:$G$310,401-COUNTA(半紙!$B$11:$B$310)),IF(401&lt;=COUNTA(半紙!$B$11:$B$310)+COUNTA(条幅!$B$11:$B$310)+COUNTA(条幅4分の1!$B$11:$B$310),INDEX(条幅4分の1!$G$11:$G$310,401-COUNTA(半紙!$B$11:$B$310)-COUNTA(条幅!$B$11:$B$310)),""))))</f>
        <v/>
      </c>
      <c r="H406" s="38" t="str">
        <f>IF(IF(401&lt;=COUNTA(半紙!$B$11:$B$310),INDEX(半紙!$H$11:$H$310,401),IF(401&lt;=COUNTA(半紙!$B$11:$B$310)+COUNTA(条幅!$B$11:$B$310),INDEX(条幅!$H$11:$H$310,401-COUNTA(半紙!$B$11:$B$310)),IF(401&lt;=COUNTA(半紙!$B$11:$B$310)+COUNTA(条幅!$B$11:$B$310)+COUNTA(条幅4分の1!$B$11:$B$310),INDEX(条幅4分の1!$H$11:$H$310,401-COUNTA(半紙!$B$11:$B$310)-COUNTA(条幅!$B$11:$B$310)),"")))=0,"",IF(401&lt;=COUNTA(半紙!$B$11:$B$310),INDEX(半紙!$H$11:$H$310,401),IF(401&lt;=COUNTA(半紙!$B$11:$B$310)+COUNTA(条幅!$B$11:$B$310),INDEX(条幅!$H$11:$H$310,401-COUNTA(半紙!$B$11:$B$310)),IF(401&lt;=COUNTA(半紙!$B$11:$B$310)+COUNTA(条幅!$B$11:$B$310)+COUNTA(条幅4分の1!$B$11:$B$310),INDEX(条幅4分の1!$H$11:$H$310,401-COUNTA(半紙!$B$11:$B$310)-COUNTA(条幅!$B$11:$B$310)),""))))</f>
        <v/>
      </c>
      <c r="I406" s="38" t="str">
        <f>IF(IF(401&lt;=COUNTA(半紙!$B$11:$B$310),INDEX(半紙!$I$11:$I$310,401),IF(401&lt;=COUNTA(半紙!$B$11:$B$310)+COUNTA(条幅!$B$11:$B$310),INDEX(条幅!$I$11:$I$310,401-COUNTA(半紙!$B$11:$B$310)),IF(401&lt;=COUNTA(半紙!$B$11:$B$310)+COUNTA(条幅!$B$11:$B$310)+COUNTA(条幅4分の1!$B$11:$B$310),INDEX(条幅4分の1!$I$11:$I$310,401-COUNTA(半紙!$B$11:$B$310)-COUNTA(条幅!$B$11:$B$310)),"")))=0,"",IF(401&lt;=COUNTA(半紙!$B$11:$B$310),INDEX(半紙!$I$11:$I$310,401),IF(401&lt;=COUNTA(半紙!$B$11:$B$310)+COUNTA(条幅!$B$11:$B$310),INDEX(条幅!$I$11:$I$310,401-COUNTA(半紙!$B$11:$B$310)),IF(401&lt;=COUNTA(半紙!$B$11:$B$310)+COUNTA(条幅!$B$11:$B$310)+COUNTA(条幅4分の1!$B$11:$B$310),INDEX(条幅4分の1!$I$11:$I$310,401-COUNTA(半紙!$B$11:$B$310)-COUNTA(条幅!$B$11:$B$310)),""))))</f>
        <v/>
      </c>
      <c r="J406" s="38" t="str">
        <f>IF(IF(401&lt;=COUNTA(半紙!$B$11:$B$310),INDEX(半紙!$J$11:$J$310,401),IF(401&lt;=COUNTA(半紙!$B$11:$B$310)+COUNTA(条幅!$B$11:$B$310),INDEX(条幅!$J$11:$J$310,401-COUNTA(半紙!$B$11:$B$310)),IF(401&lt;=COUNTA(半紙!$B$11:$B$310)+COUNTA(条幅!$B$11:$B$310)+COUNTA(条幅4分の1!$B$11:$B$310),INDEX(条幅4分の1!$J$11:$J$310,401-COUNTA(半紙!$B$11:$B$310)-COUNTA(条幅!$B$11:$B$310)),"")))=0,"",IF(401&lt;=COUNTA(半紙!$B$11:$B$310),INDEX(半紙!$J$11:$J$310,401),IF(401&lt;=COUNTA(半紙!$B$11:$B$310)+COUNTA(条幅!$B$11:$B$310),INDEX(条幅!$J$11:$J$310,401-COUNTA(半紙!$B$11:$B$310)),IF(401&lt;=COUNTA(半紙!$B$11:$B$310)+COUNTA(条幅!$B$11:$B$310)+COUNTA(条幅4分の1!$B$11:$B$310),INDEX(条幅4分の1!$J$11:$J$310,401-COUNTA(半紙!$B$11:$B$310)-COUNTA(条幅!$B$11:$B$310)),""))))</f>
        <v/>
      </c>
      <c r="K406" s="38" t="str">
        <f>IF(IF(401&lt;=COUNTA(半紙!$B$11:$B$310),INDEX(半紙!$K$11:$K$310,401),IF(401&lt;=COUNTA(半紙!$B$11:$B$310)+COUNTA(条幅!$B$11:$B$310),INDEX(条幅!$K$11:$K$310,401-COUNTA(半紙!$B$11:$B$310)),IF(401&lt;=COUNTA(半紙!$B$11:$B$310)+COUNTA(条幅!$B$11:$B$310)+COUNTA(条幅4分の1!$B$11:$B$310),INDEX(条幅4分の1!$K$11:$K$310,401-COUNTA(半紙!$B$11:$B$310)-COUNTA(条幅!$B$11:$B$310)),"")))=0,"",IF(401&lt;=COUNTA(半紙!$B$11:$B$310),INDEX(半紙!$K$11:$K$310,401),IF(401&lt;=COUNTA(半紙!$B$11:$B$310)+COUNTA(条幅!$B$11:$B$310),INDEX(条幅!$K$11:$K$310,401-COUNTA(半紙!$B$11:$B$310)),IF(401&lt;=COUNTA(半紙!$B$11:$B$310)+COUNTA(条幅!$B$11:$B$310)+COUNTA(条幅4分の1!$B$11:$B$310),INDEX(条幅4分の1!$K$11:$K$310,401-COUNTA(半紙!$B$11:$B$310)-COUNTA(条幅!$B$11:$B$310)),""))))</f>
        <v/>
      </c>
      <c r="L406" s="48" t="str">
        <f>IF($B406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401))</f>
        <v/>
      </c>
    </row>
    <row r="407" spans="1:12" ht="15" customHeight="1">
      <c r="A407" s="37" t="str">
        <f>IF(402&lt;=COUNTA(半紙!$B$11:$B$310),"半紙",IF(402&lt;=COUNTA(半紙!$B$11:$B$310)+COUNTA(条幅!$B$11:$B$310),"条幅(半切)",IF(402&lt;=COUNTA(半紙!$B$11:$B$310)+COUNTA(条幅!$B$11:$B$310)+COUNTA(条幅4分の1!$B$11:$B$310),"条幅(1/4)","")))</f>
        <v/>
      </c>
      <c r="B407" s="38" t="str">
        <f>IF(IF(402&lt;=COUNTA(半紙!$B$11:$B$310),INDEX(半紙!$B$11:$B$310,402),IF(402&lt;=COUNTA(半紙!$B$11:$B$310)+COUNTA(条幅!$B$11:$B$310),INDEX(条幅!$B$11:$B$310,402-COUNTA(半紙!$B$11:$B$310)),IF(402&lt;=COUNTA(半紙!$B$11:$B$310)+COUNTA(条幅!$B$11:$B$310)+COUNTA(条幅4分の1!$B$11:$B$310),INDEX(条幅4分の1!$B$11:$B$310,402-COUNTA(半紙!$B$11:$B$310)-COUNTA(条幅!$B$11:$B$310)),"")))=0,"",IF(402&lt;=COUNTA(半紙!$B$11:$B$310),INDEX(半紙!$B$11:$B$310,402),IF(402&lt;=COUNTA(半紙!$B$11:$B$310)+COUNTA(条幅!$B$11:$B$310),INDEX(条幅!$B$11:$B$310,402-COUNTA(半紙!$B$11:$B$310)),IF(402&lt;=COUNTA(半紙!$B$11:$B$310)+COUNTA(条幅!$B$11:$B$310)+COUNTA(条幅4分の1!$B$11:$B$310),INDEX(条幅4分の1!$B$11:$B$310,402-COUNTA(半紙!$B$11:$B$310)-COUNTA(条幅!$B$11:$B$310)),""))))</f>
        <v/>
      </c>
      <c r="C407" s="38" t="str">
        <f>IF(IF(402&lt;=COUNTA(半紙!$B$11:$B$310),INDEX(半紙!$C$11:$C$310,402),IF(402&lt;=COUNTA(半紙!$B$11:$B$310)+COUNTA(条幅!$B$11:$B$310),INDEX(条幅!$C$11:$C$310,402-COUNTA(半紙!$B$11:$B$310)),IF(402&lt;=COUNTA(半紙!$B$11:$B$310)+COUNTA(条幅!$B$11:$B$310)+COUNTA(条幅4分の1!$B$11:$B$310),INDEX(条幅4分の1!$C$11:$C$310,402-COUNTA(半紙!$B$11:$B$310)-COUNTA(条幅!$B$11:$B$310)),"")))=0,"",IF(402&lt;=COUNTA(半紙!$B$11:$B$310),INDEX(半紙!$C$11:$C$310,402),IF(402&lt;=COUNTA(半紙!$B$11:$B$310)+COUNTA(条幅!$B$11:$B$310),INDEX(条幅!$C$11:$C$310,402-COUNTA(半紙!$B$11:$B$310)),IF(402&lt;=COUNTA(半紙!$B$11:$B$310)+COUNTA(条幅!$B$11:$B$310)+COUNTA(条幅4分の1!$B$11:$B$310),INDEX(条幅4分の1!$C$11:$C$310,402-COUNTA(半紙!$B$11:$B$310)-COUNTA(条幅!$B$11:$B$310)),""))))</f>
        <v/>
      </c>
      <c r="D407" s="38" t="str">
        <f>IF(IF(402&lt;=COUNTA(半紙!$B$11:$B$310),INDEX(半紙!$D$11:$D$310,402),IF(402&lt;=COUNTA(半紙!$B$11:$B$310)+COUNTA(条幅!$B$11:$B$310),INDEX(条幅!$D$11:$D$310,402-COUNTA(半紙!$B$11:$B$310)),IF(402&lt;=COUNTA(半紙!$B$11:$B$310)+COUNTA(条幅!$B$11:$B$310)+COUNTA(条幅4分の1!$B$11:$B$310),INDEX(条幅4分の1!$D$11:$D$310,402-COUNTA(半紙!$B$11:$B$310)-COUNTA(条幅!$B$11:$B$310)),"")))=0,"",IF(402&lt;=COUNTA(半紙!$B$11:$B$310),INDEX(半紙!$D$11:$D$310,402),IF(402&lt;=COUNTA(半紙!$B$11:$B$310)+COUNTA(条幅!$B$11:$B$310),INDEX(条幅!$D$11:$D$310,402-COUNTA(半紙!$B$11:$B$310)),IF(402&lt;=COUNTA(半紙!$B$11:$B$310)+COUNTA(条幅!$B$11:$B$310)+COUNTA(条幅4分の1!$B$11:$B$310),INDEX(条幅4分の1!$D$11:$D$310,402-COUNTA(半紙!$B$11:$B$310)-COUNTA(条幅!$B$11:$B$310)),""))))</f>
        <v/>
      </c>
      <c r="E407" s="38" t="str">
        <f>IF(IF(402&lt;=COUNTA(半紙!$B$11:$B$310),INDEX(半紙!$E$11:$E$310,402),IF(402&lt;=COUNTA(半紙!$B$11:$B$310)+COUNTA(条幅!$B$11:$B$310),INDEX(条幅!$E$11:$E$310,402-COUNTA(半紙!$B$11:$B$310)),IF(402&lt;=COUNTA(半紙!$B$11:$B$310)+COUNTA(条幅!$B$11:$B$310)+COUNTA(条幅4分の1!$B$11:$B$310),INDEX(条幅4分の1!$E$11:$E$310,402-COUNTA(半紙!$B$11:$B$310)-COUNTA(条幅!$B$11:$B$310)),"")))=0,"",IF(402&lt;=COUNTA(半紙!$B$11:$B$310),INDEX(半紙!$E$11:$E$310,402),IF(402&lt;=COUNTA(半紙!$B$11:$B$310)+COUNTA(条幅!$B$11:$B$310),INDEX(条幅!$E$11:$E$310,402-COUNTA(半紙!$B$11:$B$310)),IF(402&lt;=COUNTA(半紙!$B$11:$B$310)+COUNTA(条幅!$B$11:$B$310)+COUNTA(条幅4分の1!$B$11:$B$310),INDEX(条幅4分の1!$E$11:$E$310,402-COUNTA(半紙!$B$11:$B$310)-COUNTA(条幅!$B$11:$B$310)),""))))</f>
        <v/>
      </c>
      <c r="F407" s="38" t="str">
        <f>IF(IF(402&lt;=COUNTA(半紙!$B$11:$B$310),INDEX(半紙!$F$11:$F$310,402),IF(402&lt;=COUNTA(半紙!$B$11:$B$310)+COUNTA(条幅!$B$11:$B$310),INDEX(条幅!$F$11:$F$310,402-COUNTA(半紙!$B$11:$B$310)),IF(402&lt;=COUNTA(半紙!$B$11:$B$310)+COUNTA(条幅!$B$11:$B$310)+COUNTA(条幅4分の1!$B$11:$B$310),INDEX(条幅4分の1!$F$11:$F$310,402-COUNTA(半紙!$B$11:$B$310)-COUNTA(条幅!$B$11:$B$310)),"")))=0,"",IF(402&lt;=COUNTA(半紙!$B$11:$B$310),INDEX(半紙!$F$11:$F$310,402),IF(402&lt;=COUNTA(半紙!$B$11:$B$310)+COUNTA(条幅!$B$11:$B$310),INDEX(条幅!$F$11:$F$310,402-COUNTA(半紙!$B$11:$B$310)),IF(402&lt;=COUNTA(半紙!$B$11:$B$310)+COUNTA(条幅!$B$11:$B$310)+COUNTA(条幅4分の1!$B$11:$B$310),INDEX(条幅4分の1!$F$11:$F$310,402-COUNTA(半紙!$B$11:$B$310)-COUNTA(条幅!$B$11:$B$310)),""))))</f>
        <v/>
      </c>
      <c r="G407" s="38" t="str">
        <f>IF(IF(402&lt;=COUNTA(半紙!$B$11:$B$310),INDEX(半紙!$G$11:$G$310,402),IF(402&lt;=COUNTA(半紙!$B$11:$B$310)+COUNTA(条幅!$B$11:$B$310),INDEX(条幅!$G$11:$G$310,402-COUNTA(半紙!$B$11:$B$310)),IF(402&lt;=COUNTA(半紙!$B$11:$B$310)+COUNTA(条幅!$B$11:$B$310)+COUNTA(条幅4分の1!$B$11:$B$310),INDEX(条幅4分の1!$G$11:$G$310,402-COUNTA(半紙!$B$11:$B$310)-COUNTA(条幅!$B$11:$B$310)),"")))=0,"",IF(402&lt;=COUNTA(半紙!$B$11:$B$310),INDEX(半紙!$G$11:$G$310,402),IF(402&lt;=COUNTA(半紙!$B$11:$B$310)+COUNTA(条幅!$B$11:$B$310),INDEX(条幅!$G$11:$G$310,402-COUNTA(半紙!$B$11:$B$310)),IF(402&lt;=COUNTA(半紙!$B$11:$B$310)+COUNTA(条幅!$B$11:$B$310)+COUNTA(条幅4分の1!$B$11:$B$310),INDEX(条幅4分の1!$G$11:$G$310,402-COUNTA(半紙!$B$11:$B$310)-COUNTA(条幅!$B$11:$B$310)),""))))</f>
        <v/>
      </c>
      <c r="H407" s="38" t="str">
        <f>IF(IF(402&lt;=COUNTA(半紙!$B$11:$B$310),INDEX(半紙!$H$11:$H$310,402),IF(402&lt;=COUNTA(半紙!$B$11:$B$310)+COUNTA(条幅!$B$11:$B$310),INDEX(条幅!$H$11:$H$310,402-COUNTA(半紙!$B$11:$B$310)),IF(402&lt;=COUNTA(半紙!$B$11:$B$310)+COUNTA(条幅!$B$11:$B$310)+COUNTA(条幅4分の1!$B$11:$B$310),INDEX(条幅4分の1!$H$11:$H$310,402-COUNTA(半紙!$B$11:$B$310)-COUNTA(条幅!$B$11:$B$310)),"")))=0,"",IF(402&lt;=COUNTA(半紙!$B$11:$B$310),INDEX(半紙!$H$11:$H$310,402),IF(402&lt;=COUNTA(半紙!$B$11:$B$310)+COUNTA(条幅!$B$11:$B$310),INDEX(条幅!$H$11:$H$310,402-COUNTA(半紙!$B$11:$B$310)),IF(402&lt;=COUNTA(半紙!$B$11:$B$310)+COUNTA(条幅!$B$11:$B$310)+COUNTA(条幅4分の1!$B$11:$B$310),INDEX(条幅4分の1!$H$11:$H$310,402-COUNTA(半紙!$B$11:$B$310)-COUNTA(条幅!$B$11:$B$310)),""))))</f>
        <v/>
      </c>
      <c r="I407" s="38" t="str">
        <f>IF(IF(402&lt;=COUNTA(半紙!$B$11:$B$310),INDEX(半紙!$I$11:$I$310,402),IF(402&lt;=COUNTA(半紙!$B$11:$B$310)+COUNTA(条幅!$B$11:$B$310),INDEX(条幅!$I$11:$I$310,402-COUNTA(半紙!$B$11:$B$310)),IF(402&lt;=COUNTA(半紙!$B$11:$B$310)+COUNTA(条幅!$B$11:$B$310)+COUNTA(条幅4分の1!$B$11:$B$310),INDEX(条幅4分の1!$I$11:$I$310,402-COUNTA(半紙!$B$11:$B$310)-COUNTA(条幅!$B$11:$B$310)),"")))=0,"",IF(402&lt;=COUNTA(半紙!$B$11:$B$310),INDEX(半紙!$I$11:$I$310,402),IF(402&lt;=COUNTA(半紙!$B$11:$B$310)+COUNTA(条幅!$B$11:$B$310),INDEX(条幅!$I$11:$I$310,402-COUNTA(半紙!$B$11:$B$310)),IF(402&lt;=COUNTA(半紙!$B$11:$B$310)+COUNTA(条幅!$B$11:$B$310)+COUNTA(条幅4分の1!$B$11:$B$310),INDEX(条幅4分の1!$I$11:$I$310,402-COUNTA(半紙!$B$11:$B$310)-COUNTA(条幅!$B$11:$B$310)),""))))</f>
        <v/>
      </c>
      <c r="J407" s="38" t="str">
        <f>IF(IF(402&lt;=COUNTA(半紙!$B$11:$B$310),INDEX(半紙!$J$11:$J$310,402),IF(402&lt;=COUNTA(半紙!$B$11:$B$310)+COUNTA(条幅!$B$11:$B$310),INDEX(条幅!$J$11:$J$310,402-COUNTA(半紙!$B$11:$B$310)),IF(402&lt;=COUNTA(半紙!$B$11:$B$310)+COUNTA(条幅!$B$11:$B$310)+COUNTA(条幅4分の1!$B$11:$B$310),INDEX(条幅4分の1!$J$11:$J$310,402-COUNTA(半紙!$B$11:$B$310)-COUNTA(条幅!$B$11:$B$310)),"")))=0,"",IF(402&lt;=COUNTA(半紙!$B$11:$B$310),INDEX(半紙!$J$11:$J$310,402),IF(402&lt;=COUNTA(半紙!$B$11:$B$310)+COUNTA(条幅!$B$11:$B$310),INDEX(条幅!$J$11:$J$310,402-COUNTA(半紙!$B$11:$B$310)),IF(402&lt;=COUNTA(半紙!$B$11:$B$310)+COUNTA(条幅!$B$11:$B$310)+COUNTA(条幅4分の1!$B$11:$B$310),INDEX(条幅4分の1!$J$11:$J$310,402-COUNTA(半紙!$B$11:$B$310)-COUNTA(条幅!$B$11:$B$310)),""))))</f>
        <v/>
      </c>
      <c r="K407" s="38" t="str">
        <f>IF(IF(402&lt;=COUNTA(半紙!$B$11:$B$310),INDEX(半紙!$K$11:$K$310,402),IF(402&lt;=COUNTA(半紙!$B$11:$B$310)+COUNTA(条幅!$B$11:$B$310),INDEX(条幅!$K$11:$K$310,402-COUNTA(半紙!$B$11:$B$310)),IF(402&lt;=COUNTA(半紙!$B$11:$B$310)+COUNTA(条幅!$B$11:$B$310)+COUNTA(条幅4分の1!$B$11:$B$310),INDEX(条幅4分の1!$K$11:$K$310,402-COUNTA(半紙!$B$11:$B$310)-COUNTA(条幅!$B$11:$B$310)),"")))=0,"",IF(402&lt;=COUNTA(半紙!$B$11:$B$310),INDEX(半紙!$K$11:$K$310,402),IF(402&lt;=COUNTA(半紙!$B$11:$B$310)+COUNTA(条幅!$B$11:$B$310),INDEX(条幅!$K$11:$K$310,402-COUNTA(半紙!$B$11:$B$310)),IF(402&lt;=COUNTA(半紙!$B$11:$B$310)+COUNTA(条幅!$B$11:$B$310)+COUNTA(条幅4分の1!$B$11:$B$310),INDEX(条幅4分の1!$K$11:$K$310,402-COUNTA(半紙!$B$11:$B$310)-COUNTA(条幅!$B$11:$B$310)),""))))</f>
        <v/>
      </c>
      <c r="L407" s="48" t="str">
        <f>IF($B407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402))</f>
        <v/>
      </c>
    </row>
    <row r="408" spans="1:12" ht="15" customHeight="1">
      <c r="A408" s="37" t="str">
        <f>IF(403&lt;=COUNTA(半紙!$B$11:$B$310),"半紙",IF(403&lt;=COUNTA(半紙!$B$11:$B$310)+COUNTA(条幅!$B$11:$B$310),"条幅(半切)",IF(403&lt;=COUNTA(半紙!$B$11:$B$310)+COUNTA(条幅!$B$11:$B$310)+COUNTA(条幅4分の1!$B$11:$B$310),"条幅(1/4)","")))</f>
        <v/>
      </c>
      <c r="B408" s="38" t="str">
        <f>IF(IF(403&lt;=COUNTA(半紙!$B$11:$B$310),INDEX(半紙!$B$11:$B$310,403),IF(403&lt;=COUNTA(半紙!$B$11:$B$310)+COUNTA(条幅!$B$11:$B$310),INDEX(条幅!$B$11:$B$310,403-COUNTA(半紙!$B$11:$B$310)),IF(403&lt;=COUNTA(半紙!$B$11:$B$310)+COUNTA(条幅!$B$11:$B$310)+COUNTA(条幅4分の1!$B$11:$B$310),INDEX(条幅4分の1!$B$11:$B$310,403-COUNTA(半紙!$B$11:$B$310)-COUNTA(条幅!$B$11:$B$310)),"")))=0,"",IF(403&lt;=COUNTA(半紙!$B$11:$B$310),INDEX(半紙!$B$11:$B$310,403),IF(403&lt;=COUNTA(半紙!$B$11:$B$310)+COUNTA(条幅!$B$11:$B$310),INDEX(条幅!$B$11:$B$310,403-COUNTA(半紙!$B$11:$B$310)),IF(403&lt;=COUNTA(半紙!$B$11:$B$310)+COUNTA(条幅!$B$11:$B$310)+COUNTA(条幅4分の1!$B$11:$B$310),INDEX(条幅4分の1!$B$11:$B$310,403-COUNTA(半紙!$B$11:$B$310)-COUNTA(条幅!$B$11:$B$310)),""))))</f>
        <v/>
      </c>
      <c r="C408" s="38" t="str">
        <f>IF(IF(403&lt;=COUNTA(半紙!$B$11:$B$310),INDEX(半紙!$C$11:$C$310,403),IF(403&lt;=COUNTA(半紙!$B$11:$B$310)+COUNTA(条幅!$B$11:$B$310),INDEX(条幅!$C$11:$C$310,403-COUNTA(半紙!$B$11:$B$310)),IF(403&lt;=COUNTA(半紙!$B$11:$B$310)+COUNTA(条幅!$B$11:$B$310)+COUNTA(条幅4分の1!$B$11:$B$310),INDEX(条幅4分の1!$C$11:$C$310,403-COUNTA(半紙!$B$11:$B$310)-COUNTA(条幅!$B$11:$B$310)),"")))=0,"",IF(403&lt;=COUNTA(半紙!$B$11:$B$310),INDEX(半紙!$C$11:$C$310,403),IF(403&lt;=COUNTA(半紙!$B$11:$B$310)+COUNTA(条幅!$B$11:$B$310),INDEX(条幅!$C$11:$C$310,403-COUNTA(半紙!$B$11:$B$310)),IF(403&lt;=COUNTA(半紙!$B$11:$B$310)+COUNTA(条幅!$B$11:$B$310)+COUNTA(条幅4分の1!$B$11:$B$310),INDEX(条幅4分の1!$C$11:$C$310,403-COUNTA(半紙!$B$11:$B$310)-COUNTA(条幅!$B$11:$B$310)),""))))</f>
        <v/>
      </c>
      <c r="D408" s="38" t="str">
        <f>IF(IF(403&lt;=COUNTA(半紙!$B$11:$B$310),INDEX(半紙!$D$11:$D$310,403),IF(403&lt;=COUNTA(半紙!$B$11:$B$310)+COUNTA(条幅!$B$11:$B$310),INDEX(条幅!$D$11:$D$310,403-COUNTA(半紙!$B$11:$B$310)),IF(403&lt;=COUNTA(半紙!$B$11:$B$310)+COUNTA(条幅!$B$11:$B$310)+COUNTA(条幅4分の1!$B$11:$B$310),INDEX(条幅4分の1!$D$11:$D$310,403-COUNTA(半紙!$B$11:$B$310)-COUNTA(条幅!$B$11:$B$310)),"")))=0,"",IF(403&lt;=COUNTA(半紙!$B$11:$B$310),INDEX(半紙!$D$11:$D$310,403),IF(403&lt;=COUNTA(半紙!$B$11:$B$310)+COUNTA(条幅!$B$11:$B$310),INDEX(条幅!$D$11:$D$310,403-COUNTA(半紙!$B$11:$B$310)),IF(403&lt;=COUNTA(半紙!$B$11:$B$310)+COUNTA(条幅!$B$11:$B$310)+COUNTA(条幅4分の1!$B$11:$B$310),INDEX(条幅4分の1!$D$11:$D$310,403-COUNTA(半紙!$B$11:$B$310)-COUNTA(条幅!$B$11:$B$310)),""))))</f>
        <v/>
      </c>
      <c r="E408" s="38" t="str">
        <f>IF(IF(403&lt;=COUNTA(半紙!$B$11:$B$310),INDEX(半紙!$E$11:$E$310,403),IF(403&lt;=COUNTA(半紙!$B$11:$B$310)+COUNTA(条幅!$B$11:$B$310),INDEX(条幅!$E$11:$E$310,403-COUNTA(半紙!$B$11:$B$310)),IF(403&lt;=COUNTA(半紙!$B$11:$B$310)+COUNTA(条幅!$B$11:$B$310)+COUNTA(条幅4分の1!$B$11:$B$310),INDEX(条幅4分の1!$E$11:$E$310,403-COUNTA(半紙!$B$11:$B$310)-COUNTA(条幅!$B$11:$B$310)),"")))=0,"",IF(403&lt;=COUNTA(半紙!$B$11:$B$310),INDEX(半紙!$E$11:$E$310,403),IF(403&lt;=COUNTA(半紙!$B$11:$B$310)+COUNTA(条幅!$B$11:$B$310),INDEX(条幅!$E$11:$E$310,403-COUNTA(半紙!$B$11:$B$310)),IF(403&lt;=COUNTA(半紙!$B$11:$B$310)+COUNTA(条幅!$B$11:$B$310)+COUNTA(条幅4分の1!$B$11:$B$310),INDEX(条幅4分の1!$E$11:$E$310,403-COUNTA(半紙!$B$11:$B$310)-COUNTA(条幅!$B$11:$B$310)),""))))</f>
        <v/>
      </c>
      <c r="F408" s="38" t="str">
        <f>IF(IF(403&lt;=COUNTA(半紙!$B$11:$B$310),INDEX(半紙!$F$11:$F$310,403),IF(403&lt;=COUNTA(半紙!$B$11:$B$310)+COUNTA(条幅!$B$11:$B$310),INDEX(条幅!$F$11:$F$310,403-COUNTA(半紙!$B$11:$B$310)),IF(403&lt;=COUNTA(半紙!$B$11:$B$310)+COUNTA(条幅!$B$11:$B$310)+COUNTA(条幅4分の1!$B$11:$B$310),INDEX(条幅4分の1!$F$11:$F$310,403-COUNTA(半紙!$B$11:$B$310)-COUNTA(条幅!$B$11:$B$310)),"")))=0,"",IF(403&lt;=COUNTA(半紙!$B$11:$B$310),INDEX(半紙!$F$11:$F$310,403),IF(403&lt;=COUNTA(半紙!$B$11:$B$310)+COUNTA(条幅!$B$11:$B$310),INDEX(条幅!$F$11:$F$310,403-COUNTA(半紙!$B$11:$B$310)),IF(403&lt;=COUNTA(半紙!$B$11:$B$310)+COUNTA(条幅!$B$11:$B$310)+COUNTA(条幅4分の1!$B$11:$B$310),INDEX(条幅4分の1!$F$11:$F$310,403-COUNTA(半紙!$B$11:$B$310)-COUNTA(条幅!$B$11:$B$310)),""))))</f>
        <v/>
      </c>
      <c r="G408" s="38" t="str">
        <f>IF(IF(403&lt;=COUNTA(半紙!$B$11:$B$310),INDEX(半紙!$G$11:$G$310,403),IF(403&lt;=COUNTA(半紙!$B$11:$B$310)+COUNTA(条幅!$B$11:$B$310),INDEX(条幅!$G$11:$G$310,403-COUNTA(半紙!$B$11:$B$310)),IF(403&lt;=COUNTA(半紙!$B$11:$B$310)+COUNTA(条幅!$B$11:$B$310)+COUNTA(条幅4分の1!$B$11:$B$310),INDEX(条幅4分の1!$G$11:$G$310,403-COUNTA(半紙!$B$11:$B$310)-COUNTA(条幅!$B$11:$B$310)),"")))=0,"",IF(403&lt;=COUNTA(半紙!$B$11:$B$310),INDEX(半紙!$G$11:$G$310,403),IF(403&lt;=COUNTA(半紙!$B$11:$B$310)+COUNTA(条幅!$B$11:$B$310),INDEX(条幅!$G$11:$G$310,403-COUNTA(半紙!$B$11:$B$310)),IF(403&lt;=COUNTA(半紙!$B$11:$B$310)+COUNTA(条幅!$B$11:$B$310)+COUNTA(条幅4分の1!$B$11:$B$310),INDEX(条幅4分の1!$G$11:$G$310,403-COUNTA(半紙!$B$11:$B$310)-COUNTA(条幅!$B$11:$B$310)),""))))</f>
        <v/>
      </c>
      <c r="H408" s="38" t="str">
        <f>IF(IF(403&lt;=COUNTA(半紙!$B$11:$B$310),INDEX(半紙!$H$11:$H$310,403),IF(403&lt;=COUNTA(半紙!$B$11:$B$310)+COUNTA(条幅!$B$11:$B$310),INDEX(条幅!$H$11:$H$310,403-COUNTA(半紙!$B$11:$B$310)),IF(403&lt;=COUNTA(半紙!$B$11:$B$310)+COUNTA(条幅!$B$11:$B$310)+COUNTA(条幅4分の1!$B$11:$B$310),INDEX(条幅4分の1!$H$11:$H$310,403-COUNTA(半紙!$B$11:$B$310)-COUNTA(条幅!$B$11:$B$310)),"")))=0,"",IF(403&lt;=COUNTA(半紙!$B$11:$B$310),INDEX(半紙!$H$11:$H$310,403),IF(403&lt;=COUNTA(半紙!$B$11:$B$310)+COUNTA(条幅!$B$11:$B$310),INDEX(条幅!$H$11:$H$310,403-COUNTA(半紙!$B$11:$B$310)),IF(403&lt;=COUNTA(半紙!$B$11:$B$310)+COUNTA(条幅!$B$11:$B$310)+COUNTA(条幅4分の1!$B$11:$B$310),INDEX(条幅4分の1!$H$11:$H$310,403-COUNTA(半紙!$B$11:$B$310)-COUNTA(条幅!$B$11:$B$310)),""))))</f>
        <v/>
      </c>
      <c r="I408" s="38" t="str">
        <f>IF(IF(403&lt;=COUNTA(半紙!$B$11:$B$310),INDEX(半紙!$I$11:$I$310,403),IF(403&lt;=COUNTA(半紙!$B$11:$B$310)+COUNTA(条幅!$B$11:$B$310),INDEX(条幅!$I$11:$I$310,403-COUNTA(半紙!$B$11:$B$310)),IF(403&lt;=COUNTA(半紙!$B$11:$B$310)+COUNTA(条幅!$B$11:$B$310)+COUNTA(条幅4分の1!$B$11:$B$310),INDEX(条幅4分の1!$I$11:$I$310,403-COUNTA(半紙!$B$11:$B$310)-COUNTA(条幅!$B$11:$B$310)),"")))=0,"",IF(403&lt;=COUNTA(半紙!$B$11:$B$310),INDEX(半紙!$I$11:$I$310,403),IF(403&lt;=COUNTA(半紙!$B$11:$B$310)+COUNTA(条幅!$B$11:$B$310),INDEX(条幅!$I$11:$I$310,403-COUNTA(半紙!$B$11:$B$310)),IF(403&lt;=COUNTA(半紙!$B$11:$B$310)+COUNTA(条幅!$B$11:$B$310)+COUNTA(条幅4分の1!$B$11:$B$310),INDEX(条幅4分の1!$I$11:$I$310,403-COUNTA(半紙!$B$11:$B$310)-COUNTA(条幅!$B$11:$B$310)),""))))</f>
        <v/>
      </c>
      <c r="J408" s="38" t="str">
        <f>IF(IF(403&lt;=COUNTA(半紙!$B$11:$B$310),INDEX(半紙!$J$11:$J$310,403),IF(403&lt;=COUNTA(半紙!$B$11:$B$310)+COUNTA(条幅!$B$11:$B$310),INDEX(条幅!$J$11:$J$310,403-COUNTA(半紙!$B$11:$B$310)),IF(403&lt;=COUNTA(半紙!$B$11:$B$310)+COUNTA(条幅!$B$11:$B$310)+COUNTA(条幅4分の1!$B$11:$B$310),INDEX(条幅4分の1!$J$11:$J$310,403-COUNTA(半紙!$B$11:$B$310)-COUNTA(条幅!$B$11:$B$310)),"")))=0,"",IF(403&lt;=COUNTA(半紙!$B$11:$B$310),INDEX(半紙!$J$11:$J$310,403),IF(403&lt;=COUNTA(半紙!$B$11:$B$310)+COUNTA(条幅!$B$11:$B$310),INDEX(条幅!$J$11:$J$310,403-COUNTA(半紙!$B$11:$B$310)),IF(403&lt;=COUNTA(半紙!$B$11:$B$310)+COUNTA(条幅!$B$11:$B$310)+COUNTA(条幅4分の1!$B$11:$B$310),INDEX(条幅4分の1!$J$11:$J$310,403-COUNTA(半紙!$B$11:$B$310)-COUNTA(条幅!$B$11:$B$310)),""))))</f>
        <v/>
      </c>
      <c r="K408" s="38" t="str">
        <f>IF(IF(403&lt;=COUNTA(半紙!$B$11:$B$310),INDEX(半紙!$K$11:$K$310,403),IF(403&lt;=COUNTA(半紙!$B$11:$B$310)+COUNTA(条幅!$B$11:$B$310),INDEX(条幅!$K$11:$K$310,403-COUNTA(半紙!$B$11:$B$310)),IF(403&lt;=COUNTA(半紙!$B$11:$B$310)+COUNTA(条幅!$B$11:$B$310)+COUNTA(条幅4分の1!$B$11:$B$310),INDEX(条幅4分の1!$K$11:$K$310,403-COUNTA(半紙!$B$11:$B$310)-COUNTA(条幅!$B$11:$B$310)),"")))=0,"",IF(403&lt;=COUNTA(半紙!$B$11:$B$310),INDEX(半紙!$K$11:$K$310,403),IF(403&lt;=COUNTA(半紙!$B$11:$B$310)+COUNTA(条幅!$B$11:$B$310),INDEX(条幅!$K$11:$K$310,403-COUNTA(半紙!$B$11:$B$310)),IF(403&lt;=COUNTA(半紙!$B$11:$B$310)+COUNTA(条幅!$B$11:$B$310)+COUNTA(条幅4分の1!$B$11:$B$310),INDEX(条幅4分の1!$K$11:$K$310,403-COUNTA(半紙!$B$11:$B$310)-COUNTA(条幅!$B$11:$B$310)),""))))</f>
        <v/>
      </c>
      <c r="L408" s="48" t="str">
        <f>IF($B408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403))</f>
        <v/>
      </c>
    </row>
    <row r="409" spans="1:12" ht="15" customHeight="1">
      <c r="A409" s="37" t="str">
        <f>IF(404&lt;=COUNTA(半紙!$B$11:$B$310),"半紙",IF(404&lt;=COUNTA(半紙!$B$11:$B$310)+COUNTA(条幅!$B$11:$B$310),"条幅(半切)",IF(404&lt;=COUNTA(半紙!$B$11:$B$310)+COUNTA(条幅!$B$11:$B$310)+COUNTA(条幅4分の1!$B$11:$B$310),"条幅(1/4)","")))</f>
        <v/>
      </c>
      <c r="B409" s="38" t="str">
        <f>IF(IF(404&lt;=COUNTA(半紙!$B$11:$B$310),INDEX(半紙!$B$11:$B$310,404),IF(404&lt;=COUNTA(半紙!$B$11:$B$310)+COUNTA(条幅!$B$11:$B$310),INDEX(条幅!$B$11:$B$310,404-COUNTA(半紙!$B$11:$B$310)),IF(404&lt;=COUNTA(半紙!$B$11:$B$310)+COUNTA(条幅!$B$11:$B$310)+COUNTA(条幅4分の1!$B$11:$B$310),INDEX(条幅4分の1!$B$11:$B$310,404-COUNTA(半紙!$B$11:$B$310)-COUNTA(条幅!$B$11:$B$310)),"")))=0,"",IF(404&lt;=COUNTA(半紙!$B$11:$B$310),INDEX(半紙!$B$11:$B$310,404),IF(404&lt;=COUNTA(半紙!$B$11:$B$310)+COUNTA(条幅!$B$11:$B$310),INDEX(条幅!$B$11:$B$310,404-COUNTA(半紙!$B$11:$B$310)),IF(404&lt;=COUNTA(半紙!$B$11:$B$310)+COUNTA(条幅!$B$11:$B$310)+COUNTA(条幅4分の1!$B$11:$B$310),INDEX(条幅4分の1!$B$11:$B$310,404-COUNTA(半紙!$B$11:$B$310)-COUNTA(条幅!$B$11:$B$310)),""))))</f>
        <v/>
      </c>
      <c r="C409" s="38" t="str">
        <f>IF(IF(404&lt;=COUNTA(半紙!$B$11:$B$310),INDEX(半紙!$C$11:$C$310,404),IF(404&lt;=COUNTA(半紙!$B$11:$B$310)+COUNTA(条幅!$B$11:$B$310),INDEX(条幅!$C$11:$C$310,404-COUNTA(半紙!$B$11:$B$310)),IF(404&lt;=COUNTA(半紙!$B$11:$B$310)+COUNTA(条幅!$B$11:$B$310)+COUNTA(条幅4分の1!$B$11:$B$310),INDEX(条幅4分の1!$C$11:$C$310,404-COUNTA(半紙!$B$11:$B$310)-COUNTA(条幅!$B$11:$B$310)),"")))=0,"",IF(404&lt;=COUNTA(半紙!$B$11:$B$310),INDEX(半紙!$C$11:$C$310,404),IF(404&lt;=COUNTA(半紙!$B$11:$B$310)+COUNTA(条幅!$B$11:$B$310),INDEX(条幅!$C$11:$C$310,404-COUNTA(半紙!$B$11:$B$310)),IF(404&lt;=COUNTA(半紙!$B$11:$B$310)+COUNTA(条幅!$B$11:$B$310)+COUNTA(条幅4分の1!$B$11:$B$310),INDEX(条幅4分の1!$C$11:$C$310,404-COUNTA(半紙!$B$11:$B$310)-COUNTA(条幅!$B$11:$B$310)),""))))</f>
        <v/>
      </c>
      <c r="D409" s="38" t="str">
        <f>IF(IF(404&lt;=COUNTA(半紙!$B$11:$B$310),INDEX(半紙!$D$11:$D$310,404),IF(404&lt;=COUNTA(半紙!$B$11:$B$310)+COUNTA(条幅!$B$11:$B$310),INDEX(条幅!$D$11:$D$310,404-COUNTA(半紙!$B$11:$B$310)),IF(404&lt;=COUNTA(半紙!$B$11:$B$310)+COUNTA(条幅!$B$11:$B$310)+COUNTA(条幅4分の1!$B$11:$B$310),INDEX(条幅4分の1!$D$11:$D$310,404-COUNTA(半紙!$B$11:$B$310)-COUNTA(条幅!$B$11:$B$310)),"")))=0,"",IF(404&lt;=COUNTA(半紙!$B$11:$B$310),INDEX(半紙!$D$11:$D$310,404),IF(404&lt;=COUNTA(半紙!$B$11:$B$310)+COUNTA(条幅!$B$11:$B$310),INDEX(条幅!$D$11:$D$310,404-COUNTA(半紙!$B$11:$B$310)),IF(404&lt;=COUNTA(半紙!$B$11:$B$310)+COUNTA(条幅!$B$11:$B$310)+COUNTA(条幅4分の1!$B$11:$B$310),INDEX(条幅4分の1!$D$11:$D$310,404-COUNTA(半紙!$B$11:$B$310)-COUNTA(条幅!$B$11:$B$310)),""))))</f>
        <v/>
      </c>
      <c r="E409" s="38" t="str">
        <f>IF(IF(404&lt;=COUNTA(半紙!$B$11:$B$310),INDEX(半紙!$E$11:$E$310,404),IF(404&lt;=COUNTA(半紙!$B$11:$B$310)+COUNTA(条幅!$B$11:$B$310),INDEX(条幅!$E$11:$E$310,404-COUNTA(半紙!$B$11:$B$310)),IF(404&lt;=COUNTA(半紙!$B$11:$B$310)+COUNTA(条幅!$B$11:$B$310)+COUNTA(条幅4分の1!$B$11:$B$310),INDEX(条幅4分の1!$E$11:$E$310,404-COUNTA(半紙!$B$11:$B$310)-COUNTA(条幅!$B$11:$B$310)),"")))=0,"",IF(404&lt;=COUNTA(半紙!$B$11:$B$310),INDEX(半紙!$E$11:$E$310,404),IF(404&lt;=COUNTA(半紙!$B$11:$B$310)+COUNTA(条幅!$B$11:$B$310),INDEX(条幅!$E$11:$E$310,404-COUNTA(半紙!$B$11:$B$310)),IF(404&lt;=COUNTA(半紙!$B$11:$B$310)+COUNTA(条幅!$B$11:$B$310)+COUNTA(条幅4分の1!$B$11:$B$310),INDEX(条幅4分の1!$E$11:$E$310,404-COUNTA(半紙!$B$11:$B$310)-COUNTA(条幅!$B$11:$B$310)),""))))</f>
        <v/>
      </c>
      <c r="F409" s="38" t="str">
        <f>IF(IF(404&lt;=COUNTA(半紙!$B$11:$B$310),INDEX(半紙!$F$11:$F$310,404),IF(404&lt;=COUNTA(半紙!$B$11:$B$310)+COUNTA(条幅!$B$11:$B$310),INDEX(条幅!$F$11:$F$310,404-COUNTA(半紙!$B$11:$B$310)),IF(404&lt;=COUNTA(半紙!$B$11:$B$310)+COUNTA(条幅!$B$11:$B$310)+COUNTA(条幅4分の1!$B$11:$B$310),INDEX(条幅4分の1!$F$11:$F$310,404-COUNTA(半紙!$B$11:$B$310)-COUNTA(条幅!$B$11:$B$310)),"")))=0,"",IF(404&lt;=COUNTA(半紙!$B$11:$B$310),INDEX(半紙!$F$11:$F$310,404),IF(404&lt;=COUNTA(半紙!$B$11:$B$310)+COUNTA(条幅!$B$11:$B$310),INDEX(条幅!$F$11:$F$310,404-COUNTA(半紙!$B$11:$B$310)),IF(404&lt;=COUNTA(半紙!$B$11:$B$310)+COUNTA(条幅!$B$11:$B$310)+COUNTA(条幅4分の1!$B$11:$B$310),INDEX(条幅4分の1!$F$11:$F$310,404-COUNTA(半紙!$B$11:$B$310)-COUNTA(条幅!$B$11:$B$310)),""))))</f>
        <v/>
      </c>
      <c r="G409" s="38" t="str">
        <f>IF(IF(404&lt;=COUNTA(半紙!$B$11:$B$310),INDEX(半紙!$G$11:$G$310,404),IF(404&lt;=COUNTA(半紙!$B$11:$B$310)+COUNTA(条幅!$B$11:$B$310),INDEX(条幅!$G$11:$G$310,404-COUNTA(半紙!$B$11:$B$310)),IF(404&lt;=COUNTA(半紙!$B$11:$B$310)+COUNTA(条幅!$B$11:$B$310)+COUNTA(条幅4分の1!$B$11:$B$310),INDEX(条幅4分の1!$G$11:$G$310,404-COUNTA(半紙!$B$11:$B$310)-COUNTA(条幅!$B$11:$B$310)),"")))=0,"",IF(404&lt;=COUNTA(半紙!$B$11:$B$310),INDEX(半紙!$G$11:$G$310,404),IF(404&lt;=COUNTA(半紙!$B$11:$B$310)+COUNTA(条幅!$B$11:$B$310),INDEX(条幅!$G$11:$G$310,404-COUNTA(半紙!$B$11:$B$310)),IF(404&lt;=COUNTA(半紙!$B$11:$B$310)+COUNTA(条幅!$B$11:$B$310)+COUNTA(条幅4分の1!$B$11:$B$310),INDEX(条幅4分の1!$G$11:$G$310,404-COUNTA(半紙!$B$11:$B$310)-COUNTA(条幅!$B$11:$B$310)),""))))</f>
        <v/>
      </c>
      <c r="H409" s="38" t="str">
        <f>IF(IF(404&lt;=COUNTA(半紙!$B$11:$B$310),INDEX(半紙!$H$11:$H$310,404),IF(404&lt;=COUNTA(半紙!$B$11:$B$310)+COUNTA(条幅!$B$11:$B$310),INDEX(条幅!$H$11:$H$310,404-COUNTA(半紙!$B$11:$B$310)),IF(404&lt;=COUNTA(半紙!$B$11:$B$310)+COUNTA(条幅!$B$11:$B$310)+COUNTA(条幅4分の1!$B$11:$B$310),INDEX(条幅4分の1!$H$11:$H$310,404-COUNTA(半紙!$B$11:$B$310)-COUNTA(条幅!$B$11:$B$310)),"")))=0,"",IF(404&lt;=COUNTA(半紙!$B$11:$B$310),INDEX(半紙!$H$11:$H$310,404),IF(404&lt;=COUNTA(半紙!$B$11:$B$310)+COUNTA(条幅!$B$11:$B$310),INDEX(条幅!$H$11:$H$310,404-COUNTA(半紙!$B$11:$B$310)),IF(404&lt;=COUNTA(半紙!$B$11:$B$310)+COUNTA(条幅!$B$11:$B$310)+COUNTA(条幅4分の1!$B$11:$B$310),INDEX(条幅4分の1!$H$11:$H$310,404-COUNTA(半紙!$B$11:$B$310)-COUNTA(条幅!$B$11:$B$310)),""))))</f>
        <v/>
      </c>
      <c r="I409" s="38" t="str">
        <f>IF(IF(404&lt;=COUNTA(半紙!$B$11:$B$310),INDEX(半紙!$I$11:$I$310,404),IF(404&lt;=COUNTA(半紙!$B$11:$B$310)+COUNTA(条幅!$B$11:$B$310),INDEX(条幅!$I$11:$I$310,404-COUNTA(半紙!$B$11:$B$310)),IF(404&lt;=COUNTA(半紙!$B$11:$B$310)+COUNTA(条幅!$B$11:$B$310)+COUNTA(条幅4分の1!$B$11:$B$310),INDEX(条幅4分の1!$I$11:$I$310,404-COUNTA(半紙!$B$11:$B$310)-COUNTA(条幅!$B$11:$B$310)),"")))=0,"",IF(404&lt;=COUNTA(半紙!$B$11:$B$310),INDEX(半紙!$I$11:$I$310,404),IF(404&lt;=COUNTA(半紙!$B$11:$B$310)+COUNTA(条幅!$B$11:$B$310),INDEX(条幅!$I$11:$I$310,404-COUNTA(半紙!$B$11:$B$310)),IF(404&lt;=COUNTA(半紙!$B$11:$B$310)+COUNTA(条幅!$B$11:$B$310)+COUNTA(条幅4分の1!$B$11:$B$310),INDEX(条幅4分の1!$I$11:$I$310,404-COUNTA(半紙!$B$11:$B$310)-COUNTA(条幅!$B$11:$B$310)),""))))</f>
        <v/>
      </c>
      <c r="J409" s="38" t="str">
        <f>IF(IF(404&lt;=COUNTA(半紙!$B$11:$B$310),INDEX(半紙!$J$11:$J$310,404),IF(404&lt;=COUNTA(半紙!$B$11:$B$310)+COUNTA(条幅!$B$11:$B$310),INDEX(条幅!$J$11:$J$310,404-COUNTA(半紙!$B$11:$B$310)),IF(404&lt;=COUNTA(半紙!$B$11:$B$310)+COUNTA(条幅!$B$11:$B$310)+COUNTA(条幅4分の1!$B$11:$B$310),INDEX(条幅4分の1!$J$11:$J$310,404-COUNTA(半紙!$B$11:$B$310)-COUNTA(条幅!$B$11:$B$310)),"")))=0,"",IF(404&lt;=COUNTA(半紙!$B$11:$B$310),INDEX(半紙!$J$11:$J$310,404),IF(404&lt;=COUNTA(半紙!$B$11:$B$310)+COUNTA(条幅!$B$11:$B$310),INDEX(条幅!$J$11:$J$310,404-COUNTA(半紙!$B$11:$B$310)),IF(404&lt;=COUNTA(半紙!$B$11:$B$310)+COUNTA(条幅!$B$11:$B$310)+COUNTA(条幅4分の1!$B$11:$B$310),INDEX(条幅4分の1!$J$11:$J$310,404-COUNTA(半紙!$B$11:$B$310)-COUNTA(条幅!$B$11:$B$310)),""))))</f>
        <v/>
      </c>
      <c r="K409" s="38" t="str">
        <f>IF(IF(404&lt;=COUNTA(半紙!$B$11:$B$310),INDEX(半紙!$K$11:$K$310,404),IF(404&lt;=COUNTA(半紙!$B$11:$B$310)+COUNTA(条幅!$B$11:$B$310),INDEX(条幅!$K$11:$K$310,404-COUNTA(半紙!$B$11:$B$310)),IF(404&lt;=COUNTA(半紙!$B$11:$B$310)+COUNTA(条幅!$B$11:$B$310)+COUNTA(条幅4分の1!$B$11:$B$310),INDEX(条幅4分の1!$K$11:$K$310,404-COUNTA(半紙!$B$11:$B$310)-COUNTA(条幅!$B$11:$B$310)),"")))=0,"",IF(404&lt;=COUNTA(半紙!$B$11:$B$310),INDEX(半紙!$K$11:$K$310,404),IF(404&lt;=COUNTA(半紙!$B$11:$B$310)+COUNTA(条幅!$B$11:$B$310),INDEX(条幅!$K$11:$K$310,404-COUNTA(半紙!$B$11:$B$310)),IF(404&lt;=COUNTA(半紙!$B$11:$B$310)+COUNTA(条幅!$B$11:$B$310)+COUNTA(条幅4分の1!$B$11:$B$310),INDEX(条幅4分の1!$K$11:$K$310,404-COUNTA(半紙!$B$11:$B$310)-COUNTA(条幅!$B$11:$B$310)),""))))</f>
        <v/>
      </c>
      <c r="L409" s="48" t="str">
        <f>IF($B409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404))</f>
        <v/>
      </c>
    </row>
    <row r="410" spans="1:12" ht="15" customHeight="1">
      <c r="A410" s="37" t="str">
        <f>IF(405&lt;=COUNTA(半紙!$B$11:$B$310),"半紙",IF(405&lt;=COUNTA(半紙!$B$11:$B$310)+COUNTA(条幅!$B$11:$B$310),"条幅(半切)",IF(405&lt;=COUNTA(半紙!$B$11:$B$310)+COUNTA(条幅!$B$11:$B$310)+COUNTA(条幅4分の1!$B$11:$B$310),"条幅(1/4)","")))</f>
        <v/>
      </c>
      <c r="B410" s="38" t="str">
        <f>IF(IF(405&lt;=COUNTA(半紙!$B$11:$B$310),INDEX(半紙!$B$11:$B$310,405),IF(405&lt;=COUNTA(半紙!$B$11:$B$310)+COUNTA(条幅!$B$11:$B$310),INDEX(条幅!$B$11:$B$310,405-COUNTA(半紙!$B$11:$B$310)),IF(405&lt;=COUNTA(半紙!$B$11:$B$310)+COUNTA(条幅!$B$11:$B$310)+COUNTA(条幅4分の1!$B$11:$B$310),INDEX(条幅4分の1!$B$11:$B$310,405-COUNTA(半紙!$B$11:$B$310)-COUNTA(条幅!$B$11:$B$310)),"")))=0,"",IF(405&lt;=COUNTA(半紙!$B$11:$B$310),INDEX(半紙!$B$11:$B$310,405),IF(405&lt;=COUNTA(半紙!$B$11:$B$310)+COUNTA(条幅!$B$11:$B$310),INDEX(条幅!$B$11:$B$310,405-COUNTA(半紙!$B$11:$B$310)),IF(405&lt;=COUNTA(半紙!$B$11:$B$310)+COUNTA(条幅!$B$11:$B$310)+COUNTA(条幅4分の1!$B$11:$B$310),INDEX(条幅4分の1!$B$11:$B$310,405-COUNTA(半紙!$B$11:$B$310)-COUNTA(条幅!$B$11:$B$310)),""))))</f>
        <v/>
      </c>
      <c r="C410" s="38" t="str">
        <f>IF(IF(405&lt;=COUNTA(半紙!$B$11:$B$310),INDEX(半紙!$C$11:$C$310,405),IF(405&lt;=COUNTA(半紙!$B$11:$B$310)+COUNTA(条幅!$B$11:$B$310),INDEX(条幅!$C$11:$C$310,405-COUNTA(半紙!$B$11:$B$310)),IF(405&lt;=COUNTA(半紙!$B$11:$B$310)+COUNTA(条幅!$B$11:$B$310)+COUNTA(条幅4分の1!$B$11:$B$310),INDEX(条幅4分の1!$C$11:$C$310,405-COUNTA(半紙!$B$11:$B$310)-COUNTA(条幅!$B$11:$B$310)),"")))=0,"",IF(405&lt;=COUNTA(半紙!$B$11:$B$310),INDEX(半紙!$C$11:$C$310,405),IF(405&lt;=COUNTA(半紙!$B$11:$B$310)+COUNTA(条幅!$B$11:$B$310),INDEX(条幅!$C$11:$C$310,405-COUNTA(半紙!$B$11:$B$310)),IF(405&lt;=COUNTA(半紙!$B$11:$B$310)+COUNTA(条幅!$B$11:$B$310)+COUNTA(条幅4分の1!$B$11:$B$310),INDEX(条幅4分の1!$C$11:$C$310,405-COUNTA(半紙!$B$11:$B$310)-COUNTA(条幅!$B$11:$B$310)),""))))</f>
        <v/>
      </c>
      <c r="D410" s="38" t="str">
        <f>IF(IF(405&lt;=COUNTA(半紙!$B$11:$B$310),INDEX(半紙!$D$11:$D$310,405),IF(405&lt;=COUNTA(半紙!$B$11:$B$310)+COUNTA(条幅!$B$11:$B$310),INDEX(条幅!$D$11:$D$310,405-COUNTA(半紙!$B$11:$B$310)),IF(405&lt;=COUNTA(半紙!$B$11:$B$310)+COUNTA(条幅!$B$11:$B$310)+COUNTA(条幅4分の1!$B$11:$B$310),INDEX(条幅4分の1!$D$11:$D$310,405-COUNTA(半紙!$B$11:$B$310)-COUNTA(条幅!$B$11:$B$310)),"")))=0,"",IF(405&lt;=COUNTA(半紙!$B$11:$B$310),INDEX(半紙!$D$11:$D$310,405),IF(405&lt;=COUNTA(半紙!$B$11:$B$310)+COUNTA(条幅!$B$11:$B$310),INDEX(条幅!$D$11:$D$310,405-COUNTA(半紙!$B$11:$B$310)),IF(405&lt;=COUNTA(半紙!$B$11:$B$310)+COUNTA(条幅!$B$11:$B$310)+COUNTA(条幅4分の1!$B$11:$B$310),INDEX(条幅4分の1!$D$11:$D$310,405-COUNTA(半紙!$B$11:$B$310)-COUNTA(条幅!$B$11:$B$310)),""))))</f>
        <v/>
      </c>
      <c r="E410" s="38" t="str">
        <f>IF(IF(405&lt;=COUNTA(半紙!$B$11:$B$310),INDEX(半紙!$E$11:$E$310,405),IF(405&lt;=COUNTA(半紙!$B$11:$B$310)+COUNTA(条幅!$B$11:$B$310),INDEX(条幅!$E$11:$E$310,405-COUNTA(半紙!$B$11:$B$310)),IF(405&lt;=COUNTA(半紙!$B$11:$B$310)+COUNTA(条幅!$B$11:$B$310)+COUNTA(条幅4分の1!$B$11:$B$310),INDEX(条幅4分の1!$E$11:$E$310,405-COUNTA(半紙!$B$11:$B$310)-COUNTA(条幅!$B$11:$B$310)),"")))=0,"",IF(405&lt;=COUNTA(半紙!$B$11:$B$310),INDEX(半紙!$E$11:$E$310,405),IF(405&lt;=COUNTA(半紙!$B$11:$B$310)+COUNTA(条幅!$B$11:$B$310),INDEX(条幅!$E$11:$E$310,405-COUNTA(半紙!$B$11:$B$310)),IF(405&lt;=COUNTA(半紙!$B$11:$B$310)+COUNTA(条幅!$B$11:$B$310)+COUNTA(条幅4分の1!$B$11:$B$310),INDEX(条幅4分の1!$E$11:$E$310,405-COUNTA(半紙!$B$11:$B$310)-COUNTA(条幅!$B$11:$B$310)),""))))</f>
        <v/>
      </c>
      <c r="F410" s="38" t="str">
        <f>IF(IF(405&lt;=COUNTA(半紙!$B$11:$B$310),INDEX(半紙!$F$11:$F$310,405),IF(405&lt;=COUNTA(半紙!$B$11:$B$310)+COUNTA(条幅!$B$11:$B$310),INDEX(条幅!$F$11:$F$310,405-COUNTA(半紙!$B$11:$B$310)),IF(405&lt;=COUNTA(半紙!$B$11:$B$310)+COUNTA(条幅!$B$11:$B$310)+COUNTA(条幅4分の1!$B$11:$B$310),INDEX(条幅4分の1!$F$11:$F$310,405-COUNTA(半紙!$B$11:$B$310)-COUNTA(条幅!$B$11:$B$310)),"")))=0,"",IF(405&lt;=COUNTA(半紙!$B$11:$B$310),INDEX(半紙!$F$11:$F$310,405),IF(405&lt;=COUNTA(半紙!$B$11:$B$310)+COUNTA(条幅!$B$11:$B$310),INDEX(条幅!$F$11:$F$310,405-COUNTA(半紙!$B$11:$B$310)),IF(405&lt;=COUNTA(半紙!$B$11:$B$310)+COUNTA(条幅!$B$11:$B$310)+COUNTA(条幅4分の1!$B$11:$B$310),INDEX(条幅4分の1!$F$11:$F$310,405-COUNTA(半紙!$B$11:$B$310)-COUNTA(条幅!$B$11:$B$310)),""))))</f>
        <v/>
      </c>
      <c r="G410" s="38" t="str">
        <f>IF(IF(405&lt;=COUNTA(半紙!$B$11:$B$310),INDEX(半紙!$G$11:$G$310,405),IF(405&lt;=COUNTA(半紙!$B$11:$B$310)+COUNTA(条幅!$B$11:$B$310),INDEX(条幅!$G$11:$G$310,405-COUNTA(半紙!$B$11:$B$310)),IF(405&lt;=COUNTA(半紙!$B$11:$B$310)+COUNTA(条幅!$B$11:$B$310)+COUNTA(条幅4分の1!$B$11:$B$310),INDEX(条幅4分の1!$G$11:$G$310,405-COUNTA(半紙!$B$11:$B$310)-COUNTA(条幅!$B$11:$B$310)),"")))=0,"",IF(405&lt;=COUNTA(半紙!$B$11:$B$310),INDEX(半紙!$G$11:$G$310,405),IF(405&lt;=COUNTA(半紙!$B$11:$B$310)+COUNTA(条幅!$B$11:$B$310),INDEX(条幅!$G$11:$G$310,405-COUNTA(半紙!$B$11:$B$310)),IF(405&lt;=COUNTA(半紙!$B$11:$B$310)+COUNTA(条幅!$B$11:$B$310)+COUNTA(条幅4分の1!$B$11:$B$310),INDEX(条幅4分の1!$G$11:$G$310,405-COUNTA(半紙!$B$11:$B$310)-COUNTA(条幅!$B$11:$B$310)),""))))</f>
        <v/>
      </c>
      <c r="H410" s="38" t="str">
        <f>IF(IF(405&lt;=COUNTA(半紙!$B$11:$B$310),INDEX(半紙!$H$11:$H$310,405),IF(405&lt;=COUNTA(半紙!$B$11:$B$310)+COUNTA(条幅!$B$11:$B$310),INDEX(条幅!$H$11:$H$310,405-COUNTA(半紙!$B$11:$B$310)),IF(405&lt;=COUNTA(半紙!$B$11:$B$310)+COUNTA(条幅!$B$11:$B$310)+COUNTA(条幅4分の1!$B$11:$B$310),INDEX(条幅4分の1!$H$11:$H$310,405-COUNTA(半紙!$B$11:$B$310)-COUNTA(条幅!$B$11:$B$310)),"")))=0,"",IF(405&lt;=COUNTA(半紙!$B$11:$B$310),INDEX(半紙!$H$11:$H$310,405),IF(405&lt;=COUNTA(半紙!$B$11:$B$310)+COUNTA(条幅!$B$11:$B$310),INDEX(条幅!$H$11:$H$310,405-COUNTA(半紙!$B$11:$B$310)),IF(405&lt;=COUNTA(半紙!$B$11:$B$310)+COUNTA(条幅!$B$11:$B$310)+COUNTA(条幅4分の1!$B$11:$B$310),INDEX(条幅4分の1!$H$11:$H$310,405-COUNTA(半紙!$B$11:$B$310)-COUNTA(条幅!$B$11:$B$310)),""))))</f>
        <v/>
      </c>
      <c r="I410" s="38" t="str">
        <f>IF(IF(405&lt;=COUNTA(半紙!$B$11:$B$310),INDEX(半紙!$I$11:$I$310,405),IF(405&lt;=COUNTA(半紙!$B$11:$B$310)+COUNTA(条幅!$B$11:$B$310),INDEX(条幅!$I$11:$I$310,405-COUNTA(半紙!$B$11:$B$310)),IF(405&lt;=COUNTA(半紙!$B$11:$B$310)+COUNTA(条幅!$B$11:$B$310)+COUNTA(条幅4分の1!$B$11:$B$310),INDEX(条幅4分の1!$I$11:$I$310,405-COUNTA(半紙!$B$11:$B$310)-COUNTA(条幅!$B$11:$B$310)),"")))=0,"",IF(405&lt;=COUNTA(半紙!$B$11:$B$310),INDEX(半紙!$I$11:$I$310,405),IF(405&lt;=COUNTA(半紙!$B$11:$B$310)+COUNTA(条幅!$B$11:$B$310),INDEX(条幅!$I$11:$I$310,405-COUNTA(半紙!$B$11:$B$310)),IF(405&lt;=COUNTA(半紙!$B$11:$B$310)+COUNTA(条幅!$B$11:$B$310)+COUNTA(条幅4分の1!$B$11:$B$310),INDEX(条幅4分の1!$I$11:$I$310,405-COUNTA(半紙!$B$11:$B$310)-COUNTA(条幅!$B$11:$B$310)),""))))</f>
        <v/>
      </c>
      <c r="J410" s="38" t="str">
        <f>IF(IF(405&lt;=COUNTA(半紙!$B$11:$B$310),INDEX(半紙!$J$11:$J$310,405),IF(405&lt;=COUNTA(半紙!$B$11:$B$310)+COUNTA(条幅!$B$11:$B$310),INDEX(条幅!$J$11:$J$310,405-COUNTA(半紙!$B$11:$B$310)),IF(405&lt;=COUNTA(半紙!$B$11:$B$310)+COUNTA(条幅!$B$11:$B$310)+COUNTA(条幅4分の1!$B$11:$B$310),INDEX(条幅4分の1!$J$11:$J$310,405-COUNTA(半紙!$B$11:$B$310)-COUNTA(条幅!$B$11:$B$310)),"")))=0,"",IF(405&lt;=COUNTA(半紙!$B$11:$B$310),INDEX(半紙!$J$11:$J$310,405),IF(405&lt;=COUNTA(半紙!$B$11:$B$310)+COUNTA(条幅!$B$11:$B$310),INDEX(条幅!$J$11:$J$310,405-COUNTA(半紙!$B$11:$B$310)),IF(405&lt;=COUNTA(半紙!$B$11:$B$310)+COUNTA(条幅!$B$11:$B$310)+COUNTA(条幅4分の1!$B$11:$B$310),INDEX(条幅4分の1!$J$11:$J$310,405-COUNTA(半紙!$B$11:$B$310)-COUNTA(条幅!$B$11:$B$310)),""))))</f>
        <v/>
      </c>
      <c r="K410" s="38" t="str">
        <f>IF(IF(405&lt;=COUNTA(半紙!$B$11:$B$310),INDEX(半紙!$K$11:$K$310,405),IF(405&lt;=COUNTA(半紙!$B$11:$B$310)+COUNTA(条幅!$B$11:$B$310),INDEX(条幅!$K$11:$K$310,405-COUNTA(半紙!$B$11:$B$310)),IF(405&lt;=COUNTA(半紙!$B$11:$B$310)+COUNTA(条幅!$B$11:$B$310)+COUNTA(条幅4分の1!$B$11:$B$310),INDEX(条幅4分の1!$K$11:$K$310,405-COUNTA(半紙!$B$11:$B$310)-COUNTA(条幅!$B$11:$B$310)),"")))=0,"",IF(405&lt;=COUNTA(半紙!$B$11:$B$310),INDEX(半紙!$K$11:$K$310,405),IF(405&lt;=COUNTA(半紙!$B$11:$B$310)+COUNTA(条幅!$B$11:$B$310),INDEX(条幅!$K$11:$K$310,405-COUNTA(半紙!$B$11:$B$310)),IF(405&lt;=COUNTA(半紙!$B$11:$B$310)+COUNTA(条幅!$B$11:$B$310)+COUNTA(条幅4分の1!$B$11:$B$310),INDEX(条幅4分の1!$K$11:$K$310,405-COUNTA(半紙!$B$11:$B$310)-COUNTA(条幅!$B$11:$B$310)),""))))</f>
        <v/>
      </c>
      <c r="L410" s="48" t="str">
        <f>IF($B410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405))</f>
        <v/>
      </c>
    </row>
    <row r="411" spans="1:12" ht="15" customHeight="1">
      <c r="A411" s="37" t="str">
        <f>IF(406&lt;=COUNTA(半紙!$B$11:$B$310),"半紙",IF(406&lt;=COUNTA(半紙!$B$11:$B$310)+COUNTA(条幅!$B$11:$B$310),"条幅(半切)",IF(406&lt;=COUNTA(半紙!$B$11:$B$310)+COUNTA(条幅!$B$11:$B$310)+COUNTA(条幅4分の1!$B$11:$B$310),"条幅(1/4)","")))</f>
        <v/>
      </c>
      <c r="B411" s="38" t="str">
        <f>IF(IF(406&lt;=COUNTA(半紙!$B$11:$B$310),INDEX(半紙!$B$11:$B$310,406),IF(406&lt;=COUNTA(半紙!$B$11:$B$310)+COUNTA(条幅!$B$11:$B$310),INDEX(条幅!$B$11:$B$310,406-COUNTA(半紙!$B$11:$B$310)),IF(406&lt;=COUNTA(半紙!$B$11:$B$310)+COUNTA(条幅!$B$11:$B$310)+COUNTA(条幅4分の1!$B$11:$B$310),INDEX(条幅4分の1!$B$11:$B$310,406-COUNTA(半紙!$B$11:$B$310)-COUNTA(条幅!$B$11:$B$310)),"")))=0,"",IF(406&lt;=COUNTA(半紙!$B$11:$B$310),INDEX(半紙!$B$11:$B$310,406),IF(406&lt;=COUNTA(半紙!$B$11:$B$310)+COUNTA(条幅!$B$11:$B$310),INDEX(条幅!$B$11:$B$310,406-COUNTA(半紙!$B$11:$B$310)),IF(406&lt;=COUNTA(半紙!$B$11:$B$310)+COUNTA(条幅!$B$11:$B$310)+COUNTA(条幅4分の1!$B$11:$B$310),INDEX(条幅4分の1!$B$11:$B$310,406-COUNTA(半紙!$B$11:$B$310)-COUNTA(条幅!$B$11:$B$310)),""))))</f>
        <v/>
      </c>
      <c r="C411" s="38" t="str">
        <f>IF(IF(406&lt;=COUNTA(半紙!$B$11:$B$310),INDEX(半紙!$C$11:$C$310,406),IF(406&lt;=COUNTA(半紙!$B$11:$B$310)+COUNTA(条幅!$B$11:$B$310),INDEX(条幅!$C$11:$C$310,406-COUNTA(半紙!$B$11:$B$310)),IF(406&lt;=COUNTA(半紙!$B$11:$B$310)+COUNTA(条幅!$B$11:$B$310)+COUNTA(条幅4分の1!$B$11:$B$310),INDEX(条幅4分の1!$C$11:$C$310,406-COUNTA(半紙!$B$11:$B$310)-COUNTA(条幅!$B$11:$B$310)),"")))=0,"",IF(406&lt;=COUNTA(半紙!$B$11:$B$310),INDEX(半紙!$C$11:$C$310,406),IF(406&lt;=COUNTA(半紙!$B$11:$B$310)+COUNTA(条幅!$B$11:$B$310),INDEX(条幅!$C$11:$C$310,406-COUNTA(半紙!$B$11:$B$310)),IF(406&lt;=COUNTA(半紙!$B$11:$B$310)+COUNTA(条幅!$B$11:$B$310)+COUNTA(条幅4分の1!$B$11:$B$310),INDEX(条幅4分の1!$C$11:$C$310,406-COUNTA(半紙!$B$11:$B$310)-COUNTA(条幅!$B$11:$B$310)),""))))</f>
        <v/>
      </c>
      <c r="D411" s="38" t="str">
        <f>IF(IF(406&lt;=COUNTA(半紙!$B$11:$B$310),INDEX(半紙!$D$11:$D$310,406),IF(406&lt;=COUNTA(半紙!$B$11:$B$310)+COUNTA(条幅!$B$11:$B$310),INDEX(条幅!$D$11:$D$310,406-COUNTA(半紙!$B$11:$B$310)),IF(406&lt;=COUNTA(半紙!$B$11:$B$310)+COUNTA(条幅!$B$11:$B$310)+COUNTA(条幅4分の1!$B$11:$B$310),INDEX(条幅4分の1!$D$11:$D$310,406-COUNTA(半紙!$B$11:$B$310)-COUNTA(条幅!$B$11:$B$310)),"")))=0,"",IF(406&lt;=COUNTA(半紙!$B$11:$B$310),INDEX(半紙!$D$11:$D$310,406),IF(406&lt;=COUNTA(半紙!$B$11:$B$310)+COUNTA(条幅!$B$11:$B$310),INDEX(条幅!$D$11:$D$310,406-COUNTA(半紙!$B$11:$B$310)),IF(406&lt;=COUNTA(半紙!$B$11:$B$310)+COUNTA(条幅!$B$11:$B$310)+COUNTA(条幅4分の1!$B$11:$B$310),INDEX(条幅4分の1!$D$11:$D$310,406-COUNTA(半紙!$B$11:$B$310)-COUNTA(条幅!$B$11:$B$310)),""))))</f>
        <v/>
      </c>
      <c r="E411" s="38" t="str">
        <f>IF(IF(406&lt;=COUNTA(半紙!$B$11:$B$310),INDEX(半紙!$E$11:$E$310,406),IF(406&lt;=COUNTA(半紙!$B$11:$B$310)+COUNTA(条幅!$B$11:$B$310),INDEX(条幅!$E$11:$E$310,406-COUNTA(半紙!$B$11:$B$310)),IF(406&lt;=COUNTA(半紙!$B$11:$B$310)+COUNTA(条幅!$B$11:$B$310)+COUNTA(条幅4分の1!$B$11:$B$310),INDEX(条幅4分の1!$E$11:$E$310,406-COUNTA(半紙!$B$11:$B$310)-COUNTA(条幅!$B$11:$B$310)),"")))=0,"",IF(406&lt;=COUNTA(半紙!$B$11:$B$310),INDEX(半紙!$E$11:$E$310,406),IF(406&lt;=COUNTA(半紙!$B$11:$B$310)+COUNTA(条幅!$B$11:$B$310),INDEX(条幅!$E$11:$E$310,406-COUNTA(半紙!$B$11:$B$310)),IF(406&lt;=COUNTA(半紙!$B$11:$B$310)+COUNTA(条幅!$B$11:$B$310)+COUNTA(条幅4分の1!$B$11:$B$310),INDEX(条幅4分の1!$E$11:$E$310,406-COUNTA(半紙!$B$11:$B$310)-COUNTA(条幅!$B$11:$B$310)),""))))</f>
        <v/>
      </c>
      <c r="F411" s="38" t="str">
        <f>IF(IF(406&lt;=COUNTA(半紙!$B$11:$B$310),INDEX(半紙!$F$11:$F$310,406),IF(406&lt;=COUNTA(半紙!$B$11:$B$310)+COUNTA(条幅!$B$11:$B$310),INDEX(条幅!$F$11:$F$310,406-COUNTA(半紙!$B$11:$B$310)),IF(406&lt;=COUNTA(半紙!$B$11:$B$310)+COUNTA(条幅!$B$11:$B$310)+COUNTA(条幅4分の1!$B$11:$B$310),INDEX(条幅4分の1!$F$11:$F$310,406-COUNTA(半紙!$B$11:$B$310)-COUNTA(条幅!$B$11:$B$310)),"")))=0,"",IF(406&lt;=COUNTA(半紙!$B$11:$B$310),INDEX(半紙!$F$11:$F$310,406),IF(406&lt;=COUNTA(半紙!$B$11:$B$310)+COUNTA(条幅!$B$11:$B$310),INDEX(条幅!$F$11:$F$310,406-COUNTA(半紙!$B$11:$B$310)),IF(406&lt;=COUNTA(半紙!$B$11:$B$310)+COUNTA(条幅!$B$11:$B$310)+COUNTA(条幅4分の1!$B$11:$B$310),INDEX(条幅4分の1!$F$11:$F$310,406-COUNTA(半紙!$B$11:$B$310)-COUNTA(条幅!$B$11:$B$310)),""))))</f>
        <v/>
      </c>
      <c r="G411" s="38" t="str">
        <f>IF(IF(406&lt;=COUNTA(半紙!$B$11:$B$310),INDEX(半紙!$G$11:$G$310,406),IF(406&lt;=COUNTA(半紙!$B$11:$B$310)+COUNTA(条幅!$B$11:$B$310),INDEX(条幅!$G$11:$G$310,406-COUNTA(半紙!$B$11:$B$310)),IF(406&lt;=COUNTA(半紙!$B$11:$B$310)+COUNTA(条幅!$B$11:$B$310)+COUNTA(条幅4分の1!$B$11:$B$310),INDEX(条幅4分の1!$G$11:$G$310,406-COUNTA(半紙!$B$11:$B$310)-COUNTA(条幅!$B$11:$B$310)),"")))=0,"",IF(406&lt;=COUNTA(半紙!$B$11:$B$310),INDEX(半紙!$G$11:$G$310,406),IF(406&lt;=COUNTA(半紙!$B$11:$B$310)+COUNTA(条幅!$B$11:$B$310),INDEX(条幅!$G$11:$G$310,406-COUNTA(半紙!$B$11:$B$310)),IF(406&lt;=COUNTA(半紙!$B$11:$B$310)+COUNTA(条幅!$B$11:$B$310)+COUNTA(条幅4分の1!$B$11:$B$310),INDEX(条幅4分の1!$G$11:$G$310,406-COUNTA(半紙!$B$11:$B$310)-COUNTA(条幅!$B$11:$B$310)),""))))</f>
        <v/>
      </c>
      <c r="H411" s="38" t="str">
        <f>IF(IF(406&lt;=COUNTA(半紙!$B$11:$B$310),INDEX(半紙!$H$11:$H$310,406),IF(406&lt;=COUNTA(半紙!$B$11:$B$310)+COUNTA(条幅!$B$11:$B$310),INDEX(条幅!$H$11:$H$310,406-COUNTA(半紙!$B$11:$B$310)),IF(406&lt;=COUNTA(半紙!$B$11:$B$310)+COUNTA(条幅!$B$11:$B$310)+COUNTA(条幅4分の1!$B$11:$B$310),INDEX(条幅4分の1!$H$11:$H$310,406-COUNTA(半紙!$B$11:$B$310)-COUNTA(条幅!$B$11:$B$310)),"")))=0,"",IF(406&lt;=COUNTA(半紙!$B$11:$B$310),INDEX(半紙!$H$11:$H$310,406),IF(406&lt;=COUNTA(半紙!$B$11:$B$310)+COUNTA(条幅!$B$11:$B$310),INDEX(条幅!$H$11:$H$310,406-COUNTA(半紙!$B$11:$B$310)),IF(406&lt;=COUNTA(半紙!$B$11:$B$310)+COUNTA(条幅!$B$11:$B$310)+COUNTA(条幅4分の1!$B$11:$B$310),INDEX(条幅4分の1!$H$11:$H$310,406-COUNTA(半紙!$B$11:$B$310)-COUNTA(条幅!$B$11:$B$310)),""))))</f>
        <v/>
      </c>
      <c r="I411" s="38" t="str">
        <f>IF(IF(406&lt;=COUNTA(半紙!$B$11:$B$310),INDEX(半紙!$I$11:$I$310,406),IF(406&lt;=COUNTA(半紙!$B$11:$B$310)+COUNTA(条幅!$B$11:$B$310),INDEX(条幅!$I$11:$I$310,406-COUNTA(半紙!$B$11:$B$310)),IF(406&lt;=COUNTA(半紙!$B$11:$B$310)+COUNTA(条幅!$B$11:$B$310)+COUNTA(条幅4分の1!$B$11:$B$310),INDEX(条幅4分の1!$I$11:$I$310,406-COUNTA(半紙!$B$11:$B$310)-COUNTA(条幅!$B$11:$B$310)),"")))=0,"",IF(406&lt;=COUNTA(半紙!$B$11:$B$310),INDEX(半紙!$I$11:$I$310,406),IF(406&lt;=COUNTA(半紙!$B$11:$B$310)+COUNTA(条幅!$B$11:$B$310),INDEX(条幅!$I$11:$I$310,406-COUNTA(半紙!$B$11:$B$310)),IF(406&lt;=COUNTA(半紙!$B$11:$B$310)+COUNTA(条幅!$B$11:$B$310)+COUNTA(条幅4分の1!$B$11:$B$310),INDEX(条幅4分の1!$I$11:$I$310,406-COUNTA(半紙!$B$11:$B$310)-COUNTA(条幅!$B$11:$B$310)),""))))</f>
        <v/>
      </c>
      <c r="J411" s="38" t="str">
        <f>IF(IF(406&lt;=COUNTA(半紙!$B$11:$B$310),INDEX(半紙!$J$11:$J$310,406),IF(406&lt;=COUNTA(半紙!$B$11:$B$310)+COUNTA(条幅!$B$11:$B$310),INDEX(条幅!$J$11:$J$310,406-COUNTA(半紙!$B$11:$B$310)),IF(406&lt;=COUNTA(半紙!$B$11:$B$310)+COUNTA(条幅!$B$11:$B$310)+COUNTA(条幅4分の1!$B$11:$B$310),INDEX(条幅4分の1!$J$11:$J$310,406-COUNTA(半紙!$B$11:$B$310)-COUNTA(条幅!$B$11:$B$310)),"")))=0,"",IF(406&lt;=COUNTA(半紙!$B$11:$B$310),INDEX(半紙!$J$11:$J$310,406),IF(406&lt;=COUNTA(半紙!$B$11:$B$310)+COUNTA(条幅!$B$11:$B$310),INDEX(条幅!$J$11:$J$310,406-COUNTA(半紙!$B$11:$B$310)),IF(406&lt;=COUNTA(半紙!$B$11:$B$310)+COUNTA(条幅!$B$11:$B$310)+COUNTA(条幅4分の1!$B$11:$B$310),INDEX(条幅4分の1!$J$11:$J$310,406-COUNTA(半紙!$B$11:$B$310)-COUNTA(条幅!$B$11:$B$310)),""))))</f>
        <v/>
      </c>
      <c r="K411" s="38" t="str">
        <f>IF(IF(406&lt;=COUNTA(半紙!$B$11:$B$310),INDEX(半紙!$K$11:$K$310,406),IF(406&lt;=COUNTA(半紙!$B$11:$B$310)+COUNTA(条幅!$B$11:$B$310),INDEX(条幅!$K$11:$K$310,406-COUNTA(半紙!$B$11:$B$310)),IF(406&lt;=COUNTA(半紙!$B$11:$B$310)+COUNTA(条幅!$B$11:$B$310)+COUNTA(条幅4分の1!$B$11:$B$310),INDEX(条幅4分の1!$K$11:$K$310,406-COUNTA(半紙!$B$11:$B$310)-COUNTA(条幅!$B$11:$B$310)),"")))=0,"",IF(406&lt;=COUNTA(半紙!$B$11:$B$310),INDEX(半紙!$K$11:$K$310,406),IF(406&lt;=COUNTA(半紙!$B$11:$B$310)+COUNTA(条幅!$B$11:$B$310),INDEX(条幅!$K$11:$K$310,406-COUNTA(半紙!$B$11:$B$310)),IF(406&lt;=COUNTA(半紙!$B$11:$B$310)+COUNTA(条幅!$B$11:$B$310)+COUNTA(条幅4分の1!$B$11:$B$310),INDEX(条幅4分の1!$K$11:$K$310,406-COUNTA(半紙!$B$11:$B$310)-COUNTA(条幅!$B$11:$B$310)),""))))</f>
        <v/>
      </c>
      <c r="L411" s="48" t="str">
        <f>IF($B411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406))</f>
        <v/>
      </c>
    </row>
    <row r="412" spans="1:12" ht="15" customHeight="1">
      <c r="A412" s="37" t="str">
        <f>IF(407&lt;=COUNTA(半紙!$B$11:$B$310),"半紙",IF(407&lt;=COUNTA(半紙!$B$11:$B$310)+COUNTA(条幅!$B$11:$B$310),"条幅(半切)",IF(407&lt;=COUNTA(半紙!$B$11:$B$310)+COUNTA(条幅!$B$11:$B$310)+COUNTA(条幅4分の1!$B$11:$B$310),"条幅(1/4)","")))</f>
        <v/>
      </c>
      <c r="B412" s="38" t="str">
        <f>IF(IF(407&lt;=COUNTA(半紙!$B$11:$B$310),INDEX(半紙!$B$11:$B$310,407),IF(407&lt;=COUNTA(半紙!$B$11:$B$310)+COUNTA(条幅!$B$11:$B$310),INDEX(条幅!$B$11:$B$310,407-COUNTA(半紙!$B$11:$B$310)),IF(407&lt;=COUNTA(半紙!$B$11:$B$310)+COUNTA(条幅!$B$11:$B$310)+COUNTA(条幅4分の1!$B$11:$B$310),INDEX(条幅4分の1!$B$11:$B$310,407-COUNTA(半紙!$B$11:$B$310)-COUNTA(条幅!$B$11:$B$310)),"")))=0,"",IF(407&lt;=COUNTA(半紙!$B$11:$B$310),INDEX(半紙!$B$11:$B$310,407),IF(407&lt;=COUNTA(半紙!$B$11:$B$310)+COUNTA(条幅!$B$11:$B$310),INDEX(条幅!$B$11:$B$310,407-COUNTA(半紙!$B$11:$B$310)),IF(407&lt;=COUNTA(半紙!$B$11:$B$310)+COUNTA(条幅!$B$11:$B$310)+COUNTA(条幅4分の1!$B$11:$B$310),INDEX(条幅4分の1!$B$11:$B$310,407-COUNTA(半紙!$B$11:$B$310)-COUNTA(条幅!$B$11:$B$310)),""))))</f>
        <v/>
      </c>
      <c r="C412" s="38" t="str">
        <f>IF(IF(407&lt;=COUNTA(半紙!$B$11:$B$310),INDEX(半紙!$C$11:$C$310,407),IF(407&lt;=COUNTA(半紙!$B$11:$B$310)+COUNTA(条幅!$B$11:$B$310),INDEX(条幅!$C$11:$C$310,407-COUNTA(半紙!$B$11:$B$310)),IF(407&lt;=COUNTA(半紙!$B$11:$B$310)+COUNTA(条幅!$B$11:$B$310)+COUNTA(条幅4分の1!$B$11:$B$310),INDEX(条幅4分の1!$C$11:$C$310,407-COUNTA(半紙!$B$11:$B$310)-COUNTA(条幅!$B$11:$B$310)),"")))=0,"",IF(407&lt;=COUNTA(半紙!$B$11:$B$310),INDEX(半紙!$C$11:$C$310,407),IF(407&lt;=COUNTA(半紙!$B$11:$B$310)+COUNTA(条幅!$B$11:$B$310),INDEX(条幅!$C$11:$C$310,407-COUNTA(半紙!$B$11:$B$310)),IF(407&lt;=COUNTA(半紙!$B$11:$B$310)+COUNTA(条幅!$B$11:$B$310)+COUNTA(条幅4分の1!$B$11:$B$310),INDEX(条幅4分の1!$C$11:$C$310,407-COUNTA(半紙!$B$11:$B$310)-COUNTA(条幅!$B$11:$B$310)),""))))</f>
        <v/>
      </c>
      <c r="D412" s="38" t="str">
        <f>IF(IF(407&lt;=COUNTA(半紙!$B$11:$B$310),INDEX(半紙!$D$11:$D$310,407),IF(407&lt;=COUNTA(半紙!$B$11:$B$310)+COUNTA(条幅!$B$11:$B$310),INDEX(条幅!$D$11:$D$310,407-COUNTA(半紙!$B$11:$B$310)),IF(407&lt;=COUNTA(半紙!$B$11:$B$310)+COUNTA(条幅!$B$11:$B$310)+COUNTA(条幅4分の1!$B$11:$B$310),INDEX(条幅4分の1!$D$11:$D$310,407-COUNTA(半紙!$B$11:$B$310)-COUNTA(条幅!$B$11:$B$310)),"")))=0,"",IF(407&lt;=COUNTA(半紙!$B$11:$B$310),INDEX(半紙!$D$11:$D$310,407),IF(407&lt;=COUNTA(半紙!$B$11:$B$310)+COUNTA(条幅!$B$11:$B$310),INDEX(条幅!$D$11:$D$310,407-COUNTA(半紙!$B$11:$B$310)),IF(407&lt;=COUNTA(半紙!$B$11:$B$310)+COUNTA(条幅!$B$11:$B$310)+COUNTA(条幅4分の1!$B$11:$B$310),INDEX(条幅4分の1!$D$11:$D$310,407-COUNTA(半紙!$B$11:$B$310)-COUNTA(条幅!$B$11:$B$310)),""))))</f>
        <v/>
      </c>
      <c r="E412" s="38" t="str">
        <f>IF(IF(407&lt;=COUNTA(半紙!$B$11:$B$310),INDEX(半紙!$E$11:$E$310,407),IF(407&lt;=COUNTA(半紙!$B$11:$B$310)+COUNTA(条幅!$B$11:$B$310),INDEX(条幅!$E$11:$E$310,407-COUNTA(半紙!$B$11:$B$310)),IF(407&lt;=COUNTA(半紙!$B$11:$B$310)+COUNTA(条幅!$B$11:$B$310)+COUNTA(条幅4分の1!$B$11:$B$310),INDEX(条幅4分の1!$E$11:$E$310,407-COUNTA(半紙!$B$11:$B$310)-COUNTA(条幅!$B$11:$B$310)),"")))=0,"",IF(407&lt;=COUNTA(半紙!$B$11:$B$310),INDEX(半紙!$E$11:$E$310,407),IF(407&lt;=COUNTA(半紙!$B$11:$B$310)+COUNTA(条幅!$B$11:$B$310),INDEX(条幅!$E$11:$E$310,407-COUNTA(半紙!$B$11:$B$310)),IF(407&lt;=COUNTA(半紙!$B$11:$B$310)+COUNTA(条幅!$B$11:$B$310)+COUNTA(条幅4分の1!$B$11:$B$310),INDEX(条幅4分の1!$E$11:$E$310,407-COUNTA(半紙!$B$11:$B$310)-COUNTA(条幅!$B$11:$B$310)),""))))</f>
        <v/>
      </c>
      <c r="F412" s="38" t="str">
        <f>IF(IF(407&lt;=COUNTA(半紙!$B$11:$B$310),INDEX(半紙!$F$11:$F$310,407),IF(407&lt;=COUNTA(半紙!$B$11:$B$310)+COUNTA(条幅!$B$11:$B$310),INDEX(条幅!$F$11:$F$310,407-COUNTA(半紙!$B$11:$B$310)),IF(407&lt;=COUNTA(半紙!$B$11:$B$310)+COUNTA(条幅!$B$11:$B$310)+COUNTA(条幅4分の1!$B$11:$B$310),INDEX(条幅4分の1!$F$11:$F$310,407-COUNTA(半紙!$B$11:$B$310)-COUNTA(条幅!$B$11:$B$310)),"")))=0,"",IF(407&lt;=COUNTA(半紙!$B$11:$B$310),INDEX(半紙!$F$11:$F$310,407),IF(407&lt;=COUNTA(半紙!$B$11:$B$310)+COUNTA(条幅!$B$11:$B$310),INDEX(条幅!$F$11:$F$310,407-COUNTA(半紙!$B$11:$B$310)),IF(407&lt;=COUNTA(半紙!$B$11:$B$310)+COUNTA(条幅!$B$11:$B$310)+COUNTA(条幅4分の1!$B$11:$B$310),INDEX(条幅4分の1!$F$11:$F$310,407-COUNTA(半紙!$B$11:$B$310)-COUNTA(条幅!$B$11:$B$310)),""))))</f>
        <v/>
      </c>
      <c r="G412" s="38" t="str">
        <f>IF(IF(407&lt;=COUNTA(半紙!$B$11:$B$310),INDEX(半紙!$G$11:$G$310,407),IF(407&lt;=COUNTA(半紙!$B$11:$B$310)+COUNTA(条幅!$B$11:$B$310),INDEX(条幅!$G$11:$G$310,407-COUNTA(半紙!$B$11:$B$310)),IF(407&lt;=COUNTA(半紙!$B$11:$B$310)+COUNTA(条幅!$B$11:$B$310)+COUNTA(条幅4分の1!$B$11:$B$310),INDEX(条幅4分の1!$G$11:$G$310,407-COUNTA(半紙!$B$11:$B$310)-COUNTA(条幅!$B$11:$B$310)),"")))=0,"",IF(407&lt;=COUNTA(半紙!$B$11:$B$310),INDEX(半紙!$G$11:$G$310,407),IF(407&lt;=COUNTA(半紙!$B$11:$B$310)+COUNTA(条幅!$B$11:$B$310),INDEX(条幅!$G$11:$G$310,407-COUNTA(半紙!$B$11:$B$310)),IF(407&lt;=COUNTA(半紙!$B$11:$B$310)+COUNTA(条幅!$B$11:$B$310)+COUNTA(条幅4分の1!$B$11:$B$310),INDEX(条幅4分の1!$G$11:$G$310,407-COUNTA(半紙!$B$11:$B$310)-COUNTA(条幅!$B$11:$B$310)),""))))</f>
        <v/>
      </c>
      <c r="H412" s="38" t="str">
        <f>IF(IF(407&lt;=COUNTA(半紙!$B$11:$B$310),INDEX(半紙!$H$11:$H$310,407),IF(407&lt;=COUNTA(半紙!$B$11:$B$310)+COUNTA(条幅!$B$11:$B$310),INDEX(条幅!$H$11:$H$310,407-COUNTA(半紙!$B$11:$B$310)),IF(407&lt;=COUNTA(半紙!$B$11:$B$310)+COUNTA(条幅!$B$11:$B$310)+COUNTA(条幅4分の1!$B$11:$B$310),INDEX(条幅4分の1!$H$11:$H$310,407-COUNTA(半紙!$B$11:$B$310)-COUNTA(条幅!$B$11:$B$310)),"")))=0,"",IF(407&lt;=COUNTA(半紙!$B$11:$B$310),INDEX(半紙!$H$11:$H$310,407),IF(407&lt;=COUNTA(半紙!$B$11:$B$310)+COUNTA(条幅!$B$11:$B$310),INDEX(条幅!$H$11:$H$310,407-COUNTA(半紙!$B$11:$B$310)),IF(407&lt;=COUNTA(半紙!$B$11:$B$310)+COUNTA(条幅!$B$11:$B$310)+COUNTA(条幅4分の1!$B$11:$B$310),INDEX(条幅4分の1!$H$11:$H$310,407-COUNTA(半紙!$B$11:$B$310)-COUNTA(条幅!$B$11:$B$310)),""))))</f>
        <v/>
      </c>
      <c r="I412" s="38" t="str">
        <f>IF(IF(407&lt;=COUNTA(半紙!$B$11:$B$310),INDEX(半紙!$I$11:$I$310,407),IF(407&lt;=COUNTA(半紙!$B$11:$B$310)+COUNTA(条幅!$B$11:$B$310),INDEX(条幅!$I$11:$I$310,407-COUNTA(半紙!$B$11:$B$310)),IF(407&lt;=COUNTA(半紙!$B$11:$B$310)+COUNTA(条幅!$B$11:$B$310)+COUNTA(条幅4分の1!$B$11:$B$310),INDEX(条幅4分の1!$I$11:$I$310,407-COUNTA(半紙!$B$11:$B$310)-COUNTA(条幅!$B$11:$B$310)),"")))=0,"",IF(407&lt;=COUNTA(半紙!$B$11:$B$310),INDEX(半紙!$I$11:$I$310,407),IF(407&lt;=COUNTA(半紙!$B$11:$B$310)+COUNTA(条幅!$B$11:$B$310),INDEX(条幅!$I$11:$I$310,407-COUNTA(半紙!$B$11:$B$310)),IF(407&lt;=COUNTA(半紙!$B$11:$B$310)+COUNTA(条幅!$B$11:$B$310)+COUNTA(条幅4分の1!$B$11:$B$310),INDEX(条幅4分の1!$I$11:$I$310,407-COUNTA(半紙!$B$11:$B$310)-COUNTA(条幅!$B$11:$B$310)),""))))</f>
        <v/>
      </c>
      <c r="J412" s="38" t="str">
        <f>IF(IF(407&lt;=COUNTA(半紙!$B$11:$B$310),INDEX(半紙!$J$11:$J$310,407),IF(407&lt;=COUNTA(半紙!$B$11:$B$310)+COUNTA(条幅!$B$11:$B$310),INDEX(条幅!$J$11:$J$310,407-COUNTA(半紙!$B$11:$B$310)),IF(407&lt;=COUNTA(半紙!$B$11:$B$310)+COUNTA(条幅!$B$11:$B$310)+COUNTA(条幅4分の1!$B$11:$B$310),INDEX(条幅4分の1!$J$11:$J$310,407-COUNTA(半紙!$B$11:$B$310)-COUNTA(条幅!$B$11:$B$310)),"")))=0,"",IF(407&lt;=COUNTA(半紙!$B$11:$B$310),INDEX(半紙!$J$11:$J$310,407),IF(407&lt;=COUNTA(半紙!$B$11:$B$310)+COUNTA(条幅!$B$11:$B$310),INDEX(条幅!$J$11:$J$310,407-COUNTA(半紙!$B$11:$B$310)),IF(407&lt;=COUNTA(半紙!$B$11:$B$310)+COUNTA(条幅!$B$11:$B$310)+COUNTA(条幅4分の1!$B$11:$B$310),INDEX(条幅4分の1!$J$11:$J$310,407-COUNTA(半紙!$B$11:$B$310)-COUNTA(条幅!$B$11:$B$310)),""))))</f>
        <v/>
      </c>
      <c r="K412" s="38" t="str">
        <f>IF(IF(407&lt;=COUNTA(半紙!$B$11:$B$310),INDEX(半紙!$K$11:$K$310,407),IF(407&lt;=COUNTA(半紙!$B$11:$B$310)+COUNTA(条幅!$B$11:$B$310),INDEX(条幅!$K$11:$K$310,407-COUNTA(半紙!$B$11:$B$310)),IF(407&lt;=COUNTA(半紙!$B$11:$B$310)+COUNTA(条幅!$B$11:$B$310)+COUNTA(条幅4分の1!$B$11:$B$310),INDEX(条幅4分の1!$K$11:$K$310,407-COUNTA(半紙!$B$11:$B$310)-COUNTA(条幅!$B$11:$B$310)),"")))=0,"",IF(407&lt;=COUNTA(半紙!$B$11:$B$310),INDEX(半紙!$K$11:$K$310,407),IF(407&lt;=COUNTA(半紙!$B$11:$B$310)+COUNTA(条幅!$B$11:$B$310),INDEX(条幅!$K$11:$K$310,407-COUNTA(半紙!$B$11:$B$310)),IF(407&lt;=COUNTA(半紙!$B$11:$B$310)+COUNTA(条幅!$B$11:$B$310)+COUNTA(条幅4分の1!$B$11:$B$310),INDEX(条幅4分の1!$K$11:$K$310,407-COUNTA(半紙!$B$11:$B$310)-COUNTA(条幅!$B$11:$B$310)),""))))</f>
        <v/>
      </c>
      <c r="L412" s="48" t="str">
        <f>IF($B412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407))</f>
        <v/>
      </c>
    </row>
    <row r="413" spans="1:12" ht="15" customHeight="1">
      <c r="A413" s="37" t="str">
        <f>IF(408&lt;=COUNTA(半紙!$B$11:$B$310),"半紙",IF(408&lt;=COUNTA(半紙!$B$11:$B$310)+COUNTA(条幅!$B$11:$B$310),"条幅(半切)",IF(408&lt;=COUNTA(半紙!$B$11:$B$310)+COUNTA(条幅!$B$11:$B$310)+COUNTA(条幅4分の1!$B$11:$B$310),"条幅(1/4)","")))</f>
        <v/>
      </c>
      <c r="B413" s="38" t="str">
        <f>IF(IF(408&lt;=COUNTA(半紙!$B$11:$B$310),INDEX(半紙!$B$11:$B$310,408),IF(408&lt;=COUNTA(半紙!$B$11:$B$310)+COUNTA(条幅!$B$11:$B$310),INDEX(条幅!$B$11:$B$310,408-COUNTA(半紙!$B$11:$B$310)),IF(408&lt;=COUNTA(半紙!$B$11:$B$310)+COUNTA(条幅!$B$11:$B$310)+COUNTA(条幅4分の1!$B$11:$B$310),INDEX(条幅4分の1!$B$11:$B$310,408-COUNTA(半紙!$B$11:$B$310)-COUNTA(条幅!$B$11:$B$310)),"")))=0,"",IF(408&lt;=COUNTA(半紙!$B$11:$B$310),INDEX(半紙!$B$11:$B$310,408),IF(408&lt;=COUNTA(半紙!$B$11:$B$310)+COUNTA(条幅!$B$11:$B$310),INDEX(条幅!$B$11:$B$310,408-COUNTA(半紙!$B$11:$B$310)),IF(408&lt;=COUNTA(半紙!$B$11:$B$310)+COUNTA(条幅!$B$11:$B$310)+COUNTA(条幅4分の1!$B$11:$B$310),INDEX(条幅4分の1!$B$11:$B$310,408-COUNTA(半紙!$B$11:$B$310)-COUNTA(条幅!$B$11:$B$310)),""))))</f>
        <v/>
      </c>
      <c r="C413" s="38" t="str">
        <f>IF(IF(408&lt;=COUNTA(半紙!$B$11:$B$310),INDEX(半紙!$C$11:$C$310,408),IF(408&lt;=COUNTA(半紙!$B$11:$B$310)+COUNTA(条幅!$B$11:$B$310),INDEX(条幅!$C$11:$C$310,408-COUNTA(半紙!$B$11:$B$310)),IF(408&lt;=COUNTA(半紙!$B$11:$B$310)+COUNTA(条幅!$B$11:$B$310)+COUNTA(条幅4分の1!$B$11:$B$310),INDEX(条幅4分の1!$C$11:$C$310,408-COUNTA(半紙!$B$11:$B$310)-COUNTA(条幅!$B$11:$B$310)),"")))=0,"",IF(408&lt;=COUNTA(半紙!$B$11:$B$310),INDEX(半紙!$C$11:$C$310,408),IF(408&lt;=COUNTA(半紙!$B$11:$B$310)+COUNTA(条幅!$B$11:$B$310),INDEX(条幅!$C$11:$C$310,408-COUNTA(半紙!$B$11:$B$310)),IF(408&lt;=COUNTA(半紙!$B$11:$B$310)+COUNTA(条幅!$B$11:$B$310)+COUNTA(条幅4分の1!$B$11:$B$310),INDEX(条幅4分の1!$C$11:$C$310,408-COUNTA(半紙!$B$11:$B$310)-COUNTA(条幅!$B$11:$B$310)),""))))</f>
        <v/>
      </c>
      <c r="D413" s="38" t="str">
        <f>IF(IF(408&lt;=COUNTA(半紙!$B$11:$B$310),INDEX(半紙!$D$11:$D$310,408),IF(408&lt;=COUNTA(半紙!$B$11:$B$310)+COUNTA(条幅!$B$11:$B$310),INDEX(条幅!$D$11:$D$310,408-COUNTA(半紙!$B$11:$B$310)),IF(408&lt;=COUNTA(半紙!$B$11:$B$310)+COUNTA(条幅!$B$11:$B$310)+COUNTA(条幅4分の1!$B$11:$B$310),INDEX(条幅4分の1!$D$11:$D$310,408-COUNTA(半紙!$B$11:$B$310)-COUNTA(条幅!$B$11:$B$310)),"")))=0,"",IF(408&lt;=COUNTA(半紙!$B$11:$B$310),INDEX(半紙!$D$11:$D$310,408),IF(408&lt;=COUNTA(半紙!$B$11:$B$310)+COUNTA(条幅!$B$11:$B$310),INDEX(条幅!$D$11:$D$310,408-COUNTA(半紙!$B$11:$B$310)),IF(408&lt;=COUNTA(半紙!$B$11:$B$310)+COUNTA(条幅!$B$11:$B$310)+COUNTA(条幅4分の1!$B$11:$B$310),INDEX(条幅4分の1!$D$11:$D$310,408-COUNTA(半紙!$B$11:$B$310)-COUNTA(条幅!$B$11:$B$310)),""))))</f>
        <v/>
      </c>
      <c r="E413" s="38" t="str">
        <f>IF(IF(408&lt;=COUNTA(半紙!$B$11:$B$310),INDEX(半紙!$E$11:$E$310,408),IF(408&lt;=COUNTA(半紙!$B$11:$B$310)+COUNTA(条幅!$B$11:$B$310),INDEX(条幅!$E$11:$E$310,408-COUNTA(半紙!$B$11:$B$310)),IF(408&lt;=COUNTA(半紙!$B$11:$B$310)+COUNTA(条幅!$B$11:$B$310)+COUNTA(条幅4分の1!$B$11:$B$310),INDEX(条幅4分の1!$E$11:$E$310,408-COUNTA(半紙!$B$11:$B$310)-COUNTA(条幅!$B$11:$B$310)),"")))=0,"",IF(408&lt;=COUNTA(半紙!$B$11:$B$310),INDEX(半紙!$E$11:$E$310,408),IF(408&lt;=COUNTA(半紙!$B$11:$B$310)+COUNTA(条幅!$B$11:$B$310),INDEX(条幅!$E$11:$E$310,408-COUNTA(半紙!$B$11:$B$310)),IF(408&lt;=COUNTA(半紙!$B$11:$B$310)+COUNTA(条幅!$B$11:$B$310)+COUNTA(条幅4分の1!$B$11:$B$310),INDEX(条幅4分の1!$E$11:$E$310,408-COUNTA(半紙!$B$11:$B$310)-COUNTA(条幅!$B$11:$B$310)),""))))</f>
        <v/>
      </c>
      <c r="F413" s="38" t="str">
        <f>IF(IF(408&lt;=COUNTA(半紙!$B$11:$B$310),INDEX(半紙!$F$11:$F$310,408),IF(408&lt;=COUNTA(半紙!$B$11:$B$310)+COUNTA(条幅!$B$11:$B$310),INDEX(条幅!$F$11:$F$310,408-COUNTA(半紙!$B$11:$B$310)),IF(408&lt;=COUNTA(半紙!$B$11:$B$310)+COUNTA(条幅!$B$11:$B$310)+COUNTA(条幅4分の1!$B$11:$B$310),INDEX(条幅4分の1!$F$11:$F$310,408-COUNTA(半紙!$B$11:$B$310)-COUNTA(条幅!$B$11:$B$310)),"")))=0,"",IF(408&lt;=COUNTA(半紙!$B$11:$B$310),INDEX(半紙!$F$11:$F$310,408),IF(408&lt;=COUNTA(半紙!$B$11:$B$310)+COUNTA(条幅!$B$11:$B$310),INDEX(条幅!$F$11:$F$310,408-COUNTA(半紙!$B$11:$B$310)),IF(408&lt;=COUNTA(半紙!$B$11:$B$310)+COUNTA(条幅!$B$11:$B$310)+COUNTA(条幅4分の1!$B$11:$B$310),INDEX(条幅4分の1!$F$11:$F$310,408-COUNTA(半紙!$B$11:$B$310)-COUNTA(条幅!$B$11:$B$310)),""))))</f>
        <v/>
      </c>
      <c r="G413" s="38" t="str">
        <f>IF(IF(408&lt;=COUNTA(半紙!$B$11:$B$310),INDEX(半紙!$G$11:$G$310,408),IF(408&lt;=COUNTA(半紙!$B$11:$B$310)+COUNTA(条幅!$B$11:$B$310),INDEX(条幅!$G$11:$G$310,408-COUNTA(半紙!$B$11:$B$310)),IF(408&lt;=COUNTA(半紙!$B$11:$B$310)+COUNTA(条幅!$B$11:$B$310)+COUNTA(条幅4分の1!$B$11:$B$310),INDEX(条幅4分の1!$G$11:$G$310,408-COUNTA(半紙!$B$11:$B$310)-COUNTA(条幅!$B$11:$B$310)),"")))=0,"",IF(408&lt;=COUNTA(半紙!$B$11:$B$310),INDEX(半紙!$G$11:$G$310,408),IF(408&lt;=COUNTA(半紙!$B$11:$B$310)+COUNTA(条幅!$B$11:$B$310),INDEX(条幅!$G$11:$G$310,408-COUNTA(半紙!$B$11:$B$310)),IF(408&lt;=COUNTA(半紙!$B$11:$B$310)+COUNTA(条幅!$B$11:$B$310)+COUNTA(条幅4分の1!$B$11:$B$310),INDEX(条幅4分の1!$G$11:$G$310,408-COUNTA(半紙!$B$11:$B$310)-COUNTA(条幅!$B$11:$B$310)),""))))</f>
        <v/>
      </c>
      <c r="H413" s="38" t="str">
        <f>IF(IF(408&lt;=COUNTA(半紙!$B$11:$B$310),INDEX(半紙!$H$11:$H$310,408),IF(408&lt;=COUNTA(半紙!$B$11:$B$310)+COUNTA(条幅!$B$11:$B$310),INDEX(条幅!$H$11:$H$310,408-COUNTA(半紙!$B$11:$B$310)),IF(408&lt;=COUNTA(半紙!$B$11:$B$310)+COUNTA(条幅!$B$11:$B$310)+COUNTA(条幅4分の1!$B$11:$B$310),INDEX(条幅4分の1!$H$11:$H$310,408-COUNTA(半紙!$B$11:$B$310)-COUNTA(条幅!$B$11:$B$310)),"")))=0,"",IF(408&lt;=COUNTA(半紙!$B$11:$B$310),INDEX(半紙!$H$11:$H$310,408),IF(408&lt;=COUNTA(半紙!$B$11:$B$310)+COUNTA(条幅!$B$11:$B$310),INDEX(条幅!$H$11:$H$310,408-COUNTA(半紙!$B$11:$B$310)),IF(408&lt;=COUNTA(半紙!$B$11:$B$310)+COUNTA(条幅!$B$11:$B$310)+COUNTA(条幅4分の1!$B$11:$B$310),INDEX(条幅4分の1!$H$11:$H$310,408-COUNTA(半紙!$B$11:$B$310)-COUNTA(条幅!$B$11:$B$310)),""))))</f>
        <v/>
      </c>
      <c r="I413" s="38" t="str">
        <f>IF(IF(408&lt;=COUNTA(半紙!$B$11:$B$310),INDEX(半紙!$I$11:$I$310,408),IF(408&lt;=COUNTA(半紙!$B$11:$B$310)+COUNTA(条幅!$B$11:$B$310),INDEX(条幅!$I$11:$I$310,408-COUNTA(半紙!$B$11:$B$310)),IF(408&lt;=COUNTA(半紙!$B$11:$B$310)+COUNTA(条幅!$B$11:$B$310)+COUNTA(条幅4分の1!$B$11:$B$310),INDEX(条幅4分の1!$I$11:$I$310,408-COUNTA(半紙!$B$11:$B$310)-COUNTA(条幅!$B$11:$B$310)),"")))=0,"",IF(408&lt;=COUNTA(半紙!$B$11:$B$310),INDEX(半紙!$I$11:$I$310,408),IF(408&lt;=COUNTA(半紙!$B$11:$B$310)+COUNTA(条幅!$B$11:$B$310),INDEX(条幅!$I$11:$I$310,408-COUNTA(半紙!$B$11:$B$310)),IF(408&lt;=COUNTA(半紙!$B$11:$B$310)+COUNTA(条幅!$B$11:$B$310)+COUNTA(条幅4分の1!$B$11:$B$310),INDEX(条幅4分の1!$I$11:$I$310,408-COUNTA(半紙!$B$11:$B$310)-COUNTA(条幅!$B$11:$B$310)),""))))</f>
        <v/>
      </c>
      <c r="J413" s="38" t="str">
        <f>IF(IF(408&lt;=COUNTA(半紙!$B$11:$B$310),INDEX(半紙!$J$11:$J$310,408),IF(408&lt;=COUNTA(半紙!$B$11:$B$310)+COUNTA(条幅!$B$11:$B$310),INDEX(条幅!$J$11:$J$310,408-COUNTA(半紙!$B$11:$B$310)),IF(408&lt;=COUNTA(半紙!$B$11:$B$310)+COUNTA(条幅!$B$11:$B$310)+COUNTA(条幅4分の1!$B$11:$B$310),INDEX(条幅4分の1!$J$11:$J$310,408-COUNTA(半紙!$B$11:$B$310)-COUNTA(条幅!$B$11:$B$310)),"")))=0,"",IF(408&lt;=COUNTA(半紙!$B$11:$B$310),INDEX(半紙!$J$11:$J$310,408),IF(408&lt;=COUNTA(半紙!$B$11:$B$310)+COUNTA(条幅!$B$11:$B$310),INDEX(条幅!$J$11:$J$310,408-COUNTA(半紙!$B$11:$B$310)),IF(408&lt;=COUNTA(半紙!$B$11:$B$310)+COUNTA(条幅!$B$11:$B$310)+COUNTA(条幅4分の1!$B$11:$B$310),INDEX(条幅4分の1!$J$11:$J$310,408-COUNTA(半紙!$B$11:$B$310)-COUNTA(条幅!$B$11:$B$310)),""))))</f>
        <v/>
      </c>
      <c r="K413" s="38" t="str">
        <f>IF(IF(408&lt;=COUNTA(半紙!$B$11:$B$310),INDEX(半紙!$K$11:$K$310,408),IF(408&lt;=COUNTA(半紙!$B$11:$B$310)+COUNTA(条幅!$B$11:$B$310),INDEX(条幅!$K$11:$K$310,408-COUNTA(半紙!$B$11:$B$310)),IF(408&lt;=COUNTA(半紙!$B$11:$B$310)+COUNTA(条幅!$B$11:$B$310)+COUNTA(条幅4分の1!$B$11:$B$310),INDEX(条幅4分の1!$K$11:$K$310,408-COUNTA(半紙!$B$11:$B$310)-COUNTA(条幅!$B$11:$B$310)),"")))=0,"",IF(408&lt;=COUNTA(半紙!$B$11:$B$310),INDEX(半紙!$K$11:$K$310,408),IF(408&lt;=COUNTA(半紙!$B$11:$B$310)+COUNTA(条幅!$B$11:$B$310),INDEX(条幅!$K$11:$K$310,408-COUNTA(半紙!$B$11:$B$310)),IF(408&lt;=COUNTA(半紙!$B$11:$B$310)+COUNTA(条幅!$B$11:$B$310)+COUNTA(条幅4分の1!$B$11:$B$310),INDEX(条幅4分の1!$K$11:$K$310,408-COUNTA(半紙!$B$11:$B$310)-COUNTA(条幅!$B$11:$B$310)),""))))</f>
        <v/>
      </c>
      <c r="L413" s="48" t="str">
        <f>IF($B413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408))</f>
        <v/>
      </c>
    </row>
    <row r="414" spans="1:12" ht="15" customHeight="1">
      <c r="A414" s="37" t="str">
        <f>IF(409&lt;=COUNTA(半紙!$B$11:$B$310),"半紙",IF(409&lt;=COUNTA(半紙!$B$11:$B$310)+COUNTA(条幅!$B$11:$B$310),"条幅(半切)",IF(409&lt;=COUNTA(半紙!$B$11:$B$310)+COUNTA(条幅!$B$11:$B$310)+COUNTA(条幅4分の1!$B$11:$B$310),"条幅(1/4)","")))</f>
        <v/>
      </c>
      <c r="B414" s="38" t="str">
        <f>IF(IF(409&lt;=COUNTA(半紙!$B$11:$B$310),INDEX(半紙!$B$11:$B$310,409),IF(409&lt;=COUNTA(半紙!$B$11:$B$310)+COUNTA(条幅!$B$11:$B$310),INDEX(条幅!$B$11:$B$310,409-COUNTA(半紙!$B$11:$B$310)),IF(409&lt;=COUNTA(半紙!$B$11:$B$310)+COUNTA(条幅!$B$11:$B$310)+COUNTA(条幅4分の1!$B$11:$B$310),INDEX(条幅4分の1!$B$11:$B$310,409-COUNTA(半紙!$B$11:$B$310)-COUNTA(条幅!$B$11:$B$310)),"")))=0,"",IF(409&lt;=COUNTA(半紙!$B$11:$B$310),INDEX(半紙!$B$11:$B$310,409),IF(409&lt;=COUNTA(半紙!$B$11:$B$310)+COUNTA(条幅!$B$11:$B$310),INDEX(条幅!$B$11:$B$310,409-COUNTA(半紙!$B$11:$B$310)),IF(409&lt;=COUNTA(半紙!$B$11:$B$310)+COUNTA(条幅!$B$11:$B$310)+COUNTA(条幅4分の1!$B$11:$B$310),INDEX(条幅4分の1!$B$11:$B$310,409-COUNTA(半紙!$B$11:$B$310)-COUNTA(条幅!$B$11:$B$310)),""))))</f>
        <v/>
      </c>
      <c r="C414" s="38" t="str">
        <f>IF(IF(409&lt;=COUNTA(半紙!$B$11:$B$310),INDEX(半紙!$C$11:$C$310,409),IF(409&lt;=COUNTA(半紙!$B$11:$B$310)+COUNTA(条幅!$B$11:$B$310),INDEX(条幅!$C$11:$C$310,409-COUNTA(半紙!$B$11:$B$310)),IF(409&lt;=COUNTA(半紙!$B$11:$B$310)+COUNTA(条幅!$B$11:$B$310)+COUNTA(条幅4分の1!$B$11:$B$310),INDEX(条幅4分の1!$C$11:$C$310,409-COUNTA(半紙!$B$11:$B$310)-COUNTA(条幅!$B$11:$B$310)),"")))=0,"",IF(409&lt;=COUNTA(半紙!$B$11:$B$310),INDEX(半紙!$C$11:$C$310,409),IF(409&lt;=COUNTA(半紙!$B$11:$B$310)+COUNTA(条幅!$B$11:$B$310),INDEX(条幅!$C$11:$C$310,409-COUNTA(半紙!$B$11:$B$310)),IF(409&lt;=COUNTA(半紙!$B$11:$B$310)+COUNTA(条幅!$B$11:$B$310)+COUNTA(条幅4分の1!$B$11:$B$310),INDEX(条幅4分の1!$C$11:$C$310,409-COUNTA(半紙!$B$11:$B$310)-COUNTA(条幅!$B$11:$B$310)),""))))</f>
        <v/>
      </c>
      <c r="D414" s="38" t="str">
        <f>IF(IF(409&lt;=COUNTA(半紙!$B$11:$B$310),INDEX(半紙!$D$11:$D$310,409),IF(409&lt;=COUNTA(半紙!$B$11:$B$310)+COUNTA(条幅!$B$11:$B$310),INDEX(条幅!$D$11:$D$310,409-COUNTA(半紙!$B$11:$B$310)),IF(409&lt;=COUNTA(半紙!$B$11:$B$310)+COUNTA(条幅!$B$11:$B$310)+COUNTA(条幅4分の1!$B$11:$B$310),INDEX(条幅4分の1!$D$11:$D$310,409-COUNTA(半紙!$B$11:$B$310)-COUNTA(条幅!$B$11:$B$310)),"")))=0,"",IF(409&lt;=COUNTA(半紙!$B$11:$B$310),INDEX(半紙!$D$11:$D$310,409),IF(409&lt;=COUNTA(半紙!$B$11:$B$310)+COUNTA(条幅!$B$11:$B$310),INDEX(条幅!$D$11:$D$310,409-COUNTA(半紙!$B$11:$B$310)),IF(409&lt;=COUNTA(半紙!$B$11:$B$310)+COUNTA(条幅!$B$11:$B$310)+COUNTA(条幅4分の1!$B$11:$B$310),INDEX(条幅4分の1!$D$11:$D$310,409-COUNTA(半紙!$B$11:$B$310)-COUNTA(条幅!$B$11:$B$310)),""))))</f>
        <v/>
      </c>
      <c r="E414" s="38" t="str">
        <f>IF(IF(409&lt;=COUNTA(半紙!$B$11:$B$310),INDEX(半紙!$E$11:$E$310,409),IF(409&lt;=COUNTA(半紙!$B$11:$B$310)+COUNTA(条幅!$B$11:$B$310),INDEX(条幅!$E$11:$E$310,409-COUNTA(半紙!$B$11:$B$310)),IF(409&lt;=COUNTA(半紙!$B$11:$B$310)+COUNTA(条幅!$B$11:$B$310)+COUNTA(条幅4分の1!$B$11:$B$310),INDEX(条幅4分の1!$E$11:$E$310,409-COUNTA(半紙!$B$11:$B$310)-COUNTA(条幅!$B$11:$B$310)),"")))=0,"",IF(409&lt;=COUNTA(半紙!$B$11:$B$310),INDEX(半紙!$E$11:$E$310,409),IF(409&lt;=COUNTA(半紙!$B$11:$B$310)+COUNTA(条幅!$B$11:$B$310),INDEX(条幅!$E$11:$E$310,409-COUNTA(半紙!$B$11:$B$310)),IF(409&lt;=COUNTA(半紙!$B$11:$B$310)+COUNTA(条幅!$B$11:$B$310)+COUNTA(条幅4分の1!$B$11:$B$310),INDEX(条幅4分の1!$E$11:$E$310,409-COUNTA(半紙!$B$11:$B$310)-COUNTA(条幅!$B$11:$B$310)),""))))</f>
        <v/>
      </c>
      <c r="F414" s="38" t="str">
        <f>IF(IF(409&lt;=COUNTA(半紙!$B$11:$B$310),INDEX(半紙!$F$11:$F$310,409),IF(409&lt;=COUNTA(半紙!$B$11:$B$310)+COUNTA(条幅!$B$11:$B$310),INDEX(条幅!$F$11:$F$310,409-COUNTA(半紙!$B$11:$B$310)),IF(409&lt;=COUNTA(半紙!$B$11:$B$310)+COUNTA(条幅!$B$11:$B$310)+COUNTA(条幅4分の1!$B$11:$B$310),INDEX(条幅4分の1!$F$11:$F$310,409-COUNTA(半紙!$B$11:$B$310)-COUNTA(条幅!$B$11:$B$310)),"")))=0,"",IF(409&lt;=COUNTA(半紙!$B$11:$B$310),INDEX(半紙!$F$11:$F$310,409),IF(409&lt;=COUNTA(半紙!$B$11:$B$310)+COUNTA(条幅!$B$11:$B$310),INDEX(条幅!$F$11:$F$310,409-COUNTA(半紙!$B$11:$B$310)),IF(409&lt;=COUNTA(半紙!$B$11:$B$310)+COUNTA(条幅!$B$11:$B$310)+COUNTA(条幅4分の1!$B$11:$B$310),INDEX(条幅4分の1!$F$11:$F$310,409-COUNTA(半紙!$B$11:$B$310)-COUNTA(条幅!$B$11:$B$310)),""))))</f>
        <v/>
      </c>
      <c r="G414" s="38" t="str">
        <f>IF(IF(409&lt;=COUNTA(半紙!$B$11:$B$310),INDEX(半紙!$G$11:$G$310,409),IF(409&lt;=COUNTA(半紙!$B$11:$B$310)+COUNTA(条幅!$B$11:$B$310),INDEX(条幅!$G$11:$G$310,409-COUNTA(半紙!$B$11:$B$310)),IF(409&lt;=COUNTA(半紙!$B$11:$B$310)+COUNTA(条幅!$B$11:$B$310)+COUNTA(条幅4分の1!$B$11:$B$310),INDEX(条幅4分の1!$G$11:$G$310,409-COUNTA(半紙!$B$11:$B$310)-COUNTA(条幅!$B$11:$B$310)),"")))=0,"",IF(409&lt;=COUNTA(半紙!$B$11:$B$310),INDEX(半紙!$G$11:$G$310,409),IF(409&lt;=COUNTA(半紙!$B$11:$B$310)+COUNTA(条幅!$B$11:$B$310),INDEX(条幅!$G$11:$G$310,409-COUNTA(半紙!$B$11:$B$310)),IF(409&lt;=COUNTA(半紙!$B$11:$B$310)+COUNTA(条幅!$B$11:$B$310)+COUNTA(条幅4分の1!$B$11:$B$310),INDEX(条幅4分の1!$G$11:$G$310,409-COUNTA(半紙!$B$11:$B$310)-COUNTA(条幅!$B$11:$B$310)),""))))</f>
        <v/>
      </c>
      <c r="H414" s="38" t="str">
        <f>IF(IF(409&lt;=COUNTA(半紙!$B$11:$B$310),INDEX(半紙!$H$11:$H$310,409),IF(409&lt;=COUNTA(半紙!$B$11:$B$310)+COUNTA(条幅!$B$11:$B$310),INDEX(条幅!$H$11:$H$310,409-COUNTA(半紙!$B$11:$B$310)),IF(409&lt;=COUNTA(半紙!$B$11:$B$310)+COUNTA(条幅!$B$11:$B$310)+COUNTA(条幅4分の1!$B$11:$B$310),INDEX(条幅4分の1!$H$11:$H$310,409-COUNTA(半紙!$B$11:$B$310)-COUNTA(条幅!$B$11:$B$310)),"")))=0,"",IF(409&lt;=COUNTA(半紙!$B$11:$B$310),INDEX(半紙!$H$11:$H$310,409),IF(409&lt;=COUNTA(半紙!$B$11:$B$310)+COUNTA(条幅!$B$11:$B$310),INDEX(条幅!$H$11:$H$310,409-COUNTA(半紙!$B$11:$B$310)),IF(409&lt;=COUNTA(半紙!$B$11:$B$310)+COUNTA(条幅!$B$11:$B$310)+COUNTA(条幅4分の1!$B$11:$B$310),INDEX(条幅4分の1!$H$11:$H$310,409-COUNTA(半紙!$B$11:$B$310)-COUNTA(条幅!$B$11:$B$310)),""))))</f>
        <v/>
      </c>
      <c r="I414" s="38" t="str">
        <f>IF(IF(409&lt;=COUNTA(半紙!$B$11:$B$310),INDEX(半紙!$I$11:$I$310,409),IF(409&lt;=COUNTA(半紙!$B$11:$B$310)+COUNTA(条幅!$B$11:$B$310),INDEX(条幅!$I$11:$I$310,409-COUNTA(半紙!$B$11:$B$310)),IF(409&lt;=COUNTA(半紙!$B$11:$B$310)+COUNTA(条幅!$B$11:$B$310)+COUNTA(条幅4分の1!$B$11:$B$310),INDEX(条幅4分の1!$I$11:$I$310,409-COUNTA(半紙!$B$11:$B$310)-COUNTA(条幅!$B$11:$B$310)),"")))=0,"",IF(409&lt;=COUNTA(半紙!$B$11:$B$310),INDEX(半紙!$I$11:$I$310,409),IF(409&lt;=COUNTA(半紙!$B$11:$B$310)+COUNTA(条幅!$B$11:$B$310),INDEX(条幅!$I$11:$I$310,409-COUNTA(半紙!$B$11:$B$310)),IF(409&lt;=COUNTA(半紙!$B$11:$B$310)+COUNTA(条幅!$B$11:$B$310)+COUNTA(条幅4分の1!$B$11:$B$310),INDEX(条幅4分の1!$I$11:$I$310,409-COUNTA(半紙!$B$11:$B$310)-COUNTA(条幅!$B$11:$B$310)),""))))</f>
        <v/>
      </c>
      <c r="J414" s="38" t="str">
        <f>IF(IF(409&lt;=COUNTA(半紙!$B$11:$B$310),INDEX(半紙!$J$11:$J$310,409),IF(409&lt;=COUNTA(半紙!$B$11:$B$310)+COUNTA(条幅!$B$11:$B$310),INDEX(条幅!$J$11:$J$310,409-COUNTA(半紙!$B$11:$B$310)),IF(409&lt;=COUNTA(半紙!$B$11:$B$310)+COUNTA(条幅!$B$11:$B$310)+COUNTA(条幅4分の1!$B$11:$B$310),INDEX(条幅4分の1!$J$11:$J$310,409-COUNTA(半紙!$B$11:$B$310)-COUNTA(条幅!$B$11:$B$310)),"")))=0,"",IF(409&lt;=COUNTA(半紙!$B$11:$B$310),INDEX(半紙!$J$11:$J$310,409),IF(409&lt;=COUNTA(半紙!$B$11:$B$310)+COUNTA(条幅!$B$11:$B$310),INDEX(条幅!$J$11:$J$310,409-COUNTA(半紙!$B$11:$B$310)),IF(409&lt;=COUNTA(半紙!$B$11:$B$310)+COUNTA(条幅!$B$11:$B$310)+COUNTA(条幅4分の1!$B$11:$B$310),INDEX(条幅4分の1!$J$11:$J$310,409-COUNTA(半紙!$B$11:$B$310)-COUNTA(条幅!$B$11:$B$310)),""))))</f>
        <v/>
      </c>
      <c r="K414" s="38" t="str">
        <f>IF(IF(409&lt;=COUNTA(半紙!$B$11:$B$310),INDEX(半紙!$K$11:$K$310,409),IF(409&lt;=COUNTA(半紙!$B$11:$B$310)+COUNTA(条幅!$B$11:$B$310),INDEX(条幅!$K$11:$K$310,409-COUNTA(半紙!$B$11:$B$310)),IF(409&lt;=COUNTA(半紙!$B$11:$B$310)+COUNTA(条幅!$B$11:$B$310)+COUNTA(条幅4分の1!$B$11:$B$310),INDEX(条幅4分の1!$K$11:$K$310,409-COUNTA(半紙!$B$11:$B$310)-COUNTA(条幅!$B$11:$B$310)),"")))=0,"",IF(409&lt;=COUNTA(半紙!$B$11:$B$310),INDEX(半紙!$K$11:$K$310,409),IF(409&lt;=COUNTA(半紙!$B$11:$B$310)+COUNTA(条幅!$B$11:$B$310),INDEX(条幅!$K$11:$K$310,409-COUNTA(半紙!$B$11:$B$310)),IF(409&lt;=COUNTA(半紙!$B$11:$B$310)+COUNTA(条幅!$B$11:$B$310)+COUNTA(条幅4分の1!$B$11:$B$310),INDEX(条幅4分の1!$K$11:$K$310,409-COUNTA(半紙!$B$11:$B$310)-COUNTA(条幅!$B$11:$B$310)),""))))</f>
        <v/>
      </c>
      <c r="L414" s="48" t="str">
        <f>IF($B414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409))</f>
        <v/>
      </c>
    </row>
    <row r="415" spans="1:12" ht="15" customHeight="1">
      <c r="A415" s="37" t="str">
        <f>IF(410&lt;=COUNTA(半紙!$B$11:$B$310),"半紙",IF(410&lt;=COUNTA(半紙!$B$11:$B$310)+COUNTA(条幅!$B$11:$B$310),"条幅(半切)",IF(410&lt;=COUNTA(半紙!$B$11:$B$310)+COUNTA(条幅!$B$11:$B$310)+COUNTA(条幅4分の1!$B$11:$B$310),"条幅(1/4)","")))</f>
        <v/>
      </c>
      <c r="B415" s="38" t="str">
        <f>IF(IF(410&lt;=COUNTA(半紙!$B$11:$B$310),INDEX(半紙!$B$11:$B$310,410),IF(410&lt;=COUNTA(半紙!$B$11:$B$310)+COUNTA(条幅!$B$11:$B$310),INDEX(条幅!$B$11:$B$310,410-COUNTA(半紙!$B$11:$B$310)),IF(410&lt;=COUNTA(半紙!$B$11:$B$310)+COUNTA(条幅!$B$11:$B$310)+COUNTA(条幅4分の1!$B$11:$B$310),INDEX(条幅4分の1!$B$11:$B$310,410-COUNTA(半紙!$B$11:$B$310)-COUNTA(条幅!$B$11:$B$310)),"")))=0,"",IF(410&lt;=COUNTA(半紙!$B$11:$B$310),INDEX(半紙!$B$11:$B$310,410),IF(410&lt;=COUNTA(半紙!$B$11:$B$310)+COUNTA(条幅!$B$11:$B$310),INDEX(条幅!$B$11:$B$310,410-COUNTA(半紙!$B$11:$B$310)),IF(410&lt;=COUNTA(半紙!$B$11:$B$310)+COUNTA(条幅!$B$11:$B$310)+COUNTA(条幅4分の1!$B$11:$B$310),INDEX(条幅4分の1!$B$11:$B$310,410-COUNTA(半紙!$B$11:$B$310)-COUNTA(条幅!$B$11:$B$310)),""))))</f>
        <v/>
      </c>
      <c r="C415" s="38" t="str">
        <f>IF(IF(410&lt;=COUNTA(半紙!$B$11:$B$310),INDEX(半紙!$C$11:$C$310,410),IF(410&lt;=COUNTA(半紙!$B$11:$B$310)+COUNTA(条幅!$B$11:$B$310),INDEX(条幅!$C$11:$C$310,410-COUNTA(半紙!$B$11:$B$310)),IF(410&lt;=COUNTA(半紙!$B$11:$B$310)+COUNTA(条幅!$B$11:$B$310)+COUNTA(条幅4分の1!$B$11:$B$310),INDEX(条幅4分の1!$C$11:$C$310,410-COUNTA(半紙!$B$11:$B$310)-COUNTA(条幅!$B$11:$B$310)),"")))=0,"",IF(410&lt;=COUNTA(半紙!$B$11:$B$310),INDEX(半紙!$C$11:$C$310,410),IF(410&lt;=COUNTA(半紙!$B$11:$B$310)+COUNTA(条幅!$B$11:$B$310),INDEX(条幅!$C$11:$C$310,410-COUNTA(半紙!$B$11:$B$310)),IF(410&lt;=COUNTA(半紙!$B$11:$B$310)+COUNTA(条幅!$B$11:$B$310)+COUNTA(条幅4分の1!$B$11:$B$310),INDEX(条幅4分の1!$C$11:$C$310,410-COUNTA(半紙!$B$11:$B$310)-COUNTA(条幅!$B$11:$B$310)),""))))</f>
        <v/>
      </c>
      <c r="D415" s="38" t="str">
        <f>IF(IF(410&lt;=COUNTA(半紙!$B$11:$B$310),INDEX(半紙!$D$11:$D$310,410),IF(410&lt;=COUNTA(半紙!$B$11:$B$310)+COUNTA(条幅!$B$11:$B$310),INDEX(条幅!$D$11:$D$310,410-COUNTA(半紙!$B$11:$B$310)),IF(410&lt;=COUNTA(半紙!$B$11:$B$310)+COUNTA(条幅!$B$11:$B$310)+COUNTA(条幅4分の1!$B$11:$B$310),INDEX(条幅4分の1!$D$11:$D$310,410-COUNTA(半紙!$B$11:$B$310)-COUNTA(条幅!$B$11:$B$310)),"")))=0,"",IF(410&lt;=COUNTA(半紙!$B$11:$B$310),INDEX(半紙!$D$11:$D$310,410),IF(410&lt;=COUNTA(半紙!$B$11:$B$310)+COUNTA(条幅!$B$11:$B$310),INDEX(条幅!$D$11:$D$310,410-COUNTA(半紙!$B$11:$B$310)),IF(410&lt;=COUNTA(半紙!$B$11:$B$310)+COUNTA(条幅!$B$11:$B$310)+COUNTA(条幅4分の1!$B$11:$B$310),INDEX(条幅4分の1!$D$11:$D$310,410-COUNTA(半紙!$B$11:$B$310)-COUNTA(条幅!$B$11:$B$310)),""))))</f>
        <v/>
      </c>
      <c r="E415" s="38" t="str">
        <f>IF(IF(410&lt;=COUNTA(半紙!$B$11:$B$310),INDEX(半紙!$E$11:$E$310,410),IF(410&lt;=COUNTA(半紙!$B$11:$B$310)+COUNTA(条幅!$B$11:$B$310),INDEX(条幅!$E$11:$E$310,410-COUNTA(半紙!$B$11:$B$310)),IF(410&lt;=COUNTA(半紙!$B$11:$B$310)+COUNTA(条幅!$B$11:$B$310)+COUNTA(条幅4分の1!$B$11:$B$310),INDEX(条幅4分の1!$E$11:$E$310,410-COUNTA(半紙!$B$11:$B$310)-COUNTA(条幅!$B$11:$B$310)),"")))=0,"",IF(410&lt;=COUNTA(半紙!$B$11:$B$310),INDEX(半紙!$E$11:$E$310,410),IF(410&lt;=COUNTA(半紙!$B$11:$B$310)+COUNTA(条幅!$B$11:$B$310),INDEX(条幅!$E$11:$E$310,410-COUNTA(半紙!$B$11:$B$310)),IF(410&lt;=COUNTA(半紙!$B$11:$B$310)+COUNTA(条幅!$B$11:$B$310)+COUNTA(条幅4分の1!$B$11:$B$310),INDEX(条幅4分の1!$E$11:$E$310,410-COUNTA(半紙!$B$11:$B$310)-COUNTA(条幅!$B$11:$B$310)),""))))</f>
        <v/>
      </c>
      <c r="F415" s="38" t="str">
        <f>IF(IF(410&lt;=COUNTA(半紙!$B$11:$B$310),INDEX(半紙!$F$11:$F$310,410),IF(410&lt;=COUNTA(半紙!$B$11:$B$310)+COUNTA(条幅!$B$11:$B$310),INDEX(条幅!$F$11:$F$310,410-COUNTA(半紙!$B$11:$B$310)),IF(410&lt;=COUNTA(半紙!$B$11:$B$310)+COUNTA(条幅!$B$11:$B$310)+COUNTA(条幅4分の1!$B$11:$B$310),INDEX(条幅4分の1!$F$11:$F$310,410-COUNTA(半紙!$B$11:$B$310)-COUNTA(条幅!$B$11:$B$310)),"")))=0,"",IF(410&lt;=COUNTA(半紙!$B$11:$B$310),INDEX(半紙!$F$11:$F$310,410),IF(410&lt;=COUNTA(半紙!$B$11:$B$310)+COUNTA(条幅!$B$11:$B$310),INDEX(条幅!$F$11:$F$310,410-COUNTA(半紙!$B$11:$B$310)),IF(410&lt;=COUNTA(半紙!$B$11:$B$310)+COUNTA(条幅!$B$11:$B$310)+COUNTA(条幅4分の1!$B$11:$B$310),INDEX(条幅4分の1!$F$11:$F$310,410-COUNTA(半紙!$B$11:$B$310)-COUNTA(条幅!$B$11:$B$310)),""))))</f>
        <v/>
      </c>
      <c r="G415" s="38" t="str">
        <f>IF(IF(410&lt;=COUNTA(半紙!$B$11:$B$310),INDEX(半紙!$G$11:$G$310,410),IF(410&lt;=COUNTA(半紙!$B$11:$B$310)+COUNTA(条幅!$B$11:$B$310),INDEX(条幅!$G$11:$G$310,410-COUNTA(半紙!$B$11:$B$310)),IF(410&lt;=COUNTA(半紙!$B$11:$B$310)+COUNTA(条幅!$B$11:$B$310)+COUNTA(条幅4分の1!$B$11:$B$310),INDEX(条幅4分の1!$G$11:$G$310,410-COUNTA(半紙!$B$11:$B$310)-COUNTA(条幅!$B$11:$B$310)),"")))=0,"",IF(410&lt;=COUNTA(半紙!$B$11:$B$310),INDEX(半紙!$G$11:$G$310,410),IF(410&lt;=COUNTA(半紙!$B$11:$B$310)+COUNTA(条幅!$B$11:$B$310),INDEX(条幅!$G$11:$G$310,410-COUNTA(半紙!$B$11:$B$310)),IF(410&lt;=COUNTA(半紙!$B$11:$B$310)+COUNTA(条幅!$B$11:$B$310)+COUNTA(条幅4分の1!$B$11:$B$310),INDEX(条幅4分の1!$G$11:$G$310,410-COUNTA(半紙!$B$11:$B$310)-COUNTA(条幅!$B$11:$B$310)),""))))</f>
        <v/>
      </c>
      <c r="H415" s="38" t="str">
        <f>IF(IF(410&lt;=COUNTA(半紙!$B$11:$B$310),INDEX(半紙!$H$11:$H$310,410),IF(410&lt;=COUNTA(半紙!$B$11:$B$310)+COUNTA(条幅!$B$11:$B$310),INDEX(条幅!$H$11:$H$310,410-COUNTA(半紙!$B$11:$B$310)),IF(410&lt;=COUNTA(半紙!$B$11:$B$310)+COUNTA(条幅!$B$11:$B$310)+COUNTA(条幅4分の1!$B$11:$B$310),INDEX(条幅4分の1!$H$11:$H$310,410-COUNTA(半紙!$B$11:$B$310)-COUNTA(条幅!$B$11:$B$310)),"")))=0,"",IF(410&lt;=COUNTA(半紙!$B$11:$B$310),INDEX(半紙!$H$11:$H$310,410),IF(410&lt;=COUNTA(半紙!$B$11:$B$310)+COUNTA(条幅!$B$11:$B$310),INDEX(条幅!$H$11:$H$310,410-COUNTA(半紙!$B$11:$B$310)),IF(410&lt;=COUNTA(半紙!$B$11:$B$310)+COUNTA(条幅!$B$11:$B$310)+COUNTA(条幅4分の1!$B$11:$B$310),INDEX(条幅4分の1!$H$11:$H$310,410-COUNTA(半紙!$B$11:$B$310)-COUNTA(条幅!$B$11:$B$310)),""))))</f>
        <v/>
      </c>
      <c r="I415" s="38" t="str">
        <f>IF(IF(410&lt;=COUNTA(半紙!$B$11:$B$310),INDEX(半紙!$I$11:$I$310,410),IF(410&lt;=COUNTA(半紙!$B$11:$B$310)+COUNTA(条幅!$B$11:$B$310),INDEX(条幅!$I$11:$I$310,410-COUNTA(半紙!$B$11:$B$310)),IF(410&lt;=COUNTA(半紙!$B$11:$B$310)+COUNTA(条幅!$B$11:$B$310)+COUNTA(条幅4分の1!$B$11:$B$310),INDEX(条幅4分の1!$I$11:$I$310,410-COUNTA(半紙!$B$11:$B$310)-COUNTA(条幅!$B$11:$B$310)),"")))=0,"",IF(410&lt;=COUNTA(半紙!$B$11:$B$310),INDEX(半紙!$I$11:$I$310,410),IF(410&lt;=COUNTA(半紙!$B$11:$B$310)+COUNTA(条幅!$B$11:$B$310),INDEX(条幅!$I$11:$I$310,410-COUNTA(半紙!$B$11:$B$310)),IF(410&lt;=COUNTA(半紙!$B$11:$B$310)+COUNTA(条幅!$B$11:$B$310)+COUNTA(条幅4分の1!$B$11:$B$310),INDEX(条幅4分の1!$I$11:$I$310,410-COUNTA(半紙!$B$11:$B$310)-COUNTA(条幅!$B$11:$B$310)),""))))</f>
        <v/>
      </c>
      <c r="J415" s="38" t="str">
        <f>IF(IF(410&lt;=COUNTA(半紙!$B$11:$B$310),INDEX(半紙!$J$11:$J$310,410),IF(410&lt;=COUNTA(半紙!$B$11:$B$310)+COUNTA(条幅!$B$11:$B$310),INDEX(条幅!$J$11:$J$310,410-COUNTA(半紙!$B$11:$B$310)),IF(410&lt;=COUNTA(半紙!$B$11:$B$310)+COUNTA(条幅!$B$11:$B$310)+COUNTA(条幅4分の1!$B$11:$B$310),INDEX(条幅4分の1!$J$11:$J$310,410-COUNTA(半紙!$B$11:$B$310)-COUNTA(条幅!$B$11:$B$310)),"")))=0,"",IF(410&lt;=COUNTA(半紙!$B$11:$B$310),INDEX(半紙!$J$11:$J$310,410),IF(410&lt;=COUNTA(半紙!$B$11:$B$310)+COUNTA(条幅!$B$11:$B$310),INDEX(条幅!$J$11:$J$310,410-COUNTA(半紙!$B$11:$B$310)),IF(410&lt;=COUNTA(半紙!$B$11:$B$310)+COUNTA(条幅!$B$11:$B$310)+COUNTA(条幅4分の1!$B$11:$B$310),INDEX(条幅4分の1!$J$11:$J$310,410-COUNTA(半紙!$B$11:$B$310)-COUNTA(条幅!$B$11:$B$310)),""))))</f>
        <v/>
      </c>
      <c r="K415" s="38" t="str">
        <f>IF(IF(410&lt;=COUNTA(半紙!$B$11:$B$310),INDEX(半紙!$K$11:$K$310,410),IF(410&lt;=COUNTA(半紙!$B$11:$B$310)+COUNTA(条幅!$B$11:$B$310),INDEX(条幅!$K$11:$K$310,410-COUNTA(半紙!$B$11:$B$310)),IF(410&lt;=COUNTA(半紙!$B$11:$B$310)+COUNTA(条幅!$B$11:$B$310)+COUNTA(条幅4分の1!$B$11:$B$310),INDEX(条幅4分の1!$K$11:$K$310,410-COUNTA(半紙!$B$11:$B$310)-COUNTA(条幅!$B$11:$B$310)),"")))=0,"",IF(410&lt;=COUNTA(半紙!$B$11:$B$310),INDEX(半紙!$K$11:$K$310,410),IF(410&lt;=COUNTA(半紙!$B$11:$B$310)+COUNTA(条幅!$B$11:$B$310),INDEX(条幅!$K$11:$K$310,410-COUNTA(半紙!$B$11:$B$310)),IF(410&lt;=COUNTA(半紙!$B$11:$B$310)+COUNTA(条幅!$B$11:$B$310)+COUNTA(条幅4分の1!$B$11:$B$310),INDEX(条幅4分の1!$K$11:$K$310,410-COUNTA(半紙!$B$11:$B$310)-COUNTA(条幅!$B$11:$B$310)),""))))</f>
        <v/>
      </c>
      <c r="L415" s="48" t="str">
        <f>IF($B415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410))</f>
        <v/>
      </c>
    </row>
    <row r="416" spans="1:12" ht="15" customHeight="1">
      <c r="A416" s="37" t="str">
        <f>IF(411&lt;=COUNTA(半紙!$B$11:$B$310),"半紙",IF(411&lt;=COUNTA(半紙!$B$11:$B$310)+COUNTA(条幅!$B$11:$B$310),"条幅(半切)",IF(411&lt;=COUNTA(半紙!$B$11:$B$310)+COUNTA(条幅!$B$11:$B$310)+COUNTA(条幅4分の1!$B$11:$B$310),"条幅(1/4)","")))</f>
        <v/>
      </c>
      <c r="B416" s="38" t="str">
        <f>IF(IF(411&lt;=COUNTA(半紙!$B$11:$B$310),INDEX(半紙!$B$11:$B$310,411),IF(411&lt;=COUNTA(半紙!$B$11:$B$310)+COUNTA(条幅!$B$11:$B$310),INDEX(条幅!$B$11:$B$310,411-COUNTA(半紙!$B$11:$B$310)),IF(411&lt;=COUNTA(半紙!$B$11:$B$310)+COUNTA(条幅!$B$11:$B$310)+COUNTA(条幅4分の1!$B$11:$B$310),INDEX(条幅4分の1!$B$11:$B$310,411-COUNTA(半紙!$B$11:$B$310)-COUNTA(条幅!$B$11:$B$310)),"")))=0,"",IF(411&lt;=COUNTA(半紙!$B$11:$B$310),INDEX(半紙!$B$11:$B$310,411),IF(411&lt;=COUNTA(半紙!$B$11:$B$310)+COUNTA(条幅!$B$11:$B$310),INDEX(条幅!$B$11:$B$310,411-COUNTA(半紙!$B$11:$B$310)),IF(411&lt;=COUNTA(半紙!$B$11:$B$310)+COUNTA(条幅!$B$11:$B$310)+COUNTA(条幅4分の1!$B$11:$B$310),INDEX(条幅4分の1!$B$11:$B$310,411-COUNTA(半紙!$B$11:$B$310)-COUNTA(条幅!$B$11:$B$310)),""))))</f>
        <v/>
      </c>
      <c r="C416" s="38" t="str">
        <f>IF(IF(411&lt;=COUNTA(半紙!$B$11:$B$310),INDEX(半紙!$C$11:$C$310,411),IF(411&lt;=COUNTA(半紙!$B$11:$B$310)+COUNTA(条幅!$B$11:$B$310),INDEX(条幅!$C$11:$C$310,411-COUNTA(半紙!$B$11:$B$310)),IF(411&lt;=COUNTA(半紙!$B$11:$B$310)+COUNTA(条幅!$B$11:$B$310)+COUNTA(条幅4分の1!$B$11:$B$310),INDEX(条幅4分の1!$C$11:$C$310,411-COUNTA(半紙!$B$11:$B$310)-COUNTA(条幅!$B$11:$B$310)),"")))=0,"",IF(411&lt;=COUNTA(半紙!$B$11:$B$310),INDEX(半紙!$C$11:$C$310,411),IF(411&lt;=COUNTA(半紙!$B$11:$B$310)+COUNTA(条幅!$B$11:$B$310),INDEX(条幅!$C$11:$C$310,411-COUNTA(半紙!$B$11:$B$310)),IF(411&lt;=COUNTA(半紙!$B$11:$B$310)+COUNTA(条幅!$B$11:$B$310)+COUNTA(条幅4分の1!$B$11:$B$310),INDEX(条幅4分の1!$C$11:$C$310,411-COUNTA(半紙!$B$11:$B$310)-COUNTA(条幅!$B$11:$B$310)),""))))</f>
        <v/>
      </c>
      <c r="D416" s="38" t="str">
        <f>IF(IF(411&lt;=COUNTA(半紙!$B$11:$B$310),INDEX(半紙!$D$11:$D$310,411),IF(411&lt;=COUNTA(半紙!$B$11:$B$310)+COUNTA(条幅!$B$11:$B$310),INDEX(条幅!$D$11:$D$310,411-COUNTA(半紙!$B$11:$B$310)),IF(411&lt;=COUNTA(半紙!$B$11:$B$310)+COUNTA(条幅!$B$11:$B$310)+COUNTA(条幅4分の1!$B$11:$B$310),INDEX(条幅4分の1!$D$11:$D$310,411-COUNTA(半紙!$B$11:$B$310)-COUNTA(条幅!$B$11:$B$310)),"")))=0,"",IF(411&lt;=COUNTA(半紙!$B$11:$B$310),INDEX(半紙!$D$11:$D$310,411),IF(411&lt;=COUNTA(半紙!$B$11:$B$310)+COUNTA(条幅!$B$11:$B$310),INDEX(条幅!$D$11:$D$310,411-COUNTA(半紙!$B$11:$B$310)),IF(411&lt;=COUNTA(半紙!$B$11:$B$310)+COUNTA(条幅!$B$11:$B$310)+COUNTA(条幅4分の1!$B$11:$B$310),INDEX(条幅4分の1!$D$11:$D$310,411-COUNTA(半紙!$B$11:$B$310)-COUNTA(条幅!$B$11:$B$310)),""))))</f>
        <v/>
      </c>
      <c r="E416" s="38" t="str">
        <f>IF(IF(411&lt;=COUNTA(半紙!$B$11:$B$310),INDEX(半紙!$E$11:$E$310,411),IF(411&lt;=COUNTA(半紙!$B$11:$B$310)+COUNTA(条幅!$B$11:$B$310),INDEX(条幅!$E$11:$E$310,411-COUNTA(半紙!$B$11:$B$310)),IF(411&lt;=COUNTA(半紙!$B$11:$B$310)+COUNTA(条幅!$B$11:$B$310)+COUNTA(条幅4分の1!$B$11:$B$310),INDEX(条幅4分の1!$E$11:$E$310,411-COUNTA(半紙!$B$11:$B$310)-COUNTA(条幅!$B$11:$B$310)),"")))=0,"",IF(411&lt;=COUNTA(半紙!$B$11:$B$310),INDEX(半紙!$E$11:$E$310,411),IF(411&lt;=COUNTA(半紙!$B$11:$B$310)+COUNTA(条幅!$B$11:$B$310),INDEX(条幅!$E$11:$E$310,411-COUNTA(半紙!$B$11:$B$310)),IF(411&lt;=COUNTA(半紙!$B$11:$B$310)+COUNTA(条幅!$B$11:$B$310)+COUNTA(条幅4分の1!$B$11:$B$310),INDEX(条幅4分の1!$E$11:$E$310,411-COUNTA(半紙!$B$11:$B$310)-COUNTA(条幅!$B$11:$B$310)),""))))</f>
        <v/>
      </c>
      <c r="F416" s="38" t="str">
        <f>IF(IF(411&lt;=COUNTA(半紙!$B$11:$B$310),INDEX(半紙!$F$11:$F$310,411),IF(411&lt;=COUNTA(半紙!$B$11:$B$310)+COUNTA(条幅!$B$11:$B$310),INDEX(条幅!$F$11:$F$310,411-COUNTA(半紙!$B$11:$B$310)),IF(411&lt;=COUNTA(半紙!$B$11:$B$310)+COUNTA(条幅!$B$11:$B$310)+COUNTA(条幅4分の1!$B$11:$B$310),INDEX(条幅4分の1!$F$11:$F$310,411-COUNTA(半紙!$B$11:$B$310)-COUNTA(条幅!$B$11:$B$310)),"")))=0,"",IF(411&lt;=COUNTA(半紙!$B$11:$B$310),INDEX(半紙!$F$11:$F$310,411),IF(411&lt;=COUNTA(半紙!$B$11:$B$310)+COUNTA(条幅!$B$11:$B$310),INDEX(条幅!$F$11:$F$310,411-COUNTA(半紙!$B$11:$B$310)),IF(411&lt;=COUNTA(半紙!$B$11:$B$310)+COUNTA(条幅!$B$11:$B$310)+COUNTA(条幅4分の1!$B$11:$B$310),INDEX(条幅4分の1!$F$11:$F$310,411-COUNTA(半紙!$B$11:$B$310)-COUNTA(条幅!$B$11:$B$310)),""))))</f>
        <v/>
      </c>
      <c r="G416" s="38" t="str">
        <f>IF(IF(411&lt;=COUNTA(半紙!$B$11:$B$310),INDEX(半紙!$G$11:$G$310,411),IF(411&lt;=COUNTA(半紙!$B$11:$B$310)+COUNTA(条幅!$B$11:$B$310),INDEX(条幅!$G$11:$G$310,411-COUNTA(半紙!$B$11:$B$310)),IF(411&lt;=COUNTA(半紙!$B$11:$B$310)+COUNTA(条幅!$B$11:$B$310)+COUNTA(条幅4分の1!$B$11:$B$310),INDEX(条幅4分の1!$G$11:$G$310,411-COUNTA(半紙!$B$11:$B$310)-COUNTA(条幅!$B$11:$B$310)),"")))=0,"",IF(411&lt;=COUNTA(半紙!$B$11:$B$310),INDEX(半紙!$G$11:$G$310,411),IF(411&lt;=COUNTA(半紙!$B$11:$B$310)+COUNTA(条幅!$B$11:$B$310),INDEX(条幅!$G$11:$G$310,411-COUNTA(半紙!$B$11:$B$310)),IF(411&lt;=COUNTA(半紙!$B$11:$B$310)+COUNTA(条幅!$B$11:$B$310)+COUNTA(条幅4分の1!$B$11:$B$310),INDEX(条幅4分の1!$G$11:$G$310,411-COUNTA(半紙!$B$11:$B$310)-COUNTA(条幅!$B$11:$B$310)),""))))</f>
        <v/>
      </c>
      <c r="H416" s="38" t="str">
        <f>IF(IF(411&lt;=COUNTA(半紙!$B$11:$B$310),INDEX(半紙!$H$11:$H$310,411),IF(411&lt;=COUNTA(半紙!$B$11:$B$310)+COUNTA(条幅!$B$11:$B$310),INDEX(条幅!$H$11:$H$310,411-COUNTA(半紙!$B$11:$B$310)),IF(411&lt;=COUNTA(半紙!$B$11:$B$310)+COUNTA(条幅!$B$11:$B$310)+COUNTA(条幅4分の1!$B$11:$B$310),INDEX(条幅4分の1!$H$11:$H$310,411-COUNTA(半紙!$B$11:$B$310)-COUNTA(条幅!$B$11:$B$310)),"")))=0,"",IF(411&lt;=COUNTA(半紙!$B$11:$B$310),INDEX(半紙!$H$11:$H$310,411),IF(411&lt;=COUNTA(半紙!$B$11:$B$310)+COUNTA(条幅!$B$11:$B$310),INDEX(条幅!$H$11:$H$310,411-COUNTA(半紙!$B$11:$B$310)),IF(411&lt;=COUNTA(半紙!$B$11:$B$310)+COUNTA(条幅!$B$11:$B$310)+COUNTA(条幅4分の1!$B$11:$B$310),INDEX(条幅4分の1!$H$11:$H$310,411-COUNTA(半紙!$B$11:$B$310)-COUNTA(条幅!$B$11:$B$310)),""))))</f>
        <v/>
      </c>
      <c r="I416" s="38" t="str">
        <f>IF(IF(411&lt;=COUNTA(半紙!$B$11:$B$310),INDEX(半紙!$I$11:$I$310,411),IF(411&lt;=COUNTA(半紙!$B$11:$B$310)+COUNTA(条幅!$B$11:$B$310),INDEX(条幅!$I$11:$I$310,411-COUNTA(半紙!$B$11:$B$310)),IF(411&lt;=COUNTA(半紙!$B$11:$B$310)+COUNTA(条幅!$B$11:$B$310)+COUNTA(条幅4分の1!$B$11:$B$310),INDEX(条幅4分の1!$I$11:$I$310,411-COUNTA(半紙!$B$11:$B$310)-COUNTA(条幅!$B$11:$B$310)),"")))=0,"",IF(411&lt;=COUNTA(半紙!$B$11:$B$310),INDEX(半紙!$I$11:$I$310,411),IF(411&lt;=COUNTA(半紙!$B$11:$B$310)+COUNTA(条幅!$B$11:$B$310),INDEX(条幅!$I$11:$I$310,411-COUNTA(半紙!$B$11:$B$310)),IF(411&lt;=COUNTA(半紙!$B$11:$B$310)+COUNTA(条幅!$B$11:$B$310)+COUNTA(条幅4分の1!$B$11:$B$310),INDEX(条幅4分の1!$I$11:$I$310,411-COUNTA(半紙!$B$11:$B$310)-COUNTA(条幅!$B$11:$B$310)),""))))</f>
        <v/>
      </c>
      <c r="J416" s="38" t="str">
        <f>IF(IF(411&lt;=COUNTA(半紙!$B$11:$B$310),INDEX(半紙!$J$11:$J$310,411),IF(411&lt;=COUNTA(半紙!$B$11:$B$310)+COUNTA(条幅!$B$11:$B$310),INDEX(条幅!$J$11:$J$310,411-COUNTA(半紙!$B$11:$B$310)),IF(411&lt;=COUNTA(半紙!$B$11:$B$310)+COUNTA(条幅!$B$11:$B$310)+COUNTA(条幅4分の1!$B$11:$B$310),INDEX(条幅4分の1!$J$11:$J$310,411-COUNTA(半紙!$B$11:$B$310)-COUNTA(条幅!$B$11:$B$310)),"")))=0,"",IF(411&lt;=COUNTA(半紙!$B$11:$B$310),INDEX(半紙!$J$11:$J$310,411),IF(411&lt;=COUNTA(半紙!$B$11:$B$310)+COUNTA(条幅!$B$11:$B$310),INDEX(条幅!$J$11:$J$310,411-COUNTA(半紙!$B$11:$B$310)),IF(411&lt;=COUNTA(半紙!$B$11:$B$310)+COUNTA(条幅!$B$11:$B$310)+COUNTA(条幅4分の1!$B$11:$B$310),INDEX(条幅4分の1!$J$11:$J$310,411-COUNTA(半紙!$B$11:$B$310)-COUNTA(条幅!$B$11:$B$310)),""))))</f>
        <v/>
      </c>
      <c r="K416" s="38" t="str">
        <f>IF(IF(411&lt;=COUNTA(半紙!$B$11:$B$310),INDEX(半紙!$K$11:$K$310,411),IF(411&lt;=COUNTA(半紙!$B$11:$B$310)+COUNTA(条幅!$B$11:$B$310),INDEX(条幅!$K$11:$K$310,411-COUNTA(半紙!$B$11:$B$310)),IF(411&lt;=COUNTA(半紙!$B$11:$B$310)+COUNTA(条幅!$B$11:$B$310)+COUNTA(条幅4分の1!$B$11:$B$310),INDEX(条幅4分の1!$K$11:$K$310,411-COUNTA(半紙!$B$11:$B$310)-COUNTA(条幅!$B$11:$B$310)),"")))=0,"",IF(411&lt;=COUNTA(半紙!$B$11:$B$310),INDEX(半紙!$K$11:$K$310,411),IF(411&lt;=COUNTA(半紙!$B$11:$B$310)+COUNTA(条幅!$B$11:$B$310),INDEX(条幅!$K$11:$K$310,411-COUNTA(半紙!$B$11:$B$310)),IF(411&lt;=COUNTA(半紙!$B$11:$B$310)+COUNTA(条幅!$B$11:$B$310)+COUNTA(条幅4分の1!$B$11:$B$310),INDEX(条幅4分の1!$K$11:$K$310,411-COUNTA(半紙!$B$11:$B$310)-COUNTA(条幅!$B$11:$B$310)),""))))</f>
        <v/>
      </c>
      <c r="L416" s="48" t="str">
        <f>IF($B416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411))</f>
        <v/>
      </c>
    </row>
    <row r="417" spans="1:12" ht="15" customHeight="1">
      <c r="A417" s="37" t="str">
        <f>IF(412&lt;=COUNTA(半紙!$B$11:$B$310),"半紙",IF(412&lt;=COUNTA(半紙!$B$11:$B$310)+COUNTA(条幅!$B$11:$B$310),"条幅(半切)",IF(412&lt;=COUNTA(半紙!$B$11:$B$310)+COUNTA(条幅!$B$11:$B$310)+COUNTA(条幅4分の1!$B$11:$B$310),"条幅(1/4)","")))</f>
        <v/>
      </c>
      <c r="B417" s="38" t="str">
        <f>IF(IF(412&lt;=COUNTA(半紙!$B$11:$B$310),INDEX(半紙!$B$11:$B$310,412),IF(412&lt;=COUNTA(半紙!$B$11:$B$310)+COUNTA(条幅!$B$11:$B$310),INDEX(条幅!$B$11:$B$310,412-COUNTA(半紙!$B$11:$B$310)),IF(412&lt;=COUNTA(半紙!$B$11:$B$310)+COUNTA(条幅!$B$11:$B$310)+COUNTA(条幅4分の1!$B$11:$B$310),INDEX(条幅4分の1!$B$11:$B$310,412-COUNTA(半紙!$B$11:$B$310)-COUNTA(条幅!$B$11:$B$310)),"")))=0,"",IF(412&lt;=COUNTA(半紙!$B$11:$B$310),INDEX(半紙!$B$11:$B$310,412),IF(412&lt;=COUNTA(半紙!$B$11:$B$310)+COUNTA(条幅!$B$11:$B$310),INDEX(条幅!$B$11:$B$310,412-COUNTA(半紙!$B$11:$B$310)),IF(412&lt;=COUNTA(半紙!$B$11:$B$310)+COUNTA(条幅!$B$11:$B$310)+COUNTA(条幅4分の1!$B$11:$B$310),INDEX(条幅4分の1!$B$11:$B$310,412-COUNTA(半紙!$B$11:$B$310)-COUNTA(条幅!$B$11:$B$310)),""))))</f>
        <v/>
      </c>
      <c r="C417" s="38" t="str">
        <f>IF(IF(412&lt;=COUNTA(半紙!$B$11:$B$310),INDEX(半紙!$C$11:$C$310,412),IF(412&lt;=COUNTA(半紙!$B$11:$B$310)+COUNTA(条幅!$B$11:$B$310),INDEX(条幅!$C$11:$C$310,412-COUNTA(半紙!$B$11:$B$310)),IF(412&lt;=COUNTA(半紙!$B$11:$B$310)+COUNTA(条幅!$B$11:$B$310)+COUNTA(条幅4分の1!$B$11:$B$310),INDEX(条幅4分の1!$C$11:$C$310,412-COUNTA(半紙!$B$11:$B$310)-COUNTA(条幅!$B$11:$B$310)),"")))=0,"",IF(412&lt;=COUNTA(半紙!$B$11:$B$310),INDEX(半紙!$C$11:$C$310,412),IF(412&lt;=COUNTA(半紙!$B$11:$B$310)+COUNTA(条幅!$B$11:$B$310),INDEX(条幅!$C$11:$C$310,412-COUNTA(半紙!$B$11:$B$310)),IF(412&lt;=COUNTA(半紙!$B$11:$B$310)+COUNTA(条幅!$B$11:$B$310)+COUNTA(条幅4分の1!$B$11:$B$310),INDEX(条幅4分の1!$C$11:$C$310,412-COUNTA(半紙!$B$11:$B$310)-COUNTA(条幅!$B$11:$B$310)),""))))</f>
        <v/>
      </c>
      <c r="D417" s="38" t="str">
        <f>IF(IF(412&lt;=COUNTA(半紙!$B$11:$B$310),INDEX(半紙!$D$11:$D$310,412),IF(412&lt;=COUNTA(半紙!$B$11:$B$310)+COUNTA(条幅!$B$11:$B$310),INDEX(条幅!$D$11:$D$310,412-COUNTA(半紙!$B$11:$B$310)),IF(412&lt;=COUNTA(半紙!$B$11:$B$310)+COUNTA(条幅!$B$11:$B$310)+COUNTA(条幅4分の1!$B$11:$B$310),INDEX(条幅4分の1!$D$11:$D$310,412-COUNTA(半紙!$B$11:$B$310)-COUNTA(条幅!$B$11:$B$310)),"")))=0,"",IF(412&lt;=COUNTA(半紙!$B$11:$B$310),INDEX(半紙!$D$11:$D$310,412),IF(412&lt;=COUNTA(半紙!$B$11:$B$310)+COUNTA(条幅!$B$11:$B$310),INDEX(条幅!$D$11:$D$310,412-COUNTA(半紙!$B$11:$B$310)),IF(412&lt;=COUNTA(半紙!$B$11:$B$310)+COUNTA(条幅!$B$11:$B$310)+COUNTA(条幅4分の1!$B$11:$B$310),INDEX(条幅4分の1!$D$11:$D$310,412-COUNTA(半紙!$B$11:$B$310)-COUNTA(条幅!$B$11:$B$310)),""))))</f>
        <v/>
      </c>
      <c r="E417" s="38" t="str">
        <f>IF(IF(412&lt;=COUNTA(半紙!$B$11:$B$310),INDEX(半紙!$E$11:$E$310,412),IF(412&lt;=COUNTA(半紙!$B$11:$B$310)+COUNTA(条幅!$B$11:$B$310),INDEX(条幅!$E$11:$E$310,412-COUNTA(半紙!$B$11:$B$310)),IF(412&lt;=COUNTA(半紙!$B$11:$B$310)+COUNTA(条幅!$B$11:$B$310)+COUNTA(条幅4分の1!$B$11:$B$310),INDEX(条幅4分の1!$E$11:$E$310,412-COUNTA(半紙!$B$11:$B$310)-COUNTA(条幅!$B$11:$B$310)),"")))=0,"",IF(412&lt;=COUNTA(半紙!$B$11:$B$310),INDEX(半紙!$E$11:$E$310,412),IF(412&lt;=COUNTA(半紙!$B$11:$B$310)+COUNTA(条幅!$B$11:$B$310),INDEX(条幅!$E$11:$E$310,412-COUNTA(半紙!$B$11:$B$310)),IF(412&lt;=COUNTA(半紙!$B$11:$B$310)+COUNTA(条幅!$B$11:$B$310)+COUNTA(条幅4分の1!$B$11:$B$310),INDEX(条幅4分の1!$E$11:$E$310,412-COUNTA(半紙!$B$11:$B$310)-COUNTA(条幅!$B$11:$B$310)),""))))</f>
        <v/>
      </c>
      <c r="F417" s="38" t="str">
        <f>IF(IF(412&lt;=COUNTA(半紙!$B$11:$B$310),INDEX(半紙!$F$11:$F$310,412),IF(412&lt;=COUNTA(半紙!$B$11:$B$310)+COUNTA(条幅!$B$11:$B$310),INDEX(条幅!$F$11:$F$310,412-COUNTA(半紙!$B$11:$B$310)),IF(412&lt;=COUNTA(半紙!$B$11:$B$310)+COUNTA(条幅!$B$11:$B$310)+COUNTA(条幅4分の1!$B$11:$B$310),INDEX(条幅4分の1!$F$11:$F$310,412-COUNTA(半紙!$B$11:$B$310)-COUNTA(条幅!$B$11:$B$310)),"")))=0,"",IF(412&lt;=COUNTA(半紙!$B$11:$B$310),INDEX(半紙!$F$11:$F$310,412),IF(412&lt;=COUNTA(半紙!$B$11:$B$310)+COUNTA(条幅!$B$11:$B$310),INDEX(条幅!$F$11:$F$310,412-COUNTA(半紙!$B$11:$B$310)),IF(412&lt;=COUNTA(半紙!$B$11:$B$310)+COUNTA(条幅!$B$11:$B$310)+COUNTA(条幅4分の1!$B$11:$B$310),INDEX(条幅4分の1!$F$11:$F$310,412-COUNTA(半紙!$B$11:$B$310)-COUNTA(条幅!$B$11:$B$310)),""))))</f>
        <v/>
      </c>
      <c r="G417" s="38" t="str">
        <f>IF(IF(412&lt;=COUNTA(半紙!$B$11:$B$310),INDEX(半紙!$G$11:$G$310,412),IF(412&lt;=COUNTA(半紙!$B$11:$B$310)+COUNTA(条幅!$B$11:$B$310),INDEX(条幅!$G$11:$G$310,412-COUNTA(半紙!$B$11:$B$310)),IF(412&lt;=COUNTA(半紙!$B$11:$B$310)+COUNTA(条幅!$B$11:$B$310)+COUNTA(条幅4分の1!$B$11:$B$310),INDEX(条幅4分の1!$G$11:$G$310,412-COUNTA(半紙!$B$11:$B$310)-COUNTA(条幅!$B$11:$B$310)),"")))=0,"",IF(412&lt;=COUNTA(半紙!$B$11:$B$310),INDEX(半紙!$G$11:$G$310,412),IF(412&lt;=COUNTA(半紙!$B$11:$B$310)+COUNTA(条幅!$B$11:$B$310),INDEX(条幅!$G$11:$G$310,412-COUNTA(半紙!$B$11:$B$310)),IF(412&lt;=COUNTA(半紙!$B$11:$B$310)+COUNTA(条幅!$B$11:$B$310)+COUNTA(条幅4分の1!$B$11:$B$310),INDEX(条幅4分の1!$G$11:$G$310,412-COUNTA(半紙!$B$11:$B$310)-COUNTA(条幅!$B$11:$B$310)),""))))</f>
        <v/>
      </c>
      <c r="H417" s="38" t="str">
        <f>IF(IF(412&lt;=COUNTA(半紙!$B$11:$B$310),INDEX(半紙!$H$11:$H$310,412),IF(412&lt;=COUNTA(半紙!$B$11:$B$310)+COUNTA(条幅!$B$11:$B$310),INDEX(条幅!$H$11:$H$310,412-COUNTA(半紙!$B$11:$B$310)),IF(412&lt;=COUNTA(半紙!$B$11:$B$310)+COUNTA(条幅!$B$11:$B$310)+COUNTA(条幅4分の1!$B$11:$B$310),INDEX(条幅4分の1!$H$11:$H$310,412-COUNTA(半紙!$B$11:$B$310)-COUNTA(条幅!$B$11:$B$310)),"")))=0,"",IF(412&lt;=COUNTA(半紙!$B$11:$B$310),INDEX(半紙!$H$11:$H$310,412),IF(412&lt;=COUNTA(半紙!$B$11:$B$310)+COUNTA(条幅!$B$11:$B$310),INDEX(条幅!$H$11:$H$310,412-COUNTA(半紙!$B$11:$B$310)),IF(412&lt;=COUNTA(半紙!$B$11:$B$310)+COUNTA(条幅!$B$11:$B$310)+COUNTA(条幅4分の1!$B$11:$B$310),INDEX(条幅4分の1!$H$11:$H$310,412-COUNTA(半紙!$B$11:$B$310)-COUNTA(条幅!$B$11:$B$310)),""))))</f>
        <v/>
      </c>
      <c r="I417" s="38" t="str">
        <f>IF(IF(412&lt;=COUNTA(半紙!$B$11:$B$310),INDEX(半紙!$I$11:$I$310,412),IF(412&lt;=COUNTA(半紙!$B$11:$B$310)+COUNTA(条幅!$B$11:$B$310),INDEX(条幅!$I$11:$I$310,412-COUNTA(半紙!$B$11:$B$310)),IF(412&lt;=COUNTA(半紙!$B$11:$B$310)+COUNTA(条幅!$B$11:$B$310)+COUNTA(条幅4分の1!$B$11:$B$310),INDEX(条幅4分の1!$I$11:$I$310,412-COUNTA(半紙!$B$11:$B$310)-COUNTA(条幅!$B$11:$B$310)),"")))=0,"",IF(412&lt;=COUNTA(半紙!$B$11:$B$310),INDEX(半紙!$I$11:$I$310,412),IF(412&lt;=COUNTA(半紙!$B$11:$B$310)+COUNTA(条幅!$B$11:$B$310),INDEX(条幅!$I$11:$I$310,412-COUNTA(半紙!$B$11:$B$310)),IF(412&lt;=COUNTA(半紙!$B$11:$B$310)+COUNTA(条幅!$B$11:$B$310)+COUNTA(条幅4分の1!$B$11:$B$310),INDEX(条幅4分の1!$I$11:$I$310,412-COUNTA(半紙!$B$11:$B$310)-COUNTA(条幅!$B$11:$B$310)),""))))</f>
        <v/>
      </c>
      <c r="J417" s="38" t="str">
        <f>IF(IF(412&lt;=COUNTA(半紙!$B$11:$B$310),INDEX(半紙!$J$11:$J$310,412),IF(412&lt;=COUNTA(半紙!$B$11:$B$310)+COUNTA(条幅!$B$11:$B$310),INDEX(条幅!$J$11:$J$310,412-COUNTA(半紙!$B$11:$B$310)),IF(412&lt;=COUNTA(半紙!$B$11:$B$310)+COUNTA(条幅!$B$11:$B$310)+COUNTA(条幅4分の1!$B$11:$B$310),INDEX(条幅4分の1!$J$11:$J$310,412-COUNTA(半紙!$B$11:$B$310)-COUNTA(条幅!$B$11:$B$310)),"")))=0,"",IF(412&lt;=COUNTA(半紙!$B$11:$B$310),INDEX(半紙!$J$11:$J$310,412),IF(412&lt;=COUNTA(半紙!$B$11:$B$310)+COUNTA(条幅!$B$11:$B$310),INDEX(条幅!$J$11:$J$310,412-COUNTA(半紙!$B$11:$B$310)),IF(412&lt;=COUNTA(半紙!$B$11:$B$310)+COUNTA(条幅!$B$11:$B$310)+COUNTA(条幅4分の1!$B$11:$B$310),INDEX(条幅4分の1!$J$11:$J$310,412-COUNTA(半紙!$B$11:$B$310)-COUNTA(条幅!$B$11:$B$310)),""))))</f>
        <v/>
      </c>
      <c r="K417" s="38" t="str">
        <f>IF(IF(412&lt;=COUNTA(半紙!$B$11:$B$310),INDEX(半紙!$K$11:$K$310,412),IF(412&lt;=COUNTA(半紙!$B$11:$B$310)+COUNTA(条幅!$B$11:$B$310),INDEX(条幅!$K$11:$K$310,412-COUNTA(半紙!$B$11:$B$310)),IF(412&lt;=COUNTA(半紙!$B$11:$B$310)+COUNTA(条幅!$B$11:$B$310)+COUNTA(条幅4分の1!$B$11:$B$310),INDEX(条幅4分の1!$K$11:$K$310,412-COUNTA(半紙!$B$11:$B$310)-COUNTA(条幅!$B$11:$B$310)),"")))=0,"",IF(412&lt;=COUNTA(半紙!$B$11:$B$310),INDEX(半紙!$K$11:$K$310,412),IF(412&lt;=COUNTA(半紙!$B$11:$B$310)+COUNTA(条幅!$B$11:$B$310),INDEX(条幅!$K$11:$K$310,412-COUNTA(半紙!$B$11:$B$310)),IF(412&lt;=COUNTA(半紙!$B$11:$B$310)+COUNTA(条幅!$B$11:$B$310)+COUNTA(条幅4分の1!$B$11:$B$310),INDEX(条幅4分の1!$K$11:$K$310,412-COUNTA(半紙!$B$11:$B$310)-COUNTA(条幅!$B$11:$B$310)),""))))</f>
        <v/>
      </c>
      <c r="L417" s="48" t="str">
        <f>IF($B417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412))</f>
        <v/>
      </c>
    </row>
    <row r="418" spans="1:12" ht="15" customHeight="1">
      <c r="A418" s="37" t="str">
        <f>IF(413&lt;=COUNTA(半紙!$B$11:$B$310),"半紙",IF(413&lt;=COUNTA(半紙!$B$11:$B$310)+COUNTA(条幅!$B$11:$B$310),"条幅(半切)",IF(413&lt;=COUNTA(半紙!$B$11:$B$310)+COUNTA(条幅!$B$11:$B$310)+COUNTA(条幅4分の1!$B$11:$B$310),"条幅(1/4)","")))</f>
        <v/>
      </c>
      <c r="B418" s="38" t="str">
        <f>IF(IF(413&lt;=COUNTA(半紙!$B$11:$B$310),INDEX(半紙!$B$11:$B$310,413),IF(413&lt;=COUNTA(半紙!$B$11:$B$310)+COUNTA(条幅!$B$11:$B$310),INDEX(条幅!$B$11:$B$310,413-COUNTA(半紙!$B$11:$B$310)),IF(413&lt;=COUNTA(半紙!$B$11:$B$310)+COUNTA(条幅!$B$11:$B$310)+COUNTA(条幅4分の1!$B$11:$B$310),INDEX(条幅4分の1!$B$11:$B$310,413-COUNTA(半紙!$B$11:$B$310)-COUNTA(条幅!$B$11:$B$310)),"")))=0,"",IF(413&lt;=COUNTA(半紙!$B$11:$B$310),INDEX(半紙!$B$11:$B$310,413),IF(413&lt;=COUNTA(半紙!$B$11:$B$310)+COUNTA(条幅!$B$11:$B$310),INDEX(条幅!$B$11:$B$310,413-COUNTA(半紙!$B$11:$B$310)),IF(413&lt;=COUNTA(半紙!$B$11:$B$310)+COUNTA(条幅!$B$11:$B$310)+COUNTA(条幅4分の1!$B$11:$B$310),INDEX(条幅4分の1!$B$11:$B$310,413-COUNTA(半紙!$B$11:$B$310)-COUNTA(条幅!$B$11:$B$310)),""))))</f>
        <v/>
      </c>
      <c r="C418" s="38" t="str">
        <f>IF(IF(413&lt;=COUNTA(半紙!$B$11:$B$310),INDEX(半紙!$C$11:$C$310,413),IF(413&lt;=COUNTA(半紙!$B$11:$B$310)+COUNTA(条幅!$B$11:$B$310),INDEX(条幅!$C$11:$C$310,413-COUNTA(半紙!$B$11:$B$310)),IF(413&lt;=COUNTA(半紙!$B$11:$B$310)+COUNTA(条幅!$B$11:$B$310)+COUNTA(条幅4分の1!$B$11:$B$310),INDEX(条幅4分の1!$C$11:$C$310,413-COUNTA(半紙!$B$11:$B$310)-COUNTA(条幅!$B$11:$B$310)),"")))=0,"",IF(413&lt;=COUNTA(半紙!$B$11:$B$310),INDEX(半紙!$C$11:$C$310,413),IF(413&lt;=COUNTA(半紙!$B$11:$B$310)+COUNTA(条幅!$B$11:$B$310),INDEX(条幅!$C$11:$C$310,413-COUNTA(半紙!$B$11:$B$310)),IF(413&lt;=COUNTA(半紙!$B$11:$B$310)+COUNTA(条幅!$B$11:$B$310)+COUNTA(条幅4分の1!$B$11:$B$310),INDEX(条幅4分の1!$C$11:$C$310,413-COUNTA(半紙!$B$11:$B$310)-COUNTA(条幅!$B$11:$B$310)),""))))</f>
        <v/>
      </c>
      <c r="D418" s="38" t="str">
        <f>IF(IF(413&lt;=COUNTA(半紙!$B$11:$B$310),INDEX(半紙!$D$11:$D$310,413),IF(413&lt;=COUNTA(半紙!$B$11:$B$310)+COUNTA(条幅!$B$11:$B$310),INDEX(条幅!$D$11:$D$310,413-COUNTA(半紙!$B$11:$B$310)),IF(413&lt;=COUNTA(半紙!$B$11:$B$310)+COUNTA(条幅!$B$11:$B$310)+COUNTA(条幅4分の1!$B$11:$B$310),INDEX(条幅4分の1!$D$11:$D$310,413-COUNTA(半紙!$B$11:$B$310)-COUNTA(条幅!$B$11:$B$310)),"")))=0,"",IF(413&lt;=COUNTA(半紙!$B$11:$B$310),INDEX(半紙!$D$11:$D$310,413),IF(413&lt;=COUNTA(半紙!$B$11:$B$310)+COUNTA(条幅!$B$11:$B$310),INDEX(条幅!$D$11:$D$310,413-COUNTA(半紙!$B$11:$B$310)),IF(413&lt;=COUNTA(半紙!$B$11:$B$310)+COUNTA(条幅!$B$11:$B$310)+COUNTA(条幅4分の1!$B$11:$B$310),INDEX(条幅4分の1!$D$11:$D$310,413-COUNTA(半紙!$B$11:$B$310)-COUNTA(条幅!$B$11:$B$310)),""))))</f>
        <v/>
      </c>
      <c r="E418" s="38" t="str">
        <f>IF(IF(413&lt;=COUNTA(半紙!$B$11:$B$310),INDEX(半紙!$E$11:$E$310,413),IF(413&lt;=COUNTA(半紙!$B$11:$B$310)+COUNTA(条幅!$B$11:$B$310),INDEX(条幅!$E$11:$E$310,413-COUNTA(半紙!$B$11:$B$310)),IF(413&lt;=COUNTA(半紙!$B$11:$B$310)+COUNTA(条幅!$B$11:$B$310)+COUNTA(条幅4分の1!$B$11:$B$310),INDEX(条幅4分の1!$E$11:$E$310,413-COUNTA(半紙!$B$11:$B$310)-COUNTA(条幅!$B$11:$B$310)),"")))=0,"",IF(413&lt;=COUNTA(半紙!$B$11:$B$310),INDEX(半紙!$E$11:$E$310,413),IF(413&lt;=COUNTA(半紙!$B$11:$B$310)+COUNTA(条幅!$B$11:$B$310),INDEX(条幅!$E$11:$E$310,413-COUNTA(半紙!$B$11:$B$310)),IF(413&lt;=COUNTA(半紙!$B$11:$B$310)+COUNTA(条幅!$B$11:$B$310)+COUNTA(条幅4分の1!$B$11:$B$310),INDEX(条幅4分の1!$E$11:$E$310,413-COUNTA(半紙!$B$11:$B$310)-COUNTA(条幅!$B$11:$B$310)),""))))</f>
        <v/>
      </c>
      <c r="F418" s="38" t="str">
        <f>IF(IF(413&lt;=COUNTA(半紙!$B$11:$B$310),INDEX(半紙!$F$11:$F$310,413),IF(413&lt;=COUNTA(半紙!$B$11:$B$310)+COUNTA(条幅!$B$11:$B$310),INDEX(条幅!$F$11:$F$310,413-COUNTA(半紙!$B$11:$B$310)),IF(413&lt;=COUNTA(半紙!$B$11:$B$310)+COUNTA(条幅!$B$11:$B$310)+COUNTA(条幅4分の1!$B$11:$B$310),INDEX(条幅4分の1!$F$11:$F$310,413-COUNTA(半紙!$B$11:$B$310)-COUNTA(条幅!$B$11:$B$310)),"")))=0,"",IF(413&lt;=COUNTA(半紙!$B$11:$B$310),INDEX(半紙!$F$11:$F$310,413),IF(413&lt;=COUNTA(半紙!$B$11:$B$310)+COUNTA(条幅!$B$11:$B$310),INDEX(条幅!$F$11:$F$310,413-COUNTA(半紙!$B$11:$B$310)),IF(413&lt;=COUNTA(半紙!$B$11:$B$310)+COUNTA(条幅!$B$11:$B$310)+COUNTA(条幅4分の1!$B$11:$B$310),INDEX(条幅4分の1!$F$11:$F$310,413-COUNTA(半紙!$B$11:$B$310)-COUNTA(条幅!$B$11:$B$310)),""))))</f>
        <v/>
      </c>
      <c r="G418" s="38" t="str">
        <f>IF(IF(413&lt;=COUNTA(半紙!$B$11:$B$310),INDEX(半紙!$G$11:$G$310,413),IF(413&lt;=COUNTA(半紙!$B$11:$B$310)+COUNTA(条幅!$B$11:$B$310),INDEX(条幅!$G$11:$G$310,413-COUNTA(半紙!$B$11:$B$310)),IF(413&lt;=COUNTA(半紙!$B$11:$B$310)+COUNTA(条幅!$B$11:$B$310)+COUNTA(条幅4分の1!$B$11:$B$310),INDEX(条幅4分の1!$G$11:$G$310,413-COUNTA(半紙!$B$11:$B$310)-COUNTA(条幅!$B$11:$B$310)),"")))=0,"",IF(413&lt;=COUNTA(半紙!$B$11:$B$310),INDEX(半紙!$G$11:$G$310,413),IF(413&lt;=COUNTA(半紙!$B$11:$B$310)+COUNTA(条幅!$B$11:$B$310),INDEX(条幅!$G$11:$G$310,413-COUNTA(半紙!$B$11:$B$310)),IF(413&lt;=COUNTA(半紙!$B$11:$B$310)+COUNTA(条幅!$B$11:$B$310)+COUNTA(条幅4分の1!$B$11:$B$310),INDEX(条幅4分の1!$G$11:$G$310,413-COUNTA(半紙!$B$11:$B$310)-COUNTA(条幅!$B$11:$B$310)),""))))</f>
        <v/>
      </c>
      <c r="H418" s="38" t="str">
        <f>IF(IF(413&lt;=COUNTA(半紙!$B$11:$B$310),INDEX(半紙!$H$11:$H$310,413),IF(413&lt;=COUNTA(半紙!$B$11:$B$310)+COUNTA(条幅!$B$11:$B$310),INDEX(条幅!$H$11:$H$310,413-COUNTA(半紙!$B$11:$B$310)),IF(413&lt;=COUNTA(半紙!$B$11:$B$310)+COUNTA(条幅!$B$11:$B$310)+COUNTA(条幅4分の1!$B$11:$B$310),INDEX(条幅4分の1!$H$11:$H$310,413-COUNTA(半紙!$B$11:$B$310)-COUNTA(条幅!$B$11:$B$310)),"")))=0,"",IF(413&lt;=COUNTA(半紙!$B$11:$B$310),INDEX(半紙!$H$11:$H$310,413),IF(413&lt;=COUNTA(半紙!$B$11:$B$310)+COUNTA(条幅!$B$11:$B$310),INDEX(条幅!$H$11:$H$310,413-COUNTA(半紙!$B$11:$B$310)),IF(413&lt;=COUNTA(半紙!$B$11:$B$310)+COUNTA(条幅!$B$11:$B$310)+COUNTA(条幅4分の1!$B$11:$B$310),INDEX(条幅4分の1!$H$11:$H$310,413-COUNTA(半紙!$B$11:$B$310)-COUNTA(条幅!$B$11:$B$310)),""))))</f>
        <v/>
      </c>
      <c r="I418" s="38" t="str">
        <f>IF(IF(413&lt;=COUNTA(半紙!$B$11:$B$310),INDEX(半紙!$I$11:$I$310,413),IF(413&lt;=COUNTA(半紙!$B$11:$B$310)+COUNTA(条幅!$B$11:$B$310),INDEX(条幅!$I$11:$I$310,413-COUNTA(半紙!$B$11:$B$310)),IF(413&lt;=COUNTA(半紙!$B$11:$B$310)+COUNTA(条幅!$B$11:$B$310)+COUNTA(条幅4分の1!$B$11:$B$310),INDEX(条幅4分の1!$I$11:$I$310,413-COUNTA(半紙!$B$11:$B$310)-COUNTA(条幅!$B$11:$B$310)),"")))=0,"",IF(413&lt;=COUNTA(半紙!$B$11:$B$310),INDEX(半紙!$I$11:$I$310,413),IF(413&lt;=COUNTA(半紙!$B$11:$B$310)+COUNTA(条幅!$B$11:$B$310),INDEX(条幅!$I$11:$I$310,413-COUNTA(半紙!$B$11:$B$310)),IF(413&lt;=COUNTA(半紙!$B$11:$B$310)+COUNTA(条幅!$B$11:$B$310)+COUNTA(条幅4分の1!$B$11:$B$310),INDEX(条幅4分の1!$I$11:$I$310,413-COUNTA(半紙!$B$11:$B$310)-COUNTA(条幅!$B$11:$B$310)),""))))</f>
        <v/>
      </c>
      <c r="J418" s="38" t="str">
        <f>IF(IF(413&lt;=COUNTA(半紙!$B$11:$B$310),INDEX(半紙!$J$11:$J$310,413),IF(413&lt;=COUNTA(半紙!$B$11:$B$310)+COUNTA(条幅!$B$11:$B$310),INDEX(条幅!$J$11:$J$310,413-COUNTA(半紙!$B$11:$B$310)),IF(413&lt;=COUNTA(半紙!$B$11:$B$310)+COUNTA(条幅!$B$11:$B$310)+COUNTA(条幅4分の1!$B$11:$B$310),INDEX(条幅4分の1!$J$11:$J$310,413-COUNTA(半紙!$B$11:$B$310)-COUNTA(条幅!$B$11:$B$310)),"")))=0,"",IF(413&lt;=COUNTA(半紙!$B$11:$B$310),INDEX(半紙!$J$11:$J$310,413),IF(413&lt;=COUNTA(半紙!$B$11:$B$310)+COUNTA(条幅!$B$11:$B$310),INDEX(条幅!$J$11:$J$310,413-COUNTA(半紙!$B$11:$B$310)),IF(413&lt;=COUNTA(半紙!$B$11:$B$310)+COUNTA(条幅!$B$11:$B$310)+COUNTA(条幅4分の1!$B$11:$B$310),INDEX(条幅4分の1!$J$11:$J$310,413-COUNTA(半紙!$B$11:$B$310)-COUNTA(条幅!$B$11:$B$310)),""))))</f>
        <v/>
      </c>
      <c r="K418" s="38" t="str">
        <f>IF(IF(413&lt;=COUNTA(半紙!$B$11:$B$310),INDEX(半紙!$K$11:$K$310,413),IF(413&lt;=COUNTA(半紙!$B$11:$B$310)+COUNTA(条幅!$B$11:$B$310),INDEX(条幅!$K$11:$K$310,413-COUNTA(半紙!$B$11:$B$310)),IF(413&lt;=COUNTA(半紙!$B$11:$B$310)+COUNTA(条幅!$B$11:$B$310)+COUNTA(条幅4分の1!$B$11:$B$310),INDEX(条幅4分の1!$K$11:$K$310,413-COUNTA(半紙!$B$11:$B$310)-COUNTA(条幅!$B$11:$B$310)),"")))=0,"",IF(413&lt;=COUNTA(半紙!$B$11:$B$310),INDEX(半紙!$K$11:$K$310,413),IF(413&lt;=COUNTA(半紙!$B$11:$B$310)+COUNTA(条幅!$B$11:$B$310),INDEX(条幅!$K$11:$K$310,413-COUNTA(半紙!$B$11:$B$310)),IF(413&lt;=COUNTA(半紙!$B$11:$B$310)+COUNTA(条幅!$B$11:$B$310)+COUNTA(条幅4分の1!$B$11:$B$310),INDEX(条幅4分の1!$K$11:$K$310,413-COUNTA(半紙!$B$11:$B$310)-COUNTA(条幅!$B$11:$B$310)),""))))</f>
        <v/>
      </c>
      <c r="L418" s="48" t="str">
        <f>IF($B418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413))</f>
        <v/>
      </c>
    </row>
    <row r="419" spans="1:12" ht="15" customHeight="1">
      <c r="A419" s="37" t="str">
        <f>IF(414&lt;=COUNTA(半紙!$B$11:$B$310),"半紙",IF(414&lt;=COUNTA(半紙!$B$11:$B$310)+COUNTA(条幅!$B$11:$B$310),"条幅(半切)",IF(414&lt;=COUNTA(半紙!$B$11:$B$310)+COUNTA(条幅!$B$11:$B$310)+COUNTA(条幅4分の1!$B$11:$B$310),"条幅(1/4)","")))</f>
        <v/>
      </c>
      <c r="B419" s="38" t="str">
        <f>IF(IF(414&lt;=COUNTA(半紙!$B$11:$B$310),INDEX(半紙!$B$11:$B$310,414),IF(414&lt;=COUNTA(半紙!$B$11:$B$310)+COUNTA(条幅!$B$11:$B$310),INDEX(条幅!$B$11:$B$310,414-COUNTA(半紙!$B$11:$B$310)),IF(414&lt;=COUNTA(半紙!$B$11:$B$310)+COUNTA(条幅!$B$11:$B$310)+COUNTA(条幅4分の1!$B$11:$B$310),INDEX(条幅4分の1!$B$11:$B$310,414-COUNTA(半紙!$B$11:$B$310)-COUNTA(条幅!$B$11:$B$310)),"")))=0,"",IF(414&lt;=COUNTA(半紙!$B$11:$B$310),INDEX(半紙!$B$11:$B$310,414),IF(414&lt;=COUNTA(半紙!$B$11:$B$310)+COUNTA(条幅!$B$11:$B$310),INDEX(条幅!$B$11:$B$310,414-COUNTA(半紙!$B$11:$B$310)),IF(414&lt;=COUNTA(半紙!$B$11:$B$310)+COUNTA(条幅!$B$11:$B$310)+COUNTA(条幅4分の1!$B$11:$B$310),INDEX(条幅4分の1!$B$11:$B$310,414-COUNTA(半紙!$B$11:$B$310)-COUNTA(条幅!$B$11:$B$310)),""))))</f>
        <v/>
      </c>
      <c r="C419" s="38" t="str">
        <f>IF(IF(414&lt;=COUNTA(半紙!$B$11:$B$310),INDEX(半紙!$C$11:$C$310,414),IF(414&lt;=COUNTA(半紙!$B$11:$B$310)+COUNTA(条幅!$B$11:$B$310),INDEX(条幅!$C$11:$C$310,414-COUNTA(半紙!$B$11:$B$310)),IF(414&lt;=COUNTA(半紙!$B$11:$B$310)+COUNTA(条幅!$B$11:$B$310)+COUNTA(条幅4分の1!$B$11:$B$310),INDEX(条幅4分の1!$C$11:$C$310,414-COUNTA(半紙!$B$11:$B$310)-COUNTA(条幅!$B$11:$B$310)),"")))=0,"",IF(414&lt;=COUNTA(半紙!$B$11:$B$310),INDEX(半紙!$C$11:$C$310,414),IF(414&lt;=COUNTA(半紙!$B$11:$B$310)+COUNTA(条幅!$B$11:$B$310),INDEX(条幅!$C$11:$C$310,414-COUNTA(半紙!$B$11:$B$310)),IF(414&lt;=COUNTA(半紙!$B$11:$B$310)+COUNTA(条幅!$B$11:$B$310)+COUNTA(条幅4分の1!$B$11:$B$310),INDEX(条幅4分の1!$C$11:$C$310,414-COUNTA(半紙!$B$11:$B$310)-COUNTA(条幅!$B$11:$B$310)),""))))</f>
        <v/>
      </c>
      <c r="D419" s="38" t="str">
        <f>IF(IF(414&lt;=COUNTA(半紙!$B$11:$B$310),INDEX(半紙!$D$11:$D$310,414),IF(414&lt;=COUNTA(半紙!$B$11:$B$310)+COUNTA(条幅!$B$11:$B$310),INDEX(条幅!$D$11:$D$310,414-COUNTA(半紙!$B$11:$B$310)),IF(414&lt;=COUNTA(半紙!$B$11:$B$310)+COUNTA(条幅!$B$11:$B$310)+COUNTA(条幅4分の1!$B$11:$B$310),INDEX(条幅4分の1!$D$11:$D$310,414-COUNTA(半紙!$B$11:$B$310)-COUNTA(条幅!$B$11:$B$310)),"")))=0,"",IF(414&lt;=COUNTA(半紙!$B$11:$B$310),INDEX(半紙!$D$11:$D$310,414),IF(414&lt;=COUNTA(半紙!$B$11:$B$310)+COUNTA(条幅!$B$11:$B$310),INDEX(条幅!$D$11:$D$310,414-COUNTA(半紙!$B$11:$B$310)),IF(414&lt;=COUNTA(半紙!$B$11:$B$310)+COUNTA(条幅!$B$11:$B$310)+COUNTA(条幅4分の1!$B$11:$B$310),INDEX(条幅4分の1!$D$11:$D$310,414-COUNTA(半紙!$B$11:$B$310)-COUNTA(条幅!$B$11:$B$310)),""))))</f>
        <v/>
      </c>
      <c r="E419" s="38" t="str">
        <f>IF(IF(414&lt;=COUNTA(半紙!$B$11:$B$310),INDEX(半紙!$E$11:$E$310,414),IF(414&lt;=COUNTA(半紙!$B$11:$B$310)+COUNTA(条幅!$B$11:$B$310),INDEX(条幅!$E$11:$E$310,414-COUNTA(半紙!$B$11:$B$310)),IF(414&lt;=COUNTA(半紙!$B$11:$B$310)+COUNTA(条幅!$B$11:$B$310)+COUNTA(条幅4分の1!$B$11:$B$310),INDEX(条幅4分の1!$E$11:$E$310,414-COUNTA(半紙!$B$11:$B$310)-COUNTA(条幅!$B$11:$B$310)),"")))=0,"",IF(414&lt;=COUNTA(半紙!$B$11:$B$310),INDEX(半紙!$E$11:$E$310,414),IF(414&lt;=COUNTA(半紙!$B$11:$B$310)+COUNTA(条幅!$B$11:$B$310),INDEX(条幅!$E$11:$E$310,414-COUNTA(半紙!$B$11:$B$310)),IF(414&lt;=COUNTA(半紙!$B$11:$B$310)+COUNTA(条幅!$B$11:$B$310)+COUNTA(条幅4分の1!$B$11:$B$310),INDEX(条幅4分の1!$E$11:$E$310,414-COUNTA(半紙!$B$11:$B$310)-COUNTA(条幅!$B$11:$B$310)),""))))</f>
        <v/>
      </c>
      <c r="F419" s="38" t="str">
        <f>IF(IF(414&lt;=COUNTA(半紙!$B$11:$B$310),INDEX(半紙!$F$11:$F$310,414),IF(414&lt;=COUNTA(半紙!$B$11:$B$310)+COUNTA(条幅!$B$11:$B$310),INDEX(条幅!$F$11:$F$310,414-COUNTA(半紙!$B$11:$B$310)),IF(414&lt;=COUNTA(半紙!$B$11:$B$310)+COUNTA(条幅!$B$11:$B$310)+COUNTA(条幅4分の1!$B$11:$B$310),INDEX(条幅4分の1!$F$11:$F$310,414-COUNTA(半紙!$B$11:$B$310)-COUNTA(条幅!$B$11:$B$310)),"")))=0,"",IF(414&lt;=COUNTA(半紙!$B$11:$B$310),INDEX(半紙!$F$11:$F$310,414),IF(414&lt;=COUNTA(半紙!$B$11:$B$310)+COUNTA(条幅!$B$11:$B$310),INDEX(条幅!$F$11:$F$310,414-COUNTA(半紙!$B$11:$B$310)),IF(414&lt;=COUNTA(半紙!$B$11:$B$310)+COUNTA(条幅!$B$11:$B$310)+COUNTA(条幅4分の1!$B$11:$B$310),INDEX(条幅4分の1!$F$11:$F$310,414-COUNTA(半紙!$B$11:$B$310)-COUNTA(条幅!$B$11:$B$310)),""))))</f>
        <v/>
      </c>
      <c r="G419" s="38" t="str">
        <f>IF(IF(414&lt;=COUNTA(半紙!$B$11:$B$310),INDEX(半紙!$G$11:$G$310,414),IF(414&lt;=COUNTA(半紙!$B$11:$B$310)+COUNTA(条幅!$B$11:$B$310),INDEX(条幅!$G$11:$G$310,414-COUNTA(半紙!$B$11:$B$310)),IF(414&lt;=COUNTA(半紙!$B$11:$B$310)+COUNTA(条幅!$B$11:$B$310)+COUNTA(条幅4分の1!$B$11:$B$310),INDEX(条幅4分の1!$G$11:$G$310,414-COUNTA(半紙!$B$11:$B$310)-COUNTA(条幅!$B$11:$B$310)),"")))=0,"",IF(414&lt;=COUNTA(半紙!$B$11:$B$310),INDEX(半紙!$G$11:$G$310,414),IF(414&lt;=COUNTA(半紙!$B$11:$B$310)+COUNTA(条幅!$B$11:$B$310),INDEX(条幅!$G$11:$G$310,414-COUNTA(半紙!$B$11:$B$310)),IF(414&lt;=COUNTA(半紙!$B$11:$B$310)+COUNTA(条幅!$B$11:$B$310)+COUNTA(条幅4分の1!$B$11:$B$310),INDEX(条幅4分の1!$G$11:$G$310,414-COUNTA(半紙!$B$11:$B$310)-COUNTA(条幅!$B$11:$B$310)),""))))</f>
        <v/>
      </c>
      <c r="H419" s="38" t="str">
        <f>IF(IF(414&lt;=COUNTA(半紙!$B$11:$B$310),INDEX(半紙!$H$11:$H$310,414),IF(414&lt;=COUNTA(半紙!$B$11:$B$310)+COUNTA(条幅!$B$11:$B$310),INDEX(条幅!$H$11:$H$310,414-COUNTA(半紙!$B$11:$B$310)),IF(414&lt;=COUNTA(半紙!$B$11:$B$310)+COUNTA(条幅!$B$11:$B$310)+COUNTA(条幅4分の1!$B$11:$B$310),INDEX(条幅4分の1!$H$11:$H$310,414-COUNTA(半紙!$B$11:$B$310)-COUNTA(条幅!$B$11:$B$310)),"")))=0,"",IF(414&lt;=COUNTA(半紙!$B$11:$B$310),INDEX(半紙!$H$11:$H$310,414),IF(414&lt;=COUNTA(半紙!$B$11:$B$310)+COUNTA(条幅!$B$11:$B$310),INDEX(条幅!$H$11:$H$310,414-COUNTA(半紙!$B$11:$B$310)),IF(414&lt;=COUNTA(半紙!$B$11:$B$310)+COUNTA(条幅!$B$11:$B$310)+COUNTA(条幅4分の1!$B$11:$B$310),INDEX(条幅4分の1!$H$11:$H$310,414-COUNTA(半紙!$B$11:$B$310)-COUNTA(条幅!$B$11:$B$310)),""))))</f>
        <v/>
      </c>
      <c r="I419" s="38" t="str">
        <f>IF(IF(414&lt;=COUNTA(半紙!$B$11:$B$310),INDEX(半紙!$I$11:$I$310,414),IF(414&lt;=COUNTA(半紙!$B$11:$B$310)+COUNTA(条幅!$B$11:$B$310),INDEX(条幅!$I$11:$I$310,414-COUNTA(半紙!$B$11:$B$310)),IF(414&lt;=COUNTA(半紙!$B$11:$B$310)+COUNTA(条幅!$B$11:$B$310)+COUNTA(条幅4分の1!$B$11:$B$310),INDEX(条幅4分の1!$I$11:$I$310,414-COUNTA(半紙!$B$11:$B$310)-COUNTA(条幅!$B$11:$B$310)),"")))=0,"",IF(414&lt;=COUNTA(半紙!$B$11:$B$310),INDEX(半紙!$I$11:$I$310,414),IF(414&lt;=COUNTA(半紙!$B$11:$B$310)+COUNTA(条幅!$B$11:$B$310),INDEX(条幅!$I$11:$I$310,414-COUNTA(半紙!$B$11:$B$310)),IF(414&lt;=COUNTA(半紙!$B$11:$B$310)+COUNTA(条幅!$B$11:$B$310)+COUNTA(条幅4分の1!$B$11:$B$310),INDEX(条幅4分の1!$I$11:$I$310,414-COUNTA(半紙!$B$11:$B$310)-COUNTA(条幅!$B$11:$B$310)),""))))</f>
        <v/>
      </c>
      <c r="J419" s="38" t="str">
        <f>IF(IF(414&lt;=COUNTA(半紙!$B$11:$B$310),INDEX(半紙!$J$11:$J$310,414),IF(414&lt;=COUNTA(半紙!$B$11:$B$310)+COUNTA(条幅!$B$11:$B$310),INDEX(条幅!$J$11:$J$310,414-COUNTA(半紙!$B$11:$B$310)),IF(414&lt;=COUNTA(半紙!$B$11:$B$310)+COUNTA(条幅!$B$11:$B$310)+COUNTA(条幅4分の1!$B$11:$B$310),INDEX(条幅4分の1!$J$11:$J$310,414-COUNTA(半紙!$B$11:$B$310)-COUNTA(条幅!$B$11:$B$310)),"")))=0,"",IF(414&lt;=COUNTA(半紙!$B$11:$B$310),INDEX(半紙!$J$11:$J$310,414),IF(414&lt;=COUNTA(半紙!$B$11:$B$310)+COUNTA(条幅!$B$11:$B$310),INDEX(条幅!$J$11:$J$310,414-COUNTA(半紙!$B$11:$B$310)),IF(414&lt;=COUNTA(半紙!$B$11:$B$310)+COUNTA(条幅!$B$11:$B$310)+COUNTA(条幅4分の1!$B$11:$B$310),INDEX(条幅4分の1!$J$11:$J$310,414-COUNTA(半紙!$B$11:$B$310)-COUNTA(条幅!$B$11:$B$310)),""))))</f>
        <v/>
      </c>
      <c r="K419" s="38" t="str">
        <f>IF(IF(414&lt;=COUNTA(半紙!$B$11:$B$310),INDEX(半紙!$K$11:$K$310,414),IF(414&lt;=COUNTA(半紙!$B$11:$B$310)+COUNTA(条幅!$B$11:$B$310),INDEX(条幅!$K$11:$K$310,414-COUNTA(半紙!$B$11:$B$310)),IF(414&lt;=COUNTA(半紙!$B$11:$B$310)+COUNTA(条幅!$B$11:$B$310)+COUNTA(条幅4分の1!$B$11:$B$310),INDEX(条幅4分の1!$K$11:$K$310,414-COUNTA(半紙!$B$11:$B$310)-COUNTA(条幅!$B$11:$B$310)),"")))=0,"",IF(414&lt;=COUNTA(半紙!$B$11:$B$310),INDEX(半紙!$K$11:$K$310,414),IF(414&lt;=COUNTA(半紙!$B$11:$B$310)+COUNTA(条幅!$B$11:$B$310),INDEX(条幅!$K$11:$K$310,414-COUNTA(半紙!$B$11:$B$310)),IF(414&lt;=COUNTA(半紙!$B$11:$B$310)+COUNTA(条幅!$B$11:$B$310)+COUNTA(条幅4分の1!$B$11:$B$310),INDEX(条幅4分の1!$K$11:$K$310,414-COUNTA(半紙!$B$11:$B$310)-COUNTA(条幅!$B$11:$B$310)),""))))</f>
        <v/>
      </c>
      <c r="L419" s="48" t="str">
        <f>IF($B419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414))</f>
        <v/>
      </c>
    </row>
    <row r="420" spans="1:12" ht="15" customHeight="1">
      <c r="A420" s="37" t="str">
        <f>IF(415&lt;=COUNTA(半紙!$B$11:$B$310),"半紙",IF(415&lt;=COUNTA(半紙!$B$11:$B$310)+COUNTA(条幅!$B$11:$B$310),"条幅(半切)",IF(415&lt;=COUNTA(半紙!$B$11:$B$310)+COUNTA(条幅!$B$11:$B$310)+COUNTA(条幅4分の1!$B$11:$B$310),"条幅(1/4)","")))</f>
        <v/>
      </c>
      <c r="B420" s="38" t="str">
        <f>IF(IF(415&lt;=COUNTA(半紙!$B$11:$B$310),INDEX(半紙!$B$11:$B$310,415),IF(415&lt;=COUNTA(半紙!$B$11:$B$310)+COUNTA(条幅!$B$11:$B$310),INDEX(条幅!$B$11:$B$310,415-COUNTA(半紙!$B$11:$B$310)),IF(415&lt;=COUNTA(半紙!$B$11:$B$310)+COUNTA(条幅!$B$11:$B$310)+COUNTA(条幅4分の1!$B$11:$B$310),INDEX(条幅4分の1!$B$11:$B$310,415-COUNTA(半紙!$B$11:$B$310)-COUNTA(条幅!$B$11:$B$310)),"")))=0,"",IF(415&lt;=COUNTA(半紙!$B$11:$B$310),INDEX(半紙!$B$11:$B$310,415),IF(415&lt;=COUNTA(半紙!$B$11:$B$310)+COUNTA(条幅!$B$11:$B$310),INDEX(条幅!$B$11:$B$310,415-COUNTA(半紙!$B$11:$B$310)),IF(415&lt;=COUNTA(半紙!$B$11:$B$310)+COUNTA(条幅!$B$11:$B$310)+COUNTA(条幅4分の1!$B$11:$B$310),INDEX(条幅4分の1!$B$11:$B$310,415-COUNTA(半紙!$B$11:$B$310)-COUNTA(条幅!$B$11:$B$310)),""))))</f>
        <v/>
      </c>
      <c r="C420" s="38" t="str">
        <f>IF(IF(415&lt;=COUNTA(半紙!$B$11:$B$310),INDEX(半紙!$C$11:$C$310,415),IF(415&lt;=COUNTA(半紙!$B$11:$B$310)+COUNTA(条幅!$B$11:$B$310),INDEX(条幅!$C$11:$C$310,415-COUNTA(半紙!$B$11:$B$310)),IF(415&lt;=COUNTA(半紙!$B$11:$B$310)+COUNTA(条幅!$B$11:$B$310)+COUNTA(条幅4分の1!$B$11:$B$310),INDEX(条幅4分の1!$C$11:$C$310,415-COUNTA(半紙!$B$11:$B$310)-COUNTA(条幅!$B$11:$B$310)),"")))=0,"",IF(415&lt;=COUNTA(半紙!$B$11:$B$310),INDEX(半紙!$C$11:$C$310,415),IF(415&lt;=COUNTA(半紙!$B$11:$B$310)+COUNTA(条幅!$B$11:$B$310),INDEX(条幅!$C$11:$C$310,415-COUNTA(半紙!$B$11:$B$310)),IF(415&lt;=COUNTA(半紙!$B$11:$B$310)+COUNTA(条幅!$B$11:$B$310)+COUNTA(条幅4分の1!$B$11:$B$310),INDEX(条幅4分の1!$C$11:$C$310,415-COUNTA(半紙!$B$11:$B$310)-COUNTA(条幅!$B$11:$B$310)),""))))</f>
        <v/>
      </c>
      <c r="D420" s="38" t="str">
        <f>IF(IF(415&lt;=COUNTA(半紙!$B$11:$B$310),INDEX(半紙!$D$11:$D$310,415),IF(415&lt;=COUNTA(半紙!$B$11:$B$310)+COUNTA(条幅!$B$11:$B$310),INDEX(条幅!$D$11:$D$310,415-COUNTA(半紙!$B$11:$B$310)),IF(415&lt;=COUNTA(半紙!$B$11:$B$310)+COUNTA(条幅!$B$11:$B$310)+COUNTA(条幅4分の1!$B$11:$B$310),INDEX(条幅4分の1!$D$11:$D$310,415-COUNTA(半紙!$B$11:$B$310)-COUNTA(条幅!$B$11:$B$310)),"")))=0,"",IF(415&lt;=COUNTA(半紙!$B$11:$B$310),INDEX(半紙!$D$11:$D$310,415),IF(415&lt;=COUNTA(半紙!$B$11:$B$310)+COUNTA(条幅!$B$11:$B$310),INDEX(条幅!$D$11:$D$310,415-COUNTA(半紙!$B$11:$B$310)),IF(415&lt;=COUNTA(半紙!$B$11:$B$310)+COUNTA(条幅!$B$11:$B$310)+COUNTA(条幅4分の1!$B$11:$B$310),INDEX(条幅4分の1!$D$11:$D$310,415-COUNTA(半紙!$B$11:$B$310)-COUNTA(条幅!$B$11:$B$310)),""))))</f>
        <v/>
      </c>
      <c r="E420" s="38" t="str">
        <f>IF(IF(415&lt;=COUNTA(半紙!$B$11:$B$310),INDEX(半紙!$E$11:$E$310,415),IF(415&lt;=COUNTA(半紙!$B$11:$B$310)+COUNTA(条幅!$B$11:$B$310),INDEX(条幅!$E$11:$E$310,415-COUNTA(半紙!$B$11:$B$310)),IF(415&lt;=COUNTA(半紙!$B$11:$B$310)+COUNTA(条幅!$B$11:$B$310)+COUNTA(条幅4分の1!$B$11:$B$310),INDEX(条幅4分の1!$E$11:$E$310,415-COUNTA(半紙!$B$11:$B$310)-COUNTA(条幅!$B$11:$B$310)),"")))=0,"",IF(415&lt;=COUNTA(半紙!$B$11:$B$310),INDEX(半紙!$E$11:$E$310,415),IF(415&lt;=COUNTA(半紙!$B$11:$B$310)+COUNTA(条幅!$B$11:$B$310),INDEX(条幅!$E$11:$E$310,415-COUNTA(半紙!$B$11:$B$310)),IF(415&lt;=COUNTA(半紙!$B$11:$B$310)+COUNTA(条幅!$B$11:$B$310)+COUNTA(条幅4分の1!$B$11:$B$310),INDEX(条幅4分の1!$E$11:$E$310,415-COUNTA(半紙!$B$11:$B$310)-COUNTA(条幅!$B$11:$B$310)),""))))</f>
        <v/>
      </c>
      <c r="F420" s="38" t="str">
        <f>IF(IF(415&lt;=COUNTA(半紙!$B$11:$B$310),INDEX(半紙!$F$11:$F$310,415),IF(415&lt;=COUNTA(半紙!$B$11:$B$310)+COUNTA(条幅!$B$11:$B$310),INDEX(条幅!$F$11:$F$310,415-COUNTA(半紙!$B$11:$B$310)),IF(415&lt;=COUNTA(半紙!$B$11:$B$310)+COUNTA(条幅!$B$11:$B$310)+COUNTA(条幅4分の1!$B$11:$B$310),INDEX(条幅4分の1!$F$11:$F$310,415-COUNTA(半紙!$B$11:$B$310)-COUNTA(条幅!$B$11:$B$310)),"")))=0,"",IF(415&lt;=COUNTA(半紙!$B$11:$B$310),INDEX(半紙!$F$11:$F$310,415),IF(415&lt;=COUNTA(半紙!$B$11:$B$310)+COUNTA(条幅!$B$11:$B$310),INDEX(条幅!$F$11:$F$310,415-COUNTA(半紙!$B$11:$B$310)),IF(415&lt;=COUNTA(半紙!$B$11:$B$310)+COUNTA(条幅!$B$11:$B$310)+COUNTA(条幅4分の1!$B$11:$B$310),INDEX(条幅4分の1!$F$11:$F$310,415-COUNTA(半紙!$B$11:$B$310)-COUNTA(条幅!$B$11:$B$310)),""))))</f>
        <v/>
      </c>
      <c r="G420" s="38" t="str">
        <f>IF(IF(415&lt;=COUNTA(半紙!$B$11:$B$310),INDEX(半紙!$G$11:$G$310,415),IF(415&lt;=COUNTA(半紙!$B$11:$B$310)+COUNTA(条幅!$B$11:$B$310),INDEX(条幅!$G$11:$G$310,415-COUNTA(半紙!$B$11:$B$310)),IF(415&lt;=COUNTA(半紙!$B$11:$B$310)+COUNTA(条幅!$B$11:$B$310)+COUNTA(条幅4分の1!$B$11:$B$310),INDEX(条幅4分の1!$G$11:$G$310,415-COUNTA(半紙!$B$11:$B$310)-COUNTA(条幅!$B$11:$B$310)),"")))=0,"",IF(415&lt;=COUNTA(半紙!$B$11:$B$310),INDEX(半紙!$G$11:$G$310,415),IF(415&lt;=COUNTA(半紙!$B$11:$B$310)+COUNTA(条幅!$B$11:$B$310),INDEX(条幅!$G$11:$G$310,415-COUNTA(半紙!$B$11:$B$310)),IF(415&lt;=COUNTA(半紙!$B$11:$B$310)+COUNTA(条幅!$B$11:$B$310)+COUNTA(条幅4分の1!$B$11:$B$310),INDEX(条幅4分の1!$G$11:$G$310,415-COUNTA(半紙!$B$11:$B$310)-COUNTA(条幅!$B$11:$B$310)),""))))</f>
        <v/>
      </c>
      <c r="H420" s="38" t="str">
        <f>IF(IF(415&lt;=COUNTA(半紙!$B$11:$B$310),INDEX(半紙!$H$11:$H$310,415),IF(415&lt;=COUNTA(半紙!$B$11:$B$310)+COUNTA(条幅!$B$11:$B$310),INDEX(条幅!$H$11:$H$310,415-COUNTA(半紙!$B$11:$B$310)),IF(415&lt;=COUNTA(半紙!$B$11:$B$310)+COUNTA(条幅!$B$11:$B$310)+COUNTA(条幅4分の1!$B$11:$B$310),INDEX(条幅4分の1!$H$11:$H$310,415-COUNTA(半紙!$B$11:$B$310)-COUNTA(条幅!$B$11:$B$310)),"")))=0,"",IF(415&lt;=COUNTA(半紙!$B$11:$B$310),INDEX(半紙!$H$11:$H$310,415),IF(415&lt;=COUNTA(半紙!$B$11:$B$310)+COUNTA(条幅!$B$11:$B$310),INDEX(条幅!$H$11:$H$310,415-COUNTA(半紙!$B$11:$B$310)),IF(415&lt;=COUNTA(半紙!$B$11:$B$310)+COUNTA(条幅!$B$11:$B$310)+COUNTA(条幅4分の1!$B$11:$B$310),INDEX(条幅4分の1!$H$11:$H$310,415-COUNTA(半紙!$B$11:$B$310)-COUNTA(条幅!$B$11:$B$310)),""))))</f>
        <v/>
      </c>
      <c r="I420" s="38" t="str">
        <f>IF(IF(415&lt;=COUNTA(半紙!$B$11:$B$310),INDEX(半紙!$I$11:$I$310,415),IF(415&lt;=COUNTA(半紙!$B$11:$B$310)+COUNTA(条幅!$B$11:$B$310),INDEX(条幅!$I$11:$I$310,415-COUNTA(半紙!$B$11:$B$310)),IF(415&lt;=COUNTA(半紙!$B$11:$B$310)+COUNTA(条幅!$B$11:$B$310)+COUNTA(条幅4分の1!$B$11:$B$310),INDEX(条幅4分の1!$I$11:$I$310,415-COUNTA(半紙!$B$11:$B$310)-COUNTA(条幅!$B$11:$B$310)),"")))=0,"",IF(415&lt;=COUNTA(半紙!$B$11:$B$310),INDEX(半紙!$I$11:$I$310,415),IF(415&lt;=COUNTA(半紙!$B$11:$B$310)+COUNTA(条幅!$B$11:$B$310),INDEX(条幅!$I$11:$I$310,415-COUNTA(半紙!$B$11:$B$310)),IF(415&lt;=COUNTA(半紙!$B$11:$B$310)+COUNTA(条幅!$B$11:$B$310)+COUNTA(条幅4分の1!$B$11:$B$310),INDEX(条幅4分の1!$I$11:$I$310,415-COUNTA(半紙!$B$11:$B$310)-COUNTA(条幅!$B$11:$B$310)),""))))</f>
        <v/>
      </c>
      <c r="J420" s="38" t="str">
        <f>IF(IF(415&lt;=COUNTA(半紙!$B$11:$B$310),INDEX(半紙!$J$11:$J$310,415),IF(415&lt;=COUNTA(半紙!$B$11:$B$310)+COUNTA(条幅!$B$11:$B$310),INDEX(条幅!$J$11:$J$310,415-COUNTA(半紙!$B$11:$B$310)),IF(415&lt;=COUNTA(半紙!$B$11:$B$310)+COUNTA(条幅!$B$11:$B$310)+COUNTA(条幅4分の1!$B$11:$B$310),INDEX(条幅4分の1!$J$11:$J$310,415-COUNTA(半紙!$B$11:$B$310)-COUNTA(条幅!$B$11:$B$310)),"")))=0,"",IF(415&lt;=COUNTA(半紙!$B$11:$B$310),INDEX(半紙!$J$11:$J$310,415),IF(415&lt;=COUNTA(半紙!$B$11:$B$310)+COUNTA(条幅!$B$11:$B$310),INDEX(条幅!$J$11:$J$310,415-COUNTA(半紙!$B$11:$B$310)),IF(415&lt;=COUNTA(半紙!$B$11:$B$310)+COUNTA(条幅!$B$11:$B$310)+COUNTA(条幅4分の1!$B$11:$B$310),INDEX(条幅4分の1!$J$11:$J$310,415-COUNTA(半紙!$B$11:$B$310)-COUNTA(条幅!$B$11:$B$310)),""))))</f>
        <v/>
      </c>
      <c r="K420" s="38" t="str">
        <f>IF(IF(415&lt;=COUNTA(半紙!$B$11:$B$310),INDEX(半紙!$K$11:$K$310,415),IF(415&lt;=COUNTA(半紙!$B$11:$B$310)+COUNTA(条幅!$B$11:$B$310),INDEX(条幅!$K$11:$K$310,415-COUNTA(半紙!$B$11:$B$310)),IF(415&lt;=COUNTA(半紙!$B$11:$B$310)+COUNTA(条幅!$B$11:$B$310)+COUNTA(条幅4分の1!$B$11:$B$310),INDEX(条幅4分の1!$K$11:$K$310,415-COUNTA(半紙!$B$11:$B$310)-COUNTA(条幅!$B$11:$B$310)),"")))=0,"",IF(415&lt;=COUNTA(半紙!$B$11:$B$310),INDEX(半紙!$K$11:$K$310,415),IF(415&lt;=COUNTA(半紙!$B$11:$B$310)+COUNTA(条幅!$B$11:$B$310),INDEX(条幅!$K$11:$K$310,415-COUNTA(半紙!$B$11:$B$310)),IF(415&lt;=COUNTA(半紙!$B$11:$B$310)+COUNTA(条幅!$B$11:$B$310)+COUNTA(条幅4分の1!$B$11:$B$310),INDEX(条幅4分の1!$K$11:$K$310,415-COUNTA(半紙!$B$11:$B$310)-COUNTA(条幅!$B$11:$B$310)),""))))</f>
        <v/>
      </c>
      <c r="L420" s="48" t="str">
        <f>IF($B420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415))</f>
        <v/>
      </c>
    </row>
    <row r="421" spans="1:12" ht="15" customHeight="1">
      <c r="A421" s="37" t="str">
        <f>IF(416&lt;=COUNTA(半紙!$B$11:$B$310),"半紙",IF(416&lt;=COUNTA(半紙!$B$11:$B$310)+COUNTA(条幅!$B$11:$B$310),"条幅(半切)",IF(416&lt;=COUNTA(半紙!$B$11:$B$310)+COUNTA(条幅!$B$11:$B$310)+COUNTA(条幅4分の1!$B$11:$B$310),"条幅(1/4)","")))</f>
        <v/>
      </c>
      <c r="B421" s="38" t="str">
        <f>IF(IF(416&lt;=COUNTA(半紙!$B$11:$B$310),INDEX(半紙!$B$11:$B$310,416),IF(416&lt;=COUNTA(半紙!$B$11:$B$310)+COUNTA(条幅!$B$11:$B$310),INDEX(条幅!$B$11:$B$310,416-COUNTA(半紙!$B$11:$B$310)),IF(416&lt;=COUNTA(半紙!$B$11:$B$310)+COUNTA(条幅!$B$11:$B$310)+COUNTA(条幅4分の1!$B$11:$B$310),INDEX(条幅4分の1!$B$11:$B$310,416-COUNTA(半紙!$B$11:$B$310)-COUNTA(条幅!$B$11:$B$310)),"")))=0,"",IF(416&lt;=COUNTA(半紙!$B$11:$B$310),INDEX(半紙!$B$11:$B$310,416),IF(416&lt;=COUNTA(半紙!$B$11:$B$310)+COUNTA(条幅!$B$11:$B$310),INDEX(条幅!$B$11:$B$310,416-COUNTA(半紙!$B$11:$B$310)),IF(416&lt;=COUNTA(半紙!$B$11:$B$310)+COUNTA(条幅!$B$11:$B$310)+COUNTA(条幅4分の1!$B$11:$B$310),INDEX(条幅4分の1!$B$11:$B$310,416-COUNTA(半紙!$B$11:$B$310)-COUNTA(条幅!$B$11:$B$310)),""))))</f>
        <v/>
      </c>
      <c r="C421" s="38" t="str">
        <f>IF(IF(416&lt;=COUNTA(半紙!$B$11:$B$310),INDEX(半紙!$C$11:$C$310,416),IF(416&lt;=COUNTA(半紙!$B$11:$B$310)+COUNTA(条幅!$B$11:$B$310),INDEX(条幅!$C$11:$C$310,416-COUNTA(半紙!$B$11:$B$310)),IF(416&lt;=COUNTA(半紙!$B$11:$B$310)+COUNTA(条幅!$B$11:$B$310)+COUNTA(条幅4分の1!$B$11:$B$310),INDEX(条幅4分の1!$C$11:$C$310,416-COUNTA(半紙!$B$11:$B$310)-COUNTA(条幅!$B$11:$B$310)),"")))=0,"",IF(416&lt;=COUNTA(半紙!$B$11:$B$310),INDEX(半紙!$C$11:$C$310,416),IF(416&lt;=COUNTA(半紙!$B$11:$B$310)+COUNTA(条幅!$B$11:$B$310),INDEX(条幅!$C$11:$C$310,416-COUNTA(半紙!$B$11:$B$310)),IF(416&lt;=COUNTA(半紙!$B$11:$B$310)+COUNTA(条幅!$B$11:$B$310)+COUNTA(条幅4分の1!$B$11:$B$310),INDEX(条幅4分の1!$C$11:$C$310,416-COUNTA(半紙!$B$11:$B$310)-COUNTA(条幅!$B$11:$B$310)),""))))</f>
        <v/>
      </c>
      <c r="D421" s="38" t="str">
        <f>IF(IF(416&lt;=COUNTA(半紙!$B$11:$B$310),INDEX(半紙!$D$11:$D$310,416),IF(416&lt;=COUNTA(半紙!$B$11:$B$310)+COUNTA(条幅!$B$11:$B$310),INDEX(条幅!$D$11:$D$310,416-COUNTA(半紙!$B$11:$B$310)),IF(416&lt;=COUNTA(半紙!$B$11:$B$310)+COUNTA(条幅!$B$11:$B$310)+COUNTA(条幅4分の1!$B$11:$B$310),INDEX(条幅4分の1!$D$11:$D$310,416-COUNTA(半紙!$B$11:$B$310)-COUNTA(条幅!$B$11:$B$310)),"")))=0,"",IF(416&lt;=COUNTA(半紙!$B$11:$B$310),INDEX(半紙!$D$11:$D$310,416),IF(416&lt;=COUNTA(半紙!$B$11:$B$310)+COUNTA(条幅!$B$11:$B$310),INDEX(条幅!$D$11:$D$310,416-COUNTA(半紙!$B$11:$B$310)),IF(416&lt;=COUNTA(半紙!$B$11:$B$310)+COUNTA(条幅!$B$11:$B$310)+COUNTA(条幅4分の1!$B$11:$B$310),INDEX(条幅4分の1!$D$11:$D$310,416-COUNTA(半紙!$B$11:$B$310)-COUNTA(条幅!$B$11:$B$310)),""))))</f>
        <v/>
      </c>
      <c r="E421" s="38" t="str">
        <f>IF(IF(416&lt;=COUNTA(半紙!$B$11:$B$310),INDEX(半紙!$E$11:$E$310,416),IF(416&lt;=COUNTA(半紙!$B$11:$B$310)+COUNTA(条幅!$B$11:$B$310),INDEX(条幅!$E$11:$E$310,416-COUNTA(半紙!$B$11:$B$310)),IF(416&lt;=COUNTA(半紙!$B$11:$B$310)+COUNTA(条幅!$B$11:$B$310)+COUNTA(条幅4分の1!$B$11:$B$310),INDEX(条幅4分の1!$E$11:$E$310,416-COUNTA(半紙!$B$11:$B$310)-COUNTA(条幅!$B$11:$B$310)),"")))=0,"",IF(416&lt;=COUNTA(半紙!$B$11:$B$310),INDEX(半紙!$E$11:$E$310,416),IF(416&lt;=COUNTA(半紙!$B$11:$B$310)+COUNTA(条幅!$B$11:$B$310),INDEX(条幅!$E$11:$E$310,416-COUNTA(半紙!$B$11:$B$310)),IF(416&lt;=COUNTA(半紙!$B$11:$B$310)+COUNTA(条幅!$B$11:$B$310)+COUNTA(条幅4分の1!$B$11:$B$310),INDEX(条幅4分の1!$E$11:$E$310,416-COUNTA(半紙!$B$11:$B$310)-COUNTA(条幅!$B$11:$B$310)),""))))</f>
        <v/>
      </c>
      <c r="F421" s="38" t="str">
        <f>IF(IF(416&lt;=COUNTA(半紙!$B$11:$B$310),INDEX(半紙!$F$11:$F$310,416),IF(416&lt;=COUNTA(半紙!$B$11:$B$310)+COUNTA(条幅!$B$11:$B$310),INDEX(条幅!$F$11:$F$310,416-COUNTA(半紙!$B$11:$B$310)),IF(416&lt;=COUNTA(半紙!$B$11:$B$310)+COUNTA(条幅!$B$11:$B$310)+COUNTA(条幅4分の1!$B$11:$B$310),INDEX(条幅4分の1!$F$11:$F$310,416-COUNTA(半紙!$B$11:$B$310)-COUNTA(条幅!$B$11:$B$310)),"")))=0,"",IF(416&lt;=COUNTA(半紙!$B$11:$B$310),INDEX(半紙!$F$11:$F$310,416),IF(416&lt;=COUNTA(半紙!$B$11:$B$310)+COUNTA(条幅!$B$11:$B$310),INDEX(条幅!$F$11:$F$310,416-COUNTA(半紙!$B$11:$B$310)),IF(416&lt;=COUNTA(半紙!$B$11:$B$310)+COUNTA(条幅!$B$11:$B$310)+COUNTA(条幅4分の1!$B$11:$B$310),INDEX(条幅4分の1!$F$11:$F$310,416-COUNTA(半紙!$B$11:$B$310)-COUNTA(条幅!$B$11:$B$310)),""))))</f>
        <v/>
      </c>
      <c r="G421" s="38" t="str">
        <f>IF(IF(416&lt;=COUNTA(半紙!$B$11:$B$310),INDEX(半紙!$G$11:$G$310,416),IF(416&lt;=COUNTA(半紙!$B$11:$B$310)+COUNTA(条幅!$B$11:$B$310),INDEX(条幅!$G$11:$G$310,416-COUNTA(半紙!$B$11:$B$310)),IF(416&lt;=COUNTA(半紙!$B$11:$B$310)+COUNTA(条幅!$B$11:$B$310)+COUNTA(条幅4分の1!$B$11:$B$310),INDEX(条幅4分の1!$G$11:$G$310,416-COUNTA(半紙!$B$11:$B$310)-COUNTA(条幅!$B$11:$B$310)),"")))=0,"",IF(416&lt;=COUNTA(半紙!$B$11:$B$310),INDEX(半紙!$G$11:$G$310,416),IF(416&lt;=COUNTA(半紙!$B$11:$B$310)+COUNTA(条幅!$B$11:$B$310),INDEX(条幅!$G$11:$G$310,416-COUNTA(半紙!$B$11:$B$310)),IF(416&lt;=COUNTA(半紙!$B$11:$B$310)+COUNTA(条幅!$B$11:$B$310)+COUNTA(条幅4分の1!$B$11:$B$310),INDEX(条幅4分の1!$G$11:$G$310,416-COUNTA(半紙!$B$11:$B$310)-COUNTA(条幅!$B$11:$B$310)),""))))</f>
        <v/>
      </c>
      <c r="H421" s="38" t="str">
        <f>IF(IF(416&lt;=COUNTA(半紙!$B$11:$B$310),INDEX(半紙!$H$11:$H$310,416),IF(416&lt;=COUNTA(半紙!$B$11:$B$310)+COUNTA(条幅!$B$11:$B$310),INDEX(条幅!$H$11:$H$310,416-COUNTA(半紙!$B$11:$B$310)),IF(416&lt;=COUNTA(半紙!$B$11:$B$310)+COUNTA(条幅!$B$11:$B$310)+COUNTA(条幅4分の1!$B$11:$B$310),INDEX(条幅4分の1!$H$11:$H$310,416-COUNTA(半紙!$B$11:$B$310)-COUNTA(条幅!$B$11:$B$310)),"")))=0,"",IF(416&lt;=COUNTA(半紙!$B$11:$B$310),INDEX(半紙!$H$11:$H$310,416),IF(416&lt;=COUNTA(半紙!$B$11:$B$310)+COUNTA(条幅!$B$11:$B$310),INDEX(条幅!$H$11:$H$310,416-COUNTA(半紙!$B$11:$B$310)),IF(416&lt;=COUNTA(半紙!$B$11:$B$310)+COUNTA(条幅!$B$11:$B$310)+COUNTA(条幅4分の1!$B$11:$B$310),INDEX(条幅4分の1!$H$11:$H$310,416-COUNTA(半紙!$B$11:$B$310)-COUNTA(条幅!$B$11:$B$310)),""))))</f>
        <v/>
      </c>
      <c r="I421" s="38" t="str">
        <f>IF(IF(416&lt;=COUNTA(半紙!$B$11:$B$310),INDEX(半紙!$I$11:$I$310,416),IF(416&lt;=COUNTA(半紙!$B$11:$B$310)+COUNTA(条幅!$B$11:$B$310),INDEX(条幅!$I$11:$I$310,416-COUNTA(半紙!$B$11:$B$310)),IF(416&lt;=COUNTA(半紙!$B$11:$B$310)+COUNTA(条幅!$B$11:$B$310)+COUNTA(条幅4分の1!$B$11:$B$310),INDEX(条幅4分の1!$I$11:$I$310,416-COUNTA(半紙!$B$11:$B$310)-COUNTA(条幅!$B$11:$B$310)),"")))=0,"",IF(416&lt;=COUNTA(半紙!$B$11:$B$310),INDEX(半紙!$I$11:$I$310,416),IF(416&lt;=COUNTA(半紙!$B$11:$B$310)+COUNTA(条幅!$B$11:$B$310),INDEX(条幅!$I$11:$I$310,416-COUNTA(半紙!$B$11:$B$310)),IF(416&lt;=COUNTA(半紙!$B$11:$B$310)+COUNTA(条幅!$B$11:$B$310)+COUNTA(条幅4分の1!$B$11:$B$310),INDEX(条幅4分の1!$I$11:$I$310,416-COUNTA(半紙!$B$11:$B$310)-COUNTA(条幅!$B$11:$B$310)),""))))</f>
        <v/>
      </c>
      <c r="J421" s="38" t="str">
        <f>IF(IF(416&lt;=COUNTA(半紙!$B$11:$B$310),INDEX(半紙!$J$11:$J$310,416),IF(416&lt;=COUNTA(半紙!$B$11:$B$310)+COUNTA(条幅!$B$11:$B$310),INDEX(条幅!$J$11:$J$310,416-COUNTA(半紙!$B$11:$B$310)),IF(416&lt;=COUNTA(半紙!$B$11:$B$310)+COUNTA(条幅!$B$11:$B$310)+COUNTA(条幅4分の1!$B$11:$B$310),INDEX(条幅4分の1!$J$11:$J$310,416-COUNTA(半紙!$B$11:$B$310)-COUNTA(条幅!$B$11:$B$310)),"")))=0,"",IF(416&lt;=COUNTA(半紙!$B$11:$B$310),INDEX(半紙!$J$11:$J$310,416),IF(416&lt;=COUNTA(半紙!$B$11:$B$310)+COUNTA(条幅!$B$11:$B$310),INDEX(条幅!$J$11:$J$310,416-COUNTA(半紙!$B$11:$B$310)),IF(416&lt;=COUNTA(半紙!$B$11:$B$310)+COUNTA(条幅!$B$11:$B$310)+COUNTA(条幅4分の1!$B$11:$B$310),INDEX(条幅4分の1!$J$11:$J$310,416-COUNTA(半紙!$B$11:$B$310)-COUNTA(条幅!$B$11:$B$310)),""))))</f>
        <v/>
      </c>
      <c r="K421" s="38" t="str">
        <f>IF(IF(416&lt;=COUNTA(半紙!$B$11:$B$310),INDEX(半紙!$K$11:$K$310,416),IF(416&lt;=COUNTA(半紙!$B$11:$B$310)+COUNTA(条幅!$B$11:$B$310),INDEX(条幅!$K$11:$K$310,416-COUNTA(半紙!$B$11:$B$310)),IF(416&lt;=COUNTA(半紙!$B$11:$B$310)+COUNTA(条幅!$B$11:$B$310)+COUNTA(条幅4分の1!$B$11:$B$310),INDEX(条幅4分の1!$K$11:$K$310,416-COUNTA(半紙!$B$11:$B$310)-COUNTA(条幅!$B$11:$B$310)),"")))=0,"",IF(416&lt;=COUNTA(半紙!$B$11:$B$310),INDEX(半紙!$K$11:$K$310,416),IF(416&lt;=COUNTA(半紙!$B$11:$B$310)+COUNTA(条幅!$B$11:$B$310),INDEX(条幅!$K$11:$K$310,416-COUNTA(半紙!$B$11:$B$310)),IF(416&lt;=COUNTA(半紙!$B$11:$B$310)+COUNTA(条幅!$B$11:$B$310)+COUNTA(条幅4分の1!$B$11:$B$310),INDEX(条幅4分の1!$K$11:$K$310,416-COUNTA(半紙!$B$11:$B$310)-COUNTA(条幅!$B$11:$B$310)),""))))</f>
        <v/>
      </c>
      <c r="L421" s="48" t="str">
        <f>IF($B421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416))</f>
        <v/>
      </c>
    </row>
    <row r="422" spans="1:12" ht="15" customHeight="1">
      <c r="A422" s="37" t="str">
        <f>IF(417&lt;=COUNTA(半紙!$B$11:$B$310),"半紙",IF(417&lt;=COUNTA(半紙!$B$11:$B$310)+COUNTA(条幅!$B$11:$B$310),"条幅(半切)",IF(417&lt;=COUNTA(半紙!$B$11:$B$310)+COUNTA(条幅!$B$11:$B$310)+COUNTA(条幅4分の1!$B$11:$B$310),"条幅(1/4)","")))</f>
        <v/>
      </c>
      <c r="B422" s="38" t="str">
        <f>IF(IF(417&lt;=COUNTA(半紙!$B$11:$B$310),INDEX(半紙!$B$11:$B$310,417),IF(417&lt;=COUNTA(半紙!$B$11:$B$310)+COUNTA(条幅!$B$11:$B$310),INDEX(条幅!$B$11:$B$310,417-COUNTA(半紙!$B$11:$B$310)),IF(417&lt;=COUNTA(半紙!$B$11:$B$310)+COUNTA(条幅!$B$11:$B$310)+COUNTA(条幅4分の1!$B$11:$B$310),INDEX(条幅4分の1!$B$11:$B$310,417-COUNTA(半紙!$B$11:$B$310)-COUNTA(条幅!$B$11:$B$310)),"")))=0,"",IF(417&lt;=COUNTA(半紙!$B$11:$B$310),INDEX(半紙!$B$11:$B$310,417),IF(417&lt;=COUNTA(半紙!$B$11:$B$310)+COUNTA(条幅!$B$11:$B$310),INDEX(条幅!$B$11:$B$310,417-COUNTA(半紙!$B$11:$B$310)),IF(417&lt;=COUNTA(半紙!$B$11:$B$310)+COUNTA(条幅!$B$11:$B$310)+COUNTA(条幅4分の1!$B$11:$B$310),INDEX(条幅4分の1!$B$11:$B$310,417-COUNTA(半紙!$B$11:$B$310)-COUNTA(条幅!$B$11:$B$310)),""))))</f>
        <v/>
      </c>
      <c r="C422" s="38" t="str">
        <f>IF(IF(417&lt;=COUNTA(半紙!$B$11:$B$310),INDEX(半紙!$C$11:$C$310,417),IF(417&lt;=COUNTA(半紙!$B$11:$B$310)+COUNTA(条幅!$B$11:$B$310),INDEX(条幅!$C$11:$C$310,417-COUNTA(半紙!$B$11:$B$310)),IF(417&lt;=COUNTA(半紙!$B$11:$B$310)+COUNTA(条幅!$B$11:$B$310)+COUNTA(条幅4分の1!$B$11:$B$310),INDEX(条幅4分の1!$C$11:$C$310,417-COUNTA(半紙!$B$11:$B$310)-COUNTA(条幅!$B$11:$B$310)),"")))=0,"",IF(417&lt;=COUNTA(半紙!$B$11:$B$310),INDEX(半紙!$C$11:$C$310,417),IF(417&lt;=COUNTA(半紙!$B$11:$B$310)+COUNTA(条幅!$B$11:$B$310),INDEX(条幅!$C$11:$C$310,417-COUNTA(半紙!$B$11:$B$310)),IF(417&lt;=COUNTA(半紙!$B$11:$B$310)+COUNTA(条幅!$B$11:$B$310)+COUNTA(条幅4分の1!$B$11:$B$310),INDEX(条幅4分の1!$C$11:$C$310,417-COUNTA(半紙!$B$11:$B$310)-COUNTA(条幅!$B$11:$B$310)),""))))</f>
        <v/>
      </c>
      <c r="D422" s="38" t="str">
        <f>IF(IF(417&lt;=COUNTA(半紙!$B$11:$B$310),INDEX(半紙!$D$11:$D$310,417),IF(417&lt;=COUNTA(半紙!$B$11:$B$310)+COUNTA(条幅!$B$11:$B$310),INDEX(条幅!$D$11:$D$310,417-COUNTA(半紙!$B$11:$B$310)),IF(417&lt;=COUNTA(半紙!$B$11:$B$310)+COUNTA(条幅!$B$11:$B$310)+COUNTA(条幅4分の1!$B$11:$B$310),INDEX(条幅4分の1!$D$11:$D$310,417-COUNTA(半紙!$B$11:$B$310)-COUNTA(条幅!$B$11:$B$310)),"")))=0,"",IF(417&lt;=COUNTA(半紙!$B$11:$B$310),INDEX(半紙!$D$11:$D$310,417),IF(417&lt;=COUNTA(半紙!$B$11:$B$310)+COUNTA(条幅!$B$11:$B$310),INDEX(条幅!$D$11:$D$310,417-COUNTA(半紙!$B$11:$B$310)),IF(417&lt;=COUNTA(半紙!$B$11:$B$310)+COUNTA(条幅!$B$11:$B$310)+COUNTA(条幅4分の1!$B$11:$B$310),INDEX(条幅4分の1!$D$11:$D$310,417-COUNTA(半紙!$B$11:$B$310)-COUNTA(条幅!$B$11:$B$310)),""))))</f>
        <v/>
      </c>
      <c r="E422" s="38" t="str">
        <f>IF(IF(417&lt;=COUNTA(半紙!$B$11:$B$310),INDEX(半紙!$E$11:$E$310,417),IF(417&lt;=COUNTA(半紙!$B$11:$B$310)+COUNTA(条幅!$B$11:$B$310),INDEX(条幅!$E$11:$E$310,417-COUNTA(半紙!$B$11:$B$310)),IF(417&lt;=COUNTA(半紙!$B$11:$B$310)+COUNTA(条幅!$B$11:$B$310)+COUNTA(条幅4分の1!$B$11:$B$310),INDEX(条幅4分の1!$E$11:$E$310,417-COUNTA(半紙!$B$11:$B$310)-COUNTA(条幅!$B$11:$B$310)),"")))=0,"",IF(417&lt;=COUNTA(半紙!$B$11:$B$310),INDEX(半紙!$E$11:$E$310,417),IF(417&lt;=COUNTA(半紙!$B$11:$B$310)+COUNTA(条幅!$B$11:$B$310),INDEX(条幅!$E$11:$E$310,417-COUNTA(半紙!$B$11:$B$310)),IF(417&lt;=COUNTA(半紙!$B$11:$B$310)+COUNTA(条幅!$B$11:$B$310)+COUNTA(条幅4分の1!$B$11:$B$310),INDEX(条幅4分の1!$E$11:$E$310,417-COUNTA(半紙!$B$11:$B$310)-COUNTA(条幅!$B$11:$B$310)),""))))</f>
        <v/>
      </c>
      <c r="F422" s="38" t="str">
        <f>IF(IF(417&lt;=COUNTA(半紙!$B$11:$B$310),INDEX(半紙!$F$11:$F$310,417),IF(417&lt;=COUNTA(半紙!$B$11:$B$310)+COUNTA(条幅!$B$11:$B$310),INDEX(条幅!$F$11:$F$310,417-COUNTA(半紙!$B$11:$B$310)),IF(417&lt;=COUNTA(半紙!$B$11:$B$310)+COUNTA(条幅!$B$11:$B$310)+COUNTA(条幅4分の1!$B$11:$B$310),INDEX(条幅4分の1!$F$11:$F$310,417-COUNTA(半紙!$B$11:$B$310)-COUNTA(条幅!$B$11:$B$310)),"")))=0,"",IF(417&lt;=COUNTA(半紙!$B$11:$B$310),INDEX(半紙!$F$11:$F$310,417),IF(417&lt;=COUNTA(半紙!$B$11:$B$310)+COUNTA(条幅!$B$11:$B$310),INDEX(条幅!$F$11:$F$310,417-COUNTA(半紙!$B$11:$B$310)),IF(417&lt;=COUNTA(半紙!$B$11:$B$310)+COUNTA(条幅!$B$11:$B$310)+COUNTA(条幅4分の1!$B$11:$B$310),INDEX(条幅4分の1!$F$11:$F$310,417-COUNTA(半紙!$B$11:$B$310)-COUNTA(条幅!$B$11:$B$310)),""))))</f>
        <v/>
      </c>
      <c r="G422" s="38" t="str">
        <f>IF(IF(417&lt;=COUNTA(半紙!$B$11:$B$310),INDEX(半紙!$G$11:$G$310,417),IF(417&lt;=COUNTA(半紙!$B$11:$B$310)+COUNTA(条幅!$B$11:$B$310),INDEX(条幅!$G$11:$G$310,417-COUNTA(半紙!$B$11:$B$310)),IF(417&lt;=COUNTA(半紙!$B$11:$B$310)+COUNTA(条幅!$B$11:$B$310)+COUNTA(条幅4分の1!$B$11:$B$310),INDEX(条幅4分の1!$G$11:$G$310,417-COUNTA(半紙!$B$11:$B$310)-COUNTA(条幅!$B$11:$B$310)),"")))=0,"",IF(417&lt;=COUNTA(半紙!$B$11:$B$310),INDEX(半紙!$G$11:$G$310,417),IF(417&lt;=COUNTA(半紙!$B$11:$B$310)+COUNTA(条幅!$B$11:$B$310),INDEX(条幅!$G$11:$G$310,417-COUNTA(半紙!$B$11:$B$310)),IF(417&lt;=COUNTA(半紙!$B$11:$B$310)+COUNTA(条幅!$B$11:$B$310)+COUNTA(条幅4分の1!$B$11:$B$310),INDEX(条幅4分の1!$G$11:$G$310,417-COUNTA(半紙!$B$11:$B$310)-COUNTA(条幅!$B$11:$B$310)),""))))</f>
        <v/>
      </c>
      <c r="H422" s="38" t="str">
        <f>IF(IF(417&lt;=COUNTA(半紙!$B$11:$B$310),INDEX(半紙!$H$11:$H$310,417),IF(417&lt;=COUNTA(半紙!$B$11:$B$310)+COUNTA(条幅!$B$11:$B$310),INDEX(条幅!$H$11:$H$310,417-COUNTA(半紙!$B$11:$B$310)),IF(417&lt;=COUNTA(半紙!$B$11:$B$310)+COUNTA(条幅!$B$11:$B$310)+COUNTA(条幅4分の1!$B$11:$B$310),INDEX(条幅4分の1!$H$11:$H$310,417-COUNTA(半紙!$B$11:$B$310)-COUNTA(条幅!$B$11:$B$310)),"")))=0,"",IF(417&lt;=COUNTA(半紙!$B$11:$B$310),INDEX(半紙!$H$11:$H$310,417),IF(417&lt;=COUNTA(半紙!$B$11:$B$310)+COUNTA(条幅!$B$11:$B$310),INDEX(条幅!$H$11:$H$310,417-COUNTA(半紙!$B$11:$B$310)),IF(417&lt;=COUNTA(半紙!$B$11:$B$310)+COUNTA(条幅!$B$11:$B$310)+COUNTA(条幅4分の1!$B$11:$B$310),INDEX(条幅4分の1!$H$11:$H$310,417-COUNTA(半紙!$B$11:$B$310)-COUNTA(条幅!$B$11:$B$310)),""))))</f>
        <v/>
      </c>
      <c r="I422" s="38" t="str">
        <f>IF(IF(417&lt;=COUNTA(半紙!$B$11:$B$310),INDEX(半紙!$I$11:$I$310,417),IF(417&lt;=COUNTA(半紙!$B$11:$B$310)+COUNTA(条幅!$B$11:$B$310),INDEX(条幅!$I$11:$I$310,417-COUNTA(半紙!$B$11:$B$310)),IF(417&lt;=COUNTA(半紙!$B$11:$B$310)+COUNTA(条幅!$B$11:$B$310)+COUNTA(条幅4分の1!$B$11:$B$310),INDEX(条幅4分の1!$I$11:$I$310,417-COUNTA(半紙!$B$11:$B$310)-COUNTA(条幅!$B$11:$B$310)),"")))=0,"",IF(417&lt;=COUNTA(半紙!$B$11:$B$310),INDEX(半紙!$I$11:$I$310,417),IF(417&lt;=COUNTA(半紙!$B$11:$B$310)+COUNTA(条幅!$B$11:$B$310),INDEX(条幅!$I$11:$I$310,417-COUNTA(半紙!$B$11:$B$310)),IF(417&lt;=COUNTA(半紙!$B$11:$B$310)+COUNTA(条幅!$B$11:$B$310)+COUNTA(条幅4分の1!$B$11:$B$310),INDEX(条幅4分の1!$I$11:$I$310,417-COUNTA(半紙!$B$11:$B$310)-COUNTA(条幅!$B$11:$B$310)),""))))</f>
        <v/>
      </c>
      <c r="J422" s="38" t="str">
        <f>IF(IF(417&lt;=COUNTA(半紙!$B$11:$B$310),INDEX(半紙!$J$11:$J$310,417),IF(417&lt;=COUNTA(半紙!$B$11:$B$310)+COUNTA(条幅!$B$11:$B$310),INDEX(条幅!$J$11:$J$310,417-COUNTA(半紙!$B$11:$B$310)),IF(417&lt;=COUNTA(半紙!$B$11:$B$310)+COUNTA(条幅!$B$11:$B$310)+COUNTA(条幅4分の1!$B$11:$B$310),INDEX(条幅4分の1!$J$11:$J$310,417-COUNTA(半紙!$B$11:$B$310)-COUNTA(条幅!$B$11:$B$310)),"")))=0,"",IF(417&lt;=COUNTA(半紙!$B$11:$B$310),INDEX(半紙!$J$11:$J$310,417),IF(417&lt;=COUNTA(半紙!$B$11:$B$310)+COUNTA(条幅!$B$11:$B$310),INDEX(条幅!$J$11:$J$310,417-COUNTA(半紙!$B$11:$B$310)),IF(417&lt;=COUNTA(半紙!$B$11:$B$310)+COUNTA(条幅!$B$11:$B$310)+COUNTA(条幅4分の1!$B$11:$B$310),INDEX(条幅4分の1!$J$11:$J$310,417-COUNTA(半紙!$B$11:$B$310)-COUNTA(条幅!$B$11:$B$310)),""))))</f>
        <v/>
      </c>
      <c r="K422" s="38" t="str">
        <f>IF(IF(417&lt;=COUNTA(半紙!$B$11:$B$310),INDEX(半紙!$K$11:$K$310,417),IF(417&lt;=COUNTA(半紙!$B$11:$B$310)+COUNTA(条幅!$B$11:$B$310),INDEX(条幅!$K$11:$K$310,417-COUNTA(半紙!$B$11:$B$310)),IF(417&lt;=COUNTA(半紙!$B$11:$B$310)+COUNTA(条幅!$B$11:$B$310)+COUNTA(条幅4分の1!$B$11:$B$310),INDEX(条幅4分の1!$K$11:$K$310,417-COUNTA(半紙!$B$11:$B$310)-COUNTA(条幅!$B$11:$B$310)),"")))=0,"",IF(417&lt;=COUNTA(半紙!$B$11:$B$310),INDEX(半紙!$K$11:$K$310,417),IF(417&lt;=COUNTA(半紙!$B$11:$B$310)+COUNTA(条幅!$B$11:$B$310),INDEX(条幅!$K$11:$K$310,417-COUNTA(半紙!$B$11:$B$310)),IF(417&lt;=COUNTA(半紙!$B$11:$B$310)+COUNTA(条幅!$B$11:$B$310)+COUNTA(条幅4分の1!$B$11:$B$310),INDEX(条幅4分の1!$K$11:$K$310,417-COUNTA(半紙!$B$11:$B$310)-COUNTA(条幅!$B$11:$B$310)),""))))</f>
        <v/>
      </c>
      <c r="L422" s="48" t="str">
        <f>IF($B422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417))</f>
        <v/>
      </c>
    </row>
    <row r="423" spans="1:12" ht="15" customHeight="1">
      <c r="A423" s="37" t="str">
        <f>IF(418&lt;=COUNTA(半紙!$B$11:$B$310),"半紙",IF(418&lt;=COUNTA(半紙!$B$11:$B$310)+COUNTA(条幅!$B$11:$B$310),"条幅(半切)",IF(418&lt;=COUNTA(半紙!$B$11:$B$310)+COUNTA(条幅!$B$11:$B$310)+COUNTA(条幅4分の1!$B$11:$B$310),"条幅(1/4)","")))</f>
        <v/>
      </c>
      <c r="B423" s="38" t="str">
        <f>IF(IF(418&lt;=COUNTA(半紙!$B$11:$B$310),INDEX(半紙!$B$11:$B$310,418),IF(418&lt;=COUNTA(半紙!$B$11:$B$310)+COUNTA(条幅!$B$11:$B$310),INDEX(条幅!$B$11:$B$310,418-COUNTA(半紙!$B$11:$B$310)),IF(418&lt;=COUNTA(半紙!$B$11:$B$310)+COUNTA(条幅!$B$11:$B$310)+COUNTA(条幅4分の1!$B$11:$B$310),INDEX(条幅4分の1!$B$11:$B$310,418-COUNTA(半紙!$B$11:$B$310)-COUNTA(条幅!$B$11:$B$310)),"")))=0,"",IF(418&lt;=COUNTA(半紙!$B$11:$B$310),INDEX(半紙!$B$11:$B$310,418),IF(418&lt;=COUNTA(半紙!$B$11:$B$310)+COUNTA(条幅!$B$11:$B$310),INDEX(条幅!$B$11:$B$310,418-COUNTA(半紙!$B$11:$B$310)),IF(418&lt;=COUNTA(半紙!$B$11:$B$310)+COUNTA(条幅!$B$11:$B$310)+COUNTA(条幅4分の1!$B$11:$B$310),INDEX(条幅4分の1!$B$11:$B$310,418-COUNTA(半紙!$B$11:$B$310)-COUNTA(条幅!$B$11:$B$310)),""))))</f>
        <v/>
      </c>
      <c r="C423" s="38" t="str">
        <f>IF(IF(418&lt;=COUNTA(半紙!$B$11:$B$310),INDEX(半紙!$C$11:$C$310,418),IF(418&lt;=COUNTA(半紙!$B$11:$B$310)+COUNTA(条幅!$B$11:$B$310),INDEX(条幅!$C$11:$C$310,418-COUNTA(半紙!$B$11:$B$310)),IF(418&lt;=COUNTA(半紙!$B$11:$B$310)+COUNTA(条幅!$B$11:$B$310)+COUNTA(条幅4分の1!$B$11:$B$310),INDEX(条幅4分の1!$C$11:$C$310,418-COUNTA(半紙!$B$11:$B$310)-COUNTA(条幅!$B$11:$B$310)),"")))=0,"",IF(418&lt;=COUNTA(半紙!$B$11:$B$310),INDEX(半紙!$C$11:$C$310,418),IF(418&lt;=COUNTA(半紙!$B$11:$B$310)+COUNTA(条幅!$B$11:$B$310),INDEX(条幅!$C$11:$C$310,418-COUNTA(半紙!$B$11:$B$310)),IF(418&lt;=COUNTA(半紙!$B$11:$B$310)+COUNTA(条幅!$B$11:$B$310)+COUNTA(条幅4分の1!$B$11:$B$310),INDEX(条幅4分の1!$C$11:$C$310,418-COUNTA(半紙!$B$11:$B$310)-COUNTA(条幅!$B$11:$B$310)),""))))</f>
        <v/>
      </c>
      <c r="D423" s="38" t="str">
        <f>IF(IF(418&lt;=COUNTA(半紙!$B$11:$B$310),INDEX(半紙!$D$11:$D$310,418),IF(418&lt;=COUNTA(半紙!$B$11:$B$310)+COUNTA(条幅!$B$11:$B$310),INDEX(条幅!$D$11:$D$310,418-COUNTA(半紙!$B$11:$B$310)),IF(418&lt;=COUNTA(半紙!$B$11:$B$310)+COUNTA(条幅!$B$11:$B$310)+COUNTA(条幅4分の1!$B$11:$B$310),INDEX(条幅4分の1!$D$11:$D$310,418-COUNTA(半紙!$B$11:$B$310)-COUNTA(条幅!$B$11:$B$310)),"")))=0,"",IF(418&lt;=COUNTA(半紙!$B$11:$B$310),INDEX(半紙!$D$11:$D$310,418),IF(418&lt;=COUNTA(半紙!$B$11:$B$310)+COUNTA(条幅!$B$11:$B$310),INDEX(条幅!$D$11:$D$310,418-COUNTA(半紙!$B$11:$B$310)),IF(418&lt;=COUNTA(半紙!$B$11:$B$310)+COUNTA(条幅!$B$11:$B$310)+COUNTA(条幅4分の1!$B$11:$B$310),INDEX(条幅4分の1!$D$11:$D$310,418-COUNTA(半紙!$B$11:$B$310)-COUNTA(条幅!$B$11:$B$310)),""))))</f>
        <v/>
      </c>
      <c r="E423" s="38" t="str">
        <f>IF(IF(418&lt;=COUNTA(半紙!$B$11:$B$310),INDEX(半紙!$E$11:$E$310,418),IF(418&lt;=COUNTA(半紙!$B$11:$B$310)+COUNTA(条幅!$B$11:$B$310),INDEX(条幅!$E$11:$E$310,418-COUNTA(半紙!$B$11:$B$310)),IF(418&lt;=COUNTA(半紙!$B$11:$B$310)+COUNTA(条幅!$B$11:$B$310)+COUNTA(条幅4分の1!$B$11:$B$310),INDEX(条幅4分の1!$E$11:$E$310,418-COUNTA(半紙!$B$11:$B$310)-COUNTA(条幅!$B$11:$B$310)),"")))=0,"",IF(418&lt;=COUNTA(半紙!$B$11:$B$310),INDEX(半紙!$E$11:$E$310,418),IF(418&lt;=COUNTA(半紙!$B$11:$B$310)+COUNTA(条幅!$B$11:$B$310),INDEX(条幅!$E$11:$E$310,418-COUNTA(半紙!$B$11:$B$310)),IF(418&lt;=COUNTA(半紙!$B$11:$B$310)+COUNTA(条幅!$B$11:$B$310)+COUNTA(条幅4分の1!$B$11:$B$310),INDEX(条幅4分の1!$E$11:$E$310,418-COUNTA(半紙!$B$11:$B$310)-COUNTA(条幅!$B$11:$B$310)),""))))</f>
        <v/>
      </c>
      <c r="F423" s="38" t="str">
        <f>IF(IF(418&lt;=COUNTA(半紙!$B$11:$B$310),INDEX(半紙!$F$11:$F$310,418),IF(418&lt;=COUNTA(半紙!$B$11:$B$310)+COUNTA(条幅!$B$11:$B$310),INDEX(条幅!$F$11:$F$310,418-COUNTA(半紙!$B$11:$B$310)),IF(418&lt;=COUNTA(半紙!$B$11:$B$310)+COUNTA(条幅!$B$11:$B$310)+COUNTA(条幅4分の1!$B$11:$B$310),INDEX(条幅4分の1!$F$11:$F$310,418-COUNTA(半紙!$B$11:$B$310)-COUNTA(条幅!$B$11:$B$310)),"")))=0,"",IF(418&lt;=COUNTA(半紙!$B$11:$B$310),INDEX(半紙!$F$11:$F$310,418),IF(418&lt;=COUNTA(半紙!$B$11:$B$310)+COUNTA(条幅!$B$11:$B$310),INDEX(条幅!$F$11:$F$310,418-COUNTA(半紙!$B$11:$B$310)),IF(418&lt;=COUNTA(半紙!$B$11:$B$310)+COUNTA(条幅!$B$11:$B$310)+COUNTA(条幅4分の1!$B$11:$B$310),INDEX(条幅4分の1!$F$11:$F$310,418-COUNTA(半紙!$B$11:$B$310)-COUNTA(条幅!$B$11:$B$310)),""))))</f>
        <v/>
      </c>
      <c r="G423" s="38" t="str">
        <f>IF(IF(418&lt;=COUNTA(半紙!$B$11:$B$310),INDEX(半紙!$G$11:$G$310,418),IF(418&lt;=COUNTA(半紙!$B$11:$B$310)+COUNTA(条幅!$B$11:$B$310),INDEX(条幅!$G$11:$G$310,418-COUNTA(半紙!$B$11:$B$310)),IF(418&lt;=COUNTA(半紙!$B$11:$B$310)+COUNTA(条幅!$B$11:$B$310)+COUNTA(条幅4分の1!$B$11:$B$310),INDEX(条幅4分の1!$G$11:$G$310,418-COUNTA(半紙!$B$11:$B$310)-COUNTA(条幅!$B$11:$B$310)),"")))=0,"",IF(418&lt;=COUNTA(半紙!$B$11:$B$310),INDEX(半紙!$G$11:$G$310,418),IF(418&lt;=COUNTA(半紙!$B$11:$B$310)+COUNTA(条幅!$B$11:$B$310),INDEX(条幅!$G$11:$G$310,418-COUNTA(半紙!$B$11:$B$310)),IF(418&lt;=COUNTA(半紙!$B$11:$B$310)+COUNTA(条幅!$B$11:$B$310)+COUNTA(条幅4分の1!$B$11:$B$310),INDEX(条幅4分の1!$G$11:$G$310,418-COUNTA(半紙!$B$11:$B$310)-COUNTA(条幅!$B$11:$B$310)),""))))</f>
        <v/>
      </c>
      <c r="H423" s="38" t="str">
        <f>IF(IF(418&lt;=COUNTA(半紙!$B$11:$B$310),INDEX(半紙!$H$11:$H$310,418),IF(418&lt;=COUNTA(半紙!$B$11:$B$310)+COUNTA(条幅!$B$11:$B$310),INDEX(条幅!$H$11:$H$310,418-COUNTA(半紙!$B$11:$B$310)),IF(418&lt;=COUNTA(半紙!$B$11:$B$310)+COUNTA(条幅!$B$11:$B$310)+COUNTA(条幅4分の1!$B$11:$B$310),INDEX(条幅4分の1!$H$11:$H$310,418-COUNTA(半紙!$B$11:$B$310)-COUNTA(条幅!$B$11:$B$310)),"")))=0,"",IF(418&lt;=COUNTA(半紙!$B$11:$B$310),INDEX(半紙!$H$11:$H$310,418),IF(418&lt;=COUNTA(半紙!$B$11:$B$310)+COUNTA(条幅!$B$11:$B$310),INDEX(条幅!$H$11:$H$310,418-COUNTA(半紙!$B$11:$B$310)),IF(418&lt;=COUNTA(半紙!$B$11:$B$310)+COUNTA(条幅!$B$11:$B$310)+COUNTA(条幅4分の1!$B$11:$B$310),INDEX(条幅4分の1!$H$11:$H$310,418-COUNTA(半紙!$B$11:$B$310)-COUNTA(条幅!$B$11:$B$310)),""))))</f>
        <v/>
      </c>
      <c r="I423" s="38" t="str">
        <f>IF(IF(418&lt;=COUNTA(半紙!$B$11:$B$310),INDEX(半紙!$I$11:$I$310,418),IF(418&lt;=COUNTA(半紙!$B$11:$B$310)+COUNTA(条幅!$B$11:$B$310),INDEX(条幅!$I$11:$I$310,418-COUNTA(半紙!$B$11:$B$310)),IF(418&lt;=COUNTA(半紙!$B$11:$B$310)+COUNTA(条幅!$B$11:$B$310)+COUNTA(条幅4分の1!$B$11:$B$310),INDEX(条幅4分の1!$I$11:$I$310,418-COUNTA(半紙!$B$11:$B$310)-COUNTA(条幅!$B$11:$B$310)),"")))=0,"",IF(418&lt;=COUNTA(半紙!$B$11:$B$310),INDEX(半紙!$I$11:$I$310,418),IF(418&lt;=COUNTA(半紙!$B$11:$B$310)+COUNTA(条幅!$B$11:$B$310),INDEX(条幅!$I$11:$I$310,418-COUNTA(半紙!$B$11:$B$310)),IF(418&lt;=COUNTA(半紙!$B$11:$B$310)+COUNTA(条幅!$B$11:$B$310)+COUNTA(条幅4分の1!$B$11:$B$310),INDEX(条幅4分の1!$I$11:$I$310,418-COUNTA(半紙!$B$11:$B$310)-COUNTA(条幅!$B$11:$B$310)),""))))</f>
        <v/>
      </c>
      <c r="J423" s="38" t="str">
        <f>IF(IF(418&lt;=COUNTA(半紙!$B$11:$B$310),INDEX(半紙!$J$11:$J$310,418),IF(418&lt;=COUNTA(半紙!$B$11:$B$310)+COUNTA(条幅!$B$11:$B$310),INDEX(条幅!$J$11:$J$310,418-COUNTA(半紙!$B$11:$B$310)),IF(418&lt;=COUNTA(半紙!$B$11:$B$310)+COUNTA(条幅!$B$11:$B$310)+COUNTA(条幅4分の1!$B$11:$B$310),INDEX(条幅4分の1!$J$11:$J$310,418-COUNTA(半紙!$B$11:$B$310)-COUNTA(条幅!$B$11:$B$310)),"")))=0,"",IF(418&lt;=COUNTA(半紙!$B$11:$B$310),INDEX(半紙!$J$11:$J$310,418),IF(418&lt;=COUNTA(半紙!$B$11:$B$310)+COUNTA(条幅!$B$11:$B$310),INDEX(条幅!$J$11:$J$310,418-COUNTA(半紙!$B$11:$B$310)),IF(418&lt;=COUNTA(半紙!$B$11:$B$310)+COUNTA(条幅!$B$11:$B$310)+COUNTA(条幅4分の1!$B$11:$B$310),INDEX(条幅4分の1!$J$11:$J$310,418-COUNTA(半紙!$B$11:$B$310)-COUNTA(条幅!$B$11:$B$310)),""))))</f>
        <v/>
      </c>
      <c r="K423" s="38" t="str">
        <f>IF(IF(418&lt;=COUNTA(半紙!$B$11:$B$310),INDEX(半紙!$K$11:$K$310,418),IF(418&lt;=COUNTA(半紙!$B$11:$B$310)+COUNTA(条幅!$B$11:$B$310),INDEX(条幅!$K$11:$K$310,418-COUNTA(半紙!$B$11:$B$310)),IF(418&lt;=COUNTA(半紙!$B$11:$B$310)+COUNTA(条幅!$B$11:$B$310)+COUNTA(条幅4分の1!$B$11:$B$310),INDEX(条幅4分の1!$K$11:$K$310,418-COUNTA(半紙!$B$11:$B$310)-COUNTA(条幅!$B$11:$B$310)),"")))=0,"",IF(418&lt;=COUNTA(半紙!$B$11:$B$310),INDEX(半紙!$K$11:$K$310,418),IF(418&lt;=COUNTA(半紙!$B$11:$B$310)+COUNTA(条幅!$B$11:$B$310),INDEX(条幅!$K$11:$K$310,418-COUNTA(半紙!$B$11:$B$310)),IF(418&lt;=COUNTA(半紙!$B$11:$B$310)+COUNTA(条幅!$B$11:$B$310)+COUNTA(条幅4分の1!$B$11:$B$310),INDEX(条幅4分の1!$K$11:$K$310,418-COUNTA(半紙!$B$11:$B$310)-COUNTA(条幅!$B$11:$B$310)),""))))</f>
        <v/>
      </c>
      <c r="L423" s="48" t="str">
        <f>IF($B423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418))</f>
        <v/>
      </c>
    </row>
    <row r="424" spans="1:12" ht="15" customHeight="1">
      <c r="A424" s="37" t="str">
        <f>IF(419&lt;=COUNTA(半紙!$B$11:$B$310),"半紙",IF(419&lt;=COUNTA(半紙!$B$11:$B$310)+COUNTA(条幅!$B$11:$B$310),"条幅(半切)",IF(419&lt;=COUNTA(半紙!$B$11:$B$310)+COUNTA(条幅!$B$11:$B$310)+COUNTA(条幅4分の1!$B$11:$B$310),"条幅(1/4)","")))</f>
        <v/>
      </c>
      <c r="B424" s="38" t="str">
        <f>IF(IF(419&lt;=COUNTA(半紙!$B$11:$B$310),INDEX(半紙!$B$11:$B$310,419),IF(419&lt;=COUNTA(半紙!$B$11:$B$310)+COUNTA(条幅!$B$11:$B$310),INDEX(条幅!$B$11:$B$310,419-COUNTA(半紙!$B$11:$B$310)),IF(419&lt;=COUNTA(半紙!$B$11:$B$310)+COUNTA(条幅!$B$11:$B$310)+COUNTA(条幅4分の1!$B$11:$B$310),INDEX(条幅4分の1!$B$11:$B$310,419-COUNTA(半紙!$B$11:$B$310)-COUNTA(条幅!$B$11:$B$310)),"")))=0,"",IF(419&lt;=COUNTA(半紙!$B$11:$B$310),INDEX(半紙!$B$11:$B$310,419),IF(419&lt;=COUNTA(半紙!$B$11:$B$310)+COUNTA(条幅!$B$11:$B$310),INDEX(条幅!$B$11:$B$310,419-COUNTA(半紙!$B$11:$B$310)),IF(419&lt;=COUNTA(半紙!$B$11:$B$310)+COUNTA(条幅!$B$11:$B$310)+COUNTA(条幅4分の1!$B$11:$B$310),INDEX(条幅4分の1!$B$11:$B$310,419-COUNTA(半紙!$B$11:$B$310)-COUNTA(条幅!$B$11:$B$310)),""))))</f>
        <v/>
      </c>
      <c r="C424" s="38" t="str">
        <f>IF(IF(419&lt;=COUNTA(半紙!$B$11:$B$310),INDEX(半紙!$C$11:$C$310,419),IF(419&lt;=COUNTA(半紙!$B$11:$B$310)+COUNTA(条幅!$B$11:$B$310),INDEX(条幅!$C$11:$C$310,419-COUNTA(半紙!$B$11:$B$310)),IF(419&lt;=COUNTA(半紙!$B$11:$B$310)+COUNTA(条幅!$B$11:$B$310)+COUNTA(条幅4分の1!$B$11:$B$310),INDEX(条幅4分の1!$C$11:$C$310,419-COUNTA(半紙!$B$11:$B$310)-COUNTA(条幅!$B$11:$B$310)),"")))=0,"",IF(419&lt;=COUNTA(半紙!$B$11:$B$310),INDEX(半紙!$C$11:$C$310,419),IF(419&lt;=COUNTA(半紙!$B$11:$B$310)+COUNTA(条幅!$B$11:$B$310),INDEX(条幅!$C$11:$C$310,419-COUNTA(半紙!$B$11:$B$310)),IF(419&lt;=COUNTA(半紙!$B$11:$B$310)+COUNTA(条幅!$B$11:$B$310)+COUNTA(条幅4分の1!$B$11:$B$310),INDEX(条幅4分の1!$C$11:$C$310,419-COUNTA(半紙!$B$11:$B$310)-COUNTA(条幅!$B$11:$B$310)),""))))</f>
        <v/>
      </c>
      <c r="D424" s="38" t="str">
        <f>IF(IF(419&lt;=COUNTA(半紙!$B$11:$B$310),INDEX(半紙!$D$11:$D$310,419),IF(419&lt;=COUNTA(半紙!$B$11:$B$310)+COUNTA(条幅!$B$11:$B$310),INDEX(条幅!$D$11:$D$310,419-COUNTA(半紙!$B$11:$B$310)),IF(419&lt;=COUNTA(半紙!$B$11:$B$310)+COUNTA(条幅!$B$11:$B$310)+COUNTA(条幅4分の1!$B$11:$B$310),INDEX(条幅4分の1!$D$11:$D$310,419-COUNTA(半紙!$B$11:$B$310)-COUNTA(条幅!$B$11:$B$310)),"")))=0,"",IF(419&lt;=COUNTA(半紙!$B$11:$B$310),INDEX(半紙!$D$11:$D$310,419),IF(419&lt;=COUNTA(半紙!$B$11:$B$310)+COUNTA(条幅!$B$11:$B$310),INDEX(条幅!$D$11:$D$310,419-COUNTA(半紙!$B$11:$B$310)),IF(419&lt;=COUNTA(半紙!$B$11:$B$310)+COUNTA(条幅!$B$11:$B$310)+COUNTA(条幅4分の1!$B$11:$B$310),INDEX(条幅4分の1!$D$11:$D$310,419-COUNTA(半紙!$B$11:$B$310)-COUNTA(条幅!$B$11:$B$310)),""))))</f>
        <v/>
      </c>
      <c r="E424" s="38" t="str">
        <f>IF(IF(419&lt;=COUNTA(半紙!$B$11:$B$310),INDEX(半紙!$E$11:$E$310,419),IF(419&lt;=COUNTA(半紙!$B$11:$B$310)+COUNTA(条幅!$B$11:$B$310),INDEX(条幅!$E$11:$E$310,419-COUNTA(半紙!$B$11:$B$310)),IF(419&lt;=COUNTA(半紙!$B$11:$B$310)+COUNTA(条幅!$B$11:$B$310)+COUNTA(条幅4分の1!$B$11:$B$310),INDEX(条幅4分の1!$E$11:$E$310,419-COUNTA(半紙!$B$11:$B$310)-COUNTA(条幅!$B$11:$B$310)),"")))=0,"",IF(419&lt;=COUNTA(半紙!$B$11:$B$310),INDEX(半紙!$E$11:$E$310,419),IF(419&lt;=COUNTA(半紙!$B$11:$B$310)+COUNTA(条幅!$B$11:$B$310),INDEX(条幅!$E$11:$E$310,419-COUNTA(半紙!$B$11:$B$310)),IF(419&lt;=COUNTA(半紙!$B$11:$B$310)+COUNTA(条幅!$B$11:$B$310)+COUNTA(条幅4分の1!$B$11:$B$310),INDEX(条幅4分の1!$E$11:$E$310,419-COUNTA(半紙!$B$11:$B$310)-COUNTA(条幅!$B$11:$B$310)),""))))</f>
        <v/>
      </c>
      <c r="F424" s="38" t="str">
        <f>IF(IF(419&lt;=COUNTA(半紙!$B$11:$B$310),INDEX(半紙!$F$11:$F$310,419),IF(419&lt;=COUNTA(半紙!$B$11:$B$310)+COUNTA(条幅!$B$11:$B$310),INDEX(条幅!$F$11:$F$310,419-COUNTA(半紙!$B$11:$B$310)),IF(419&lt;=COUNTA(半紙!$B$11:$B$310)+COUNTA(条幅!$B$11:$B$310)+COUNTA(条幅4分の1!$B$11:$B$310),INDEX(条幅4分の1!$F$11:$F$310,419-COUNTA(半紙!$B$11:$B$310)-COUNTA(条幅!$B$11:$B$310)),"")))=0,"",IF(419&lt;=COUNTA(半紙!$B$11:$B$310),INDEX(半紙!$F$11:$F$310,419),IF(419&lt;=COUNTA(半紙!$B$11:$B$310)+COUNTA(条幅!$B$11:$B$310),INDEX(条幅!$F$11:$F$310,419-COUNTA(半紙!$B$11:$B$310)),IF(419&lt;=COUNTA(半紙!$B$11:$B$310)+COUNTA(条幅!$B$11:$B$310)+COUNTA(条幅4分の1!$B$11:$B$310),INDEX(条幅4分の1!$F$11:$F$310,419-COUNTA(半紙!$B$11:$B$310)-COUNTA(条幅!$B$11:$B$310)),""))))</f>
        <v/>
      </c>
      <c r="G424" s="38" t="str">
        <f>IF(IF(419&lt;=COUNTA(半紙!$B$11:$B$310),INDEX(半紙!$G$11:$G$310,419),IF(419&lt;=COUNTA(半紙!$B$11:$B$310)+COUNTA(条幅!$B$11:$B$310),INDEX(条幅!$G$11:$G$310,419-COUNTA(半紙!$B$11:$B$310)),IF(419&lt;=COUNTA(半紙!$B$11:$B$310)+COUNTA(条幅!$B$11:$B$310)+COUNTA(条幅4分の1!$B$11:$B$310),INDEX(条幅4分の1!$G$11:$G$310,419-COUNTA(半紙!$B$11:$B$310)-COUNTA(条幅!$B$11:$B$310)),"")))=0,"",IF(419&lt;=COUNTA(半紙!$B$11:$B$310),INDEX(半紙!$G$11:$G$310,419),IF(419&lt;=COUNTA(半紙!$B$11:$B$310)+COUNTA(条幅!$B$11:$B$310),INDEX(条幅!$G$11:$G$310,419-COUNTA(半紙!$B$11:$B$310)),IF(419&lt;=COUNTA(半紙!$B$11:$B$310)+COUNTA(条幅!$B$11:$B$310)+COUNTA(条幅4分の1!$B$11:$B$310),INDEX(条幅4分の1!$G$11:$G$310,419-COUNTA(半紙!$B$11:$B$310)-COUNTA(条幅!$B$11:$B$310)),""))))</f>
        <v/>
      </c>
      <c r="H424" s="38" t="str">
        <f>IF(IF(419&lt;=COUNTA(半紙!$B$11:$B$310),INDEX(半紙!$H$11:$H$310,419),IF(419&lt;=COUNTA(半紙!$B$11:$B$310)+COUNTA(条幅!$B$11:$B$310),INDEX(条幅!$H$11:$H$310,419-COUNTA(半紙!$B$11:$B$310)),IF(419&lt;=COUNTA(半紙!$B$11:$B$310)+COUNTA(条幅!$B$11:$B$310)+COUNTA(条幅4分の1!$B$11:$B$310),INDEX(条幅4分の1!$H$11:$H$310,419-COUNTA(半紙!$B$11:$B$310)-COUNTA(条幅!$B$11:$B$310)),"")))=0,"",IF(419&lt;=COUNTA(半紙!$B$11:$B$310),INDEX(半紙!$H$11:$H$310,419),IF(419&lt;=COUNTA(半紙!$B$11:$B$310)+COUNTA(条幅!$B$11:$B$310),INDEX(条幅!$H$11:$H$310,419-COUNTA(半紙!$B$11:$B$310)),IF(419&lt;=COUNTA(半紙!$B$11:$B$310)+COUNTA(条幅!$B$11:$B$310)+COUNTA(条幅4分の1!$B$11:$B$310),INDEX(条幅4分の1!$H$11:$H$310,419-COUNTA(半紙!$B$11:$B$310)-COUNTA(条幅!$B$11:$B$310)),""))))</f>
        <v/>
      </c>
      <c r="I424" s="38" t="str">
        <f>IF(IF(419&lt;=COUNTA(半紙!$B$11:$B$310),INDEX(半紙!$I$11:$I$310,419),IF(419&lt;=COUNTA(半紙!$B$11:$B$310)+COUNTA(条幅!$B$11:$B$310),INDEX(条幅!$I$11:$I$310,419-COUNTA(半紙!$B$11:$B$310)),IF(419&lt;=COUNTA(半紙!$B$11:$B$310)+COUNTA(条幅!$B$11:$B$310)+COUNTA(条幅4分の1!$B$11:$B$310),INDEX(条幅4分の1!$I$11:$I$310,419-COUNTA(半紙!$B$11:$B$310)-COUNTA(条幅!$B$11:$B$310)),"")))=0,"",IF(419&lt;=COUNTA(半紙!$B$11:$B$310),INDEX(半紙!$I$11:$I$310,419),IF(419&lt;=COUNTA(半紙!$B$11:$B$310)+COUNTA(条幅!$B$11:$B$310),INDEX(条幅!$I$11:$I$310,419-COUNTA(半紙!$B$11:$B$310)),IF(419&lt;=COUNTA(半紙!$B$11:$B$310)+COUNTA(条幅!$B$11:$B$310)+COUNTA(条幅4分の1!$B$11:$B$310),INDEX(条幅4分の1!$I$11:$I$310,419-COUNTA(半紙!$B$11:$B$310)-COUNTA(条幅!$B$11:$B$310)),""))))</f>
        <v/>
      </c>
      <c r="J424" s="38" t="str">
        <f>IF(IF(419&lt;=COUNTA(半紙!$B$11:$B$310),INDEX(半紙!$J$11:$J$310,419),IF(419&lt;=COUNTA(半紙!$B$11:$B$310)+COUNTA(条幅!$B$11:$B$310),INDEX(条幅!$J$11:$J$310,419-COUNTA(半紙!$B$11:$B$310)),IF(419&lt;=COUNTA(半紙!$B$11:$B$310)+COUNTA(条幅!$B$11:$B$310)+COUNTA(条幅4分の1!$B$11:$B$310),INDEX(条幅4分の1!$J$11:$J$310,419-COUNTA(半紙!$B$11:$B$310)-COUNTA(条幅!$B$11:$B$310)),"")))=0,"",IF(419&lt;=COUNTA(半紙!$B$11:$B$310),INDEX(半紙!$J$11:$J$310,419),IF(419&lt;=COUNTA(半紙!$B$11:$B$310)+COUNTA(条幅!$B$11:$B$310),INDEX(条幅!$J$11:$J$310,419-COUNTA(半紙!$B$11:$B$310)),IF(419&lt;=COUNTA(半紙!$B$11:$B$310)+COUNTA(条幅!$B$11:$B$310)+COUNTA(条幅4分の1!$B$11:$B$310),INDEX(条幅4分の1!$J$11:$J$310,419-COUNTA(半紙!$B$11:$B$310)-COUNTA(条幅!$B$11:$B$310)),""))))</f>
        <v/>
      </c>
      <c r="K424" s="38" t="str">
        <f>IF(IF(419&lt;=COUNTA(半紙!$B$11:$B$310),INDEX(半紙!$K$11:$K$310,419),IF(419&lt;=COUNTA(半紙!$B$11:$B$310)+COUNTA(条幅!$B$11:$B$310),INDEX(条幅!$K$11:$K$310,419-COUNTA(半紙!$B$11:$B$310)),IF(419&lt;=COUNTA(半紙!$B$11:$B$310)+COUNTA(条幅!$B$11:$B$310)+COUNTA(条幅4分の1!$B$11:$B$310),INDEX(条幅4分の1!$K$11:$K$310,419-COUNTA(半紙!$B$11:$B$310)-COUNTA(条幅!$B$11:$B$310)),"")))=0,"",IF(419&lt;=COUNTA(半紙!$B$11:$B$310),INDEX(半紙!$K$11:$K$310,419),IF(419&lt;=COUNTA(半紙!$B$11:$B$310)+COUNTA(条幅!$B$11:$B$310),INDEX(条幅!$K$11:$K$310,419-COUNTA(半紙!$B$11:$B$310)),IF(419&lt;=COUNTA(半紙!$B$11:$B$310)+COUNTA(条幅!$B$11:$B$310)+COUNTA(条幅4分の1!$B$11:$B$310),INDEX(条幅4分の1!$K$11:$K$310,419-COUNTA(半紙!$B$11:$B$310)-COUNTA(条幅!$B$11:$B$310)),""))))</f>
        <v/>
      </c>
      <c r="L424" s="48" t="str">
        <f>IF($B424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419))</f>
        <v/>
      </c>
    </row>
    <row r="425" spans="1:12" ht="15" customHeight="1">
      <c r="A425" s="37" t="str">
        <f>IF(420&lt;=COUNTA(半紙!$B$11:$B$310),"半紙",IF(420&lt;=COUNTA(半紙!$B$11:$B$310)+COUNTA(条幅!$B$11:$B$310),"条幅(半切)",IF(420&lt;=COUNTA(半紙!$B$11:$B$310)+COUNTA(条幅!$B$11:$B$310)+COUNTA(条幅4分の1!$B$11:$B$310),"条幅(1/4)","")))</f>
        <v/>
      </c>
      <c r="B425" s="38" t="str">
        <f>IF(IF(420&lt;=COUNTA(半紙!$B$11:$B$310),INDEX(半紙!$B$11:$B$310,420),IF(420&lt;=COUNTA(半紙!$B$11:$B$310)+COUNTA(条幅!$B$11:$B$310),INDEX(条幅!$B$11:$B$310,420-COUNTA(半紙!$B$11:$B$310)),IF(420&lt;=COUNTA(半紙!$B$11:$B$310)+COUNTA(条幅!$B$11:$B$310)+COUNTA(条幅4分の1!$B$11:$B$310),INDEX(条幅4分の1!$B$11:$B$310,420-COUNTA(半紙!$B$11:$B$310)-COUNTA(条幅!$B$11:$B$310)),"")))=0,"",IF(420&lt;=COUNTA(半紙!$B$11:$B$310),INDEX(半紙!$B$11:$B$310,420),IF(420&lt;=COUNTA(半紙!$B$11:$B$310)+COUNTA(条幅!$B$11:$B$310),INDEX(条幅!$B$11:$B$310,420-COUNTA(半紙!$B$11:$B$310)),IF(420&lt;=COUNTA(半紙!$B$11:$B$310)+COUNTA(条幅!$B$11:$B$310)+COUNTA(条幅4分の1!$B$11:$B$310),INDEX(条幅4分の1!$B$11:$B$310,420-COUNTA(半紙!$B$11:$B$310)-COUNTA(条幅!$B$11:$B$310)),""))))</f>
        <v/>
      </c>
      <c r="C425" s="38" t="str">
        <f>IF(IF(420&lt;=COUNTA(半紙!$B$11:$B$310),INDEX(半紙!$C$11:$C$310,420),IF(420&lt;=COUNTA(半紙!$B$11:$B$310)+COUNTA(条幅!$B$11:$B$310),INDEX(条幅!$C$11:$C$310,420-COUNTA(半紙!$B$11:$B$310)),IF(420&lt;=COUNTA(半紙!$B$11:$B$310)+COUNTA(条幅!$B$11:$B$310)+COUNTA(条幅4分の1!$B$11:$B$310),INDEX(条幅4分の1!$C$11:$C$310,420-COUNTA(半紙!$B$11:$B$310)-COUNTA(条幅!$B$11:$B$310)),"")))=0,"",IF(420&lt;=COUNTA(半紙!$B$11:$B$310),INDEX(半紙!$C$11:$C$310,420),IF(420&lt;=COUNTA(半紙!$B$11:$B$310)+COUNTA(条幅!$B$11:$B$310),INDEX(条幅!$C$11:$C$310,420-COUNTA(半紙!$B$11:$B$310)),IF(420&lt;=COUNTA(半紙!$B$11:$B$310)+COUNTA(条幅!$B$11:$B$310)+COUNTA(条幅4分の1!$B$11:$B$310),INDEX(条幅4分の1!$C$11:$C$310,420-COUNTA(半紙!$B$11:$B$310)-COUNTA(条幅!$B$11:$B$310)),""))))</f>
        <v/>
      </c>
      <c r="D425" s="38" t="str">
        <f>IF(IF(420&lt;=COUNTA(半紙!$B$11:$B$310),INDEX(半紙!$D$11:$D$310,420),IF(420&lt;=COUNTA(半紙!$B$11:$B$310)+COUNTA(条幅!$B$11:$B$310),INDEX(条幅!$D$11:$D$310,420-COUNTA(半紙!$B$11:$B$310)),IF(420&lt;=COUNTA(半紙!$B$11:$B$310)+COUNTA(条幅!$B$11:$B$310)+COUNTA(条幅4分の1!$B$11:$B$310),INDEX(条幅4分の1!$D$11:$D$310,420-COUNTA(半紙!$B$11:$B$310)-COUNTA(条幅!$B$11:$B$310)),"")))=0,"",IF(420&lt;=COUNTA(半紙!$B$11:$B$310),INDEX(半紙!$D$11:$D$310,420),IF(420&lt;=COUNTA(半紙!$B$11:$B$310)+COUNTA(条幅!$B$11:$B$310),INDEX(条幅!$D$11:$D$310,420-COUNTA(半紙!$B$11:$B$310)),IF(420&lt;=COUNTA(半紙!$B$11:$B$310)+COUNTA(条幅!$B$11:$B$310)+COUNTA(条幅4分の1!$B$11:$B$310),INDEX(条幅4分の1!$D$11:$D$310,420-COUNTA(半紙!$B$11:$B$310)-COUNTA(条幅!$B$11:$B$310)),""))))</f>
        <v/>
      </c>
      <c r="E425" s="38" t="str">
        <f>IF(IF(420&lt;=COUNTA(半紙!$B$11:$B$310),INDEX(半紙!$E$11:$E$310,420),IF(420&lt;=COUNTA(半紙!$B$11:$B$310)+COUNTA(条幅!$B$11:$B$310),INDEX(条幅!$E$11:$E$310,420-COUNTA(半紙!$B$11:$B$310)),IF(420&lt;=COUNTA(半紙!$B$11:$B$310)+COUNTA(条幅!$B$11:$B$310)+COUNTA(条幅4分の1!$B$11:$B$310),INDEX(条幅4分の1!$E$11:$E$310,420-COUNTA(半紙!$B$11:$B$310)-COUNTA(条幅!$B$11:$B$310)),"")))=0,"",IF(420&lt;=COUNTA(半紙!$B$11:$B$310),INDEX(半紙!$E$11:$E$310,420),IF(420&lt;=COUNTA(半紙!$B$11:$B$310)+COUNTA(条幅!$B$11:$B$310),INDEX(条幅!$E$11:$E$310,420-COUNTA(半紙!$B$11:$B$310)),IF(420&lt;=COUNTA(半紙!$B$11:$B$310)+COUNTA(条幅!$B$11:$B$310)+COUNTA(条幅4分の1!$B$11:$B$310),INDEX(条幅4分の1!$E$11:$E$310,420-COUNTA(半紙!$B$11:$B$310)-COUNTA(条幅!$B$11:$B$310)),""))))</f>
        <v/>
      </c>
      <c r="F425" s="38" t="str">
        <f>IF(IF(420&lt;=COUNTA(半紙!$B$11:$B$310),INDEX(半紙!$F$11:$F$310,420),IF(420&lt;=COUNTA(半紙!$B$11:$B$310)+COUNTA(条幅!$B$11:$B$310),INDEX(条幅!$F$11:$F$310,420-COUNTA(半紙!$B$11:$B$310)),IF(420&lt;=COUNTA(半紙!$B$11:$B$310)+COUNTA(条幅!$B$11:$B$310)+COUNTA(条幅4分の1!$B$11:$B$310),INDEX(条幅4分の1!$F$11:$F$310,420-COUNTA(半紙!$B$11:$B$310)-COUNTA(条幅!$B$11:$B$310)),"")))=0,"",IF(420&lt;=COUNTA(半紙!$B$11:$B$310),INDEX(半紙!$F$11:$F$310,420),IF(420&lt;=COUNTA(半紙!$B$11:$B$310)+COUNTA(条幅!$B$11:$B$310),INDEX(条幅!$F$11:$F$310,420-COUNTA(半紙!$B$11:$B$310)),IF(420&lt;=COUNTA(半紙!$B$11:$B$310)+COUNTA(条幅!$B$11:$B$310)+COUNTA(条幅4分の1!$B$11:$B$310),INDEX(条幅4分の1!$F$11:$F$310,420-COUNTA(半紙!$B$11:$B$310)-COUNTA(条幅!$B$11:$B$310)),""))))</f>
        <v/>
      </c>
      <c r="G425" s="38" t="str">
        <f>IF(IF(420&lt;=COUNTA(半紙!$B$11:$B$310),INDEX(半紙!$G$11:$G$310,420),IF(420&lt;=COUNTA(半紙!$B$11:$B$310)+COUNTA(条幅!$B$11:$B$310),INDEX(条幅!$G$11:$G$310,420-COUNTA(半紙!$B$11:$B$310)),IF(420&lt;=COUNTA(半紙!$B$11:$B$310)+COUNTA(条幅!$B$11:$B$310)+COUNTA(条幅4分の1!$B$11:$B$310),INDEX(条幅4分の1!$G$11:$G$310,420-COUNTA(半紙!$B$11:$B$310)-COUNTA(条幅!$B$11:$B$310)),"")))=0,"",IF(420&lt;=COUNTA(半紙!$B$11:$B$310),INDEX(半紙!$G$11:$G$310,420),IF(420&lt;=COUNTA(半紙!$B$11:$B$310)+COUNTA(条幅!$B$11:$B$310),INDEX(条幅!$G$11:$G$310,420-COUNTA(半紙!$B$11:$B$310)),IF(420&lt;=COUNTA(半紙!$B$11:$B$310)+COUNTA(条幅!$B$11:$B$310)+COUNTA(条幅4分の1!$B$11:$B$310),INDEX(条幅4分の1!$G$11:$G$310,420-COUNTA(半紙!$B$11:$B$310)-COUNTA(条幅!$B$11:$B$310)),""))))</f>
        <v/>
      </c>
      <c r="H425" s="38" t="str">
        <f>IF(IF(420&lt;=COUNTA(半紙!$B$11:$B$310),INDEX(半紙!$H$11:$H$310,420),IF(420&lt;=COUNTA(半紙!$B$11:$B$310)+COUNTA(条幅!$B$11:$B$310),INDEX(条幅!$H$11:$H$310,420-COUNTA(半紙!$B$11:$B$310)),IF(420&lt;=COUNTA(半紙!$B$11:$B$310)+COUNTA(条幅!$B$11:$B$310)+COUNTA(条幅4分の1!$B$11:$B$310),INDEX(条幅4分の1!$H$11:$H$310,420-COUNTA(半紙!$B$11:$B$310)-COUNTA(条幅!$B$11:$B$310)),"")))=0,"",IF(420&lt;=COUNTA(半紙!$B$11:$B$310),INDEX(半紙!$H$11:$H$310,420),IF(420&lt;=COUNTA(半紙!$B$11:$B$310)+COUNTA(条幅!$B$11:$B$310),INDEX(条幅!$H$11:$H$310,420-COUNTA(半紙!$B$11:$B$310)),IF(420&lt;=COUNTA(半紙!$B$11:$B$310)+COUNTA(条幅!$B$11:$B$310)+COUNTA(条幅4分の1!$B$11:$B$310),INDEX(条幅4分の1!$H$11:$H$310,420-COUNTA(半紙!$B$11:$B$310)-COUNTA(条幅!$B$11:$B$310)),""))))</f>
        <v/>
      </c>
      <c r="I425" s="38" t="str">
        <f>IF(IF(420&lt;=COUNTA(半紙!$B$11:$B$310),INDEX(半紙!$I$11:$I$310,420),IF(420&lt;=COUNTA(半紙!$B$11:$B$310)+COUNTA(条幅!$B$11:$B$310),INDEX(条幅!$I$11:$I$310,420-COUNTA(半紙!$B$11:$B$310)),IF(420&lt;=COUNTA(半紙!$B$11:$B$310)+COUNTA(条幅!$B$11:$B$310)+COUNTA(条幅4分の1!$B$11:$B$310),INDEX(条幅4分の1!$I$11:$I$310,420-COUNTA(半紙!$B$11:$B$310)-COUNTA(条幅!$B$11:$B$310)),"")))=0,"",IF(420&lt;=COUNTA(半紙!$B$11:$B$310),INDEX(半紙!$I$11:$I$310,420),IF(420&lt;=COUNTA(半紙!$B$11:$B$310)+COUNTA(条幅!$B$11:$B$310),INDEX(条幅!$I$11:$I$310,420-COUNTA(半紙!$B$11:$B$310)),IF(420&lt;=COUNTA(半紙!$B$11:$B$310)+COUNTA(条幅!$B$11:$B$310)+COUNTA(条幅4分の1!$B$11:$B$310),INDEX(条幅4分の1!$I$11:$I$310,420-COUNTA(半紙!$B$11:$B$310)-COUNTA(条幅!$B$11:$B$310)),""))))</f>
        <v/>
      </c>
      <c r="J425" s="38" t="str">
        <f>IF(IF(420&lt;=COUNTA(半紙!$B$11:$B$310),INDEX(半紙!$J$11:$J$310,420),IF(420&lt;=COUNTA(半紙!$B$11:$B$310)+COUNTA(条幅!$B$11:$B$310),INDEX(条幅!$J$11:$J$310,420-COUNTA(半紙!$B$11:$B$310)),IF(420&lt;=COUNTA(半紙!$B$11:$B$310)+COUNTA(条幅!$B$11:$B$310)+COUNTA(条幅4分の1!$B$11:$B$310),INDEX(条幅4分の1!$J$11:$J$310,420-COUNTA(半紙!$B$11:$B$310)-COUNTA(条幅!$B$11:$B$310)),"")))=0,"",IF(420&lt;=COUNTA(半紙!$B$11:$B$310),INDEX(半紙!$J$11:$J$310,420),IF(420&lt;=COUNTA(半紙!$B$11:$B$310)+COUNTA(条幅!$B$11:$B$310),INDEX(条幅!$J$11:$J$310,420-COUNTA(半紙!$B$11:$B$310)),IF(420&lt;=COUNTA(半紙!$B$11:$B$310)+COUNTA(条幅!$B$11:$B$310)+COUNTA(条幅4分の1!$B$11:$B$310),INDEX(条幅4分の1!$J$11:$J$310,420-COUNTA(半紙!$B$11:$B$310)-COUNTA(条幅!$B$11:$B$310)),""))))</f>
        <v/>
      </c>
      <c r="K425" s="38" t="str">
        <f>IF(IF(420&lt;=COUNTA(半紙!$B$11:$B$310),INDEX(半紙!$K$11:$K$310,420),IF(420&lt;=COUNTA(半紙!$B$11:$B$310)+COUNTA(条幅!$B$11:$B$310),INDEX(条幅!$K$11:$K$310,420-COUNTA(半紙!$B$11:$B$310)),IF(420&lt;=COUNTA(半紙!$B$11:$B$310)+COUNTA(条幅!$B$11:$B$310)+COUNTA(条幅4分の1!$B$11:$B$310),INDEX(条幅4分の1!$K$11:$K$310,420-COUNTA(半紙!$B$11:$B$310)-COUNTA(条幅!$B$11:$B$310)),"")))=0,"",IF(420&lt;=COUNTA(半紙!$B$11:$B$310),INDEX(半紙!$K$11:$K$310,420),IF(420&lt;=COUNTA(半紙!$B$11:$B$310)+COUNTA(条幅!$B$11:$B$310),INDEX(条幅!$K$11:$K$310,420-COUNTA(半紙!$B$11:$B$310)),IF(420&lt;=COUNTA(半紙!$B$11:$B$310)+COUNTA(条幅!$B$11:$B$310)+COUNTA(条幅4分の1!$B$11:$B$310),INDEX(条幅4分の1!$K$11:$K$310,420-COUNTA(半紙!$B$11:$B$310)-COUNTA(条幅!$B$11:$B$310)),""))))</f>
        <v/>
      </c>
      <c r="L425" s="48" t="str">
        <f>IF($B425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420))</f>
        <v/>
      </c>
    </row>
    <row r="426" spans="1:12" ht="15" customHeight="1">
      <c r="A426" s="37" t="str">
        <f>IF(421&lt;=COUNTA(半紙!$B$11:$B$310),"半紙",IF(421&lt;=COUNTA(半紙!$B$11:$B$310)+COUNTA(条幅!$B$11:$B$310),"条幅(半切)",IF(421&lt;=COUNTA(半紙!$B$11:$B$310)+COUNTA(条幅!$B$11:$B$310)+COUNTA(条幅4分の1!$B$11:$B$310),"条幅(1/4)","")))</f>
        <v/>
      </c>
      <c r="B426" s="38" t="str">
        <f>IF(IF(421&lt;=COUNTA(半紙!$B$11:$B$310),INDEX(半紙!$B$11:$B$310,421),IF(421&lt;=COUNTA(半紙!$B$11:$B$310)+COUNTA(条幅!$B$11:$B$310),INDEX(条幅!$B$11:$B$310,421-COUNTA(半紙!$B$11:$B$310)),IF(421&lt;=COUNTA(半紙!$B$11:$B$310)+COUNTA(条幅!$B$11:$B$310)+COUNTA(条幅4分の1!$B$11:$B$310),INDEX(条幅4分の1!$B$11:$B$310,421-COUNTA(半紙!$B$11:$B$310)-COUNTA(条幅!$B$11:$B$310)),"")))=0,"",IF(421&lt;=COUNTA(半紙!$B$11:$B$310),INDEX(半紙!$B$11:$B$310,421),IF(421&lt;=COUNTA(半紙!$B$11:$B$310)+COUNTA(条幅!$B$11:$B$310),INDEX(条幅!$B$11:$B$310,421-COUNTA(半紙!$B$11:$B$310)),IF(421&lt;=COUNTA(半紙!$B$11:$B$310)+COUNTA(条幅!$B$11:$B$310)+COUNTA(条幅4分の1!$B$11:$B$310),INDEX(条幅4分の1!$B$11:$B$310,421-COUNTA(半紙!$B$11:$B$310)-COUNTA(条幅!$B$11:$B$310)),""))))</f>
        <v/>
      </c>
      <c r="C426" s="38" t="str">
        <f>IF(IF(421&lt;=COUNTA(半紙!$B$11:$B$310),INDEX(半紙!$C$11:$C$310,421),IF(421&lt;=COUNTA(半紙!$B$11:$B$310)+COUNTA(条幅!$B$11:$B$310),INDEX(条幅!$C$11:$C$310,421-COUNTA(半紙!$B$11:$B$310)),IF(421&lt;=COUNTA(半紙!$B$11:$B$310)+COUNTA(条幅!$B$11:$B$310)+COUNTA(条幅4分の1!$B$11:$B$310),INDEX(条幅4分の1!$C$11:$C$310,421-COUNTA(半紙!$B$11:$B$310)-COUNTA(条幅!$B$11:$B$310)),"")))=0,"",IF(421&lt;=COUNTA(半紙!$B$11:$B$310),INDEX(半紙!$C$11:$C$310,421),IF(421&lt;=COUNTA(半紙!$B$11:$B$310)+COUNTA(条幅!$B$11:$B$310),INDEX(条幅!$C$11:$C$310,421-COUNTA(半紙!$B$11:$B$310)),IF(421&lt;=COUNTA(半紙!$B$11:$B$310)+COUNTA(条幅!$B$11:$B$310)+COUNTA(条幅4分の1!$B$11:$B$310),INDEX(条幅4分の1!$C$11:$C$310,421-COUNTA(半紙!$B$11:$B$310)-COUNTA(条幅!$B$11:$B$310)),""))))</f>
        <v/>
      </c>
      <c r="D426" s="38" t="str">
        <f>IF(IF(421&lt;=COUNTA(半紙!$B$11:$B$310),INDEX(半紙!$D$11:$D$310,421),IF(421&lt;=COUNTA(半紙!$B$11:$B$310)+COUNTA(条幅!$B$11:$B$310),INDEX(条幅!$D$11:$D$310,421-COUNTA(半紙!$B$11:$B$310)),IF(421&lt;=COUNTA(半紙!$B$11:$B$310)+COUNTA(条幅!$B$11:$B$310)+COUNTA(条幅4分の1!$B$11:$B$310),INDEX(条幅4分の1!$D$11:$D$310,421-COUNTA(半紙!$B$11:$B$310)-COUNTA(条幅!$B$11:$B$310)),"")))=0,"",IF(421&lt;=COUNTA(半紙!$B$11:$B$310),INDEX(半紙!$D$11:$D$310,421),IF(421&lt;=COUNTA(半紙!$B$11:$B$310)+COUNTA(条幅!$B$11:$B$310),INDEX(条幅!$D$11:$D$310,421-COUNTA(半紙!$B$11:$B$310)),IF(421&lt;=COUNTA(半紙!$B$11:$B$310)+COUNTA(条幅!$B$11:$B$310)+COUNTA(条幅4分の1!$B$11:$B$310),INDEX(条幅4分の1!$D$11:$D$310,421-COUNTA(半紙!$B$11:$B$310)-COUNTA(条幅!$B$11:$B$310)),""))))</f>
        <v/>
      </c>
      <c r="E426" s="38" t="str">
        <f>IF(IF(421&lt;=COUNTA(半紙!$B$11:$B$310),INDEX(半紙!$E$11:$E$310,421),IF(421&lt;=COUNTA(半紙!$B$11:$B$310)+COUNTA(条幅!$B$11:$B$310),INDEX(条幅!$E$11:$E$310,421-COUNTA(半紙!$B$11:$B$310)),IF(421&lt;=COUNTA(半紙!$B$11:$B$310)+COUNTA(条幅!$B$11:$B$310)+COUNTA(条幅4分の1!$B$11:$B$310),INDEX(条幅4分の1!$E$11:$E$310,421-COUNTA(半紙!$B$11:$B$310)-COUNTA(条幅!$B$11:$B$310)),"")))=0,"",IF(421&lt;=COUNTA(半紙!$B$11:$B$310),INDEX(半紙!$E$11:$E$310,421),IF(421&lt;=COUNTA(半紙!$B$11:$B$310)+COUNTA(条幅!$B$11:$B$310),INDEX(条幅!$E$11:$E$310,421-COUNTA(半紙!$B$11:$B$310)),IF(421&lt;=COUNTA(半紙!$B$11:$B$310)+COUNTA(条幅!$B$11:$B$310)+COUNTA(条幅4分の1!$B$11:$B$310),INDEX(条幅4分の1!$E$11:$E$310,421-COUNTA(半紙!$B$11:$B$310)-COUNTA(条幅!$B$11:$B$310)),""))))</f>
        <v/>
      </c>
      <c r="F426" s="38" t="str">
        <f>IF(IF(421&lt;=COUNTA(半紙!$B$11:$B$310),INDEX(半紙!$F$11:$F$310,421),IF(421&lt;=COUNTA(半紙!$B$11:$B$310)+COUNTA(条幅!$B$11:$B$310),INDEX(条幅!$F$11:$F$310,421-COUNTA(半紙!$B$11:$B$310)),IF(421&lt;=COUNTA(半紙!$B$11:$B$310)+COUNTA(条幅!$B$11:$B$310)+COUNTA(条幅4分の1!$B$11:$B$310),INDEX(条幅4分の1!$F$11:$F$310,421-COUNTA(半紙!$B$11:$B$310)-COUNTA(条幅!$B$11:$B$310)),"")))=0,"",IF(421&lt;=COUNTA(半紙!$B$11:$B$310),INDEX(半紙!$F$11:$F$310,421),IF(421&lt;=COUNTA(半紙!$B$11:$B$310)+COUNTA(条幅!$B$11:$B$310),INDEX(条幅!$F$11:$F$310,421-COUNTA(半紙!$B$11:$B$310)),IF(421&lt;=COUNTA(半紙!$B$11:$B$310)+COUNTA(条幅!$B$11:$B$310)+COUNTA(条幅4分の1!$B$11:$B$310),INDEX(条幅4分の1!$F$11:$F$310,421-COUNTA(半紙!$B$11:$B$310)-COUNTA(条幅!$B$11:$B$310)),""))))</f>
        <v/>
      </c>
      <c r="G426" s="38" t="str">
        <f>IF(IF(421&lt;=COUNTA(半紙!$B$11:$B$310),INDEX(半紙!$G$11:$G$310,421),IF(421&lt;=COUNTA(半紙!$B$11:$B$310)+COUNTA(条幅!$B$11:$B$310),INDEX(条幅!$G$11:$G$310,421-COUNTA(半紙!$B$11:$B$310)),IF(421&lt;=COUNTA(半紙!$B$11:$B$310)+COUNTA(条幅!$B$11:$B$310)+COUNTA(条幅4分の1!$B$11:$B$310),INDEX(条幅4分の1!$G$11:$G$310,421-COUNTA(半紙!$B$11:$B$310)-COUNTA(条幅!$B$11:$B$310)),"")))=0,"",IF(421&lt;=COUNTA(半紙!$B$11:$B$310),INDEX(半紙!$G$11:$G$310,421),IF(421&lt;=COUNTA(半紙!$B$11:$B$310)+COUNTA(条幅!$B$11:$B$310),INDEX(条幅!$G$11:$G$310,421-COUNTA(半紙!$B$11:$B$310)),IF(421&lt;=COUNTA(半紙!$B$11:$B$310)+COUNTA(条幅!$B$11:$B$310)+COUNTA(条幅4分の1!$B$11:$B$310),INDEX(条幅4分の1!$G$11:$G$310,421-COUNTA(半紙!$B$11:$B$310)-COUNTA(条幅!$B$11:$B$310)),""))))</f>
        <v/>
      </c>
      <c r="H426" s="38" t="str">
        <f>IF(IF(421&lt;=COUNTA(半紙!$B$11:$B$310),INDEX(半紙!$H$11:$H$310,421),IF(421&lt;=COUNTA(半紙!$B$11:$B$310)+COUNTA(条幅!$B$11:$B$310),INDEX(条幅!$H$11:$H$310,421-COUNTA(半紙!$B$11:$B$310)),IF(421&lt;=COUNTA(半紙!$B$11:$B$310)+COUNTA(条幅!$B$11:$B$310)+COUNTA(条幅4分の1!$B$11:$B$310),INDEX(条幅4分の1!$H$11:$H$310,421-COUNTA(半紙!$B$11:$B$310)-COUNTA(条幅!$B$11:$B$310)),"")))=0,"",IF(421&lt;=COUNTA(半紙!$B$11:$B$310),INDEX(半紙!$H$11:$H$310,421),IF(421&lt;=COUNTA(半紙!$B$11:$B$310)+COUNTA(条幅!$B$11:$B$310),INDEX(条幅!$H$11:$H$310,421-COUNTA(半紙!$B$11:$B$310)),IF(421&lt;=COUNTA(半紙!$B$11:$B$310)+COUNTA(条幅!$B$11:$B$310)+COUNTA(条幅4分の1!$B$11:$B$310),INDEX(条幅4分の1!$H$11:$H$310,421-COUNTA(半紙!$B$11:$B$310)-COUNTA(条幅!$B$11:$B$310)),""))))</f>
        <v/>
      </c>
      <c r="I426" s="38" t="str">
        <f>IF(IF(421&lt;=COUNTA(半紙!$B$11:$B$310),INDEX(半紙!$I$11:$I$310,421),IF(421&lt;=COUNTA(半紙!$B$11:$B$310)+COUNTA(条幅!$B$11:$B$310),INDEX(条幅!$I$11:$I$310,421-COUNTA(半紙!$B$11:$B$310)),IF(421&lt;=COUNTA(半紙!$B$11:$B$310)+COUNTA(条幅!$B$11:$B$310)+COUNTA(条幅4分の1!$B$11:$B$310),INDEX(条幅4分の1!$I$11:$I$310,421-COUNTA(半紙!$B$11:$B$310)-COUNTA(条幅!$B$11:$B$310)),"")))=0,"",IF(421&lt;=COUNTA(半紙!$B$11:$B$310),INDEX(半紙!$I$11:$I$310,421),IF(421&lt;=COUNTA(半紙!$B$11:$B$310)+COUNTA(条幅!$B$11:$B$310),INDEX(条幅!$I$11:$I$310,421-COUNTA(半紙!$B$11:$B$310)),IF(421&lt;=COUNTA(半紙!$B$11:$B$310)+COUNTA(条幅!$B$11:$B$310)+COUNTA(条幅4分の1!$B$11:$B$310),INDEX(条幅4分の1!$I$11:$I$310,421-COUNTA(半紙!$B$11:$B$310)-COUNTA(条幅!$B$11:$B$310)),""))))</f>
        <v/>
      </c>
      <c r="J426" s="38" t="str">
        <f>IF(IF(421&lt;=COUNTA(半紙!$B$11:$B$310),INDEX(半紙!$J$11:$J$310,421),IF(421&lt;=COUNTA(半紙!$B$11:$B$310)+COUNTA(条幅!$B$11:$B$310),INDEX(条幅!$J$11:$J$310,421-COUNTA(半紙!$B$11:$B$310)),IF(421&lt;=COUNTA(半紙!$B$11:$B$310)+COUNTA(条幅!$B$11:$B$310)+COUNTA(条幅4分の1!$B$11:$B$310),INDEX(条幅4分の1!$J$11:$J$310,421-COUNTA(半紙!$B$11:$B$310)-COUNTA(条幅!$B$11:$B$310)),"")))=0,"",IF(421&lt;=COUNTA(半紙!$B$11:$B$310),INDEX(半紙!$J$11:$J$310,421),IF(421&lt;=COUNTA(半紙!$B$11:$B$310)+COUNTA(条幅!$B$11:$B$310),INDEX(条幅!$J$11:$J$310,421-COUNTA(半紙!$B$11:$B$310)),IF(421&lt;=COUNTA(半紙!$B$11:$B$310)+COUNTA(条幅!$B$11:$B$310)+COUNTA(条幅4分の1!$B$11:$B$310),INDEX(条幅4分の1!$J$11:$J$310,421-COUNTA(半紙!$B$11:$B$310)-COUNTA(条幅!$B$11:$B$310)),""))))</f>
        <v/>
      </c>
      <c r="K426" s="38" t="str">
        <f>IF(IF(421&lt;=COUNTA(半紙!$B$11:$B$310),INDEX(半紙!$K$11:$K$310,421),IF(421&lt;=COUNTA(半紙!$B$11:$B$310)+COUNTA(条幅!$B$11:$B$310),INDEX(条幅!$K$11:$K$310,421-COUNTA(半紙!$B$11:$B$310)),IF(421&lt;=COUNTA(半紙!$B$11:$B$310)+COUNTA(条幅!$B$11:$B$310)+COUNTA(条幅4分の1!$B$11:$B$310),INDEX(条幅4分の1!$K$11:$K$310,421-COUNTA(半紙!$B$11:$B$310)-COUNTA(条幅!$B$11:$B$310)),"")))=0,"",IF(421&lt;=COUNTA(半紙!$B$11:$B$310),INDEX(半紙!$K$11:$K$310,421),IF(421&lt;=COUNTA(半紙!$B$11:$B$310)+COUNTA(条幅!$B$11:$B$310),INDEX(条幅!$K$11:$K$310,421-COUNTA(半紙!$B$11:$B$310)),IF(421&lt;=COUNTA(半紙!$B$11:$B$310)+COUNTA(条幅!$B$11:$B$310)+COUNTA(条幅4分の1!$B$11:$B$310),INDEX(条幅4分の1!$K$11:$K$310,421-COUNTA(半紙!$B$11:$B$310)-COUNTA(条幅!$B$11:$B$310)),""))))</f>
        <v/>
      </c>
      <c r="L426" s="48" t="str">
        <f>IF($B426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421))</f>
        <v/>
      </c>
    </row>
    <row r="427" spans="1:12" ht="15" customHeight="1">
      <c r="A427" s="37" t="str">
        <f>IF(422&lt;=COUNTA(半紙!$B$11:$B$310),"半紙",IF(422&lt;=COUNTA(半紙!$B$11:$B$310)+COUNTA(条幅!$B$11:$B$310),"条幅(半切)",IF(422&lt;=COUNTA(半紙!$B$11:$B$310)+COUNTA(条幅!$B$11:$B$310)+COUNTA(条幅4分の1!$B$11:$B$310),"条幅(1/4)","")))</f>
        <v/>
      </c>
      <c r="B427" s="38" t="str">
        <f>IF(IF(422&lt;=COUNTA(半紙!$B$11:$B$310),INDEX(半紙!$B$11:$B$310,422),IF(422&lt;=COUNTA(半紙!$B$11:$B$310)+COUNTA(条幅!$B$11:$B$310),INDEX(条幅!$B$11:$B$310,422-COUNTA(半紙!$B$11:$B$310)),IF(422&lt;=COUNTA(半紙!$B$11:$B$310)+COUNTA(条幅!$B$11:$B$310)+COUNTA(条幅4分の1!$B$11:$B$310),INDEX(条幅4分の1!$B$11:$B$310,422-COUNTA(半紙!$B$11:$B$310)-COUNTA(条幅!$B$11:$B$310)),"")))=0,"",IF(422&lt;=COUNTA(半紙!$B$11:$B$310),INDEX(半紙!$B$11:$B$310,422),IF(422&lt;=COUNTA(半紙!$B$11:$B$310)+COUNTA(条幅!$B$11:$B$310),INDEX(条幅!$B$11:$B$310,422-COUNTA(半紙!$B$11:$B$310)),IF(422&lt;=COUNTA(半紙!$B$11:$B$310)+COUNTA(条幅!$B$11:$B$310)+COUNTA(条幅4分の1!$B$11:$B$310),INDEX(条幅4分の1!$B$11:$B$310,422-COUNTA(半紙!$B$11:$B$310)-COUNTA(条幅!$B$11:$B$310)),""))))</f>
        <v/>
      </c>
      <c r="C427" s="38" t="str">
        <f>IF(IF(422&lt;=COUNTA(半紙!$B$11:$B$310),INDEX(半紙!$C$11:$C$310,422),IF(422&lt;=COUNTA(半紙!$B$11:$B$310)+COUNTA(条幅!$B$11:$B$310),INDEX(条幅!$C$11:$C$310,422-COUNTA(半紙!$B$11:$B$310)),IF(422&lt;=COUNTA(半紙!$B$11:$B$310)+COUNTA(条幅!$B$11:$B$310)+COUNTA(条幅4分の1!$B$11:$B$310),INDEX(条幅4分の1!$C$11:$C$310,422-COUNTA(半紙!$B$11:$B$310)-COUNTA(条幅!$B$11:$B$310)),"")))=0,"",IF(422&lt;=COUNTA(半紙!$B$11:$B$310),INDEX(半紙!$C$11:$C$310,422),IF(422&lt;=COUNTA(半紙!$B$11:$B$310)+COUNTA(条幅!$B$11:$B$310),INDEX(条幅!$C$11:$C$310,422-COUNTA(半紙!$B$11:$B$310)),IF(422&lt;=COUNTA(半紙!$B$11:$B$310)+COUNTA(条幅!$B$11:$B$310)+COUNTA(条幅4分の1!$B$11:$B$310),INDEX(条幅4分の1!$C$11:$C$310,422-COUNTA(半紙!$B$11:$B$310)-COUNTA(条幅!$B$11:$B$310)),""))))</f>
        <v/>
      </c>
      <c r="D427" s="38" t="str">
        <f>IF(IF(422&lt;=COUNTA(半紙!$B$11:$B$310),INDEX(半紙!$D$11:$D$310,422),IF(422&lt;=COUNTA(半紙!$B$11:$B$310)+COUNTA(条幅!$B$11:$B$310),INDEX(条幅!$D$11:$D$310,422-COUNTA(半紙!$B$11:$B$310)),IF(422&lt;=COUNTA(半紙!$B$11:$B$310)+COUNTA(条幅!$B$11:$B$310)+COUNTA(条幅4分の1!$B$11:$B$310),INDEX(条幅4分の1!$D$11:$D$310,422-COUNTA(半紙!$B$11:$B$310)-COUNTA(条幅!$B$11:$B$310)),"")))=0,"",IF(422&lt;=COUNTA(半紙!$B$11:$B$310),INDEX(半紙!$D$11:$D$310,422),IF(422&lt;=COUNTA(半紙!$B$11:$B$310)+COUNTA(条幅!$B$11:$B$310),INDEX(条幅!$D$11:$D$310,422-COUNTA(半紙!$B$11:$B$310)),IF(422&lt;=COUNTA(半紙!$B$11:$B$310)+COUNTA(条幅!$B$11:$B$310)+COUNTA(条幅4分の1!$B$11:$B$310),INDEX(条幅4分の1!$D$11:$D$310,422-COUNTA(半紙!$B$11:$B$310)-COUNTA(条幅!$B$11:$B$310)),""))))</f>
        <v/>
      </c>
      <c r="E427" s="38" t="str">
        <f>IF(IF(422&lt;=COUNTA(半紙!$B$11:$B$310),INDEX(半紙!$E$11:$E$310,422),IF(422&lt;=COUNTA(半紙!$B$11:$B$310)+COUNTA(条幅!$B$11:$B$310),INDEX(条幅!$E$11:$E$310,422-COUNTA(半紙!$B$11:$B$310)),IF(422&lt;=COUNTA(半紙!$B$11:$B$310)+COUNTA(条幅!$B$11:$B$310)+COUNTA(条幅4分の1!$B$11:$B$310),INDEX(条幅4分の1!$E$11:$E$310,422-COUNTA(半紙!$B$11:$B$310)-COUNTA(条幅!$B$11:$B$310)),"")))=0,"",IF(422&lt;=COUNTA(半紙!$B$11:$B$310),INDEX(半紙!$E$11:$E$310,422),IF(422&lt;=COUNTA(半紙!$B$11:$B$310)+COUNTA(条幅!$B$11:$B$310),INDEX(条幅!$E$11:$E$310,422-COUNTA(半紙!$B$11:$B$310)),IF(422&lt;=COUNTA(半紙!$B$11:$B$310)+COUNTA(条幅!$B$11:$B$310)+COUNTA(条幅4分の1!$B$11:$B$310),INDEX(条幅4分の1!$E$11:$E$310,422-COUNTA(半紙!$B$11:$B$310)-COUNTA(条幅!$B$11:$B$310)),""))))</f>
        <v/>
      </c>
      <c r="F427" s="38" t="str">
        <f>IF(IF(422&lt;=COUNTA(半紙!$B$11:$B$310),INDEX(半紙!$F$11:$F$310,422),IF(422&lt;=COUNTA(半紙!$B$11:$B$310)+COUNTA(条幅!$B$11:$B$310),INDEX(条幅!$F$11:$F$310,422-COUNTA(半紙!$B$11:$B$310)),IF(422&lt;=COUNTA(半紙!$B$11:$B$310)+COUNTA(条幅!$B$11:$B$310)+COUNTA(条幅4分の1!$B$11:$B$310),INDEX(条幅4分の1!$F$11:$F$310,422-COUNTA(半紙!$B$11:$B$310)-COUNTA(条幅!$B$11:$B$310)),"")))=0,"",IF(422&lt;=COUNTA(半紙!$B$11:$B$310),INDEX(半紙!$F$11:$F$310,422),IF(422&lt;=COUNTA(半紙!$B$11:$B$310)+COUNTA(条幅!$B$11:$B$310),INDEX(条幅!$F$11:$F$310,422-COUNTA(半紙!$B$11:$B$310)),IF(422&lt;=COUNTA(半紙!$B$11:$B$310)+COUNTA(条幅!$B$11:$B$310)+COUNTA(条幅4分の1!$B$11:$B$310),INDEX(条幅4分の1!$F$11:$F$310,422-COUNTA(半紙!$B$11:$B$310)-COUNTA(条幅!$B$11:$B$310)),""))))</f>
        <v/>
      </c>
      <c r="G427" s="38" t="str">
        <f>IF(IF(422&lt;=COUNTA(半紙!$B$11:$B$310),INDEX(半紙!$G$11:$G$310,422),IF(422&lt;=COUNTA(半紙!$B$11:$B$310)+COUNTA(条幅!$B$11:$B$310),INDEX(条幅!$G$11:$G$310,422-COUNTA(半紙!$B$11:$B$310)),IF(422&lt;=COUNTA(半紙!$B$11:$B$310)+COUNTA(条幅!$B$11:$B$310)+COUNTA(条幅4分の1!$B$11:$B$310),INDEX(条幅4分の1!$G$11:$G$310,422-COUNTA(半紙!$B$11:$B$310)-COUNTA(条幅!$B$11:$B$310)),"")))=0,"",IF(422&lt;=COUNTA(半紙!$B$11:$B$310),INDEX(半紙!$G$11:$G$310,422),IF(422&lt;=COUNTA(半紙!$B$11:$B$310)+COUNTA(条幅!$B$11:$B$310),INDEX(条幅!$G$11:$G$310,422-COUNTA(半紙!$B$11:$B$310)),IF(422&lt;=COUNTA(半紙!$B$11:$B$310)+COUNTA(条幅!$B$11:$B$310)+COUNTA(条幅4分の1!$B$11:$B$310),INDEX(条幅4分の1!$G$11:$G$310,422-COUNTA(半紙!$B$11:$B$310)-COUNTA(条幅!$B$11:$B$310)),""))))</f>
        <v/>
      </c>
      <c r="H427" s="38" t="str">
        <f>IF(IF(422&lt;=COUNTA(半紙!$B$11:$B$310),INDEX(半紙!$H$11:$H$310,422),IF(422&lt;=COUNTA(半紙!$B$11:$B$310)+COUNTA(条幅!$B$11:$B$310),INDEX(条幅!$H$11:$H$310,422-COUNTA(半紙!$B$11:$B$310)),IF(422&lt;=COUNTA(半紙!$B$11:$B$310)+COUNTA(条幅!$B$11:$B$310)+COUNTA(条幅4分の1!$B$11:$B$310),INDEX(条幅4分の1!$H$11:$H$310,422-COUNTA(半紙!$B$11:$B$310)-COUNTA(条幅!$B$11:$B$310)),"")))=0,"",IF(422&lt;=COUNTA(半紙!$B$11:$B$310),INDEX(半紙!$H$11:$H$310,422),IF(422&lt;=COUNTA(半紙!$B$11:$B$310)+COUNTA(条幅!$B$11:$B$310),INDEX(条幅!$H$11:$H$310,422-COUNTA(半紙!$B$11:$B$310)),IF(422&lt;=COUNTA(半紙!$B$11:$B$310)+COUNTA(条幅!$B$11:$B$310)+COUNTA(条幅4分の1!$B$11:$B$310),INDEX(条幅4分の1!$H$11:$H$310,422-COUNTA(半紙!$B$11:$B$310)-COUNTA(条幅!$B$11:$B$310)),""))))</f>
        <v/>
      </c>
      <c r="I427" s="38" t="str">
        <f>IF(IF(422&lt;=COUNTA(半紙!$B$11:$B$310),INDEX(半紙!$I$11:$I$310,422),IF(422&lt;=COUNTA(半紙!$B$11:$B$310)+COUNTA(条幅!$B$11:$B$310),INDEX(条幅!$I$11:$I$310,422-COUNTA(半紙!$B$11:$B$310)),IF(422&lt;=COUNTA(半紙!$B$11:$B$310)+COUNTA(条幅!$B$11:$B$310)+COUNTA(条幅4分の1!$B$11:$B$310),INDEX(条幅4分の1!$I$11:$I$310,422-COUNTA(半紙!$B$11:$B$310)-COUNTA(条幅!$B$11:$B$310)),"")))=0,"",IF(422&lt;=COUNTA(半紙!$B$11:$B$310),INDEX(半紙!$I$11:$I$310,422),IF(422&lt;=COUNTA(半紙!$B$11:$B$310)+COUNTA(条幅!$B$11:$B$310),INDEX(条幅!$I$11:$I$310,422-COUNTA(半紙!$B$11:$B$310)),IF(422&lt;=COUNTA(半紙!$B$11:$B$310)+COUNTA(条幅!$B$11:$B$310)+COUNTA(条幅4分の1!$B$11:$B$310),INDEX(条幅4分の1!$I$11:$I$310,422-COUNTA(半紙!$B$11:$B$310)-COUNTA(条幅!$B$11:$B$310)),""))))</f>
        <v/>
      </c>
      <c r="J427" s="38" t="str">
        <f>IF(IF(422&lt;=COUNTA(半紙!$B$11:$B$310),INDEX(半紙!$J$11:$J$310,422),IF(422&lt;=COUNTA(半紙!$B$11:$B$310)+COUNTA(条幅!$B$11:$B$310),INDEX(条幅!$J$11:$J$310,422-COUNTA(半紙!$B$11:$B$310)),IF(422&lt;=COUNTA(半紙!$B$11:$B$310)+COUNTA(条幅!$B$11:$B$310)+COUNTA(条幅4分の1!$B$11:$B$310),INDEX(条幅4分の1!$J$11:$J$310,422-COUNTA(半紙!$B$11:$B$310)-COUNTA(条幅!$B$11:$B$310)),"")))=0,"",IF(422&lt;=COUNTA(半紙!$B$11:$B$310),INDEX(半紙!$J$11:$J$310,422),IF(422&lt;=COUNTA(半紙!$B$11:$B$310)+COUNTA(条幅!$B$11:$B$310),INDEX(条幅!$J$11:$J$310,422-COUNTA(半紙!$B$11:$B$310)),IF(422&lt;=COUNTA(半紙!$B$11:$B$310)+COUNTA(条幅!$B$11:$B$310)+COUNTA(条幅4分の1!$B$11:$B$310),INDEX(条幅4分の1!$J$11:$J$310,422-COUNTA(半紙!$B$11:$B$310)-COUNTA(条幅!$B$11:$B$310)),""))))</f>
        <v/>
      </c>
      <c r="K427" s="38" t="str">
        <f>IF(IF(422&lt;=COUNTA(半紙!$B$11:$B$310),INDEX(半紙!$K$11:$K$310,422),IF(422&lt;=COUNTA(半紙!$B$11:$B$310)+COUNTA(条幅!$B$11:$B$310),INDEX(条幅!$K$11:$K$310,422-COUNTA(半紙!$B$11:$B$310)),IF(422&lt;=COUNTA(半紙!$B$11:$B$310)+COUNTA(条幅!$B$11:$B$310)+COUNTA(条幅4分の1!$B$11:$B$310),INDEX(条幅4分の1!$K$11:$K$310,422-COUNTA(半紙!$B$11:$B$310)-COUNTA(条幅!$B$11:$B$310)),"")))=0,"",IF(422&lt;=COUNTA(半紙!$B$11:$B$310),INDEX(半紙!$K$11:$K$310,422),IF(422&lt;=COUNTA(半紙!$B$11:$B$310)+COUNTA(条幅!$B$11:$B$310),INDEX(条幅!$K$11:$K$310,422-COUNTA(半紙!$B$11:$B$310)),IF(422&lt;=COUNTA(半紙!$B$11:$B$310)+COUNTA(条幅!$B$11:$B$310)+COUNTA(条幅4分の1!$B$11:$B$310),INDEX(条幅4分の1!$K$11:$K$310,422-COUNTA(半紙!$B$11:$B$310)-COUNTA(条幅!$B$11:$B$310)),""))))</f>
        <v/>
      </c>
      <c r="L427" s="48" t="str">
        <f>IF($B427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422))</f>
        <v/>
      </c>
    </row>
    <row r="428" spans="1:12" ht="15" customHeight="1">
      <c r="A428" s="37" t="str">
        <f>IF(423&lt;=COUNTA(半紙!$B$11:$B$310),"半紙",IF(423&lt;=COUNTA(半紙!$B$11:$B$310)+COUNTA(条幅!$B$11:$B$310),"条幅(半切)",IF(423&lt;=COUNTA(半紙!$B$11:$B$310)+COUNTA(条幅!$B$11:$B$310)+COUNTA(条幅4分の1!$B$11:$B$310),"条幅(1/4)","")))</f>
        <v/>
      </c>
      <c r="B428" s="38" t="str">
        <f>IF(IF(423&lt;=COUNTA(半紙!$B$11:$B$310),INDEX(半紙!$B$11:$B$310,423),IF(423&lt;=COUNTA(半紙!$B$11:$B$310)+COUNTA(条幅!$B$11:$B$310),INDEX(条幅!$B$11:$B$310,423-COUNTA(半紙!$B$11:$B$310)),IF(423&lt;=COUNTA(半紙!$B$11:$B$310)+COUNTA(条幅!$B$11:$B$310)+COUNTA(条幅4分の1!$B$11:$B$310),INDEX(条幅4分の1!$B$11:$B$310,423-COUNTA(半紙!$B$11:$B$310)-COUNTA(条幅!$B$11:$B$310)),"")))=0,"",IF(423&lt;=COUNTA(半紙!$B$11:$B$310),INDEX(半紙!$B$11:$B$310,423),IF(423&lt;=COUNTA(半紙!$B$11:$B$310)+COUNTA(条幅!$B$11:$B$310),INDEX(条幅!$B$11:$B$310,423-COUNTA(半紙!$B$11:$B$310)),IF(423&lt;=COUNTA(半紙!$B$11:$B$310)+COUNTA(条幅!$B$11:$B$310)+COUNTA(条幅4分の1!$B$11:$B$310),INDEX(条幅4分の1!$B$11:$B$310,423-COUNTA(半紙!$B$11:$B$310)-COUNTA(条幅!$B$11:$B$310)),""))))</f>
        <v/>
      </c>
      <c r="C428" s="38" t="str">
        <f>IF(IF(423&lt;=COUNTA(半紙!$B$11:$B$310),INDEX(半紙!$C$11:$C$310,423),IF(423&lt;=COUNTA(半紙!$B$11:$B$310)+COUNTA(条幅!$B$11:$B$310),INDEX(条幅!$C$11:$C$310,423-COUNTA(半紙!$B$11:$B$310)),IF(423&lt;=COUNTA(半紙!$B$11:$B$310)+COUNTA(条幅!$B$11:$B$310)+COUNTA(条幅4分の1!$B$11:$B$310),INDEX(条幅4分の1!$C$11:$C$310,423-COUNTA(半紙!$B$11:$B$310)-COUNTA(条幅!$B$11:$B$310)),"")))=0,"",IF(423&lt;=COUNTA(半紙!$B$11:$B$310),INDEX(半紙!$C$11:$C$310,423),IF(423&lt;=COUNTA(半紙!$B$11:$B$310)+COUNTA(条幅!$B$11:$B$310),INDEX(条幅!$C$11:$C$310,423-COUNTA(半紙!$B$11:$B$310)),IF(423&lt;=COUNTA(半紙!$B$11:$B$310)+COUNTA(条幅!$B$11:$B$310)+COUNTA(条幅4分の1!$B$11:$B$310),INDEX(条幅4分の1!$C$11:$C$310,423-COUNTA(半紙!$B$11:$B$310)-COUNTA(条幅!$B$11:$B$310)),""))))</f>
        <v/>
      </c>
      <c r="D428" s="38" t="str">
        <f>IF(IF(423&lt;=COUNTA(半紙!$B$11:$B$310),INDEX(半紙!$D$11:$D$310,423),IF(423&lt;=COUNTA(半紙!$B$11:$B$310)+COUNTA(条幅!$B$11:$B$310),INDEX(条幅!$D$11:$D$310,423-COUNTA(半紙!$B$11:$B$310)),IF(423&lt;=COUNTA(半紙!$B$11:$B$310)+COUNTA(条幅!$B$11:$B$310)+COUNTA(条幅4分の1!$B$11:$B$310),INDEX(条幅4分の1!$D$11:$D$310,423-COUNTA(半紙!$B$11:$B$310)-COUNTA(条幅!$B$11:$B$310)),"")))=0,"",IF(423&lt;=COUNTA(半紙!$B$11:$B$310),INDEX(半紙!$D$11:$D$310,423),IF(423&lt;=COUNTA(半紙!$B$11:$B$310)+COUNTA(条幅!$B$11:$B$310),INDEX(条幅!$D$11:$D$310,423-COUNTA(半紙!$B$11:$B$310)),IF(423&lt;=COUNTA(半紙!$B$11:$B$310)+COUNTA(条幅!$B$11:$B$310)+COUNTA(条幅4分の1!$B$11:$B$310),INDEX(条幅4分の1!$D$11:$D$310,423-COUNTA(半紙!$B$11:$B$310)-COUNTA(条幅!$B$11:$B$310)),""))))</f>
        <v/>
      </c>
      <c r="E428" s="38" t="str">
        <f>IF(IF(423&lt;=COUNTA(半紙!$B$11:$B$310),INDEX(半紙!$E$11:$E$310,423),IF(423&lt;=COUNTA(半紙!$B$11:$B$310)+COUNTA(条幅!$B$11:$B$310),INDEX(条幅!$E$11:$E$310,423-COUNTA(半紙!$B$11:$B$310)),IF(423&lt;=COUNTA(半紙!$B$11:$B$310)+COUNTA(条幅!$B$11:$B$310)+COUNTA(条幅4分の1!$B$11:$B$310),INDEX(条幅4分の1!$E$11:$E$310,423-COUNTA(半紙!$B$11:$B$310)-COUNTA(条幅!$B$11:$B$310)),"")))=0,"",IF(423&lt;=COUNTA(半紙!$B$11:$B$310),INDEX(半紙!$E$11:$E$310,423),IF(423&lt;=COUNTA(半紙!$B$11:$B$310)+COUNTA(条幅!$B$11:$B$310),INDEX(条幅!$E$11:$E$310,423-COUNTA(半紙!$B$11:$B$310)),IF(423&lt;=COUNTA(半紙!$B$11:$B$310)+COUNTA(条幅!$B$11:$B$310)+COUNTA(条幅4分の1!$B$11:$B$310),INDEX(条幅4分の1!$E$11:$E$310,423-COUNTA(半紙!$B$11:$B$310)-COUNTA(条幅!$B$11:$B$310)),""))))</f>
        <v/>
      </c>
      <c r="F428" s="38" t="str">
        <f>IF(IF(423&lt;=COUNTA(半紙!$B$11:$B$310),INDEX(半紙!$F$11:$F$310,423),IF(423&lt;=COUNTA(半紙!$B$11:$B$310)+COUNTA(条幅!$B$11:$B$310),INDEX(条幅!$F$11:$F$310,423-COUNTA(半紙!$B$11:$B$310)),IF(423&lt;=COUNTA(半紙!$B$11:$B$310)+COUNTA(条幅!$B$11:$B$310)+COUNTA(条幅4分の1!$B$11:$B$310),INDEX(条幅4分の1!$F$11:$F$310,423-COUNTA(半紙!$B$11:$B$310)-COUNTA(条幅!$B$11:$B$310)),"")))=0,"",IF(423&lt;=COUNTA(半紙!$B$11:$B$310),INDEX(半紙!$F$11:$F$310,423),IF(423&lt;=COUNTA(半紙!$B$11:$B$310)+COUNTA(条幅!$B$11:$B$310),INDEX(条幅!$F$11:$F$310,423-COUNTA(半紙!$B$11:$B$310)),IF(423&lt;=COUNTA(半紙!$B$11:$B$310)+COUNTA(条幅!$B$11:$B$310)+COUNTA(条幅4分の1!$B$11:$B$310),INDEX(条幅4分の1!$F$11:$F$310,423-COUNTA(半紙!$B$11:$B$310)-COUNTA(条幅!$B$11:$B$310)),""))))</f>
        <v/>
      </c>
      <c r="G428" s="38" t="str">
        <f>IF(IF(423&lt;=COUNTA(半紙!$B$11:$B$310),INDEX(半紙!$G$11:$G$310,423),IF(423&lt;=COUNTA(半紙!$B$11:$B$310)+COUNTA(条幅!$B$11:$B$310),INDEX(条幅!$G$11:$G$310,423-COUNTA(半紙!$B$11:$B$310)),IF(423&lt;=COUNTA(半紙!$B$11:$B$310)+COUNTA(条幅!$B$11:$B$310)+COUNTA(条幅4分の1!$B$11:$B$310),INDEX(条幅4分の1!$G$11:$G$310,423-COUNTA(半紙!$B$11:$B$310)-COUNTA(条幅!$B$11:$B$310)),"")))=0,"",IF(423&lt;=COUNTA(半紙!$B$11:$B$310),INDEX(半紙!$G$11:$G$310,423),IF(423&lt;=COUNTA(半紙!$B$11:$B$310)+COUNTA(条幅!$B$11:$B$310),INDEX(条幅!$G$11:$G$310,423-COUNTA(半紙!$B$11:$B$310)),IF(423&lt;=COUNTA(半紙!$B$11:$B$310)+COUNTA(条幅!$B$11:$B$310)+COUNTA(条幅4分の1!$B$11:$B$310),INDEX(条幅4分の1!$G$11:$G$310,423-COUNTA(半紙!$B$11:$B$310)-COUNTA(条幅!$B$11:$B$310)),""))))</f>
        <v/>
      </c>
      <c r="H428" s="38" t="str">
        <f>IF(IF(423&lt;=COUNTA(半紙!$B$11:$B$310),INDEX(半紙!$H$11:$H$310,423),IF(423&lt;=COUNTA(半紙!$B$11:$B$310)+COUNTA(条幅!$B$11:$B$310),INDEX(条幅!$H$11:$H$310,423-COUNTA(半紙!$B$11:$B$310)),IF(423&lt;=COUNTA(半紙!$B$11:$B$310)+COUNTA(条幅!$B$11:$B$310)+COUNTA(条幅4分の1!$B$11:$B$310),INDEX(条幅4分の1!$H$11:$H$310,423-COUNTA(半紙!$B$11:$B$310)-COUNTA(条幅!$B$11:$B$310)),"")))=0,"",IF(423&lt;=COUNTA(半紙!$B$11:$B$310),INDEX(半紙!$H$11:$H$310,423),IF(423&lt;=COUNTA(半紙!$B$11:$B$310)+COUNTA(条幅!$B$11:$B$310),INDEX(条幅!$H$11:$H$310,423-COUNTA(半紙!$B$11:$B$310)),IF(423&lt;=COUNTA(半紙!$B$11:$B$310)+COUNTA(条幅!$B$11:$B$310)+COUNTA(条幅4分の1!$B$11:$B$310),INDEX(条幅4分の1!$H$11:$H$310,423-COUNTA(半紙!$B$11:$B$310)-COUNTA(条幅!$B$11:$B$310)),""))))</f>
        <v/>
      </c>
      <c r="I428" s="38" t="str">
        <f>IF(IF(423&lt;=COUNTA(半紙!$B$11:$B$310),INDEX(半紙!$I$11:$I$310,423),IF(423&lt;=COUNTA(半紙!$B$11:$B$310)+COUNTA(条幅!$B$11:$B$310),INDEX(条幅!$I$11:$I$310,423-COUNTA(半紙!$B$11:$B$310)),IF(423&lt;=COUNTA(半紙!$B$11:$B$310)+COUNTA(条幅!$B$11:$B$310)+COUNTA(条幅4分の1!$B$11:$B$310),INDEX(条幅4分の1!$I$11:$I$310,423-COUNTA(半紙!$B$11:$B$310)-COUNTA(条幅!$B$11:$B$310)),"")))=0,"",IF(423&lt;=COUNTA(半紙!$B$11:$B$310),INDEX(半紙!$I$11:$I$310,423),IF(423&lt;=COUNTA(半紙!$B$11:$B$310)+COUNTA(条幅!$B$11:$B$310),INDEX(条幅!$I$11:$I$310,423-COUNTA(半紙!$B$11:$B$310)),IF(423&lt;=COUNTA(半紙!$B$11:$B$310)+COUNTA(条幅!$B$11:$B$310)+COUNTA(条幅4分の1!$B$11:$B$310),INDEX(条幅4分の1!$I$11:$I$310,423-COUNTA(半紙!$B$11:$B$310)-COUNTA(条幅!$B$11:$B$310)),""))))</f>
        <v/>
      </c>
      <c r="J428" s="38" t="str">
        <f>IF(IF(423&lt;=COUNTA(半紙!$B$11:$B$310),INDEX(半紙!$J$11:$J$310,423),IF(423&lt;=COUNTA(半紙!$B$11:$B$310)+COUNTA(条幅!$B$11:$B$310),INDEX(条幅!$J$11:$J$310,423-COUNTA(半紙!$B$11:$B$310)),IF(423&lt;=COUNTA(半紙!$B$11:$B$310)+COUNTA(条幅!$B$11:$B$310)+COUNTA(条幅4分の1!$B$11:$B$310),INDEX(条幅4分の1!$J$11:$J$310,423-COUNTA(半紙!$B$11:$B$310)-COUNTA(条幅!$B$11:$B$310)),"")))=0,"",IF(423&lt;=COUNTA(半紙!$B$11:$B$310),INDEX(半紙!$J$11:$J$310,423),IF(423&lt;=COUNTA(半紙!$B$11:$B$310)+COUNTA(条幅!$B$11:$B$310),INDEX(条幅!$J$11:$J$310,423-COUNTA(半紙!$B$11:$B$310)),IF(423&lt;=COUNTA(半紙!$B$11:$B$310)+COUNTA(条幅!$B$11:$B$310)+COUNTA(条幅4分の1!$B$11:$B$310),INDEX(条幅4分の1!$J$11:$J$310,423-COUNTA(半紙!$B$11:$B$310)-COUNTA(条幅!$B$11:$B$310)),""))))</f>
        <v/>
      </c>
      <c r="K428" s="38" t="str">
        <f>IF(IF(423&lt;=COUNTA(半紙!$B$11:$B$310),INDEX(半紙!$K$11:$K$310,423),IF(423&lt;=COUNTA(半紙!$B$11:$B$310)+COUNTA(条幅!$B$11:$B$310),INDEX(条幅!$K$11:$K$310,423-COUNTA(半紙!$B$11:$B$310)),IF(423&lt;=COUNTA(半紙!$B$11:$B$310)+COUNTA(条幅!$B$11:$B$310)+COUNTA(条幅4分の1!$B$11:$B$310),INDEX(条幅4分の1!$K$11:$K$310,423-COUNTA(半紙!$B$11:$B$310)-COUNTA(条幅!$B$11:$B$310)),"")))=0,"",IF(423&lt;=COUNTA(半紙!$B$11:$B$310),INDEX(半紙!$K$11:$K$310,423),IF(423&lt;=COUNTA(半紙!$B$11:$B$310)+COUNTA(条幅!$B$11:$B$310),INDEX(条幅!$K$11:$K$310,423-COUNTA(半紙!$B$11:$B$310)),IF(423&lt;=COUNTA(半紙!$B$11:$B$310)+COUNTA(条幅!$B$11:$B$310)+COUNTA(条幅4分の1!$B$11:$B$310),INDEX(条幅4分の1!$K$11:$K$310,423-COUNTA(半紙!$B$11:$B$310)-COUNTA(条幅!$B$11:$B$310)),""))))</f>
        <v/>
      </c>
      <c r="L428" s="48" t="str">
        <f>IF($B428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423))</f>
        <v/>
      </c>
    </row>
    <row r="429" spans="1:12" ht="15" customHeight="1">
      <c r="A429" s="37" t="str">
        <f>IF(424&lt;=COUNTA(半紙!$B$11:$B$310),"半紙",IF(424&lt;=COUNTA(半紙!$B$11:$B$310)+COUNTA(条幅!$B$11:$B$310),"条幅(半切)",IF(424&lt;=COUNTA(半紙!$B$11:$B$310)+COUNTA(条幅!$B$11:$B$310)+COUNTA(条幅4分の1!$B$11:$B$310),"条幅(1/4)","")))</f>
        <v/>
      </c>
      <c r="B429" s="38" t="str">
        <f>IF(IF(424&lt;=COUNTA(半紙!$B$11:$B$310),INDEX(半紙!$B$11:$B$310,424),IF(424&lt;=COUNTA(半紙!$B$11:$B$310)+COUNTA(条幅!$B$11:$B$310),INDEX(条幅!$B$11:$B$310,424-COUNTA(半紙!$B$11:$B$310)),IF(424&lt;=COUNTA(半紙!$B$11:$B$310)+COUNTA(条幅!$B$11:$B$310)+COUNTA(条幅4分の1!$B$11:$B$310),INDEX(条幅4分の1!$B$11:$B$310,424-COUNTA(半紙!$B$11:$B$310)-COUNTA(条幅!$B$11:$B$310)),"")))=0,"",IF(424&lt;=COUNTA(半紙!$B$11:$B$310),INDEX(半紙!$B$11:$B$310,424),IF(424&lt;=COUNTA(半紙!$B$11:$B$310)+COUNTA(条幅!$B$11:$B$310),INDEX(条幅!$B$11:$B$310,424-COUNTA(半紙!$B$11:$B$310)),IF(424&lt;=COUNTA(半紙!$B$11:$B$310)+COUNTA(条幅!$B$11:$B$310)+COUNTA(条幅4分の1!$B$11:$B$310),INDEX(条幅4分の1!$B$11:$B$310,424-COUNTA(半紙!$B$11:$B$310)-COUNTA(条幅!$B$11:$B$310)),""))))</f>
        <v/>
      </c>
      <c r="C429" s="38" t="str">
        <f>IF(IF(424&lt;=COUNTA(半紙!$B$11:$B$310),INDEX(半紙!$C$11:$C$310,424),IF(424&lt;=COUNTA(半紙!$B$11:$B$310)+COUNTA(条幅!$B$11:$B$310),INDEX(条幅!$C$11:$C$310,424-COUNTA(半紙!$B$11:$B$310)),IF(424&lt;=COUNTA(半紙!$B$11:$B$310)+COUNTA(条幅!$B$11:$B$310)+COUNTA(条幅4分の1!$B$11:$B$310),INDEX(条幅4分の1!$C$11:$C$310,424-COUNTA(半紙!$B$11:$B$310)-COUNTA(条幅!$B$11:$B$310)),"")))=0,"",IF(424&lt;=COUNTA(半紙!$B$11:$B$310),INDEX(半紙!$C$11:$C$310,424),IF(424&lt;=COUNTA(半紙!$B$11:$B$310)+COUNTA(条幅!$B$11:$B$310),INDEX(条幅!$C$11:$C$310,424-COUNTA(半紙!$B$11:$B$310)),IF(424&lt;=COUNTA(半紙!$B$11:$B$310)+COUNTA(条幅!$B$11:$B$310)+COUNTA(条幅4分の1!$B$11:$B$310),INDEX(条幅4分の1!$C$11:$C$310,424-COUNTA(半紙!$B$11:$B$310)-COUNTA(条幅!$B$11:$B$310)),""))))</f>
        <v/>
      </c>
      <c r="D429" s="38" t="str">
        <f>IF(IF(424&lt;=COUNTA(半紙!$B$11:$B$310),INDEX(半紙!$D$11:$D$310,424),IF(424&lt;=COUNTA(半紙!$B$11:$B$310)+COUNTA(条幅!$B$11:$B$310),INDEX(条幅!$D$11:$D$310,424-COUNTA(半紙!$B$11:$B$310)),IF(424&lt;=COUNTA(半紙!$B$11:$B$310)+COUNTA(条幅!$B$11:$B$310)+COUNTA(条幅4分の1!$B$11:$B$310),INDEX(条幅4分の1!$D$11:$D$310,424-COUNTA(半紙!$B$11:$B$310)-COUNTA(条幅!$B$11:$B$310)),"")))=0,"",IF(424&lt;=COUNTA(半紙!$B$11:$B$310),INDEX(半紙!$D$11:$D$310,424),IF(424&lt;=COUNTA(半紙!$B$11:$B$310)+COUNTA(条幅!$B$11:$B$310),INDEX(条幅!$D$11:$D$310,424-COUNTA(半紙!$B$11:$B$310)),IF(424&lt;=COUNTA(半紙!$B$11:$B$310)+COUNTA(条幅!$B$11:$B$310)+COUNTA(条幅4分の1!$B$11:$B$310),INDEX(条幅4分の1!$D$11:$D$310,424-COUNTA(半紙!$B$11:$B$310)-COUNTA(条幅!$B$11:$B$310)),""))))</f>
        <v/>
      </c>
      <c r="E429" s="38" t="str">
        <f>IF(IF(424&lt;=COUNTA(半紙!$B$11:$B$310),INDEX(半紙!$E$11:$E$310,424),IF(424&lt;=COUNTA(半紙!$B$11:$B$310)+COUNTA(条幅!$B$11:$B$310),INDEX(条幅!$E$11:$E$310,424-COUNTA(半紙!$B$11:$B$310)),IF(424&lt;=COUNTA(半紙!$B$11:$B$310)+COUNTA(条幅!$B$11:$B$310)+COUNTA(条幅4分の1!$B$11:$B$310),INDEX(条幅4分の1!$E$11:$E$310,424-COUNTA(半紙!$B$11:$B$310)-COUNTA(条幅!$B$11:$B$310)),"")))=0,"",IF(424&lt;=COUNTA(半紙!$B$11:$B$310),INDEX(半紙!$E$11:$E$310,424),IF(424&lt;=COUNTA(半紙!$B$11:$B$310)+COUNTA(条幅!$B$11:$B$310),INDEX(条幅!$E$11:$E$310,424-COUNTA(半紙!$B$11:$B$310)),IF(424&lt;=COUNTA(半紙!$B$11:$B$310)+COUNTA(条幅!$B$11:$B$310)+COUNTA(条幅4分の1!$B$11:$B$310),INDEX(条幅4分の1!$E$11:$E$310,424-COUNTA(半紙!$B$11:$B$310)-COUNTA(条幅!$B$11:$B$310)),""))))</f>
        <v/>
      </c>
      <c r="F429" s="38" t="str">
        <f>IF(IF(424&lt;=COUNTA(半紙!$B$11:$B$310),INDEX(半紙!$F$11:$F$310,424),IF(424&lt;=COUNTA(半紙!$B$11:$B$310)+COUNTA(条幅!$B$11:$B$310),INDEX(条幅!$F$11:$F$310,424-COUNTA(半紙!$B$11:$B$310)),IF(424&lt;=COUNTA(半紙!$B$11:$B$310)+COUNTA(条幅!$B$11:$B$310)+COUNTA(条幅4分の1!$B$11:$B$310),INDEX(条幅4分の1!$F$11:$F$310,424-COUNTA(半紙!$B$11:$B$310)-COUNTA(条幅!$B$11:$B$310)),"")))=0,"",IF(424&lt;=COUNTA(半紙!$B$11:$B$310),INDEX(半紙!$F$11:$F$310,424),IF(424&lt;=COUNTA(半紙!$B$11:$B$310)+COUNTA(条幅!$B$11:$B$310),INDEX(条幅!$F$11:$F$310,424-COUNTA(半紙!$B$11:$B$310)),IF(424&lt;=COUNTA(半紙!$B$11:$B$310)+COUNTA(条幅!$B$11:$B$310)+COUNTA(条幅4分の1!$B$11:$B$310),INDEX(条幅4分の1!$F$11:$F$310,424-COUNTA(半紙!$B$11:$B$310)-COUNTA(条幅!$B$11:$B$310)),""))))</f>
        <v/>
      </c>
      <c r="G429" s="38" t="str">
        <f>IF(IF(424&lt;=COUNTA(半紙!$B$11:$B$310),INDEX(半紙!$G$11:$G$310,424),IF(424&lt;=COUNTA(半紙!$B$11:$B$310)+COUNTA(条幅!$B$11:$B$310),INDEX(条幅!$G$11:$G$310,424-COUNTA(半紙!$B$11:$B$310)),IF(424&lt;=COUNTA(半紙!$B$11:$B$310)+COUNTA(条幅!$B$11:$B$310)+COUNTA(条幅4分の1!$B$11:$B$310),INDEX(条幅4分の1!$G$11:$G$310,424-COUNTA(半紙!$B$11:$B$310)-COUNTA(条幅!$B$11:$B$310)),"")))=0,"",IF(424&lt;=COUNTA(半紙!$B$11:$B$310),INDEX(半紙!$G$11:$G$310,424),IF(424&lt;=COUNTA(半紙!$B$11:$B$310)+COUNTA(条幅!$B$11:$B$310),INDEX(条幅!$G$11:$G$310,424-COUNTA(半紙!$B$11:$B$310)),IF(424&lt;=COUNTA(半紙!$B$11:$B$310)+COUNTA(条幅!$B$11:$B$310)+COUNTA(条幅4分の1!$B$11:$B$310),INDEX(条幅4分の1!$G$11:$G$310,424-COUNTA(半紙!$B$11:$B$310)-COUNTA(条幅!$B$11:$B$310)),""))))</f>
        <v/>
      </c>
      <c r="H429" s="38" t="str">
        <f>IF(IF(424&lt;=COUNTA(半紙!$B$11:$B$310),INDEX(半紙!$H$11:$H$310,424),IF(424&lt;=COUNTA(半紙!$B$11:$B$310)+COUNTA(条幅!$B$11:$B$310),INDEX(条幅!$H$11:$H$310,424-COUNTA(半紙!$B$11:$B$310)),IF(424&lt;=COUNTA(半紙!$B$11:$B$310)+COUNTA(条幅!$B$11:$B$310)+COUNTA(条幅4分の1!$B$11:$B$310),INDEX(条幅4分の1!$H$11:$H$310,424-COUNTA(半紙!$B$11:$B$310)-COUNTA(条幅!$B$11:$B$310)),"")))=0,"",IF(424&lt;=COUNTA(半紙!$B$11:$B$310),INDEX(半紙!$H$11:$H$310,424),IF(424&lt;=COUNTA(半紙!$B$11:$B$310)+COUNTA(条幅!$B$11:$B$310),INDEX(条幅!$H$11:$H$310,424-COUNTA(半紙!$B$11:$B$310)),IF(424&lt;=COUNTA(半紙!$B$11:$B$310)+COUNTA(条幅!$B$11:$B$310)+COUNTA(条幅4分の1!$B$11:$B$310),INDEX(条幅4分の1!$H$11:$H$310,424-COUNTA(半紙!$B$11:$B$310)-COUNTA(条幅!$B$11:$B$310)),""))))</f>
        <v/>
      </c>
      <c r="I429" s="38" t="str">
        <f>IF(IF(424&lt;=COUNTA(半紙!$B$11:$B$310),INDEX(半紙!$I$11:$I$310,424),IF(424&lt;=COUNTA(半紙!$B$11:$B$310)+COUNTA(条幅!$B$11:$B$310),INDEX(条幅!$I$11:$I$310,424-COUNTA(半紙!$B$11:$B$310)),IF(424&lt;=COUNTA(半紙!$B$11:$B$310)+COUNTA(条幅!$B$11:$B$310)+COUNTA(条幅4分の1!$B$11:$B$310),INDEX(条幅4分の1!$I$11:$I$310,424-COUNTA(半紙!$B$11:$B$310)-COUNTA(条幅!$B$11:$B$310)),"")))=0,"",IF(424&lt;=COUNTA(半紙!$B$11:$B$310),INDEX(半紙!$I$11:$I$310,424),IF(424&lt;=COUNTA(半紙!$B$11:$B$310)+COUNTA(条幅!$B$11:$B$310),INDEX(条幅!$I$11:$I$310,424-COUNTA(半紙!$B$11:$B$310)),IF(424&lt;=COUNTA(半紙!$B$11:$B$310)+COUNTA(条幅!$B$11:$B$310)+COUNTA(条幅4分の1!$B$11:$B$310),INDEX(条幅4分の1!$I$11:$I$310,424-COUNTA(半紙!$B$11:$B$310)-COUNTA(条幅!$B$11:$B$310)),""))))</f>
        <v/>
      </c>
      <c r="J429" s="38" t="str">
        <f>IF(IF(424&lt;=COUNTA(半紙!$B$11:$B$310),INDEX(半紙!$J$11:$J$310,424),IF(424&lt;=COUNTA(半紙!$B$11:$B$310)+COUNTA(条幅!$B$11:$B$310),INDEX(条幅!$J$11:$J$310,424-COUNTA(半紙!$B$11:$B$310)),IF(424&lt;=COUNTA(半紙!$B$11:$B$310)+COUNTA(条幅!$B$11:$B$310)+COUNTA(条幅4分の1!$B$11:$B$310),INDEX(条幅4分の1!$J$11:$J$310,424-COUNTA(半紙!$B$11:$B$310)-COUNTA(条幅!$B$11:$B$310)),"")))=0,"",IF(424&lt;=COUNTA(半紙!$B$11:$B$310),INDEX(半紙!$J$11:$J$310,424),IF(424&lt;=COUNTA(半紙!$B$11:$B$310)+COUNTA(条幅!$B$11:$B$310),INDEX(条幅!$J$11:$J$310,424-COUNTA(半紙!$B$11:$B$310)),IF(424&lt;=COUNTA(半紙!$B$11:$B$310)+COUNTA(条幅!$B$11:$B$310)+COUNTA(条幅4分の1!$B$11:$B$310),INDEX(条幅4分の1!$J$11:$J$310,424-COUNTA(半紙!$B$11:$B$310)-COUNTA(条幅!$B$11:$B$310)),""))))</f>
        <v/>
      </c>
      <c r="K429" s="38" t="str">
        <f>IF(IF(424&lt;=COUNTA(半紙!$B$11:$B$310),INDEX(半紙!$K$11:$K$310,424),IF(424&lt;=COUNTA(半紙!$B$11:$B$310)+COUNTA(条幅!$B$11:$B$310),INDEX(条幅!$K$11:$K$310,424-COUNTA(半紙!$B$11:$B$310)),IF(424&lt;=COUNTA(半紙!$B$11:$B$310)+COUNTA(条幅!$B$11:$B$310)+COUNTA(条幅4分の1!$B$11:$B$310),INDEX(条幅4分の1!$K$11:$K$310,424-COUNTA(半紙!$B$11:$B$310)-COUNTA(条幅!$B$11:$B$310)),"")))=0,"",IF(424&lt;=COUNTA(半紙!$B$11:$B$310),INDEX(半紙!$K$11:$K$310,424),IF(424&lt;=COUNTA(半紙!$B$11:$B$310)+COUNTA(条幅!$B$11:$B$310),INDEX(条幅!$K$11:$K$310,424-COUNTA(半紙!$B$11:$B$310)),IF(424&lt;=COUNTA(半紙!$B$11:$B$310)+COUNTA(条幅!$B$11:$B$310)+COUNTA(条幅4分の1!$B$11:$B$310),INDEX(条幅4分の1!$K$11:$K$310,424-COUNTA(半紙!$B$11:$B$310)-COUNTA(条幅!$B$11:$B$310)),""))))</f>
        <v/>
      </c>
      <c r="L429" s="48" t="str">
        <f>IF($B429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424))</f>
        <v/>
      </c>
    </row>
    <row r="430" spans="1:12" ht="15" customHeight="1">
      <c r="A430" s="37" t="str">
        <f>IF(425&lt;=COUNTA(半紙!$B$11:$B$310),"半紙",IF(425&lt;=COUNTA(半紙!$B$11:$B$310)+COUNTA(条幅!$B$11:$B$310),"条幅(半切)",IF(425&lt;=COUNTA(半紙!$B$11:$B$310)+COUNTA(条幅!$B$11:$B$310)+COUNTA(条幅4分の1!$B$11:$B$310),"条幅(1/4)","")))</f>
        <v/>
      </c>
      <c r="B430" s="38" t="str">
        <f>IF(IF(425&lt;=COUNTA(半紙!$B$11:$B$310),INDEX(半紙!$B$11:$B$310,425),IF(425&lt;=COUNTA(半紙!$B$11:$B$310)+COUNTA(条幅!$B$11:$B$310),INDEX(条幅!$B$11:$B$310,425-COUNTA(半紙!$B$11:$B$310)),IF(425&lt;=COUNTA(半紙!$B$11:$B$310)+COUNTA(条幅!$B$11:$B$310)+COUNTA(条幅4分の1!$B$11:$B$310),INDEX(条幅4分の1!$B$11:$B$310,425-COUNTA(半紙!$B$11:$B$310)-COUNTA(条幅!$B$11:$B$310)),"")))=0,"",IF(425&lt;=COUNTA(半紙!$B$11:$B$310),INDEX(半紙!$B$11:$B$310,425),IF(425&lt;=COUNTA(半紙!$B$11:$B$310)+COUNTA(条幅!$B$11:$B$310),INDEX(条幅!$B$11:$B$310,425-COUNTA(半紙!$B$11:$B$310)),IF(425&lt;=COUNTA(半紙!$B$11:$B$310)+COUNTA(条幅!$B$11:$B$310)+COUNTA(条幅4分の1!$B$11:$B$310),INDEX(条幅4分の1!$B$11:$B$310,425-COUNTA(半紙!$B$11:$B$310)-COUNTA(条幅!$B$11:$B$310)),""))))</f>
        <v/>
      </c>
      <c r="C430" s="38" t="str">
        <f>IF(IF(425&lt;=COUNTA(半紙!$B$11:$B$310),INDEX(半紙!$C$11:$C$310,425),IF(425&lt;=COUNTA(半紙!$B$11:$B$310)+COUNTA(条幅!$B$11:$B$310),INDEX(条幅!$C$11:$C$310,425-COUNTA(半紙!$B$11:$B$310)),IF(425&lt;=COUNTA(半紙!$B$11:$B$310)+COUNTA(条幅!$B$11:$B$310)+COUNTA(条幅4分の1!$B$11:$B$310),INDEX(条幅4分の1!$C$11:$C$310,425-COUNTA(半紙!$B$11:$B$310)-COUNTA(条幅!$B$11:$B$310)),"")))=0,"",IF(425&lt;=COUNTA(半紙!$B$11:$B$310),INDEX(半紙!$C$11:$C$310,425),IF(425&lt;=COUNTA(半紙!$B$11:$B$310)+COUNTA(条幅!$B$11:$B$310),INDEX(条幅!$C$11:$C$310,425-COUNTA(半紙!$B$11:$B$310)),IF(425&lt;=COUNTA(半紙!$B$11:$B$310)+COUNTA(条幅!$B$11:$B$310)+COUNTA(条幅4分の1!$B$11:$B$310),INDEX(条幅4分の1!$C$11:$C$310,425-COUNTA(半紙!$B$11:$B$310)-COUNTA(条幅!$B$11:$B$310)),""))))</f>
        <v/>
      </c>
      <c r="D430" s="38" t="str">
        <f>IF(IF(425&lt;=COUNTA(半紙!$B$11:$B$310),INDEX(半紙!$D$11:$D$310,425),IF(425&lt;=COUNTA(半紙!$B$11:$B$310)+COUNTA(条幅!$B$11:$B$310),INDEX(条幅!$D$11:$D$310,425-COUNTA(半紙!$B$11:$B$310)),IF(425&lt;=COUNTA(半紙!$B$11:$B$310)+COUNTA(条幅!$B$11:$B$310)+COUNTA(条幅4分の1!$B$11:$B$310),INDEX(条幅4分の1!$D$11:$D$310,425-COUNTA(半紙!$B$11:$B$310)-COUNTA(条幅!$B$11:$B$310)),"")))=0,"",IF(425&lt;=COUNTA(半紙!$B$11:$B$310),INDEX(半紙!$D$11:$D$310,425),IF(425&lt;=COUNTA(半紙!$B$11:$B$310)+COUNTA(条幅!$B$11:$B$310),INDEX(条幅!$D$11:$D$310,425-COUNTA(半紙!$B$11:$B$310)),IF(425&lt;=COUNTA(半紙!$B$11:$B$310)+COUNTA(条幅!$B$11:$B$310)+COUNTA(条幅4分の1!$B$11:$B$310),INDEX(条幅4分の1!$D$11:$D$310,425-COUNTA(半紙!$B$11:$B$310)-COUNTA(条幅!$B$11:$B$310)),""))))</f>
        <v/>
      </c>
      <c r="E430" s="38" t="str">
        <f>IF(IF(425&lt;=COUNTA(半紙!$B$11:$B$310),INDEX(半紙!$E$11:$E$310,425),IF(425&lt;=COUNTA(半紙!$B$11:$B$310)+COUNTA(条幅!$B$11:$B$310),INDEX(条幅!$E$11:$E$310,425-COUNTA(半紙!$B$11:$B$310)),IF(425&lt;=COUNTA(半紙!$B$11:$B$310)+COUNTA(条幅!$B$11:$B$310)+COUNTA(条幅4分の1!$B$11:$B$310),INDEX(条幅4分の1!$E$11:$E$310,425-COUNTA(半紙!$B$11:$B$310)-COUNTA(条幅!$B$11:$B$310)),"")))=0,"",IF(425&lt;=COUNTA(半紙!$B$11:$B$310),INDEX(半紙!$E$11:$E$310,425),IF(425&lt;=COUNTA(半紙!$B$11:$B$310)+COUNTA(条幅!$B$11:$B$310),INDEX(条幅!$E$11:$E$310,425-COUNTA(半紙!$B$11:$B$310)),IF(425&lt;=COUNTA(半紙!$B$11:$B$310)+COUNTA(条幅!$B$11:$B$310)+COUNTA(条幅4分の1!$B$11:$B$310),INDEX(条幅4分の1!$E$11:$E$310,425-COUNTA(半紙!$B$11:$B$310)-COUNTA(条幅!$B$11:$B$310)),""))))</f>
        <v/>
      </c>
      <c r="F430" s="38" t="str">
        <f>IF(IF(425&lt;=COUNTA(半紙!$B$11:$B$310),INDEX(半紙!$F$11:$F$310,425),IF(425&lt;=COUNTA(半紙!$B$11:$B$310)+COUNTA(条幅!$B$11:$B$310),INDEX(条幅!$F$11:$F$310,425-COUNTA(半紙!$B$11:$B$310)),IF(425&lt;=COUNTA(半紙!$B$11:$B$310)+COUNTA(条幅!$B$11:$B$310)+COUNTA(条幅4分の1!$B$11:$B$310),INDEX(条幅4分の1!$F$11:$F$310,425-COUNTA(半紙!$B$11:$B$310)-COUNTA(条幅!$B$11:$B$310)),"")))=0,"",IF(425&lt;=COUNTA(半紙!$B$11:$B$310),INDEX(半紙!$F$11:$F$310,425),IF(425&lt;=COUNTA(半紙!$B$11:$B$310)+COUNTA(条幅!$B$11:$B$310),INDEX(条幅!$F$11:$F$310,425-COUNTA(半紙!$B$11:$B$310)),IF(425&lt;=COUNTA(半紙!$B$11:$B$310)+COUNTA(条幅!$B$11:$B$310)+COUNTA(条幅4分の1!$B$11:$B$310),INDEX(条幅4分の1!$F$11:$F$310,425-COUNTA(半紙!$B$11:$B$310)-COUNTA(条幅!$B$11:$B$310)),""))))</f>
        <v/>
      </c>
      <c r="G430" s="38" t="str">
        <f>IF(IF(425&lt;=COUNTA(半紙!$B$11:$B$310),INDEX(半紙!$G$11:$G$310,425),IF(425&lt;=COUNTA(半紙!$B$11:$B$310)+COUNTA(条幅!$B$11:$B$310),INDEX(条幅!$G$11:$G$310,425-COUNTA(半紙!$B$11:$B$310)),IF(425&lt;=COUNTA(半紙!$B$11:$B$310)+COUNTA(条幅!$B$11:$B$310)+COUNTA(条幅4分の1!$B$11:$B$310),INDEX(条幅4分の1!$G$11:$G$310,425-COUNTA(半紙!$B$11:$B$310)-COUNTA(条幅!$B$11:$B$310)),"")))=0,"",IF(425&lt;=COUNTA(半紙!$B$11:$B$310),INDEX(半紙!$G$11:$G$310,425),IF(425&lt;=COUNTA(半紙!$B$11:$B$310)+COUNTA(条幅!$B$11:$B$310),INDEX(条幅!$G$11:$G$310,425-COUNTA(半紙!$B$11:$B$310)),IF(425&lt;=COUNTA(半紙!$B$11:$B$310)+COUNTA(条幅!$B$11:$B$310)+COUNTA(条幅4分の1!$B$11:$B$310),INDEX(条幅4分の1!$G$11:$G$310,425-COUNTA(半紙!$B$11:$B$310)-COUNTA(条幅!$B$11:$B$310)),""))))</f>
        <v/>
      </c>
      <c r="H430" s="38" t="str">
        <f>IF(IF(425&lt;=COUNTA(半紙!$B$11:$B$310),INDEX(半紙!$H$11:$H$310,425),IF(425&lt;=COUNTA(半紙!$B$11:$B$310)+COUNTA(条幅!$B$11:$B$310),INDEX(条幅!$H$11:$H$310,425-COUNTA(半紙!$B$11:$B$310)),IF(425&lt;=COUNTA(半紙!$B$11:$B$310)+COUNTA(条幅!$B$11:$B$310)+COUNTA(条幅4分の1!$B$11:$B$310),INDEX(条幅4分の1!$H$11:$H$310,425-COUNTA(半紙!$B$11:$B$310)-COUNTA(条幅!$B$11:$B$310)),"")))=0,"",IF(425&lt;=COUNTA(半紙!$B$11:$B$310),INDEX(半紙!$H$11:$H$310,425),IF(425&lt;=COUNTA(半紙!$B$11:$B$310)+COUNTA(条幅!$B$11:$B$310),INDEX(条幅!$H$11:$H$310,425-COUNTA(半紙!$B$11:$B$310)),IF(425&lt;=COUNTA(半紙!$B$11:$B$310)+COUNTA(条幅!$B$11:$B$310)+COUNTA(条幅4分の1!$B$11:$B$310),INDEX(条幅4分の1!$H$11:$H$310,425-COUNTA(半紙!$B$11:$B$310)-COUNTA(条幅!$B$11:$B$310)),""))))</f>
        <v/>
      </c>
      <c r="I430" s="38" t="str">
        <f>IF(IF(425&lt;=COUNTA(半紙!$B$11:$B$310),INDEX(半紙!$I$11:$I$310,425),IF(425&lt;=COUNTA(半紙!$B$11:$B$310)+COUNTA(条幅!$B$11:$B$310),INDEX(条幅!$I$11:$I$310,425-COUNTA(半紙!$B$11:$B$310)),IF(425&lt;=COUNTA(半紙!$B$11:$B$310)+COUNTA(条幅!$B$11:$B$310)+COUNTA(条幅4分の1!$B$11:$B$310),INDEX(条幅4分の1!$I$11:$I$310,425-COUNTA(半紙!$B$11:$B$310)-COUNTA(条幅!$B$11:$B$310)),"")))=0,"",IF(425&lt;=COUNTA(半紙!$B$11:$B$310),INDEX(半紙!$I$11:$I$310,425),IF(425&lt;=COUNTA(半紙!$B$11:$B$310)+COUNTA(条幅!$B$11:$B$310),INDEX(条幅!$I$11:$I$310,425-COUNTA(半紙!$B$11:$B$310)),IF(425&lt;=COUNTA(半紙!$B$11:$B$310)+COUNTA(条幅!$B$11:$B$310)+COUNTA(条幅4分の1!$B$11:$B$310),INDEX(条幅4分の1!$I$11:$I$310,425-COUNTA(半紙!$B$11:$B$310)-COUNTA(条幅!$B$11:$B$310)),""))))</f>
        <v/>
      </c>
      <c r="J430" s="38" t="str">
        <f>IF(IF(425&lt;=COUNTA(半紙!$B$11:$B$310),INDEX(半紙!$J$11:$J$310,425),IF(425&lt;=COUNTA(半紙!$B$11:$B$310)+COUNTA(条幅!$B$11:$B$310),INDEX(条幅!$J$11:$J$310,425-COUNTA(半紙!$B$11:$B$310)),IF(425&lt;=COUNTA(半紙!$B$11:$B$310)+COUNTA(条幅!$B$11:$B$310)+COUNTA(条幅4分の1!$B$11:$B$310),INDEX(条幅4分の1!$J$11:$J$310,425-COUNTA(半紙!$B$11:$B$310)-COUNTA(条幅!$B$11:$B$310)),"")))=0,"",IF(425&lt;=COUNTA(半紙!$B$11:$B$310),INDEX(半紙!$J$11:$J$310,425),IF(425&lt;=COUNTA(半紙!$B$11:$B$310)+COUNTA(条幅!$B$11:$B$310),INDEX(条幅!$J$11:$J$310,425-COUNTA(半紙!$B$11:$B$310)),IF(425&lt;=COUNTA(半紙!$B$11:$B$310)+COUNTA(条幅!$B$11:$B$310)+COUNTA(条幅4分の1!$B$11:$B$310),INDEX(条幅4分の1!$J$11:$J$310,425-COUNTA(半紙!$B$11:$B$310)-COUNTA(条幅!$B$11:$B$310)),""))))</f>
        <v/>
      </c>
      <c r="K430" s="38" t="str">
        <f>IF(IF(425&lt;=COUNTA(半紙!$B$11:$B$310),INDEX(半紙!$K$11:$K$310,425),IF(425&lt;=COUNTA(半紙!$B$11:$B$310)+COUNTA(条幅!$B$11:$B$310),INDEX(条幅!$K$11:$K$310,425-COUNTA(半紙!$B$11:$B$310)),IF(425&lt;=COUNTA(半紙!$B$11:$B$310)+COUNTA(条幅!$B$11:$B$310)+COUNTA(条幅4分の1!$B$11:$B$310),INDEX(条幅4分の1!$K$11:$K$310,425-COUNTA(半紙!$B$11:$B$310)-COUNTA(条幅!$B$11:$B$310)),"")))=0,"",IF(425&lt;=COUNTA(半紙!$B$11:$B$310),INDEX(半紙!$K$11:$K$310,425),IF(425&lt;=COUNTA(半紙!$B$11:$B$310)+COUNTA(条幅!$B$11:$B$310),INDEX(条幅!$K$11:$K$310,425-COUNTA(半紙!$B$11:$B$310)),IF(425&lt;=COUNTA(半紙!$B$11:$B$310)+COUNTA(条幅!$B$11:$B$310)+COUNTA(条幅4分の1!$B$11:$B$310),INDEX(条幅4分の1!$K$11:$K$310,425-COUNTA(半紙!$B$11:$B$310)-COUNTA(条幅!$B$11:$B$310)),""))))</f>
        <v/>
      </c>
      <c r="L430" s="48" t="str">
        <f>IF($B430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425))</f>
        <v/>
      </c>
    </row>
    <row r="431" spans="1:12" ht="15" customHeight="1">
      <c r="A431" s="37" t="str">
        <f>IF(426&lt;=COUNTA(半紙!$B$11:$B$310),"半紙",IF(426&lt;=COUNTA(半紙!$B$11:$B$310)+COUNTA(条幅!$B$11:$B$310),"条幅(半切)",IF(426&lt;=COUNTA(半紙!$B$11:$B$310)+COUNTA(条幅!$B$11:$B$310)+COUNTA(条幅4分の1!$B$11:$B$310),"条幅(1/4)","")))</f>
        <v/>
      </c>
      <c r="B431" s="38" t="str">
        <f>IF(IF(426&lt;=COUNTA(半紙!$B$11:$B$310),INDEX(半紙!$B$11:$B$310,426),IF(426&lt;=COUNTA(半紙!$B$11:$B$310)+COUNTA(条幅!$B$11:$B$310),INDEX(条幅!$B$11:$B$310,426-COUNTA(半紙!$B$11:$B$310)),IF(426&lt;=COUNTA(半紙!$B$11:$B$310)+COUNTA(条幅!$B$11:$B$310)+COUNTA(条幅4分の1!$B$11:$B$310),INDEX(条幅4分の1!$B$11:$B$310,426-COUNTA(半紙!$B$11:$B$310)-COUNTA(条幅!$B$11:$B$310)),"")))=0,"",IF(426&lt;=COUNTA(半紙!$B$11:$B$310),INDEX(半紙!$B$11:$B$310,426),IF(426&lt;=COUNTA(半紙!$B$11:$B$310)+COUNTA(条幅!$B$11:$B$310),INDEX(条幅!$B$11:$B$310,426-COUNTA(半紙!$B$11:$B$310)),IF(426&lt;=COUNTA(半紙!$B$11:$B$310)+COUNTA(条幅!$B$11:$B$310)+COUNTA(条幅4分の1!$B$11:$B$310),INDEX(条幅4分の1!$B$11:$B$310,426-COUNTA(半紙!$B$11:$B$310)-COUNTA(条幅!$B$11:$B$310)),""))))</f>
        <v/>
      </c>
      <c r="C431" s="38" t="str">
        <f>IF(IF(426&lt;=COUNTA(半紙!$B$11:$B$310),INDEX(半紙!$C$11:$C$310,426),IF(426&lt;=COUNTA(半紙!$B$11:$B$310)+COUNTA(条幅!$B$11:$B$310),INDEX(条幅!$C$11:$C$310,426-COUNTA(半紙!$B$11:$B$310)),IF(426&lt;=COUNTA(半紙!$B$11:$B$310)+COUNTA(条幅!$B$11:$B$310)+COUNTA(条幅4分の1!$B$11:$B$310),INDEX(条幅4分の1!$C$11:$C$310,426-COUNTA(半紙!$B$11:$B$310)-COUNTA(条幅!$B$11:$B$310)),"")))=0,"",IF(426&lt;=COUNTA(半紙!$B$11:$B$310),INDEX(半紙!$C$11:$C$310,426),IF(426&lt;=COUNTA(半紙!$B$11:$B$310)+COUNTA(条幅!$B$11:$B$310),INDEX(条幅!$C$11:$C$310,426-COUNTA(半紙!$B$11:$B$310)),IF(426&lt;=COUNTA(半紙!$B$11:$B$310)+COUNTA(条幅!$B$11:$B$310)+COUNTA(条幅4分の1!$B$11:$B$310),INDEX(条幅4分の1!$C$11:$C$310,426-COUNTA(半紙!$B$11:$B$310)-COUNTA(条幅!$B$11:$B$310)),""))))</f>
        <v/>
      </c>
      <c r="D431" s="38" t="str">
        <f>IF(IF(426&lt;=COUNTA(半紙!$B$11:$B$310),INDEX(半紙!$D$11:$D$310,426),IF(426&lt;=COUNTA(半紙!$B$11:$B$310)+COUNTA(条幅!$B$11:$B$310),INDEX(条幅!$D$11:$D$310,426-COUNTA(半紙!$B$11:$B$310)),IF(426&lt;=COUNTA(半紙!$B$11:$B$310)+COUNTA(条幅!$B$11:$B$310)+COUNTA(条幅4分の1!$B$11:$B$310),INDEX(条幅4分の1!$D$11:$D$310,426-COUNTA(半紙!$B$11:$B$310)-COUNTA(条幅!$B$11:$B$310)),"")))=0,"",IF(426&lt;=COUNTA(半紙!$B$11:$B$310),INDEX(半紙!$D$11:$D$310,426),IF(426&lt;=COUNTA(半紙!$B$11:$B$310)+COUNTA(条幅!$B$11:$B$310),INDEX(条幅!$D$11:$D$310,426-COUNTA(半紙!$B$11:$B$310)),IF(426&lt;=COUNTA(半紙!$B$11:$B$310)+COUNTA(条幅!$B$11:$B$310)+COUNTA(条幅4分の1!$B$11:$B$310),INDEX(条幅4分の1!$D$11:$D$310,426-COUNTA(半紙!$B$11:$B$310)-COUNTA(条幅!$B$11:$B$310)),""))))</f>
        <v/>
      </c>
      <c r="E431" s="38" t="str">
        <f>IF(IF(426&lt;=COUNTA(半紙!$B$11:$B$310),INDEX(半紙!$E$11:$E$310,426),IF(426&lt;=COUNTA(半紙!$B$11:$B$310)+COUNTA(条幅!$B$11:$B$310),INDEX(条幅!$E$11:$E$310,426-COUNTA(半紙!$B$11:$B$310)),IF(426&lt;=COUNTA(半紙!$B$11:$B$310)+COUNTA(条幅!$B$11:$B$310)+COUNTA(条幅4分の1!$B$11:$B$310),INDEX(条幅4分の1!$E$11:$E$310,426-COUNTA(半紙!$B$11:$B$310)-COUNTA(条幅!$B$11:$B$310)),"")))=0,"",IF(426&lt;=COUNTA(半紙!$B$11:$B$310),INDEX(半紙!$E$11:$E$310,426),IF(426&lt;=COUNTA(半紙!$B$11:$B$310)+COUNTA(条幅!$B$11:$B$310),INDEX(条幅!$E$11:$E$310,426-COUNTA(半紙!$B$11:$B$310)),IF(426&lt;=COUNTA(半紙!$B$11:$B$310)+COUNTA(条幅!$B$11:$B$310)+COUNTA(条幅4分の1!$B$11:$B$310),INDEX(条幅4分の1!$E$11:$E$310,426-COUNTA(半紙!$B$11:$B$310)-COUNTA(条幅!$B$11:$B$310)),""))))</f>
        <v/>
      </c>
      <c r="F431" s="38" t="str">
        <f>IF(IF(426&lt;=COUNTA(半紙!$B$11:$B$310),INDEX(半紙!$F$11:$F$310,426),IF(426&lt;=COUNTA(半紙!$B$11:$B$310)+COUNTA(条幅!$B$11:$B$310),INDEX(条幅!$F$11:$F$310,426-COUNTA(半紙!$B$11:$B$310)),IF(426&lt;=COUNTA(半紙!$B$11:$B$310)+COUNTA(条幅!$B$11:$B$310)+COUNTA(条幅4分の1!$B$11:$B$310),INDEX(条幅4分の1!$F$11:$F$310,426-COUNTA(半紙!$B$11:$B$310)-COUNTA(条幅!$B$11:$B$310)),"")))=0,"",IF(426&lt;=COUNTA(半紙!$B$11:$B$310),INDEX(半紙!$F$11:$F$310,426),IF(426&lt;=COUNTA(半紙!$B$11:$B$310)+COUNTA(条幅!$B$11:$B$310),INDEX(条幅!$F$11:$F$310,426-COUNTA(半紙!$B$11:$B$310)),IF(426&lt;=COUNTA(半紙!$B$11:$B$310)+COUNTA(条幅!$B$11:$B$310)+COUNTA(条幅4分の1!$B$11:$B$310),INDEX(条幅4分の1!$F$11:$F$310,426-COUNTA(半紙!$B$11:$B$310)-COUNTA(条幅!$B$11:$B$310)),""))))</f>
        <v/>
      </c>
      <c r="G431" s="38" t="str">
        <f>IF(IF(426&lt;=COUNTA(半紙!$B$11:$B$310),INDEX(半紙!$G$11:$G$310,426),IF(426&lt;=COUNTA(半紙!$B$11:$B$310)+COUNTA(条幅!$B$11:$B$310),INDEX(条幅!$G$11:$G$310,426-COUNTA(半紙!$B$11:$B$310)),IF(426&lt;=COUNTA(半紙!$B$11:$B$310)+COUNTA(条幅!$B$11:$B$310)+COUNTA(条幅4分の1!$B$11:$B$310),INDEX(条幅4分の1!$G$11:$G$310,426-COUNTA(半紙!$B$11:$B$310)-COUNTA(条幅!$B$11:$B$310)),"")))=0,"",IF(426&lt;=COUNTA(半紙!$B$11:$B$310),INDEX(半紙!$G$11:$G$310,426),IF(426&lt;=COUNTA(半紙!$B$11:$B$310)+COUNTA(条幅!$B$11:$B$310),INDEX(条幅!$G$11:$G$310,426-COUNTA(半紙!$B$11:$B$310)),IF(426&lt;=COUNTA(半紙!$B$11:$B$310)+COUNTA(条幅!$B$11:$B$310)+COUNTA(条幅4分の1!$B$11:$B$310),INDEX(条幅4分の1!$G$11:$G$310,426-COUNTA(半紙!$B$11:$B$310)-COUNTA(条幅!$B$11:$B$310)),""))))</f>
        <v/>
      </c>
      <c r="H431" s="38" t="str">
        <f>IF(IF(426&lt;=COUNTA(半紙!$B$11:$B$310),INDEX(半紙!$H$11:$H$310,426),IF(426&lt;=COUNTA(半紙!$B$11:$B$310)+COUNTA(条幅!$B$11:$B$310),INDEX(条幅!$H$11:$H$310,426-COUNTA(半紙!$B$11:$B$310)),IF(426&lt;=COUNTA(半紙!$B$11:$B$310)+COUNTA(条幅!$B$11:$B$310)+COUNTA(条幅4分の1!$B$11:$B$310),INDEX(条幅4分の1!$H$11:$H$310,426-COUNTA(半紙!$B$11:$B$310)-COUNTA(条幅!$B$11:$B$310)),"")))=0,"",IF(426&lt;=COUNTA(半紙!$B$11:$B$310),INDEX(半紙!$H$11:$H$310,426),IF(426&lt;=COUNTA(半紙!$B$11:$B$310)+COUNTA(条幅!$B$11:$B$310),INDEX(条幅!$H$11:$H$310,426-COUNTA(半紙!$B$11:$B$310)),IF(426&lt;=COUNTA(半紙!$B$11:$B$310)+COUNTA(条幅!$B$11:$B$310)+COUNTA(条幅4分の1!$B$11:$B$310),INDEX(条幅4分の1!$H$11:$H$310,426-COUNTA(半紙!$B$11:$B$310)-COUNTA(条幅!$B$11:$B$310)),""))))</f>
        <v/>
      </c>
      <c r="I431" s="38" t="str">
        <f>IF(IF(426&lt;=COUNTA(半紙!$B$11:$B$310),INDEX(半紙!$I$11:$I$310,426),IF(426&lt;=COUNTA(半紙!$B$11:$B$310)+COUNTA(条幅!$B$11:$B$310),INDEX(条幅!$I$11:$I$310,426-COUNTA(半紙!$B$11:$B$310)),IF(426&lt;=COUNTA(半紙!$B$11:$B$310)+COUNTA(条幅!$B$11:$B$310)+COUNTA(条幅4分の1!$B$11:$B$310),INDEX(条幅4分の1!$I$11:$I$310,426-COUNTA(半紙!$B$11:$B$310)-COUNTA(条幅!$B$11:$B$310)),"")))=0,"",IF(426&lt;=COUNTA(半紙!$B$11:$B$310),INDEX(半紙!$I$11:$I$310,426),IF(426&lt;=COUNTA(半紙!$B$11:$B$310)+COUNTA(条幅!$B$11:$B$310),INDEX(条幅!$I$11:$I$310,426-COUNTA(半紙!$B$11:$B$310)),IF(426&lt;=COUNTA(半紙!$B$11:$B$310)+COUNTA(条幅!$B$11:$B$310)+COUNTA(条幅4分の1!$B$11:$B$310),INDEX(条幅4分の1!$I$11:$I$310,426-COUNTA(半紙!$B$11:$B$310)-COUNTA(条幅!$B$11:$B$310)),""))))</f>
        <v/>
      </c>
      <c r="J431" s="38" t="str">
        <f>IF(IF(426&lt;=COUNTA(半紙!$B$11:$B$310),INDEX(半紙!$J$11:$J$310,426),IF(426&lt;=COUNTA(半紙!$B$11:$B$310)+COUNTA(条幅!$B$11:$B$310),INDEX(条幅!$J$11:$J$310,426-COUNTA(半紙!$B$11:$B$310)),IF(426&lt;=COUNTA(半紙!$B$11:$B$310)+COUNTA(条幅!$B$11:$B$310)+COUNTA(条幅4分の1!$B$11:$B$310),INDEX(条幅4分の1!$J$11:$J$310,426-COUNTA(半紙!$B$11:$B$310)-COUNTA(条幅!$B$11:$B$310)),"")))=0,"",IF(426&lt;=COUNTA(半紙!$B$11:$B$310),INDEX(半紙!$J$11:$J$310,426),IF(426&lt;=COUNTA(半紙!$B$11:$B$310)+COUNTA(条幅!$B$11:$B$310),INDEX(条幅!$J$11:$J$310,426-COUNTA(半紙!$B$11:$B$310)),IF(426&lt;=COUNTA(半紙!$B$11:$B$310)+COUNTA(条幅!$B$11:$B$310)+COUNTA(条幅4分の1!$B$11:$B$310),INDEX(条幅4分の1!$J$11:$J$310,426-COUNTA(半紙!$B$11:$B$310)-COUNTA(条幅!$B$11:$B$310)),""))))</f>
        <v/>
      </c>
      <c r="K431" s="38" t="str">
        <f>IF(IF(426&lt;=COUNTA(半紙!$B$11:$B$310),INDEX(半紙!$K$11:$K$310,426),IF(426&lt;=COUNTA(半紙!$B$11:$B$310)+COUNTA(条幅!$B$11:$B$310),INDEX(条幅!$K$11:$K$310,426-COUNTA(半紙!$B$11:$B$310)),IF(426&lt;=COUNTA(半紙!$B$11:$B$310)+COUNTA(条幅!$B$11:$B$310)+COUNTA(条幅4分の1!$B$11:$B$310),INDEX(条幅4分の1!$K$11:$K$310,426-COUNTA(半紙!$B$11:$B$310)-COUNTA(条幅!$B$11:$B$310)),"")))=0,"",IF(426&lt;=COUNTA(半紙!$B$11:$B$310),INDEX(半紙!$K$11:$K$310,426),IF(426&lt;=COUNTA(半紙!$B$11:$B$310)+COUNTA(条幅!$B$11:$B$310),INDEX(条幅!$K$11:$K$310,426-COUNTA(半紙!$B$11:$B$310)),IF(426&lt;=COUNTA(半紙!$B$11:$B$310)+COUNTA(条幅!$B$11:$B$310)+COUNTA(条幅4分の1!$B$11:$B$310),INDEX(条幅4分の1!$K$11:$K$310,426-COUNTA(半紙!$B$11:$B$310)-COUNTA(条幅!$B$11:$B$310)),""))))</f>
        <v/>
      </c>
      <c r="L431" s="48" t="str">
        <f>IF($B431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426))</f>
        <v/>
      </c>
    </row>
    <row r="432" spans="1:12" ht="15" customHeight="1">
      <c r="A432" s="37" t="str">
        <f>IF(427&lt;=COUNTA(半紙!$B$11:$B$310),"半紙",IF(427&lt;=COUNTA(半紙!$B$11:$B$310)+COUNTA(条幅!$B$11:$B$310),"条幅(半切)",IF(427&lt;=COUNTA(半紙!$B$11:$B$310)+COUNTA(条幅!$B$11:$B$310)+COUNTA(条幅4分の1!$B$11:$B$310),"条幅(1/4)","")))</f>
        <v/>
      </c>
      <c r="B432" s="38" t="str">
        <f>IF(IF(427&lt;=COUNTA(半紙!$B$11:$B$310),INDEX(半紙!$B$11:$B$310,427),IF(427&lt;=COUNTA(半紙!$B$11:$B$310)+COUNTA(条幅!$B$11:$B$310),INDEX(条幅!$B$11:$B$310,427-COUNTA(半紙!$B$11:$B$310)),IF(427&lt;=COUNTA(半紙!$B$11:$B$310)+COUNTA(条幅!$B$11:$B$310)+COUNTA(条幅4分の1!$B$11:$B$310),INDEX(条幅4分の1!$B$11:$B$310,427-COUNTA(半紙!$B$11:$B$310)-COUNTA(条幅!$B$11:$B$310)),"")))=0,"",IF(427&lt;=COUNTA(半紙!$B$11:$B$310),INDEX(半紙!$B$11:$B$310,427),IF(427&lt;=COUNTA(半紙!$B$11:$B$310)+COUNTA(条幅!$B$11:$B$310),INDEX(条幅!$B$11:$B$310,427-COUNTA(半紙!$B$11:$B$310)),IF(427&lt;=COUNTA(半紙!$B$11:$B$310)+COUNTA(条幅!$B$11:$B$310)+COUNTA(条幅4分の1!$B$11:$B$310),INDEX(条幅4分の1!$B$11:$B$310,427-COUNTA(半紙!$B$11:$B$310)-COUNTA(条幅!$B$11:$B$310)),""))))</f>
        <v/>
      </c>
      <c r="C432" s="38" t="str">
        <f>IF(IF(427&lt;=COUNTA(半紙!$B$11:$B$310),INDEX(半紙!$C$11:$C$310,427),IF(427&lt;=COUNTA(半紙!$B$11:$B$310)+COUNTA(条幅!$B$11:$B$310),INDEX(条幅!$C$11:$C$310,427-COUNTA(半紙!$B$11:$B$310)),IF(427&lt;=COUNTA(半紙!$B$11:$B$310)+COUNTA(条幅!$B$11:$B$310)+COUNTA(条幅4分の1!$B$11:$B$310),INDEX(条幅4分の1!$C$11:$C$310,427-COUNTA(半紙!$B$11:$B$310)-COUNTA(条幅!$B$11:$B$310)),"")))=0,"",IF(427&lt;=COUNTA(半紙!$B$11:$B$310),INDEX(半紙!$C$11:$C$310,427),IF(427&lt;=COUNTA(半紙!$B$11:$B$310)+COUNTA(条幅!$B$11:$B$310),INDEX(条幅!$C$11:$C$310,427-COUNTA(半紙!$B$11:$B$310)),IF(427&lt;=COUNTA(半紙!$B$11:$B$310)+COUNTA(条幅!$B$11:$B$310)+COUNTA(条幅4分の1!$B$11:$B$310),INDEX(条幅4分の1!$C$11:$C$310,427-COUNTA(半紙!$B$11:$B$310)-COUNTA(条幅!$B$11:$B$310)),""))))</f>
        <v/>
      </c>
      <c r="D432" s="38" t="str">
        <f>IF(IF(427&lt;=COUNTA(半紙!$B$11:$B$310),INDEX(半紙!$D$11:$D$310,427),IF(427&lt;=COUNTA(半紙!$B$11:$B$310)+COUNTA(条幅!$B$11:$B$310),INDEX(条幅!$D$11:$D$310,427-COUNTA(半紙!$B$11:$B$310)),IF(427&lt;=COUNTA(半紙!$B$11:$B$310)+COUNTA(条幅!$B$11:$B$310)+COUNTA(条幅4分の1!$B$11:$B$310),INDEX(条幅4分の1!$D$11:$D$310,427-COUNTA(半紙!$B$11:$B$310)-COUNTA(条幅!$B$11:$B$310)),"")))=0,"",IF(427&lt;=COUNTA(半紙!$B$11:$B$310),INDEX(半紙!$D$11:$D$310,427),IF(427&lt;=COUNTA(半紙!$B$11:$B$310)+COUNTA(条幅!$B$11:$B$310),INDEX(条幅!$D$11:$D$310,427-COUNTA(半紙!$B$11:$B$310)),IF(427&lt;=COUNTA(半紙!$B$11:$B$310)+COUNTA(条幅!$B$11:$B$310)+COUNTA(条幅4分の1!$B$11:$B$310),INDEX(条幅4分の1!$D$11:$D$310,427-COUNTA(半紙!$B$11:$B$310)-COUNTA(条幅!$B$11:$B$310)),""))))</f>
        <v/>
      </c>
      <c r="E432" s="38" t="str">
        <f>IF(IF(427&lt;=COUNTA(半紙!$B$11:$B$310),INDEX(半紙!$E$11:$E$310,427),IF(427&lt;=COUNTA(半紙!$B$11:$B$310)+COUNTA(条幅!$B$11:$B$310),INDEX(条幅!$E$11:$E$310,427-COUNTA(半紙!$B$11:$B$310)),IF(427&lt;=COUNTA(半紙!$B$11:$B$310)+COUNTA(条幅!$B$11:$B$310)+COUNTA(条幅4分の1!$B$11:$B$310),INDEX(条幅4分の1!$E$11:$E$310,427-COUNTA(半紙!$B$11:$B$310)-COUNTA(条幅!$B$11:$B$310)),"")))=0,"",IF(427&lt;=COUNTA(半紙!$B$11:$B$310),INDEX(半紙!$E$11:$E$310,427),IF(427&lt;=COUNTA(半紙!$B$11:$B$310)+COUNTA(条幅!$B$11:$B$310),INDEX(条幅!$E$11:$E$310,427-COUNTA(半紙!$B$11:$B$310)),IF(427&lt;=COUNTA(半紙!$B$11:$B$310)+COUNTA(条幅!$B$11:$B$310)+COUNTA(条幅4分の1!$B$11:$B$310),INDEX(条幅4分の1!$E$11:$E$310,427-COUNTA(半紙!$B$11:$B$310)-COUNTA(条幅!$B$11:$B$310)),""))))</f>
        <v/>
      </c>
      <c r="F432" s="38" t="str">
        <f>IF(IF(427&lt;=COUNTA(半紙!$B$11:$B$310),INDEX(半紙!$F$11:$F$310,427),IF(427&lt;=COUNTA(半紙!$B$11:$B$310)+COUNTA(条幅!$B$11:$B$310),INDEX(条幅!$F$11:$F$310,427-COUNTA(半紙!$B$11:$B$310)),IF(427&lt;=COUNTA(半紙!$B$11:$B$310)+COUNTA(条幅!$B$11:$B$310)+COUNTA(条幅4分の1!$B$11:$B$310),INDEX(条幅4分の1!$F$11:$F$310,427-COUNTA(半紙!$B$11:$B$310)-COUNTA(条幅!$B$11:$B$310)),"")))=0,"",IF(427&lt;=COUNTA(半紙!$B$11:$B$310),INDEX(半紙!$F$11:$F$310,427),IF(427&lt;=COUNTA(半紙!$B$11:$B$310)+COUNTA(条幅!$B$11:$B$310),INDEX(条幅!$F$11:$F$310,427-COUNTA(半紙!$B$11:$B$310)),IF(427&lt;=COUNTA(半紙!$B$11:$B$310)+COUNTA(条幅!$B$11:$B$310)+COUNTA(条幅4分の1!$B$11:$B$310),INDEX(条幅4分の1!$F$11:$F$310,427-COUNTA(半紙!$B$11:$B$310)-COUNTA(条幅!$B$11:$B$310)),""))))</f>
        <v/>
      </c>
      <c r="G432" s="38" t="str">
        <f>IF(IF(427&lt;=COUNTA(半紙!$B$11:$B$310),INDEX(半紙!$G$11:$G$310,427),IF(427&lt;=COUNTA(半紙!$B$11:$B$310)+COUNTA(条幅!$B$11:$B$310),INDEX(条幅!$G$11:$G$310,427-COUNTA(半紙!$B$11:$B$310)),IF(427&lt;=COUNTA(半紙!$B$11:$B$310)+COUNTA(条幅!$B$11:$B$310)+COUNTA(条幅4分の1!$B$11:$B$310),INDEX(条幅4分の1!$G$11:$G$310,427-COUNTA(半紙!$B$11:$B$310)-COUNTA(条幅!$B$11:$B$310)),"")))=0,"",IF(427&lt;=COUNTA(半紙!$B$11:$B$310),INDEX(半紙!$G$11:$G$310,427),IF(427&lt;=COUNTA(半紙!$B$11:$B$310)+COUNTA(条幅!$B$11:$B$310),INDEX(条幅!$G$11:$G$310,427-COUNTA(半紙!$B$11:$B$310)),IF(427&lt;=COUNTA(半紙!$B$11:$B$310)+COUNTA(条幅!$B$11:$B$310)+COUNTA(条幅4分の1!$B$11:$B$310),INDEX(条幅4分の1!$G$11:$G$310,427-COUNTA(半紙!$B$11:$B$310)-COUNTA(条幅!$B$11:$B$310)),""))))</f>
        <v/>
      </c>
      <c r="H432" s="38" t="str">
        <f>IF(IF(427&lt;=COUNTA(半紙!$B$11:$B$310),INDEX(半紙!$H$11:$H$310,427),IF(427&lt;=COUNTA(半紙!$B$11:$B$310)+COUNTA(条幅!$B$11:$B$310),INDEX(条幅!$H$11:$H$310,427-COUNTA(半紙!$B$11:$B$310)),IF(427&lt;=COUNTA(半紙!$B$11:$B$310)+COUNTA(条幅!$B$11:$B$310)+COUNTA(条幅4分の1!$B$11:$B$310),INDEX(条幅4分の1!$H$11:$H$310,427-COUNTA(半紙!$B$11:$B$310)-COUNTA(条幅!$B$11:$B$310)),"")))=0,"",IF(427&lt;=COUNTA(半紙!$B$11:$B$310),INDEX(半紙!$H$11:$H$310,427),IF(427&lt;=COUNTA(半紙!$B$11:$B$310)+COUNTA(条幅!$B$11:$B$310),INDEX(条幅!$H$11:$H$310,427-COUNTA(半紙!$B$11:$B$310)),IF(427&lt;=COUNTA(半紙!$B$11:$B$310)+COUNTA(条幅!$B$11:$B$310)+COUNTA(条幅4分の1!$B$11:$B$310),INDEX(条幅4分の1!$H$11:$H$310,427-COUNTA(半紙!$B$11:$B$310)-COUNTA(条幅!$B$11:$B$310)),""))))</f>
        <v/>
      </c>
      <c r="I432" s="38" t="str">
        <f>IF(IF(427&lt;=COUNTA(半紙!$B$11:$B$310),INDEX(半紙!$I$11:$I$310,427),IF(427&lt;=COUNTA(半紙!$B$11:$B$310)+COUNTA(条幅!$B$11:$B$310),INDEX(条幅!$I$11:$I$310,427-COUNTA(半紙!$B$11:$B$310)),IF(427&lt;=COUNTA(半紙!$B$11:$B$310)+COUNTA(条幅!$B$11:$B$310)+COUNTA(条幅4分の1!$B$11:$B$310),INDEX(条幅4分の1!$I$11:$I$310,427-COUNTA(半紙!$B$11:$B$310)-COUNTA(条幅!$B$11:$B$310)),"")))=0,"",IF(427&lt;=COUNTA(半紙!$B$11:$B$310),INDEX(半紙!$I$11:$I$310,427),IF(427&lt;=COUNTA(半紙!$B$11:$B$310)+COUNTA(条幅!$B$11:$B$310),INDEX(条幅!$I$11:$I$310,427-COUNTA(半紙!$B$11:$B$310)),IF(427&lt;=COUNTA(半紙!$B$11:$B$310)+COUNTA(条幅!$B$11:$B$310)+COUNTA(条幅4分の1!$B$11:$B$310),INDEX(条幅4分の1!$I$11:$I$310,427-COUNTA(半紙!$B$11:$B$310)-COUNTA(条幅!$B$11:$B$310)),""))))</f>
        <v/>
      </c>
      <c r="J432" s="38" t="str">
        <f>IF(IF(427&lt;=COUNTA(半紙!$B$11:$B$310),INDEX(半紙!$J$11:$J$310,427),IF(427&lt;=COUNTA(半紙!$B$11:$B$310)+COUNTA(条幅!$B$11:$B$310),INDEX(条幅!$J$11:$J$310,427-COUNTA(半紙!$B$11:$B$310)),IF(427&lt;=COUNTA(半紙!$B$11:$B$310)+COUNTA(条幅!$B$11:$B$310)+COUNTA(条幅4分の1!$B$11:$B$310),INDEX(条幅4分の1!$J$11:$J$310,427-COUNTA(半紙!$B$11:$B$310)-COUNTA(条幅!$B$11:$B$310)),"")))=0,"",IF(427&lt;=COUNTA(半紙!$B$11:$B$310),INDEX(半紙!$J$11:$J$310,427),IF(427&lt;=COUNTA(半紙!$B$11:$B$310)+COUNTA(条幅!$B$11:$B$310),INDEX(条幅!$J$11:$J$310,427-COUNTA(半紙!$B$11:$B$310)),IF(427&lt;=COUNTA(半紙!$B$11:$B$310)+COUNTA(条幅!$B$11:$B$310)+COUNTA(条幅4分の1!$B$11:$B$310),INDEX(条幅4分の1!$J$11:$J$310,427-COUNTA(半紙!$B$11:$B$310)-COUNTA(条幅!$B$11:$B$310)),""))))</f>
        <v/>
      </c>
      <c r="K432" s="38" t="str">
        <f>IF(IF(427&lt;=COUNTA(半紙!$B$11:$B$310),INDEX(半紙!$K$11:$K$310,427),IF(427&lt;=COUNTA(半紙!$B$11:$B$310)+COUNTA(条幅!$B$11:$B$310),INDEX(条幅!$K$11:$K$310,427-COUNTA(半紙!$B$11:$B$310)),IF(427&lt;=COUNTA(半紙!$B$11:$B$310)+COUNTA(条幅!$B$11:$B$310)+COUNTA(条幅4分の1!$B$11:$B$310),INDEX(条幅4分の1!$K$11:$K$310,427-COUNTA(半紙!$B$11:$B$310)-COUNTA(条幅!$B$11:$B$310)),"")))=0,"",IF(427&lt;=COUNTA(半紙!$B$11:$B$310),INDEX(半紙!$K$11:$K$310,427),IF(427&lt;=COUNTA(半紙!$B$11:$B$310)+COUNTA(条幅!$B$11:$B$310),INDEX(条幅!$K$11:$K$310,427-COUNTA(半紙!$B$11:$B$310)),IF(427&lt;=COUNTA(半紙!$B$11:$B$310)+COUNTA(条幅!$B$11:$B$310)+COUNTA(条幅4分の1!$B$11:$B$310),INDEX(条幅4分の1!$K$11:$K$310,427-COUNTA(半紙!$B$11:$B$310)-COUNTA(条幅!$B$11:$B$310)),""))))</f>
        <v/>
      </c>
      <c r="L432" s="48" t="str">
        <f>IF($B432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427))</f>
        <v/>
      </c>
    </row>
    <row r="433" spans="1:12" ht="15" customHeight="1">
      <c r="A433" s="37" t="str">
        <f>IF(428&lt;=COUNTA(半紙!$B$11:$B$310),"半紙",IF(428&lt;=COUNTA(半紙!$B$11:$B$310)+COUNTA(条幅!$B$11:$B$310),"条幅(半切)",IF(428&lt;=COUNTA(半紙!$B$11:$B$310)+COUNTA(条幅!$B$11:$B$310)+COUNTA(条幅4分の1!$B$11:$B$310),"条幅(1/4)","")))</f>
        <v/>
      </c>
      <c r="B433" s="38" t="str">
        <f>IF(IF(428&lt;=COUNTA(半紙!$B$11:$B$310),INDEX(半紙!$B$11:$B$310,428),IF(428&lt;=COUNTA(半紙!$B$11:$B$310)+COUNTA(条幅!$B$11:$B$310),INDEX(条幅!$B$11:$B$310,428-COUNTA(半紙!$B$11:$B$310)),IF(428&lt;=COUNTA(半紙!$B$11:$B$310)+COUNTA(条幅!$B$11:$B$310)+COUNTA(条幅4分の1!$B$11:$B$310),INDEX(条幅4分の1!$B$11:$B$310,428-COUNTA(半紙!$B$11:$B$310)-COUNTA(条幅!$B$11:$B$310)),"")))=0,"",IF(428&lt;=COUNTA(半紙!$B$11:$B$310),INDEX(半紙!$B$11:$B$310,428),IF(428&lt;=COUNTA(半紙!$B$11:$B$310)+COUNTA(条幅!$B$11:$B$310),INDEX(条幅!$B$11:$B$310,428-COUNTA(半紙!$B$11:$B$310)),IF(428&lt;=COUNTA(半紙!$B$11:$B$310)+COUNTA(条幅!$B$11:$B$310)+COUNTA(条幅4分の1!$B$11:$B$310),INDEX(条幅4分の1!$B$11:$B$310,428-COUNTA(半紙!$B$11:$B$310)-COUNTA(条幅!$B$11:$B$310)),""))))</f>
        <v/>
      </c>
      <c r="C433" s="38" t="str">
        <f>IF(IF(428&lt;=COUNTA(半紙!$B$11:$B$310),INDEX(半紙!$C$11:$C$310,428),IF(428&lt;=COUNTA(半紙!$B$11:$B$310)+COUNTA(条幅!$B$11:$B$310),INDEX(条幅!$C$11:$C$310,428-COUNTA(半紙!$B$11:$B$310)),IF(428&lt;=COUNTA(半紙!$B$11:$B$310)+COUNTA(条幅!$B$11:$B$310)+COUNTA(条幅4分の1!$B$11:$B$310),INDEX(条幅4分の1!$C$11:$C$310,428-COUNTA(半紙!$B$11:$B$310)-COUNTA(条幅!$B$11:$B$310)),"")))=0,"",IF(428&lt;=COUNTA(半紙!$B$11:$B$310),INDEX(半紙!$C$11:$C$310,428),IF(428&lt;=COUNTA(半紙!$B$11:$B$310)+COUNTA(条幅!$B$11:$B$310),INDEX(条幅!$C$11:$C$310,428-COUNTA(半紙!$B$11:$B$310)),IF(428&lt;=COUNTA(半紙!$B$11:$B$310)+COUNTA(条幅!$B$11:$B$310)+COUNTA(条幅4分の1!$B$11:$B$310),INDEX(条幅4分の1!$C$11:$C$310,428-COUNTA(半紙!$B$11:$B$310)-COUNTA(条幅!$B$11:$B$310)),""))))</f>
        <v/>
      </c>
      <c r="D433" s="38" t="str">
        <f>IF(IF(428&lt;=COUNTA(半紙!$B$11:$B$310),INDEX(半紙!$D$11:$D$310,428),IF(428&lt;=COUNTA(半紙!$B$11:$B$310)+COUNTA(条幅!$B$11:$B$310),INDEX(条幅!$D$11:$D$310,428-COUNTA(半紙!$B$11:$B$310)),IF(428&lt;=COUNTA(半紙!$B$11:$B$310)+COUNTA(条幅!$B$11:$B$310)+COUNTA(条幅4分の1!$B$11:$B$310),INDEX(条幅4分の1!$D$11:$D$310,428-COUNTA(半紙!$B$11:$B$310)-COUNTA(条幅!$B$11:$B$310)),"")))=0,"",IF(428&lt;=COUNTA(半紙!$B$11:$B$310),INDEX(半紙!$D$11:$D$310,428),IF(428&lt;=COUNTA(半紙!$B$11:$B$310)+COUNTA(条幅!$B$11:$B$310),INDEX(条幅!$D$11:$D$310,428-COUNTA(半紙!$B$11:$B$310)),IF(428&lt;=COUNTA(半紙!$B$11:$B$310)+COUNTA(条幅!$B$11:$B$310)+COUNTA(条幅4分の1!$B$11:$B$310),INDEX(条幅4分の1!$D$11:$D$310,428-COUNTA(半紙!$B$11:$B$310)-COUNTA(条幅!$B$11:$B$310)),""))))</f>
        <v/>
      </c>
      <c r="E433" s="38" t="str">
        <f>IF(IF(428&lt;=COUNTA(半紙!$B$11:$B$310),INDEX(半紙!$E$11:$E$310,428),IF(428&lt;=COUNTA(半紙!$B$11:$B$310)+COUNTA(条幅!$B$11:$B$310),INDEX(条幅!$E$11:$E$310,428-COUNTA(半紙!$B$11:$B$310)),IF(428&lt;=COUNTA(半紙!$B$11:$B$310)+COUNTA(条幅!$B$11:$B$310)+COUNTA(条幅4分の1!$B$11:$B$310),INDEX(条幅4分の1!$E$11:$E$310,428-COUNTA(半紙!$B$11:$B$310)-COUNTA(条幅!$B$11:$B$310)),"")))=0,"",IF(428&lt;=COUNTA(半紙!$B$11:$B$310),INDEX(半紙!$E$11:$E$310,428),IF(428&lt;=COUNTA(半紙!$B$11:$B$310)+COUNTA(条幅!$B$11:$B$310),INDEX(条幅!$E$11:$E$310,428-COUNTA(半紙!$B$11:$B$310)),IF(428&lt;=COUNTA(半紙!$B$11:$B$310)+COUNTA(条幅!$B$11:$B$310)+COUNTA(条幅4分の1!$B$11:$B$310),INDEX(条幅4分の1!$E$11:$E$310,428-COUNTA(半紙!$B$11:$B$310)-COUNTA(条幅!$B$11:$B$310)),""))))</f>
        <v/>
      </c>
      <c r="F433" s="38" t="str">
        <f>IF(IF(428&lt;=COUNTA(半紙!$B$11:$B$310),INDEX(半紙!$F$11:$F$310,428),IF(428&lt;=COUNTA(半紙!$B$11:$B$310)+COUNTA(条幅!$B$11:$B$310),INDEX(条幅!$F$11:$F$310,428-COUNTA(半紙!$B$11:$B$310)),IF(428&lt;=COUNTA(半紙!$B$11:$B$310)+COUNTA(条幅!$B$11:$B$310)+COUNTA(条幅4分の1!$B$11:$B$310),INDEX(条幅4分の1!$F$11:$F$310,428-COUNTA(半紙!$B$11:$B$310)-COUNTA(条幅!$B$11:$B$310)),"")))=0,"",IF(428&lt;=COUNTA(半紙!$B$11:$B$310),INDEX(半紙!$F$11:$F$310,428),IF(428&lt;=COUNTA(半紙!$B$11:$B$310)+COUNTA(条幅!$B$11:$B$310),INDEX(条幅!$F$11:$F$310,428-COUNTA(半紙!$B$11:$B$310)),IF(428&lt;=COUNTA(半紙!$B$11:$B$310)+COUNTA(条幅!$B$11:$B$310)+COUNTA(条幅4分の1!$B$11:$B$310),INDEX(条幅4分の1!$F$11:$F$310,428-COUNTA(半紙!$B$11:$B$310)-COUNTA(条幅!$B$11:$B$310)),""))))</f>
        <v/>
      </c>
      <c r="G433" s="38" t="str">
        <f>IF(IF(428&lt;=COUNTA(半紙!$B$11:$B$310),INDEX(半紙!$G$11:$G$310,428),IF(428&lt;=COUNTA(半紙!$B$11:$B$310)+COUNTA(条幅!$B$11:$B$310),INDEX(条幅!$G$11:$G$310,428-COUNTA(半紙!$B$11:$B$310)),IF(428&lt;=COUNTA(半紙!$B$11:$B$310)+COUNTA(条幅!$B$11:$B$310)+COUNTA(条幅4分の1!$B$11:$B$310),INDEX(条幅4分の1!$G$11:$G$310,428-COUNTA(半紙!$B$11:$B$310)-COUNTA(条幅!$B$11:$B$310)),"")))=0,"",IF(428&lt;=COUNTA(半紙!$B$11:$B$310),INDEX(半紙!$G$11:$G$310,428),IF(428&lt;=COUNTA(半紙!$B$11:$B$310)+COUNTA(条幅!$B$11:$B$310),INDEX(条幅!$G$11:$G$310,428-COUNTA(半紙!$B$11:$B$310)),IF(428&lt;=COUNTA(半紙!$B$11:$B$310)+COUNTA(条幅!$B$11:$B$310)+COUNTA(条幅4分の1!$B$11:$B$310),INDEX(条幅4分の1!$G$11:$G$310,428-COUNTA(半紙!$B$11:$B$310)-COUNTA(条幅!$B$11:$B$310)),""))))</f>
        <v/>
      </c>
      <c r="H433" s="38" t="str">
        <f>IF(IF(428&lt;=COUNTA(半紙!$B$11:$B$310),INDEX(半紙!$H$11:$H$310,428),IF(428&lt;=COUNTA(半紙!$B$11:$B$310)+COUNTA(条幅!$B$11:$B$310),INDEX(条幅!$H$11:$H$310,428-COUNTA(半紙!$B$11:$B$310)),IF(428&lt;=COUNTA(半紙!$B$11:$B$310)+COUNTA(条幅!$B$11:$B$310)+COUNTA(条幅4分の1!$B$11:$B$310),INDEX(条幅4分の1!$H$11:$H$310,428-COUNTA(半紙!$B$11:$B$310)-COUNTA(条幅!$B$11:$B$310)),"")))=0,"",IF(428&lt;=COUNTA(半紙!$B$11:$B$310),INDEX(半紙!$H$11:$H$310,428),IF(428&lt;=COUNTA(半紙!$B$11:$B$310)+COUNTA(条幅!$B$11:$B$310),INDEX(条幅!$H$11:$H$310,428-COUNTA(半紙!$B$11:$B$310)),IF(428&lt;=COUNTA(半紙!$B$11:$B$310)+COUNTA(条幅!$B$11:$B$310)+COUNTA(条幅4分の1!$B$11:$B$310),INDEX(条幅4分の1!$H$11:$H$310,428-COUNTA(半紙!$B$11:$B$310)-COUNTA(条幅!$B$11:$B$310)),""))))</f>
        <v/>
      </c>
      <c r="I433" s="38" t="str">
        <f>IF(IF(428&lt;=COUNTA(半紙!$B$11:$B$310),INDEX(半紙!$I$11:$I$310,428),IF(428&lt;=COUNTA(半紙!$B$11:$B$310)+COUNTA(条幅!$B$11:$B$310),INDEX(条幅!$I$11:$I$310,428-COUNTA(半紙!$B$11:$B$310)),IF(428&lt;=COUNTA(半紙!$B$11:$B$310)+COUNTA(条幅!$B$11:$B$310)+COUNTA(条幅4分の1!$B$11:$B$310),INDEX(条幅4分の1!$I$11:$I$310,428-COUNTA(半紙!$B$11:$B$310)-COUNTA(条幅!$B$11:$B$310)),"")))=0,"",IF(428&lt;=COUNTA(半紙!$B$11:$B$310),INDEX(半紙!$I$11:$I$310,428),IF(428&lt;=COUNTA(半紙!$B$11:$B$310)+COUNTA(条幅!$B$11:$B$310),INDEX(条幅!$I$11:$I$310,428-COUNTA(半紙!$B$11:$B$310)),IF(428&lt;=COUNTA(半紙!$B$11:$B$310)+COUNTA(条幅!$B$11:$B$310)+COUNTA(条幅4分の1!$B$11:$B$310),INDEX(条幅4分の1!$I$11:$I$310,428-COUNTA(半紙!$B$11:$B$310)-COUNTA(条幅!$B$11:$B$310)),""))))</f>
        <v/>
      </c>
      <c r="J433" s="38" t="str">
        <f>IF(IF(428&lt;=COUNTA(半紙!$B$11:$B$310),INDEX(半紙!$J$11:$J$310,428),IF(428&lt;=COUNTA(半紙!$B$11:$B$310)+COUNTA(条幅!$B$11:$B$310),INDEX(条幅!$J$11:$J$310,428-COUNTA(半紙!$B$11:$B$310)),IF(428&lt;=COUNTA(半紙!$B$11:$B$310)+COUNTA(条幅!$B$11:$B$310)+COUNTA(条幅4分の1!$B$11:$B$310),INDEX(条幅4分の1!$J$11:$J$310,428-COUNTA(半紙!$B$11:$B$310)-COUNTA(条幅!$B$11:$B$310)),"")))=0,"",IF(428&lt;=COUNTA(半紙!$B$11:$B$310),INDEX(半紙!$J$11:$J$310,428),IF(428&lt;=COUNTA(半紙!$B$11:$B$310)+COUNTA(条幅!$B$11:$B$310),INDEX(条幅!$J$11:$J$310,428-COUNTA(半紙!$B$11:$B$310)),IF(428&lt;=COUNTA(半紙!$B$11:$B$310)+COUNTA(条幅!$B$11:$B$310)+COUNTA(条幅4分の1!$B$11:$B$310),INDEX(条幅4分の1!$J$11:$J$310,428-COUNTA(半紙!$B$11:$B$310)-COUNTA(条幅!$B$11:$B$310)),""))))</f>
        <v/>
      </c>
      <c r="K433" s="38" t="str">
        <f>IF(IF(428&lt;=COUNTA(半紙!$B$11:$B$310),INDEX(半紙!$K$11:$K$310,428),IF(428&lt;=COUNTA(半紙!$B$11:$B$310)+COUNTA(条幅!$B$11:$B$310),INDEX(条幅!$K$11:$K$310,428-COUNTA(半紙!$B$11:$B$310)),IF(428&lt;=COUNTA(半紙!$B$11:$B$310)+COUNTA(条幅!$B$11:$B$310)+COUNTA(条幅4分の1!$B$11:$B$310),INDEX(条幅4分の1!$K$11:$K$310,428-COUNTA(半紙!$B$11:$B$310)-COUNTA(条幅!$B$11:$B$310)),"")))=0,"",IF(428&lt;=COUNTA(半紙!$B$11:$B$310),INDEX(半紙!$K$11:$K$310,428),IF(428&lt;=COUNTA(半紙!$B$11:$B$310)+COUNTA(条幅!$B$11:$B$310),INDEX(条幅!$K$11:$K$310,428-COUNTA(半紙!$B$11:$B$310)),IF(428&lt;=COUNTA(半紙!$B$11:$B$310)+COUNTA(条幅!$B$11:$B$310)+COUNTA(条幅4分の1!$B$11:$B$310),INDEX(条幅4分の1!$K$11:$K$310,428-COUNTA(半紙!$B$11:$B$310)-COUNTA(条幅!$B$11:$B$310)),""))))</f>
        <v/>
      </c>
      <c r="L433" s="48" t="str">
        <f>IF($B433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428))</f>
        <v/>
      </c>
    </row>
    <row r="434" spans="1:12" ht="15" customHeight="1">
      <c r="A434" s="37" t="str">
        <f>IF(429&lt;=COUNTA(半紙!$B$11:$B$310),"半紙",IF(429&lt;=COUNTA(半紙!$B$11:$B$310)+COUNTA(条幅!$B$11:$B$310),"条幅(半切)",IF(429&lt;=COUNTA(半紙!$B$11:$B$310)+COUNTA(条幅!$B$11:$B$310)+COUNTA(条幅4分の1!$B$11:$B$310),"条幅(1/4)","")))</f>
        <v/>
      </c>
      <c r="B434" s="38" t="str">
        <f>IF(IF(429&lt;=COUNTA(半紙!$B$11:$B$310),INDEX(半紙!$B$11:$B$310,429),IF(429&lt;=COUNTA(半紙!$B$11:$B$310)+COUNTA(条幅!$B$11:$B$310),INDEX(条幅!$B$11:$B$310,429-COUNTA(半紙!$B$11:$B$310)),IF(429&lt;=COUNTA(半紙!$B$11:$B$310)+COUNTA(条幅!$B$11:$B$310)+COUNTA(条幅4分の1!$B$11:$B$310),INDEX(条幅4分の1!$B$11:$B$310,429-COUNTA(半紙!$B$11:$B$310)-COUNTA(条幅!$B$11:$B$310)),"")))=0,"",IF(429&lt;=COUNTA(半紙!$B$11:$B$310),INDEX(半紙!$B$11:$B$310,429),IF(429&lt;=COUNTA(半紙!$B$11:$B$310)+COUNTA(条幅!$B$11:$B$310),INDEX(条幅!$B$11:$B$310,429-COUNTA(半紙!$B$11:$B$310)),IF(429&lt;=COUNTA(半紙!$B$11:$B$310)+COUNTA(条幅!$B$11:$B$310)+COUNTA(条幅4分の1!$B$11:$B$310),INDEX(条幅4分の1!$B$11:$B$310,429-COUNTA(半紙!$B$11:$B$310)-COUNTA(条幅!$B$11:$B$310)),""))))</f>
        <v/>
      </c>
      <c r="C434" s="38" t="str">
        <f>IF(IF(429&lt;=COUNTA(半紙!$B$11:$B$310),INDEX(半紙!$C$11:$C$310,429),IF(429&lt;=COUNTA(半紙!$B$11:$B$310)+COUNTA(条幅!$B$11:$B$310),INDEX(条幅!$C$11:$C$310,429-COUNTA(半紙!$B$11:$B$310)),IF(429&lt;=COUNTA(半紙!$B$11:$B$310)+COUNTA(条幅!$B$11:$B$310)+COUNTA(条幅4分の1!$B$11:$B$310),INDEX(条幅4分の1!$C$11:$C$310,429-COUNTA(半紙!$B$11:$B$310)-COUNTA(条幅!$B$11:$B$310)),"")))=0,"",IF(429&lt;=COUNTA(半紙!$B$11:$B$310),INDEX(半紙!$C$11:$C$310,429),IF(429&lt;=COUNTA(半紙!$B$11:$B$310)+COUNTA(条幅!$B$11:$B$310),INDEX(条幅!$C$11:$C$310,429-COUNTA(半紙!$B$11:$B$310)),IF(429&lt;=COUNTA(半紙!$B$11:$B$310)+COUNTA(条幅!$B$11:$B$310)+COUNTA(条幅4分の1!$B$11:$B$310),INDEX(条幅4分の1!$C$11:$C$310,429-COUNTA(半紙!$B$11:$B$310)-COUNTA(条幅!$B$11:$B$310)),""))))</f>
        <v/>
      </c>
      <c r="D434" s="38" t="str">
        <f>IF(IF(429&lt;=COUNTA(半紙!$B$11:$B$310),INDEX(半紙!$D$11:$D$310,429),IF(429&lt;=COUNTA(半紙!$B$11:$B$310)+COUNTA(条幅!$B$11:$B$310),INDEX(条幅!$D$11:$D$310,429-COUNTA(半紙!$B$11:$B$310)),IF(429&lt;=COUNTA(半紙!$B$11:$B$310)+COUNTA(条幅!$B$11:$B$310)+COUNTA(条幅4分の1!$B$11:$B$310),INDEX(条幅4分の1!$D$11:$D$310,429-COUNTA(半紙!$B$11:$B$310)-COUNTA(条幅!$B$11:$B$310)),"")))=0,"",IF(429&lt;=COUNTA(半紙!$B$11:$B$310),INDEX(半紙!$D$11:$D$310,429),IF(429&lt;=COUNTA(半紙!$B$11:$B$310)+COUNTA(条幅!$B$11:$B$310),INDEX(条幅!$D$11:$D$310,429-COUNTA(半紙!$B$11:$B$310)),IF(429&lt;=COUNTA(半紙!$B$11:$B$310)+COUNTA(条幅!$B$11:$B$310)+COUNTA(条幅4分の1!$B$11:$B$310),INDEX(条幅4分の1!$D$11:$D$310,429-COUNTA(半紙!$B$11:$B$310)-COUNTA(条幅!$B$11:$B$310)),""))))</f>
        <v/>
      </c>
      <c r="E434" s="38" t="str">
        <f>IF(IF(429&lt;=COUNTA(半紙!$B$11:$B$310),INDEX(半紙!$E$11:$E$310,429),IF(429&lt;=COUNTA(半紙!$B$11:$B$310)+COUNTA(条幅!$B$11:$B$310),INDEX(条幅!$E$11:$E$310,429-COUNTA(半紙!$B$11:$B$310)),IF(429&lt;=COUNTA(半紙!$B$11:$B$310)+COUNTA(条幅!$B$11:$B$310)+COUNTA(条幅4分の1!$B$11:$B$310),INDEX(条幅4分の1!$E$11:$E$310,429-COUNTA(半紙!$B$11:$B$310)-COUNTA(条幅!$B$11:$B$310)),"")))=0,"",IF(429&lt;=COUNTA(半紙!$B$11:$B$310),INDEX(半紙!$E$11:$E$310,429),IF(429&lt;=COUNTA(半紙!$B$11:$B$310)+COUNTA(条幅!$B$11:$B$310),INDEX(条幅!$E$11:$E$310,429-COUNTA(半紙!$B$11:$B$310)),IF(429&lt;=COUNTA(半紙!$B$11:$B$310)+COUNTA(条幅!$B$11:$B$310)+COUNTA(条幅4分の1!$B$11:$B$310),INDEX(条幅4分の1!$E$11:$E$310,429-COUNTA(半紙!$B$11:$B$310)-COUNTA(条幅!$B$11:$B$310)),""))))</f>
        <v/>
      </c>
      <c r="F434" s="38" t="str">
        <f>IF(IF(429&lt;=COUNTA(半紙!$B$11:$B$310),INDEX(半紙!$F$11:$F$310,429),IF(429&lt;=COUNTA(半紙!$B$11:$B$310)+COUNTA(条幅!$B$11:$B$310),INDEX(条幅!$F$11:$F$310,429-COUNTA(半紙!$B$11:$B$310)),IF(429&lt;=COUNTA(半紙!$B$11:$B$310)+COUNTA(条幅!$B$11:$B$310)+COUNTA(条幅4分の1!$B$11:$B$310),INDEX(条幅4分の1!$F$11:$F$310,429-COUNTA(半紙!$B$11:$B$310)-COUNTA(条幅!$B$11:$B$310)),"")))=0,"",IF(429&lt;=COUNTA(半紙!$B$11:$B$310),INDEX(半紙!$F$11:$F$310,429),IF(429&lt;=COUNTA(半紙!$B$11:$B$310)+COUNTA(条幅!$B$11:$B$310),INDEX(条幅!$F$11:$F$310,429-COUNTA(半紙!$B$11:$B$310)),IF(429&lt;=COUNTA(半紙!$B$11:$B$310)+COUNTA(条幅!$B$11:$B$310)+COUNTA(条幅4分の1!$B$11:$B$310),INDEX(条幅4分の1!$F$11:$F$310,429-COUNTA(半紙!$B$11:$B$310)-COUNTA(条幅!$B$11:$B$310)),""))))</f>
        <v/>
      </c>
      <c r="G434" s="38" t="str">
        <f>IF(IF(429&lt;=COUNTA(半紙!$B$11:$B$310),INDEX(半紙!$G$11:$G$310,429),IF(429&lt;=COUNTA(半紙!$B$11:$B$310)+COUNTA(条幅!$B$11:$B$310),INDEX(条幅!$G$11:$G$310,429-COUNTA(半紙!$B$11:$B$310)),IF(429&lt;=COUNTA(半紙!$B$11:$B$310)+COUNTA(条幅!$B$11:$B$310)+COUNTA(条幅4分の1!$B$11:$B$310),INDEX(条幅4分の1!$G$11:$G$310,429-COUNTA(半紙!$B$11:$B$310)-COUNTA(条幅!$B$11:$B$310)),"")))=0,"",IF(429&lt;=COUNTA(半紙!$B$11:$B$310),INDEX(半紙!$G$11:$G$310,429),IF(429&lt;=COUNTA(半紙!$B$11:$B$310)+COUNTA(条幅!$B$11:$B$310),INDEX(条幅!$G$11:$G$310,429-COUNTA(半紙!$B$11:$B$310)),IF(429&lt;=COUNTA(半紙!$B$11:$B$310)+COUNTA(条幅!$B$11:$B$310)+COUNTA(条幅4分の1!$B$11:$B$310),INDEX(条幅4分の1!$G$11:$G$310,429-COUNTA(半紙!$B$11:$B$310)-COUNTA(条幅!$B$11:$B$310)),""))))</f>
        <v/>
      </c>
      <c r="H434" s="38" t="str">
        <f>IF(IF(429&lt;=COUNTA(半紙!$B$11:$B$310),INDEX(半紙!$H$11:$H$310,429),IF(429&lt;=COUNTA(半紙!$B$11:$B$310)+COUNTA(条幅!$B$11:$B$310),INDEX(条幅!$H$11:$H$310,429-COUNTA(半紙!$B$11:$B$310)),IF(429&lt;=COUNTA(半紙!$B$11:$B$310)+COUNTA(条幅!$B$11:$B$310)+COUNTA(条幅4分の1!$B$11:$B$310),INDEX(条幅4分の1!$H$11:$H$310,429-COUNTA(半紙!$B$11:$B$310)-COUNTA(条幅!$B$11:$B$310)),"")))=0,"",IF(429&lt;=COUNTA(半紙!$B$11:$B$310),INDEX(半紙!$H$11:$H$310,429),IF(429&lt;=COUNTA(半紙!$B$11:$B$310)+COUNTA(条幅!$B$11:$B$310),INDEX(条幅!$H$11:$H$310,429-COUNTA(半紙!$B$11:$B$310)),IF(429&lt;=COUNTA(半紙!$B$11:$B$310)+COUNTA(条幅!$B$11:$B$310)+COUNTA(条幅4分の1!$B$11:$B$310),INDEX(条幅4分の1!$H$11:$H$310,429-COUNTA(半紙!$B$11:$B$310)-COUNTA(条幅!$B$11:$B$310)),""))))</f>
        <v/>
      </c>
      <c r="I434" s="38" t="str">
        <f>IF(IF(429&lt;=COUNTA(半紙!$B$11:$B$310),INDEX(半紙!$I$11:$I$310,429),IF(429&lt;=COUNTA(半紙!$B$11:$B$310)+COUNTA(条幅!$B$11:$B$310),INDEX(条幅!$I$11:$I$310,429-COUNTA(半紙!$B$11:$B$310)),IF(429&lt;=COUNTA(半紙!$B$11:$B$310)+COUNTA(条幅!$B$11:$B$310)+COUNTA(条幅4分の1!$B$11:$B$310),INDEX(条幅4分の1!$I$11:$I$310,429-COUNTA(半紙!$B$11:$B$310)-COUNTA(条幅!$B$11:$B$310)),"")))=0,"",IF(429&lt;=COUNTA(半紙!$B$11:$B$310),INDEX(半紙!$I$11:$I$310,429),IF(429&lt;=COUNTA(半紙!$B$11:$B$310)+COUNTA(条幅!$B$11:$B$310),INDEX(条幅!$I$11:$I$310,429-COUNTA(半紙!$B$11:$B$310)),IF(429&lt;=COUNTA(半紙!$B$11:$B$310)+COUNTA(条幅!$B$11:$B$310)+COUNTA(条幅4分の1!$B$11:$B$310),INDEX(条幅4分の1!$I$11:$I$310,429-COUNTA(半紙!$B$11:$B$310)-COUNTA(条幅!$B$11:$B$310)),""))))</f>
        <v/>
      </c>
      <c r="J434" s="38" t="str">
        <f>IF(IF(429&lt;=COUNTA(半紙!$B$11:$B$310),INDEX(半紙!$J$11:$J$310,429),IF(429&lt;=COUNTA(半紙!$B$11:$B$310)+COUNTA(条幅!$B$11:$B$310),INDEX(条幅!$J$11:$J$310,429-COUNTA(半紙!$B$11:$B$310)),IF(429&lt;=COUNTA(半紙!$B$11:$B$310)+COUNTA(条幅!$B$11:$B$310)+COUNTA(条幅4分の1!$B$11:$B$310),INDEX(条幅4分の1!$J$11:$J$310,429-COUNTA(半紙!$B$11:$B$310)-COUNTA(条幅!$B$11:$B$310)),"")))=0,"",IF(429&lt;=COUNTA(半紙!$B$11:$B$310),INDEX(半紙!$J$11:$J$310,429),IF(429&lt;=COUNTA(半紙!$B$11:$B$310)+COUNTA(条幅!$B$11:$B$310),INDEX(条幅!$J$11:$J$310,429-COUNTA(半紙!$B$11:$B$310)),IF(429&lt;=COUNTA(半紙!$B$11:$B$310)+COUNTA(条幅!$B$11:$B$310)+COUNTA(条幅4分の1!$B$11:$B$310),INDEX(条幅4分の1!$J$11:$J$310,429-COUNTA(半紙!$B$11:$B$310)-COUNTA(条幅!$B$11:$B$310)),""))))</f>
        <v/>
      </c>
      <c r="K434" s="38" t="str">
        <f>IF(IF(429&lt;=COUNTA(半紙!$B$11:$B$310),INDEX(半紙!$K$11:$K$310,429),IF(429&lt;=COUNTA(半紙!$B$11:$B$310)+COUNTA(条幅!$B$11:$B$310),INDEX(条幅!$K$11:$K$310,429-COUNTA(半紙!$B$11:$B$310)),IF(429&lt;=COUNTA(半紙!$B$11:$B$310)+COUNTA(条幅!$B$11:$B$310)+COUNTA(条幅4分の1!$B$11:$B$310),INDEX(条幅4分の1!$K$11:$K$310,429-COUNTA(半紙!$B$11:$B$310)-COUNTA(条幅!$B$11:$B$310)),"")))=0,"",IF(429&lt;=COUNTA(半紙!$B$11:$B$310),INDEX(半紙!$K$11:$K$310,429),IF(429&lt;=COUNTA(半紙!$B$11:$B$310)+COUNTA(条幅!$B$11:$B$310),INDEX(条幅!$K$11:$K$310,429-COUNTA(半紙!$B$11:$B$310)),IF(429&lt;=COUNTA(半紙!$B$11:$B$310)+COUNTA(条幅!$B$11:$B$310)+COUNTA(条幅4分の1!$B$11:$B$310),INDEX(条幅4分の1!$K$11:$K$310,429-COUNTA(半紙!$B$11:$B$310)-COUNTA(条幅!$B$11:$B$310)),""))))</f>
        <v/>
      </c>
      <c r="L434" s="48" t="str">
        <f>IF($B434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429))</f>
        <v/>
      </c>
    </row>
    <row r="435" spans="1:12" ht="15" customHeight="1">
      <c r="A435" s="37" t="str">
        <f>IF(430&lt;=COUNTA(半紙!$B$11:$B$310),"半紙",IF(430&lt;=COUNTA(半紙!$B$11:$B$310)+COUNTA(条幅!$B$11:$B$310),"条幅(半切)",IF(430&lt;=COUNTA(半紙!$B$11:$B$310)+COUNTA(条幅!$B$11:$B$310)+COUNTA(条幅4分の1!$B$11:$B$310),"条幅(1/4)","")))</f>
        <v/>
      </c>
      <c r="B435" s="38" t="str">
        <f>IF(IF(430&lt;=COUNTA(半紙!$B$11:$B$310),INDEX(半紙!$B$11:$B$310,430),IF(430&lt;=COUNTA(半紙!$B$11:$B$310)+COUNTA(条幅!$B$11:$B$310),INDEX(条幅!$B$11:$B$310,430-COUNTA(半紙!$B$11:$B$310)),IF(430&lt;=COUNTA(半紙!$B$11:$B$310)+COUNTA(条幅!$B$11:$B$310)+COUNTA(条幅4分の1!$B$11:$B$310),INDEX(条幅4分の1!$B$11:$B$310,430-COUNTA(半紙!$B$11:$B$310)-COUNTA(条幅!$B$11:$B$310)),"")))=0,"",IF(430&lt;=COUNTA(半紙!$B$11:$B$310),INDEX(半紙!$B$11:$B$310,430),IF(430&lt;=COUNTA(半紙!$B$11:$B$310)+COUNTA(条幅!$B$11:$B$310),INDEX(条幅!$B$11:$B$310,430-COUNTA(半紙!$B$11:$B$310)),IF(430&lt;=COUNTA(半紙!$B$11:$B$310)+COUNTA(条幅!$B$11:$B$310)+COUNTA(条幅4分の1!$B$11:$B$310),INDEX(条幅4分の1!$B$11:$B$310,430-COUNTA(半紙!$B$11:$B$310)-COUNTA(条幅!$B$11:$B$310)),""))))</f>
        <v/>
      </c>
      <c r="C435" s="38" t="str">
        <f>IF(IF(430&lt;=COUNTA(半紙!$B$11:$B$310),INDEX(半紙!$C$11:$C$310,430),IF(430&lt;=COUNTA(半紙!$B$11:$B$310)+COUNTA(条幅!$B$11:$B$310),INDEX(条幅!$C$11:$C$310,430-COUNTA(半紙!$B$11:$B$310)),IF(430&lt;=COUNTA(半紙!$B$11:$B$310)+COUNTA(条幅!$B$11:$B$310)+COUNTA(条幅4分の1!$B$11:$B$310),INDEX(条幅4分の1!$C$11:$C$310,430-COUNTA(半紙!$B$11:$B$310)-COUNTA(条幅!$B$11:$B$310)),"")))=0,"",IF(430&lt;=COUNTA(半紙!$B$11:$B$310),INDEX(半紙!$C$11:$C$310,430),IF(430&lt;=COUNTA(半紙!$B$11:$B$310)+COUNTA(条幅!$B$11:$B$310),INDEX(条幅!$C$11:$C$310,430-COUNTA(半紙!$B$11:$B$310)),IF(430&lt;=COUNTA(半紙!$B$11:$B$310)+COUNTA(条幅!$B$11:$B$310)+COUNTA(条幅4分の1!$B$11:$B$310),INDEX(条幅4分の1!$C$11:$C$310,430-COUNTA(半紙!$B$11:$B$310)-COUNTA(条幅!$B$11:$B$310)),""))))</f>
        <v/>
      </c>
      <c r="D435" s="38" t="str">
        <f>IF(IF(430&lt;=COUNTA(半紙!$B$11:$B$310),INDEX(半紙!$D$11:$D$310,430),IF(430&lt;=COUNTA(半紙!$B$11:$B$310)+COUNTA(条幅!$B$11:$B$310),INDEX(条幅!$D$11:$D$310,430-COUNTA(半紙!$B$11:$B$310)),IF(430&lt;=COUNTA(半紙!$B$11:$B$310)+COUNTA(条幅!$B$11:$B$310)+COUNTA(条幅4分の1!$B$11:$B$310),INDEX(条幅4分の1!$D$11:$D$310,430-COUNTA(半紙!$B$11:$B$310)-COUNTA(条幅!$B$11:$B$310)),"")))=0,"",IF(430&lt;=COUNTA(半紙!$B$11:$B$310),INDEX(半紙!$D$11:$D$310,430),IF(430&lt;=COUNTA(半紙!$B$11:$B$310)+COUNTA(条幅!$B$11:$B$310),INDEX(条幅!$D$11:$D$310,430-COUNTA(半紙!$B$11:$B$310)),IF(430&lt;=COUNTA(半紙!$B$11:$B$310)+COUNTA(条幅!$B$11:$B$310)+COUNTA(条幅4分の1!$B$11:$B$310),INDEX(条幅4分の1!$D$11:$D$310,430-COUNTA(半紙!$B$11:$B$310)-COUNTA(条幅!$B$11:$B$310)),""))))</f>
        <v/>
      </c>
      <c r="E435" s="38" t="str">
        <f>IF(IF(430&lt;=COUNTA(半紙!$B$11:$B$310),INDEX(半紙!$E$11:$E$310,430),IF(430&lt;=COUNTA(半紙!$B$11:$B$310)+COUNTA(条幅!$B$11:$B$310),INDEX(条幅!$E$11:$E$310,430-COUNTA(半紙!$B$11:$B$310)),IF(430&lt;=COUNTA(半紙!$B$11:$B$310)+COUNTA(条幅!$B$11:$B$310)+COUNTA(条幅4分の1!$B$11:$B$310),INDEX(条幅4分の1!$E$11:$E$310,430-COUNTA(半紙!$B$11:$B$310)-COUNTA(条幅!$B$11:$B$310)),"")))=0,"",IF(430&lt;=COUNTA(半紙!$B$11:$B$310),INDEX(半紙!$E$11:$E$310,430),IF(430&lt;=COUNTA(半紙!$B$11:$B$310)+COUNTA(条幅!$B$11:$B$310),INDEX(条幅!$E$11:$E$310,430-COUNTA(半紙!$B$11:$B$310)),IF(430&lt;=COUNTA(半紙!$B$11:$B$310)+COUNTA(条幅!$B$11:$B$310)+COUNTA(条幅4分の1!$B$11:$B$310),INDEX(条幅4分の1!$E$11:$E$310,430-COUNTA(半紙!$B$11:$B$310)-COUNTA(条幅!$B$11:$B$310)),""))))</f>
        <v/>
      </c>
      <c r="F435" s="38" t="str">
        <f>IF(IF(430&lt;=COUNTA(半紙!$B$11:$B$310),INDEX(半紙!$F$11:$F$310,430),IF(430&lt;=COUNTA(半紙!$B$11:$B$310)+COUNTA(条幅!$B$11:$B$310),INDEX(条幅!$F$11:$F$310,430-COUNTA(半紙!$B$11:$B$310)),IF(430&lt;=COUNTA(半紙!$B$11:$B$310)+COUNTA(条幅!$B$11:$B$310)+COUNTA(条幅4分の1!$B$11:$B$310),INDEX(条幅4分の1!$F$11:$F$310,430-COUNTA(半紙!$B$11:$B$310)-COUNTA(条幅!$B$11:$B$310)),"")))=0,"",IF(430&lt;=COUNTA(半紙!$B$11:$B$310),INDEX(半紙!$F$11:$F$310,430),IF(430&lt;=COUNTA(半紙!$B$11:$B$310)+COUNTA(条幅!$B$11:$B$310),INDEX(条幅!$F$11:$F$310,430-COUNTA(半紙!$B$11:$B$310)),IF(430&lt;=COUNTA(半紙!$B$11:$B$310)+COUNTA(条幅!$B$11:$B$310)+COUNTA(条幅4分の1!$B$11:$B$310),INDEX(条幅4分の1!$F$11:$F$310,430-COUNTA(半紙!$B$11:$B$310)-COUNTA(条幅!$B$11:$B$310)),""))))</f>
        <v/>
      </c>
      <c r="G435" s="38" t="str">
        <f>IF(IF(430&lt;=COUNTA(半紙!$B$11:$B$310),INDEX(半紙!$G$11:$G$310,430),IF(430&lt;=COUNTA(半紙!$B$11:$B$310)+COUNTA(条幅!$B$11:$B$310),INDEX(条幅!$G$11:$G$310,430-COUNTA(半紙!$B$11:$B$310)),IF(430&lt;=COUNTA(半紙!$B$11:$B$310)+COUNTA(条幅!$B$11:$B$310)+COUNTA(条幅4分の1!$B$11:$B$310),INDEX(条幅4分の1!$G$11:$G$310,430-COUNTA(半紙!$B$11:$B$310)-COUNTA(条幅!$B$11:$B$310)),"")))=0,"",IF(430&lt;=COUNTA(半紙!$B$11:$B$310),INDEX(半紙!$G$11:$G$310,430),IF(430&lt;=COUNTA(半紙!$B$11:$B$310)+COUNTA(条幅!$B$11:$B$310),INDEX(条幅!$G$11:$G$310,430-COUNTA(半紙!$B$11:$B$310)),IF(430&lt;=COUNTA(半紙!$B$11:$B$310)+COUNTA(条幅!$B$11:$B$310)+COUNTA(条幅4分の1!$B$11:$B$310),INDEX(条幅4分の1!$G$11:$G$310,430-COUNTA(半紙!$B$11:$B$310)-COUNTA(条幅!$B$11:$B$310)),""))))</f>
        <v/>
      </c>
      <c r="H435" s="38" t="str">
        <f>IF(IF(430&lt;=COUNTA(半紙!$B$11:$B$310),INDEX(半紙!$H$11:$H$310,430),IF(430&lt;=COUNTA(半紙!$B$11:$B$310)+COUNTA(条幅!$B$11:$B$310),INDEX(条幅!$H$11:$H$310,430-COUNTA(半紙!$B$11:$B$310)),IF(430&lt;=COUNTA(半紙!$B$11:$B$310)+COUNTA(条幅!$B$11:$B$310)+COUNTA(条幅4分の1!$B$11:$B$310),INDEX(条幅4分の1!$H$11:$H$310,430-COUNTA(半紙!$B$11:$B$310)-COUNTA(条幅!$B$11:$B$310)),"")))=0,"",IF(430&lt;=COUNTA(半紙!$B$11:$B$310),INDEX(半紙!$H$11:$H$310,430),IF(430&lt;=COUNTA(半紙!$B$11:$B$310)+COUNTA(条幅!$B$11:$B$310),INDEX(条幅!$H$11:$H$310,430-COUNTA(半紙!$B$11:$B$310)),IF(430&lt;=COUNTA(半紙!$B$11:$B$310)+COUNTA(条幅!$B$11:$B$310)+COUNTA(条幅4分の1!$B$11:$B$310),INDEX(条幅4分の1!$H$11:$H$310,430-COUNTA(半紙!$B$11:$B$310)-COUNTA(条幅!$B$11:$B$310)),""))))</f>
        <v/>
      </c>
      <c r="I435" s="38" t="str">
        <f>IF(IF(430&lt;=COUNTA(半紙!$B$11:$B$310),INDEX(半紙!$I$11:$I$310,430),IF(430&lt;=COUNTA(半紙!$B$11:$B$310)+COUNTA(条幅!$B$11:$B$310),INDEX(条幅!$I$11:$I$310,430-COUNTA(半紙!$B$11:$B$310)),IF(430&lt;=COUNTA(半紙!$B$11:$B$310)+COUNTA(条幅!$B$11:$B$310)+COUNTA(条幅4分の1!$B$11:$B$310),INDEX(条幅4分の1!$I$11:$I$310,430-COUNTA(半紙!$B$11:$B$310)-COUNTA(条幅!$B$11:$B$310)),"")))=0,"",IF(430&lt;=COUNTA(半紙!$B$11:$B$310),INDEX(半紙!$I$11:$I$310,430),IF(430&lt;=COUNTA(半紙!$B$11:$B$310)+COUNTA(条幅!$B$11:$B$310),INDEX(条幅!$I$11:$I$310,430-COUNTA(半紙!$B$11:$B$310)),IF(430&lt;=COUNTA(半紙!$B$11:$B$310)+COUNTA(条幅!$B$11:$B$310)+COUNTA(条幅4分の1!$B$11:$B$310),INDEX(条幅4分の1!$I$11:$I$310,430-COUNTA(半紙!$B$11:$B$310)-COUNTA(条幅!$B$11:$B$310)),""))))</f>
        <v/>
      </c>
      <c r="J435" s="38" t="str">
        <f>IF(IF(430&lt;=COUNTA(半紙!$B$11:$B$310),INDEX(半紙!$J$11:$J$310,430),IF(430&lt;=COUNTA(半紙!$B$11:$B$310)+COUNTA(条幅!$B$11:$B$310),INDEX(条幅!$J$11:$J$310,430-COUNTA(半紙!$B$11:$B$310)),IF(430&lt;=COUNTA(半紙!$B$11:$B$310)+COUNTA(条幅!$B$11:$B$310)+COUNTA(条幅4分の1!$B$11:$B$310),INDEX(条幅4分の1!$J$11:$J$310,430-COUNTA(半紙!$B$11:$B$310)-COUNTA(条幅!$B$11:$B$310)),"")))=0,"",IF(430&lt;=COUNTA(半紙!$B$11:$B$310),INDEX(半紙!$J$11:$J$310,430),IF(430&lt;=COUNTA(半紙!$B$11:$B$310)+COUNTA(条幅!$B$11:$B$310),INDEX(条幅!$J$11:$J$310,430-COUNTA(半紙!$B$11:$B$310)),IF(430&lt;=COUNTA(半紙!$B$11:$B$310)+COUNTA(条幅!$B$11:$B$310)+COUNTA(条幅4分の1!$B$11:$B$310),INDEX(条幅4分の1!$J$11:$J$310,430-COUNTA(半紙!$B$11:$B$310)-COUNTA(条幅!$B$11:$B$310)),""))))</f>
        <v/>
      </c>
      <c r="K435" s="38" t="str">
        <f>IF(IF(430&lt;=COUNTA(半紙!$B$11:$B$310),INDEX(半紙!$K$11:$K$310,430),IF(430&lt;=COUNTA(半紙!$B$11:$B$310)+COUNTA(条幅!$B$11:$B$310),INDEX(条幅!$K$11:$K$310,430-COUNTA(半紙!$B$11:$B$310)),IF(430&lt;=COUNTA(半紙!$B$11:$B$310)+COUNTA(条幅!$B$11:$B$310)+COUNTA(条幅4分の1!$B$11:$B$310),INDEX(条幅4分の1!$K$11:$K$310,430-COUNTA(半紙!$B$11:$B$310)-COUNTA(条幅!$B$11:$B$310)),"")))=0,"",IF(430&lt;=COUNTA(半紙!$B$11:$B$310),INDEX(半紙!$K$11:$K$310,430),IF(430&lt;=COUNTA(半紙!$B$11:$B$310)+COUNTA(条幅!$B$11:$B$310),INDEX(条幅!$K$11:$K$310,430-COUNTA(半紙!$B$11:$B$310)),IF(430&lt;=COUNTA(半紙!$B$11:$B$310)+COUNTA(条幅!$B$11:$B$310)+COUNTA(条幅4分の1!$B$11:$B$310),INDEX(条幅4分の1!$K$11:$K$310,430-COUNTA(半紙!$B$11:$B$310)-COUNTA(条幅!$B$11:$B$310)),""))))</f>
        <v/>
      </c>
      <c r="L435" s="48" t="str">
        <f>IF($B435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430))</f>
        <v/>
      </c>
    </row>
    <row r="436" spans="1:12" ht="15" customHeight="1">
      <c r="A436" s="37" t="str">
        <f>IF(431&lt;=COUNTA(半紙!$B$11:$B$310),"半紙",IF(431&lt;=COUNTA(半紙!$B$11:$B$310)+COUNTA(条幅!$B$11:$B$310),"条幅(半切)",IF(431&lt;=COUNTA(半紙!$B$11:$B$310)+COUNTA(条幅!$B$11:$B$310)+COUNTA(条幅4分の1!$B$11:$B$310),"条幅(1/4)","")))</f>
        <v/>
      </c>
      <c r="B436" s="38" t="str">
        <f>IF(IF(431&lt;=COUNTA(半紙!$B$11:$B$310),INDEX(半紙!$B$11:$B$310,431),IF(431&lt;=COUNTA(半紙!$B$11:$B$310)+COUNTA(条幅!$B$11:$B$310),INDEX(条幅!$B$11:$B$310,431-COUNTA(半紙!$B$11:$B$310)),IF(431&lt;=COUNTA(半紙!$B$11:$B$310)+COUNTA(条幅!$B$11:$B$310)+COUNTA(条幅4分の1!$B$11:$B$310),INDEX(条幅4分の1!$B$11:$B$310,431-COUNTA(半紙!$B$11:$B$310)-COUNTA(条幅!$B$11:$B$310)),"")))=0,"",IF(431&lt;=COUNTA(半紙!$B$11:$B$310),INDEX(半紙!$B$11:$B$310,431),IF(431&lt;=COUNTA(半紙!$B$11:$B$310)+COUNTA(条幅!$B$11:$B$310),INDEX(条幅!$B$11:$B$310,431-COUNTA(半紙!$B$11:$B$310)),IF(431&lt;=COUNTA(半紙!$B$11:$B$310)+COUNTA(条幅!$B$11:$B$310)+COUNTA(条幅4分の1!$B$11:$B$310),INDEX(条幅4分の1!$B$11:$B$310,431-COUNTA(半紙!$B$11:$B$310)-COUNTA(条幅!$B$11:$B$310)),""))))</f>
        <v/>
      </c>
      <c r="C436" s="38" t="str">
        <f>IF(IF(431&lt;=COUNTA(半紙!$B$11:$B$310),INDEX(半紙!$C$11:$C$310,431),IF(431&lt;=COUNTA(半紙!$B$11:$B$310)+COUNTA(条幅!$B$11:$B$310),INDEX(条幅!$C$11:$C$310,431-COUNTA(半紙!$B$11:$B$310)),IF(431&lt;=COUNTA(半紙!$B$11:$B$310)+COUNTA(条幅!$B$11:$B$310)+COUNTA(条幅4分の1!$B$11:$B$310),INDEX(条幅4分の1!$C$11:$C$310,431-COUNTA(半紙!$B$11:$B$310)-COUNTA(条幅!$B$11:$B$310)),"")))=0,"",IF(431&lt;=COUNTA(半紙!$B$11:$B$310),INDEX(半紙!$C$11:$C$310,431),IF(431&lt;=COUNTA(半紙!$B$11:$B$310)+COUNTA(条幅!$B$11:$B$310),INDEX(条幅!$C$11:$C$310,431-COUNTA(半紙!$B$11:$B$310)),IF(431&lt;=COUNTA(半紙!$B$11:$B$310)+COUNTA(条幅!$B$11:$B$310)+COUNTA(条幅4分の1!$B$11:$B$310),INDEX(条幅4分の1!$C$11:$C$310,431-COUNTA(半紙!$B$11:$B$310)-COUNTA(条幅!$B$11:$B$310)),""))))</f>
        <v/>
      </c>
      <c r="D436" s="38" t="str">
        <f>IF(IF(431&lt;=COUNTA(半紙!$B$11:$B$310),INDEX(半紙!$D$11:$D$310,431),IF(431&lt;=COUNTA(半紙!$B$11:$B$310)+COUNTA(条幅!$B$11:$B$310),INDEX(条幅!$D$11:$D$310,431-COUNTA(半紙!$B$11:$B$310)),IF(431&lt;=COUNTA(半紙!$B$11:$B$310)+COUNTA(条幅!$B$11:$B$310)+COUNTA(条幅4分の1!$B$11:$B$310),INDEX(条幅4分の1!$D$11:$D$310,431-COUNTA(半紙!$B$11:$B$310)-COUNTA(条幅!$B$11:$B$310)),"")))=0,"",IF(431&lt;=COUNTA(半紙!$B$11:$B$310),INDEX(半紙!$D$11:$D$310,431),IF(431&lt;=COUNTA(半紙!$B$11:$B$310)+COUNTA(条幅!$B$11:$B$310),INDEX(条幅!$D$11:$D$310,431-COUNTA(半紙!$B$11:$B$310)),IF(431&lt;=COUNTA(半紙!$B$11:$B$310)+COUNTA(条幅!$B$11:$B$310)+COUNTA(条幅4分の1!$B$11:$B$310),INDEX(条幅4分の1!$D$11:$D$310,431-COUNTA(半紙!$B$11:$B$310)-COUNTA(条幅!$B$11:$B$310)),""))))</f>
        <v/>
      </c>
      <c r="E436" s="38" t="str">
        <f>IF(IF(431&lt;=COUNTA(半紙!$B$11:$B$310),INDEX(半紙!$E$11:$E$310,431),IF(431&lt;=COUNTA(半紙!$B$11:$B$310)+COUNTA(条幅!$B$11:$B$310),INDEX(条幅!$E$11:$E$310,431-COUNTA(半紙!$B$11:$B$310)),IF(431&lt;=COUNTA(半紙!$B$11:$B$310)+COUNTA(条幅!$B$11:$B$310)+COUNTA(条幅4分の1!$B$11:$B$310),INDEX(条幅4分の1!$E$11:$E$310,431-COUNTA(半紙!$B$11:$B$310)-COUNTA(条幅!$B$11:$B$310)),"")))=0,"",IF(431&lt;=COUNTA(半紙!$B$11:$B$310),INDEX(半紙!$E$11:$E$310,431),IF(431&lt;=COUNTA(半紙!$B$11:$B$310)+COUNTA(条幅!$B$11:$B$310),INDEX(条幅!$E$11:$E$310,431-COUNTA(半紙!$B$11:$B$310)),IF(431&lt;=COUNTA(半紙!$B$11:$B$310)+COUNTA(条幅!$B$11:$B$310)+COUNTA(条幅4分の1!$B$11:$B$310),INDEX(条幅4分の1!$E$11:$E$310,431-COUNTA(半紙!$B$11:$B$310)-COUNTA(条幅!$B$11:$B$310)),""))))</f>
        <v/>
      </c>
      <c r="F436" s="38" t="str">
        <f>IF(IF(431&lt;=COUNTA(半紙!$B$11:$B$310),INDEX(半紙!$F$11:$F$310,431),IF(431&lt;=COUNTA(半紙!$B$11:$B$310)+COUNTA(条幅!$B$11:$B$310),INDEX(条幅!$F$11:$F$310,431-COUNTA(半紙!$B$11:$B$310)),IF(431&lt;=COUNTA(半紙!$B$11:$B$310)+COUNTA(条幅!$B$11:$B$310)+COUNTA(条幅4分の1!$B$11:$B$310),INDEX(条幅4分の1!$F$11:$F$310,431-COUNTA(半紙!$B$11:$B$310)-COUNTA(条幅!$B$11:$B$310)),"")))=0,"",IF(431&lt;=COUNTA(半紙!$B$11:$B$310),INDEX(半紙!$F$11:$F$310,431),IF(431&lt;=COUNTA(半紙!$B$11:$B$310)+COUNTA(条幅!$B$11:$B$310),INDEX(条幅!$F$11:$F$310,431-COUNTA(半紙!$B$11:$B$310)),IF(431&lt;=COUNTA(半紙!$B$11:$B$310)+COUNTA(条幅!$B$11:$B$310)+COUNTA(条幅4分の1!$B$11:$B$310),INDEX(条幅4分の1!$F$11:$F$310,431-COUNTA(半紙!$B$11:$B$310)-COUNTA(条幅!$B$11:$B$310)),""))))</f>
        <v/>
      </c>
      <c r="G436" s="38" t="str">
        <f>IF(IF(431&lt;=COUNTA(半紙!$B$11:$B$310),INDEX(半紙!$G$11:$G$310,431),IF(431&lt;=COUNTA(半紙!$B$11:$B$310)+COUNTA(条幅!$B$11:$B$310),INDEX(条幅!$G$11:$G$310,431-COUNTA(半紙!$B$11:$B$310)),IF(431&lt;=COUNTA(半紙!$B$11:$B$310)+COUNTA(条幅!$B$11:$B$310)+COUNTA(条幅4分の1!$B$11:$B$310),INDEX(条幅4分の1!$G$11:$G$310,431-COUNTA(半紙!$B$11:$B$310)-COUNTA(条幅!$B$11:$B$310)),"")))=0,"",IF(431&lt;=COUNTA(半紙!$B$11:$B$310),INDEX(半紙!$G$11:$G$310,431),IF(431&lt;=COUNTA(半紙!$B$11:$B$310)+COUNTA(条幅!$B$11:$B$310),INDEX(条幅!$G$11:$G$310,431-COUNTA(半紙!$B$11:$B$310)),IF(431&lt;=COUNTA(半紙!$B$11:$B$310)+COUNTA(条幅!$B$11:$B$310)+COUNTA(条幅4分の1!$B$11:$B$310),INDEX(条幅4分の1!$G$11:$G$310,431-COUNTA(半紙!$B$11:$B$310)-COUNTA(条幅!$B$11:$B$310)),""))))</f>
        <v/>
      </c>
      <c r="H436" s="38" t="str">
        <f>IF(IF(431&lt;=COUNTA(半紙!$B$11:$B$310),INDEX(半紙!$H$11:$H$310,431),IF(431&lt;=COUNTA(半紙!$B$11:$B$310)+COUNTA(条幅!$B$11:$B$310),INDEX(条幅!$H$11:$H$310,431-COUNTA(半紙!$B$11:$B$310)),IF(431&lt;=COUNTA(半紙!$B$11:$B$310)+COUNTA(条幅!$B$11:$B$310)+COUNTA(条幅4分の1!$B$11:$B$310),INDEX(条幅4分の1!$H$11:$H$310,431-COUNTA(半紙!$B$11:$B$310)-COUNTA(条幅!$B$11:$B$310)),"")))=0,"",IF(431&lt;=COUNTA(半紙!$B$11:$B$310),INDEX(半紙!$H$11:$H$310,431),IF(431&lt;=COUNTA(半紙!$B$11:$B$310)+COUNTA(条幅!$B$11:$B$310),INDEX(条幅!$H$11:$H$310,431-COUNTA(半紙!$B$11:$B$310)),IF(431&lt;=COUNTA(半紙!$B$11:$B$310)+COUNTA(条幅!$B$11:$B$310)+COUNTA(条幅4分の1!$B$11:$B$310),INDEX(条幅4分の1!$H$11:$H$310,431-COUNTA(半紙!$B$11:$B$310)-COUNTA(条幅!$B$11:$B$310)),""))))</f>
        <v/>
      </c>
      <c r="I436" s="38" t="str">
        <f>IF(IF(431&lt;=COUNTA(半紙!$B$11:$B$310),INDEX(半紙!$I$11:$I$310,431),IF(431&lt;=COUNTA(半紙!$B$11:$B$310)+COUNTA(条幅!$B$11:$B$310),INDEX(条幅!$I$11:$I$310,431-COUNTA(半紙!$B$11:$B$310)),IF(431&lt;=COUNTA(半紙!$B$11:$B$310)+COUNTA(条幅!$B$11:$B$310)+COUNTA(条幅4分の1!$B$11:$B$310),INDEX(条幅4分の1!$I$11:$I$310,431-COUNTA(半紙!$B$11:$B$310)-COUNTA(条幅!$B$11:$B$310)),"")))=0,"",IF(431&lt;=COUNTA(半紙!$B$11:$B$310),INDEX(半紙!$I$11:$I$310,431),IF(431&lt;=COUNTA(半紙!$B$11:$B$310)+COUNTA(条幅!$B$11:$B$310),INDEX(条幅!$I$11:$I$310,431-COUNTA(半紙!$B$11:$B$310)),IF(431&lt;=COUNTA(半紙!$B$11:$B$310)+COUNTA(条幅!$B$11:$B$310)+COUNTA(条幅4分の1!$B$11:$B$310),INDEX(条幅4分の1!$I$11:$I$310,431-COUNTA(半紙!$B$11:$B$310)-COUNTA(条幅!$B$11:$B$310)),""))))</f>
        <v/>
      </c>
      <c r="J436" s="38" t="str">
        <f>IF(IF(431&lt;=COUNTA(半紙!$B$11:$B$310),INDEX(半紙!$J$11:$J$310,431),IF(431&lt;=COUNTA(半紙!$B$11:$B$310)+COUNTA(条幅!$B$11:$B$310),INDEX(条幅!$J$11:$J$310,431-COUNTA(半紙!$B$11:$B$310)),IF(431&lt;=COUNTA(半紙!$B$11:$B$310)+COUNTA(条幅!$B$11:$B$310)+COUNTA(条幅4分の1!$B$11:$B$310),INDEX(条幅4分の1!$J$11:$J$310,431-COUNTA(半紙!$B$11:$B$310)-COUNTA(条幅!$B$11:$B$310)),"")))=0,"",IF(431&lt;=COUNTA(半紙!$B$11:$B$310),INDEX(半紙!$J$11:$J$310,431),IF(431&lt;=COUNTA(半紙!$B$11:$B$310)+COUNTA(条幅!$B$11:$B$310),INDEX(条幅!$J$11:$J$310,431-COUNTA(半紙!$B$11:$B$310)),IF(431&lt;=COUNTA(半紙!$B$11:$B$310)+COUNTA(条幅!$B$11:$B$310)+COUNTA(条幅4分の1!$B$11:$B$310),INDEX(条幅4分の1!$J$11:$J$310,431-COUNTA(半紙!$B$11:$B$310)-COUNTA(条幅!$B$11:$B$310)),""))))</f>
        <v/>
      </c>
      <c r="K436" s="38" t="str">
        <f>IF(IF(431&lt;=COUNTA(半紙!$B$11:$B$310),INDEX(半紙!$K$11:$K$310,431),IF(431&lt;=COUNTA(半紙!$B$11:$B$310)+COUNTA(条幅!$B$11:$B$310),INDEX(条幅!$K$11:$K$310,431-COUNTA(半紙!$B$11:$B$310)),IF(431&lt;=COUNTA(半紙!$B$11:$B$310)+COUNTA(条幅!$B$11:$B$310)+COUNTA(条幅4分の1!$B$11:$B$310),INDEX(条幅4分の1!$K$11:$K$310,431-COUNTA(半紙!$B$11:$B$310)-COUNTA(条幅!$B$11:$B$310)),"")))=0,"",IF(431&lt;=COUNTA(半紙!$B$11:$B$310),INDEX(半紙!$K$11:$K$310,431),IF(431&lt;=COUNTA(半紙!$B$11:$B$310)+COUNTA(条幅!$B$11:$B$310),INDEX(条幅!$K$11:$K$310,431-COUNTA(半紙!$B$11:$B$310)),IF(431&lt;=COUNTA(半紙!$B$11:$B$310)+COUNTA(条幅!$B$11:$B$310)+COUNTA(条幅4分の1!$B$11:$B$310),INDEX(条幅4分の1!$K$11:$K$310,431-COUNTA(半紙!$B$11:$B$310)-COUNTA(条幅!$B$11:$B$310)),""))))</f>
        <v/>
      </c>
      <c r="L436" s="48" t="str">
        <f>IF($B436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431))</f>
        <v/>
      </c>
    </row>
    <row r="437" spans="1:12" ht="15" customHeight="1">
      <c r="A437" s="37" t="str">
        <f>IF(432&lt;=COUNTA(半紙!$B$11:$B$310),"半紙",IF(432&lt;=COUNTA(半紙!$B$11:$B$310)+COUNTA(条幅!$B$11:$B$310),"条幅(半切)",IF(432&lt;=COUNTA(半紙!$B$11:$B$310)+COUNTA(条幅!$B$11:$B$310)+COUNTA(条幅4分の1!$B$11:$B$310),"条幅(1/4)","")))</f>
        <v/>
      </c>
      <c r="B437" s="38" t="str">
        <f>IF(IF(432&lt;=COUNTA(半紙!$B$11:$B$310),INDEX(半紙!$B$11:$B$310,432),IF(432&lt;=COUNTA(半紙!$B$11:$B$310)+COUNTA(条幅!$B$11:$B$310),INDEX(条幅!$B$11:$B$310,432-COUNTA(半紙!$B$11:$B$310)),IF(432&lt;=COUNTA(半紙!$B$11:$B$310)+COUNTA(条幅!$B$11:$B$310)+COUNTA(条幅4分の1!$B$11:$B$310),INDEX(条幅4分の1!$B$11:$B$310,432-COUNTA(半紙!$B$11:$B$310)-COUNTA(条幅!$B$11:$B$310)),"")))=0,"",IF(432&lt;=COUNTA(半紙!$B$11:$B$310),INDEX(半紙!$B$11:$B$310,432),IF(432&lt;=COUNTA(半紙!$B$11:$B$310)+COUNTA(条幅!$B$11:$B$310),INDEX(条幅!$B$11:$B$310,432-COUNTA(半紙!$B$11:$B$310)),IF(432&lt;=COUNTA(半紙!$B$11:$B$310)+COUNTA(条幅!$B$11:$B$310)+COUNTA(条幅4分の1!$B$11:$B$310),INDEX(条幅4分の1!$B$11:$B$310,432-COUNTA(半紙!$B$11:$B$310)-COUNTA(条幅!$B$11:$B$310)),""))))</f>
        <v/>
      </c>
      <c r="C437" s="38" t="str">
        <f>IF(IF(432&lt;=COUNTA(半紙!$B$11:$B$310),INDEX(半紙!$C$11:$C$310,432),IF(432&lt;=COUNTA(半紙!$B$11:$B$310)+COUNTA(条幅!$B$11:$B$310),INDEX(条幅!$C$11:$C$310,432-COUNTA(半紙!$B$11:$B$310)),IF(432&lt;=COUNTA(半紙!$B$11:$B$310)+COUNTA(条幅!$B$11:$B$310)+COUNTA(条幅4分の1!$B$11:$B$310),INDEX(条幅4分の1!$C$11:$C$310,432-COUNTA(半紙!$B$11:$B$310)-COUNTA(条幅!$B$11:$B$310)),"")))=0,"",IF(432&lt;=COUNTA(半紙!$B$11:$B$310),INDEX(半紙!$C$11:$C$310,432),IF(432&lt;=COUNTA(半紙!$B$11:$B$310)+COUNTA(条幅!$B$11:$B$310),INDEX(条幅!$C$11:$C$310,432-COUNTA(半紙!$B$11:$B$310)),IF(432&lt;=COUNTA(半紙!$B$11:$B$310)+COUNTA(条幅!$B$11:$B$310)+COUNTA(条幅4分の1!$B$11:$B$310),INDEX(条幅4分の1!$C$11:$C$310,432-COUNTA(半紙!$B$11:$B$310)-COUNTA(条幅!$B$11:$B$310)),""))))</f>
        <v/>
      </c>
      <c r="D437" s="38" t="str">
        <f>IF(IF(432&lt;=COUNTA(半紙!$B$11:$B$310),INDEX(半紙!$D$11:$D$310,432),IF(432&lt;=COUNTA(半紙!$B$11:$B$310)+COUNTA(条幅!$B$11:$B$310),INDEX(条幅!$D$11:$D$310,432-COUNTA(半紙!$B$11:$B$310)),IF(432&lt;=COUNTA(半紙!$B$11:$B$310)+COUNTA(条幅!$B$11:$B$310)+COUNTA(条幅4分の1!$B$11:$B$310),INDEX(条幅4分の1!$D$11:$D$310,432-COUNTA(半紙!$B$11:$B$310)-COUNTA(条幅!$B$11:$B$310)),"")))=0,"",IF(432&lt;=COUNTA(半紙!$B$11:$B$310),INDEX(半紙!$D$11:$D$310,432),IF(432&lt;=COUNTA(半紙!$B$11:$B$310)+COUNTA(条幅!$B$11:$B$310),INDEX(条幅!$D$11:$D$310,432-COUNTA(半紙!$B$11:$B$310)),IF(432&lt;=COUNTA(半紙!$B$11:$B$310)+COUNTA(条幅!$B$11:$B$310)+COUNTA(条幅4分の1!$B$11:$B$310),INDEX(条幅4分の1!$D$11:$D$310,432-COUNTA(半紙!$B$11:$B$310)-COUNTA(条幅!$B$11:$B$310)),""))))</f>
        <v/>
      </c>
      <c r="E437" s="38" t="str">
        <f>IF(IF(432&lt;=COUNTA(半紙!$B$11:$B$310),INDEX(半紙!$E$11:$E$310,432),IF(432&lt;=COUNTA(半紙!$B$11:$B$310)+COUNTA(条幅!$B$11:$B$310),INDEX(条幅!$E$11:$E$310,432-COUNTA(半紙!$B$11:$B$310)),IF(432&lt;=COUNTA(半紙!$B$11:$B$310)+COUNTA(条幅!$B$11:$B$310)+COUNTA(条幅4分の1!$B$11:$B$310),INDEX(条幅4分の1!$E$11:$E$310,432-COUNTA(半紙!$B$11:$B$310)-COUNTA(条幅!$B$11:$B$310)),"")))=0,"",IF(432&lt;=COUNTA(半紙!$B$11:$B$310),INDEX(半紙!$E$11:$E$310,432),IF(432&lt;=COUNTA(半紙!$B$11:$B$310)+COUNTA(条幅!$B$11:$B$310),INDEX(条幅!$E$11:$E$310,432-COUNTA(半紙!$B$11:$B$310)),IF(432&lt;=COUNTA(半紙!$B$11:$B$310)+COUNTA(条幅!$B$11:$B$310)+COUNTA(条幅4分の1!$B$11:$B$310),INDEX(条幅4分の1!$E$11:$E$310,432-COUNTA(半紙!$B$11:$B$310)-COUNTA(条幅!$B$11:$B$310)),""))))</f>
        <v/>
      </c>
      <c r="F437" s="38" t="str">
        <f>IF(IF(432&lt;=COUNTA(半紙!$B$11:$B$310),INDEX(半紙!$F$11:$F$310,432),IF(432&lt;=COUNTA(半紙!$B$11:$B$310)+COUNTA(条幅!$B$11:$B$310),INDEX(条幅!$F$11:$F$310,432-COUNTA(半紙!$B$11:$B$310)),IF(432&lt;=COUNTA(半紙!$B$11:$B$310)+COUNTA(条幅!$B$11:$B$310)+COUNTA(条幅4分の1!$B$11:$B$310),INDEX(条幅4分の1!$F$11:$F$310,432-COUNTA(半紙!$B$11:$B$310)-COUNTA(条幅!$B$11:$B$310)),"")))=0,"",IF(432&lt;=COUNTA(半紙!$B$11:$B$310),INDEX(半紙!$F$11:$F$310,432),IF(432&lt;=COUNTA(半紙!$B$11:$B$310)+COUNTA(条幅!$B$11:$B$310),INDEX(条幅!$F$11:$F$310,432-COUNTA(半紙!$B$11:$B$310)),IF(432&lt;=COUNTA(半紙!$B$11:$B$310)+COUNTA(条幅!$B$11:$B$310)+COUNTA(条幅4分の1!$B$11:$B$310),INDEX(条幅4分の1!$F$11:$F$310,432-COUNTA(半紙!$B$11:$B$310)-COUNTA(条幅!$B$11:$B$310)),""))))</f>
        <v/>
      </c>
      <c r="G437" s="38" t="str">
        <f>IF(IF(432&lt;=COUNTA(半紙!$B$11:$B$310),INDEX(半紙!$G$11:$G$310,432),IF(432&lt;=COUNTA(半紙!$B$11:$B$310)+COUNTA(条幅!$B$11:$B$310),INDEX(条幅!$G$11:$G$310,432-COUNTA(半紙!$B$11:$B$310)),IF(432&lt;=COUNTA(半紙!$B$11:$B$310)+COUNTA(条幅!$B$11:$B$310)+COUNTA(条幅4分の1!$B$11:$B$310),INDEX(条幅4分の1!$G$11:$G$310,432-COUNTA(半紙!$B$11:$B$310)-COUNTA(条幅!$B$11:$B$310)),"")))=0,"",IF(432&lt;=COUNTA(半紙!$B$11:$B$310),INDEX(半紙!$G$11:$G$310,432),IF(432&lt;=COUNTA(半紙!$B$11:$B$310)+COUNTA(条幅!$B$11:$B$310),INDEX(条幅!$G$11:$G$310,432-COUNTA(半紙!$B$11:$B$310)),IF(432&lt;=COUNTA(半紙!$B$11:$B$310)+COUNTA(条幅!$B$11:$B$310)+COUNTA(条幅4分の1!$B$11:$B$310),INDEX(条幅4分の1!$G$11:$G$310,432-COUNTA(半紙!$B$11:$B$310)-COUNTA(条幅!$B$11:$B$310)),""))))</f>
        <v/>
      </c>
      <c r="H437" s="38" t="str">
        <f>IF(IF(432&lt;=COUNTA(半紙!$B$11:$B$310),INDEX(半紙!$H$11:$H$310,432),IF(432&lt;=COUNTA(半紙!$B$11:$B$310)+COUNTA(条幅!$B$11:$B$310),INDEX(条幅!$H$11:$H$310,432-COUNTA(半紙!$B$11:$B$310)),IF(432&lt;=COUNTA(半紙!$B$11:$B$310)+COUNTA(条幅!$B$11:$B$310)+COUNTA(条幅4分の1!$B$11:$B$310),INDEX(条幅4分の1!$H$11:$H$310,432-COUNTA(半紙!$B$11:$B$310)-COUNTA(条幅!$B$11:$B$310)),"")))=0,"",IF(432&lt;=COUNTA(半紙!$B$11:$B$310),INDEX(半紙!$H$11:$H$310,432),IF(432&lt;=COUNTA(半紙!$B$11:$B$310)+COUNTA(条幅!$B$11:$B$310),INDEX(条幅!$H$11:$H$310,432-COUNTA(半紙!$B$11:$B$310)),IF(432&lt;=COUNTA(半紙!$B$11:$B$310)+COUNTA(条幅!$B$11:$B$310)+COUNTA(条幅4分の1!$B$11:$B$310),INDEX(条幅4分の1!$H$11:$H$310,432-COUNTA(半紙!$B$11:$B$310)-COUNTA(条幅!$B$11:$B$310)),""))))</f>
        <v/>
      </c>
      <c r="I437" s="38" t="str">
        <f>IF(IF(432&lt;=COUNTA(半紙!$B$11:$B$310),INDEX(半紙!$I$11:$I$310,432),IF(432&lt;=COUNTA(半紙!$B$11:$B$310)+COUNTA(条幅!$B$11:$B$310),INDEX(条幅!$I$11:$I$310,432-COUNTA(半紙!$B$11:$B$310)),IF(432&lt;=COUNTA(半紙!$B$11:$B$310)+COUNTA(条幅!$B$11:$B$310)+COUNTA(条幅4分の1!$B$11:$B$310),INDEX(条幅4分の1!$I$11:$I$310,432-COUNTA(半紙!$B$11:$B$310)-COUNTA(条幅!$B$11:$B$310)),"")))=0,"",IF(432&lt;=COUNTA(半紙!$B$11:$B$310),INDEX(半紙!$I$11:$I$310,432),IF(432&lt;=COUNTA(半紙!$B$11:$B$310)+COUNTA(条幅!$B$11:$B$310),INDEX(条幅!$I$11:$I$310,432-COUNTA(半紙!$B$11:$B$310)),IF(432&lt;=COUNTA(半紙!$B$11:$B$310)+COUNTA(条幅!$B$11:$B$310)+COUNTA(条幅4分の1!$B$11:$B$310),INDEX(条幅4分の1!$I$11:$I$310,432-COUNTA(半紙!$B$11:$B$310)-COUNTA(条幅!$B$11:$B$310)),""))))</f>
        <v/>
      </c>
      <c r="J437" s="38" t="str">
        <f>IF(IF(432&lt;=COUNTA(半紙!$B$11:$B$310),INDEX(半紙!$J$11:$J$310,432),IF(432&lt;=COUNTA(半紙!$B$11:$B$310)+COUNTA(条幅!$B$11:$B$310),INDEX(条幅!$J$11:$J$310,432-COUNTA(半紙!$B$11:$B$310)),IF(432&lt;=COUNTA(半紙!$B$11:$B$310)+COUNTA(条幅!$B$11:$B$310)+COUNTA(条幅4分の1!$B$11:$B$310),INDEX(条幅4分の1!$J$11:$J$310,432-COUNTA(半紙!$B$11:$B$310)-COUNTA(条幅!$B$11:$B$310)),"")))=0,"",IF(432&lt;=COUNTA(半紙!$B$11:$B$310),INDEX(半紙!$J$11:$J$310,432),IF(432&lt;=COUNTA(半紙!$B$11:$B$310)+COUNTA(条幅!$B$11:$B$310),INDEX(条幅!$J$11:$J$310,432-COUNTA(半紙!$B$11:$B$310)),IF(432&lt;=COUNTA(半紙!$B$11:$B$310)+COUNTA(条幅!$B$11:$B$310)+COUNTA(条幅4分の1!$B$11:$B$310),INDEX(条幅4分の1!$J$11:$J$310,432-COUNTA(半紙!$B$11:$B$310)-COUNTA(条幅!$B$11:$B$310)),""))))</f>
        <v/>
      </c>
      <c r="K437" s="38" t="str">
        <f>IF(IF(432&lt;=COUNTA(半紙!$B$11:$B$310),INDEX(半紙!$K$11:$K$310,432),IF(432&lt;=COUNTA(半紙!$B$11:$B$310)+COUNTA(条幅!$B$11:$B$310),INDEX(条幅!$K$11:$K$310,432-COUNTA(半紙!$B$11:$B$310)),IF(432&lt;=COUNTA(半紙!$B$11:$B$310)+COUNTA(条幅!$B$11:$B$310)+COUNTA(条幅4分の1!$B$11:$B$310),INDEX(条幅4分の1!$K$11:$K$310,432-COUNTA(半紙!$B$11:$B$310)-COUNTA(条幅!$B$11:$B$310)),"")))=0,"",IF(432&lt;=COUNTA(半紙!$B$11:$B$310),INDEX(半紙!$K$11:$K$310,432),IF(432&lt;=COUNTA(半紙!$B$11:$B$310)+COUNTA(条幅!$B$11:$B$310),INDEX(条幅!$K$11:$K$310,432-COUNTA(半紙!$B$11:$B$310)),IF(432&lt;=COUNTA(半紙!$B$11:$B$310)+COUNTA(条幅!$B$11:$B$310)+COUNTA(条幅4分の1!$B$11:$B$310),INDEX(条幅4分の1!$K$11:$K$310,432-COUNTA(半紙!$B$11:$B$310)-COUNTA(条幅!$B$11:$B$310)),""))))</f>
        <v/>
      </c>
      <c r="L437" s="48" t="str">
        <f>IF($B437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432))</f>
        <v/>
      </c>
    </row>
    <row r="438" spans="1:12" ht="15" customHeight="1">
      <c r="A438" s="37" t="str">
        <f>IF(433&lt;=COUNTA(半紙!$B$11:$B$310),"半紙",IF(433&lt;=COUNTA(半紙!$B$11:$B$310)+COUNTA(条幅!$B$11:$B$310),"条幅(半切)",IF(433&lt;=COUNTA(半紙!$B$11:$B$310)+COUNTA(条幅!$B$11:$B$310)+COUNTA(条幅4分の1!$B$11:$B$310),"条幅(1/4)","")))</f>
        <v/>
      </c>
      <c r="B438" s="38" t="str">
        <f>IF(IF(433&lt;=COUNTA(半紙!$B$11:$B$310),INDEX(半紙!$B$11:$B$310,433),IF(433&lt;=COUNTA(半紙!$B$11:$B$310)+COUNTA(条幅!$B$11:$B$310),INDEX(条幅!$B$11:$B$310,433-COUNTA(半紙!$B$11:$B$310)),IF(433&lt;=COUNTA(半紙!$B$11:$B$310)+COUNTA(条幅!$B$11:$B$310)+COUNTA(条幅4分の1!$B$11:$B$310),INDEX(条幅4分の1!$B$11:$B$310,433-COUNTA(半紙!$B$11:$B$310)-COUNTA(条幅!$B$11:$B$310)),"")))=0,"",IF(433&lt;=COUNTA(半紙!$B$11:$B$310),INDEX(半紙!$B$11:$B$310,433),IF(433&lt;=COUNTA(半紙!$B$11:$B$310)+COUNTA(条幅!$B$11:$B$310),INDEX(条幅!$B$11:$B$310,433-COUNTA(半紙!$B$11:$B$310)),IF(433&lt;=COUNTA(半紙!$B$11:$B$310)+COUNTA(条幅!$B$11:$B$310)+COUNTA(条幅4分の1!$B$11:$B$310),INDEX(条幅4分の1!$B$11:$B$310,433-COUNTA(半紙!$B$11:$B$310)-COUNTA(条幅!$B$11:$B$310)),""))))</f>
        <v/>
      </c>
      <c r="C438" s="38" t="str">
        <f>IF(IF(433&lt;=COUNTA(半紙!$B$11:$B$310),INDEX(半紙!$C$11:$C$310,433),IF(433&lt;=COUNTA(半紙!$B$11:$B$310)+COUNTA(条幅!$B$11:$B$310),INDEX(条幅!$C$11:$C$310,433-COUNTA(半紙!$B$11:$B$310)),IF(433&lt;=COUNTA(半紙!$B$11:$B$310)+COUNTA(条幅!$B$11:$B$310)+COUNTA(条幅4分の1!$B$11:$B$310),INDEX(条幅4分の1!$C$11:$C$310,433-COUNTA(半紙!$B$11:$B$310)-COUNTA(条幅!$B$11:$B$310)),"")))=0,"",IF(433&lt;=COUNTA(半紙!$B$11:$B$310),INDEX(半紙!$C$11:$C$310,433),IF(433&lt;=COUNTA(半紙!$B$11:$B$310)+COUNTA(条幅!$B$11:$B$310),INDEX(条幅!$C$11:$C$310,433-COUNTA(半紙!$B$11:$B$310)),IF(433&lt;=COUNTA(半紙!$B$11:$B$310)+COUNTA(条幅!$B$11:$B$310)+COUNTA(条幅4分の1!$B$11:$B$310),INDEX(条幅4分の1!$C$11:$C$310,433-COUNTA(半紙!$B$11:$B$310)-COUNTA(条幅!$B$11:$B$310)),""))))</f>
        <v/>
      </c>
      <c r="D438" s="38" t="str">
        <f>IF(IF(433&lt;=COUNTA(半紙!$B$11:$B$310),INDEX(半紙!$D$11:$D$310,433),IF(433&lt;=COUNTA(半紙!$B$11:$B$310)+COUNTA(条幅!$B$11:$B$310),INDEX(条幅!$D$11:$D$310,433-COUNTA(半紙!$B$11:$B$310)),IF(433&lt;=COUNTA(半紙!$B$11:$B$310)+COUNTA(条幅!$B$11:$B$310)+COUNTA(条幅4分の1!$B$11:$B$310),INDEX(条幅4分の1!$D$11:$D$310,433-COUNTA(半紙!$B$11:$B$310)-COUNTA(条幅!$B$11:$B$310)),"")))=0,"",IF(433&lt;=COUNTA(半紙!$B$11:$B$310),INDEX(半紙!$D$11:$D$310,433),IF(433&lt;=COUNTA(半紙!$B$11:$B$310)+COUNTA(条幅!$B$11:$B$310),INDEX(条幅!$D$11:$D$310,433-COUNTA(半紙!$B$11:$B$310)),IF(433&lt;=COUNTA(半紙!$B$11:$B$310)+COUNTA(条幅!$B$11:$B$310)+COUNTA(条幅4分の1!$B$11:$B$310),INDEX(条幅4分の1!$D$11:$D$310,433-COUNTA(半紙!$B$11:$B$310)-COUNTA(条幅!$B$11:$B$310)),""))))</f>
        <v/>
      </c>
      <c r="E438" s="38" t="str">
        <f>IF(IF(433&lt;=COUNTA(半紙!$B$11:$B$310),INDEX(半紙!$E$11:$E$310,433),IF(433&lt;=COUNTA(半紙!$B$11:$B$310)+COUNTA(条幅!$B$11:$B$310),INDEX(条幅!$E$11:$E$310,433-COUNTA(半紙!$B$11:$B$310)),IF(433&lt;=COUNTA(半紙!$B$11:$B$310)+COUNTA(条幅!$B$11:$B$310)+COUNTA(条幅4分の1!$B$11:$B$310),INDEX(条幅4分の1!$E$11:$E$310,433-COUNTA(半紙!$B$11:$B$310)-COUNTA(条幅!$B$11:$B$310)),"")))=0,"",IF(433&lt;=COUNTA(半紙!$B$11:$B$310),INDEX(半紙!$E$11:$E$310,433),IF(433&lt;=COUNTA(半紙!$B$11:$B$310)+COUNTA(条幅!$B$11:$B$310),INDEX(条幅!$E$11:$E$310,433-COUNTA(半紙!$B$11:$B$310)),IF(433&lt;=COUNTA(半紙!$B$11:$B$310)+COUNTA(条幅!$B$11:$B$310)+COUNTA(条幅4分の1!$B$11:$B$310),INDEX(条幅4分の1!$E$11:$E$310,433-COUNTA(半紙!$B$11:$B$310)-COUNTA(条幅!$B$11:$B$310)),""))))</f>
        <v/>
      </c>
      <c r="F438" s="38" t="str">
        <f>IF(IF(433&lt;=COUNTA(半紙!$B$11:$B$310),INDEX(半紙!$F$11:$F$310,433),IF(433&lt;=COUNTA(半紙!$B$11:$B$310)+COUNTA(条幅!$B$11:$B$310),INDEX(条幅!$F$11:$F$310,433-COUNTA(半紙!$B$11:$B$310)),IF(433&lt;=COUNTA(半紙!$B$11:$B$310)+COUNTA(条幅!$B$11:$B$310)+COUNTA(条幅4分の1!$B$11:$B$310),INDEX(条幅4分の1!$F$11:$F$310,433-COUNTA(半紙!$B$11:$B$310)-COUNTA(条幅!$B$11:$B$310)),"")))=0,"",IF(433&lt;=COUNTA(半紙!$B$11:$B$310),INDEX(半紙!$F$11:$F$310,433),IF(433&lt;=COUNTA(半紙!$B$11:$B$310)+COUNTA(条幅!$B$11:$B$310),INDEX(条幅!$F$11:$F$310,433-COUNTA(半紙!$B$11:$B$310)),IF(433&lt;=COUNTA(半紙!$B$11:$B$310)+COUNTA(条幅!$B$11:$B$310)+COUNTA(条幅4分の1!$B$11:$B$310),INDEX(条幅4分の1!$F$11:$F$310,433-COUNTA(半紙!$B$11:$B$310)-COUNTA(条幅!$B$11:$B$310)),""))))</f>
        <v/>
      </c>
      <c r="G438" s="38" t="str">
        <f>IF(IF(433&lt;=COUNTA(半紙!$B$11:$B$310),INDEX(半紙!$G$11:$G$310,433),IF(433&lt;=COUNTA(半紙!$B$11:$B$310)+COUNTA(条幅!$B$11:$B$310),INDEX(条幅!$G$11:$G$310,433-COUNTA(半紙!$B$11:$B$310)),IF(433&lt;=COUNTA(半紙!$B$11:$B$310)+COUNTA(条幅!$B$11:$B$310)+COUNTA(条幅4分の1!$B$11:$B$310),INDEX(条幅4分の1!$G$11:$G$310,433-COUNTA(半紙!$B$11:$B$310)-COUNTA(条幅!$B$11:$B$310)),"")))=0,"",IF(433&lt;=COUNTA(半紙!$B$11:$B$310),INDEX(半紙!$G$11:$G$310,433),IF(433&lt;=COUNTA(半紙!$B$11:$B$310)+COUNTA(条幅!$B$11:$B$310),INDEX(条幅!$G$11:$G$310,433-COUNTA(半紙!$B$11:$B$310)),IF(433&lt;=COUNTA(半紙!$B$11:$B$310)+COUNTA(条幅!$B$11:$B$310)+COUNTA(条幅4分の1!$B$11:$B$310),INDEX(条幅4分の1!$G$11:$G$310,433-COUNTA(半紙!$B$11:$B$310)-COUNTA(条幅!$B$11:$B$310)),""))))</f>
        <v/>
      </c>
      <c r="H438" s="38" t="str">
        <f>IF(IF(433&lt;=COUNTA(半紙!$B$11:$B$310),INDEX(半紙!$H$11:$H$310,433),IF(433&lt;=COUNTA(半紙!$B$11:$B$310)+COUNTA(条幅!$B$11:$B$310),INDEX(条幅!$H$11:$H$310,433-COUNTA(半紙!$B$11:$B$310)),IF(433&lt;=COUNTA(半紙!$B$11:$B$310)+COUNTA(条幅!$B$11:$B$310)+COUNTA(条幅4分の1!$B$11:$B$310),INDEX(条幅4分の1!$H$11:$H$310,433-COUNTA(半紙!$B$11:$B$310)-COUNTA(条幅!$B$11:$B$310)),"")))=0,"",IF(433&lt;=COUNTA(半紙!$B$11:$B$310),INDEX(半紙!$H$11:$H$310,433),IF(433&lt;=COUNTA(半紙!$B$11:$B$310)+COUNTA(条幅!$B$11:$B$310),INDEX(条幅!$H$11:$H$310,433-COUNTA(半紙!$B$11:$B$310)),IF(433&lt;=COUNTA(半紙!$B$11:$B$310)+COUNTA(条幅!$B$11:$B$310)+COUNTA(条幅4分の1!$B$11:$B$310),INDEX(条幅4分の1!$H$11:$H$310,433-COUNTA(半紙!$B$11:$B$310)-COUNTA(条幅!$B$11:$B$310)),""))))</f>
        <v/>
      </c>
      <c r="I438" s="38" t="str">
        <f>IF(IF(433&lt;=COUNTA(半紙!$B$11:$B$310),INDEX(半紙!$I$11:$I$310,433),IF(433&lt;=COUNTA(半紙!$B$11:$B$310)+COUNTA(条幅!$B$11:$B$310),INDEX(条幅!$I$11:$I$310,433-COUNTA(半紙!$B$11:$B$310)),IF(433&lt;=COUNTA(半紙!$B$11:$B$310)+COUNTA(条幅!$B$11:$B$310)+COUNTA(条幅4分の1!$B$11:$B$310),INDEX(条幅4分の1!$I$11:$I$310,433-COUNTA(半紙!$B$11:$B$310)-COUNTA(条幅!$B$11:$B$310)),"")))=0,"",IF(433&lt;=COUNTA(半紙!$B$11:$B$310),INDEX(半紙!$I$11:$I$310,433),IF(433&lt;=COUNTA(半紙!$B$11:$B$310)+COUNTA(条幅!$B$11:$B$310),INDEX(条幅!$I$11:$I$310,433-COUNTA(半紙!$B$11:$B$310)),IF(433&lt;=COUNTA(半紙!$B$11:$B$310)+COUNTA(条幅!$B$11:$B$310)+COUNTA(条幅4分の1!$B$11:$B$310),INDEX(条幅4分の1!$I$11:$I$310,433-COUNTA(半紙!$B$11:$B$310)-COUNTA(条幅!$B$11:$B$310)),""))))</f>
        <v/>
      </c>
      <c r="J438" s="38" t="str">
        <f>IF(IF(433&lt;=COUNTA(半紙!$B$11:$B$310),INDEX(半紙!$J$11:$J$310,433),IF(433&lt;=COUNTA(半紙!$B$11:$B$310)+COUNTA(条幅!$B$11:$B$310),INDEX(条幅!$J$11:$J$310,433-COUNTA(半紙!$B$11:$B$310)),IF(433&lt;=COUNTA(半紙!$B$11:$B$310)+COUNTA(条幅!$B$11:$B$310)+COUNTA(条幅4分の1!$B$11:$B$310),INDEX(条幅4分の1!$J$11:$J$310,433-COUNTA(半紙!$B$11:$B$310)-COUNTA(条幅!$B$11:$B$310)),"")))=0,"",IF(433&lt;=COUNTA(半紙!$B$11:$B$310),INDEX(半紙!$J$11:$J$310,433),IF(433&lt;=COUNTA(半紙!$B$11:$B$310)+COUNTA(条幅!$B$11:$B$310),INDEX(条幅!$J$11:$J$310,433-COUNTA(半紙!$B$11:$B$310)),IF(433&lt;=COUNTA(半紙!$B$11:$B$310)+COUNTA(条幅!$B$11:$B$310)+COUNTA(条幅4分の1!$B$11:$B$310),INDEX(条幅4分の1!$J$11:$J$310,433-COUNTA(半紙!$B$11:$B$310)-COUNTA(条幅!$B$11:$B$310)),""))))</f>
        <v/>
      </c>
      <c r="K438" s="38" t="str">
        <f>IF(IF(433&lt;=COUNTA(半紙!$B$11:$B$310),INDEX(半紙!$K$11:$K$310,433),IF(433&lt;=COUNTA(半紙!$B$11:$B$310)+COUNTA(条幅!$B$11:$B$310),INDEX(条幅!$K$11:$K$310,433-COUNTA(半紙!$B$11:$B$310)),IF(433&lt;=COUNTA(半紙!$B$11:$B$310)+COUNTA(条幅!$B$11:$B$310)+COUNTA(条幅4分の1!$B$11:$B$310),INDEX(条幅4分の1!$K$11:$K$310,433-COUNTA(半紙!$B$11:$B$310)-COUNTA(条幅!$B$11:$B$310)),"")))=0,"",IF(433&lt;=COUNTA(半紙!$B$11:$B$310),INDEX(半紙!$K$11:$K$310,433),IF(433&lt;=COUNTA(半紙!$B$11:$B$310)+COUNTA(条幅!$B$11:$B$310),INDEX(条幅!$K$11:$K$310,433-COUNTA(半紙!$B$11:$B$310)),IF(433&lt;=COUNTA(半紙!$B$11:$B$310)+COUNTA(条幅!$B$11:$B$310)+COUNTA(条幅4分の1!$B$11:$B$310),INDEX(条幅4分の1!$K$11:$K$310,433-COUNTA(半紙!$B$11:$B$310)-COUNTA(条幅!$B$11:$B$310)),""))))</f>
        <v/>
      </c>
      <c r="L438" s="48" t="str">
        <f>IF($B438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433))</f>
        <v/>
      </c>
    </row>
    <row r="439" spans="1:12" ht="15" customHeight="1">
      <c r="A439" s="37" t="str">
        <f>IF(434&lt;=COUNTA(半紙!$B$11:$B$310),"半紙",IF(434&lt;=COUNTA(半紙!$B$11:$B$310)+COUNTA(条幅!$B$11:$B$310),"条幅(半切)",IF(434&lt;=COUNTA(半紙!$B$11:$B$310)+COUNTA(条幅!$B$11:$B$310)+COUNTA(条幅4分の1!$B$11:$B$310),"条幅(1/4)","")))</f>
        <v/>
      </c>
      <c r="B439" s="38" t="str">
        <f>IF(IF(434&lt;=COUNTA(半紙!$B$11:$B$310),INDEX(半紙!$B$11:$B$310,434),IF(434&lt;=COUNTA(半紙!$B$11:$B$310)+COUNTA(条幅!$B$11:$B$310),INDEX(条幅!$B$11:$B$310,434-COUNTA(半紙!$B$11:$B$310)),IF(434&lt;=COUNTA(半紙!$B$11:$B$310)+COUNTA(条幅!$B$11:$B$310)+COUNTA(条幅4分の1!$B$11:$B$310),INDEX(条幅4分の1!$B$11:$B$310,434-COUNTA(半紙!$B$11:$B$310)-COUNTA(条幅!$B$11:$B$310)),"")))=0,"",IF(434&lt;=COUNTA(半紙!$B$11:$B$310),INDEX(半紙!$B$11:$B$310,434),IF(434&lt;=COUNTA(半紙!$B$11:$B$310)+COUNTA(条幅!$B$11:$B$310),INDEX(条幅!$B$11:$B$310,434-COUNTA(半紙!$B$11:$B$310)),IF(434&lt;=COUNTA(半紙!$B$11:$B$310)+COUNTA(条幅!$B$11:$B$310)+COUNTA(条幅4分の1!$B$11:$B$310),INDEX(条幅4分の1!$B$11:$B$310,434-COUNTA(半紙!$B$11:$B$310)-COUNTA(条幅!$B$11:$B$310)),""))))</f>
        <v/>
      </c>
      <c r="C439" s="38" t="str">
        <f>IF(IF(434&lt;=COUNTA(半紙!$B$11:$B$310),INDEX(半紙!$C$11:$C$310,434),IF(434&lt;=COUNTA(半紙!$B$11:$B$310)+COUNTA(条幅!$B$11:$B$310),INDEX(条幅!$C$11:$C$310,434-COUNTA(半紙!$B$11:$B$310)),IF(434&lt;=COUNTA(半紙!$B$11:$B$310)+COUNTA(条幅!$B$11:$B$310)+COUNTA(条幅4分の1!$B$11:$B$310),INDEX(条幅4分の1!$C$11:$C$310,434-COUNTA(半紙!$B$11:$B$310)-COUNTA(条幅!$B$11:$B$310)),"")))=0,"",IF(434&lt;=COUNTA(半紙!$B$11:$B$310),INDEX(半紙!$C$11:$C$310,434),IF(434&lt;=COUNTA(半紙!$B$11:$B$310)+COUNTA(条幅!$B$11:$B$310),INDEX(条幅!$C$11:$C$310,434-COUNTA(半紙!$B$11:$B$310)),IF(434&lt;=COUNTA(半紙!$B$11:$B$310)+COUNTA(条幅!$B$11:$B$310)+COUNTA(条幅4分の1!$B$11:$B$310),INDEX(条幅4分の1!$C$11:$C$310,434-COUNTA(半紙!$B$11:$B$310)-COUNTA(条幅!$B$11:$B$310)),""))))</f>
        <v/>
      </c>
      <c r="D439" s="38" t="str">
        <f>IF(IF(434&lt;=COUNTA(半紙!$B$11:$B$310),INDEX(半紙!$D$11:$D$310,434),IF(434&lt;=COUNTA(半紙!$B$11:$B$310)+COUNTA(条幅!$B$11:$B$310),INDEX(条幅!$D$11:$D$310,434-COUNTA(半紙!$B$11:$B$310)),IF(434&lt;=COUNTA(半紙!$B$11:$B$310)+COUNTA(条幅!$B$11:$B$310)+COUNTA(条幅4分の1!$B$11:$B$310),INDEX(条幅4分の1!$D$11:$D$310,434-COUNTA(半紙!$B$11:$B$310)-COUNTA(条幅!$B$11:$B$310)),"")))=0,"",IF(434&lt;=COUNTA(半紙!$B$11:$B$310),INDEX(半紙!$D$11:$D$310,434),IF(434&lt;=COUNTA(半紙!$B$11:$B$310)+COUNTA(条幅!$B$11:$B$310),INDEX(条幅!$D$11:$D$310,434-COUNTA(半紙!$B$11:$B$310)),IF(434&lt;=COUNTA(半紙!$B$11:$B$310)+COUNTA(条幅!$B$11:$B$310)+COUNTA(条幅4分の1!$B$11:$B$310),INDEX(条幅4分の1!$D$11:$D$310,434-COUNTA(半紙!$B$11:$B$310)-COUNTA(条幅!$B$11:$B$310)),""))))</f>
        <v/>
      </c>
      <c r="E439" s="38" t="str">
        <f>IF(IF(434&lt;=COUNTA(半紙!$B$11:$B$310),INDEX(半紙!$E$11:$E$310,434),IF(434&lt;=COUNTA(半紙!$B$11:$B$310)+COUNTA(条幅!$B$11:$B$310),INDEX(条幅!$E$11:$E$310,434-COUNTA(半紙!$B$11:$B$310)),IF(434&lt;=COUNTA(半紙!$B$11:$B$310)+COUNTA(条幅!$B$11:$B$310)+COUNTA(条幅4分の1!$B$11:$B$310),INDEX(条幅4分の1!$E$11:$E$310,434-COUNTA(半紙!$B$11:$B$310)-COUNTA(条幅!$B$11:$B$310)),"")))=0,"",IF(434&lt;=COUNTA(半紙!$B$11:$B$310),INDEX(半紙!$E$11:$E$310,434),IF(434&lt;=COUNTA(半紙!$B$11:$B$310)+COUNTA(条幅!$B$11:$B$310),INDEX(条幅!$E$11:$E$310,434-COUNTA(半紙!$B$11:$B$310)),IF(434&lt;=COUNTA(半紙!$B$11:$B$310)+COUNTA(条幅!$B$11:$B$310)+COUNTA(条幅4分の1!$B$11:$B$310),INDEX(条幅4分の1!$E$11:$E$310,434-COUNTA(半紙!$B$11:$B$310)-COUNTA(条幅!$B$11:$B$310)),""))))</f>
        <v/>
      </c>
      <c r="F439" s="38" t="str">
        <f>IF(IF(434&lt;=COUNTA(半紙!$B$11:$B$310),INDEX(半紙!$F$11:$F$310,434),IF(434&lt;=COUNTA(半紙!$B$11:$B$310)+COUNTA(条幅!$B$11:$B$310),INDEX(条幅!$F$11:$F$310,434-COUNTA(半紙!$B$11:$B$310)),IF(434&lt;=COUNTA(半紙!$B$11:$B$310)+COUNTA(条幅!$B$11:$B$310)+COUNTA(条幅4分の1!$B$11:$B$310),INDEX(条幅4分の1!$F$11:$F$310,434-COUNTA(半紙!$B$11:$B$310)-COUNTA(条幅!$B$11:$B$310)),"")))=0,"",IF(434&lt;=COUNTA(半紙!$B$11:$B$310),INDEX(半紙!$F$11:$F$310,434),IF(434&lt;=COUNTA(半紙!$B$11:$B$310)+COUNTA(条幅!$B$11:$B$310),INDEX(条幅!$F$11:$F$310,434-COUNTA(半紙!$B$11:$B$310)),IF(434&lt;=COUNTA(半紙!$B$11:$B$310)+COUNTA(条幅!$B$11:$B$310)+COUNTA(条幅4分の1!$B$11:$B$310),INDEX(条幅4分の1!$F$11:$F$310,434-COUNTA(半紙!$B$11:$B$310)-COUNTA(条幅!$B$11:$B$310)),""))))</f>
        <v/>
      </c>
      <c r="G439" s="38" t="str">
        <f>IF(IF(434&lt;=COUNTA(半紙!$B$11:$B$310),INDEX(半紙!$G$11:$G$310,434),IF(434&lt;=COUNTA(半紙!$B$11:$B$310)+COUNTA(条幅!$B$11:$B$310),INDEX(条幅!$G$11:$G$310,434-COUNTA(半紙!$B$11:$B$310)),IF(434&lt;=COUNTA(半紙!$B$11:$B$310)+COUNTA(条幅!$B$11:$B$310)+COUNTA(条幅4分の1!$B$11:$B$310),INDEX(条幅4分の1!$G$11:$G$310,434-COUNTA(半紙!$B$11:$B$310)-COUNTA(条幅!$B$11:$B$310)),"")))=0,"",IF(434&lt;=COUNTA(半紙!$B$11:$B$310),INDEX(半紙!$G$11:$G$310,434),IF(434&lt;=COUNTA(半紙!$B$11:$B$310)+COUNTA(条幅!$B$11:$B$310),INDEX(条幅!$G$11:$G$310,434-COUNTA(半紙!$B$11:$B$310)),IF(434&lt;=COUNTA(半紙!$B$11:$B$310)+COUNTA(条幅!$B$11:$B$310)+COUNTA(条幅4分の1!$B$11:$B$310),INDEX(条幅4分の1!$G$11:$G$310,434-COUNTA(半紙!$B$11:$B$310)-COUNTA(条幅!$B$11:$B$310)),""))))</f>
        <v/>
      </c>
      <c r="H439" s="38" t="str">
        <f>IF(IF(434&lt;=COUNTA(半紙!$B$11:$B$310),INDEX(半紙!$H$11:$H$310,434),IF(434&lt;=COUNTA(半紙!$B$11:$B$310)+COUNTA(条幅!$B$11:$B$310),INDEX(条幅!$H$11:$H$310,434-COUNTA(半紙!$B$11:$B$310)),IF(434&lt;=COUNTA(半紙!$B$11:$B$310)+COUNTA(条幅!$B$11:$B$310)+COUNTA(条幅4分の1!$B$11:$B$310),INDEX(条幅4分の1!$H$11:$H$310,434-COUNTA(半紙!$B$11:$B$310)-COUNTA(条幅!$B$11:$B$310)),"")))=0,"",IF(434&lt;=COUNTA(半紙!$B$11:$B$310),INDEX(半紙!$H$11:$H$310,434),IF(434&lt;=COUNTA(半紙!$B$11:$B$310)+COUNTA(条幅!$B$11:$B$310),INDEX(条幅!$H$11:$H$310,434-COUNTA(半紙!$B$11:$B$310)),IF(434&lt;=COUNTA(半紙!$B$11:$B$310)+COUNTA(条幅!$B$11:$B$310)+COUNTA(条幅4分の1!$B$11:$B$310),INDEX(条幅4分の1!$H$11:$H$310,434-COUNTA(半紙!$B$11:$B$310)-COUNTA(条幅!$B$11:$B$310)),""))))</f>
        <v/>
      </c>
      <c r="I439" s="38" t="str">
        <f>IF(IF(434&lt;=COUNTA(半紙!$B$11:$B$310),INDEX(半紙!$I$11:$I$310,434),IF(434&lt;=COUNTA(半紙!$B$11:$B$310)+COUNTA(条幅!$B$11:$B$310),INDEX(条幅!$I$11:$I$310,434-COUNTA(半紙!$B$11:$B$310)),IF(434&lt;=COUNTA(半紙!$B$11:$B$310)+COUNTA(条幅!$B$11:$B$310)+COUNTA(条幅4分の1!$B$11:$B$310),INDEX(条幅4分の1!$I$11:$I$310,434-COUNTA(半紙!$B$11:$B$310)-COUNTA(条幅!$B$11:$B$310)),"")))=0,"",IF(434&lt;=COUNTA(半紙!$B$11:$B$310),INDEX(半紙!$I$11:$I$310,434),IF(434&lt;=COUNTA(半紙!$B$11:$B$310)+COUNTA(条幅!$B$11:$B$310),INDEX(条幅!$I$11:$I$310,434-COUNTA(半紙!$B$11:$B$310)),IF(434&lt;=COUNTA(半紙!$B$11:$B$310)+COUNTA(条幅!$B$11:$B$310)+COUNTA(条幅4分の1!$B$11:$B$310),INDEX(条幅4分の1!$I$11:$I$310,434-COUNTA(半紙!$B$11:$B$310)-COUNTA(条幅!$B$11:$B$310)),""))))</f>
        <v/>
      </c>
      <c r="J439" s="38" t="str">
        <f>IF(IF(434&lt;=COUNTA(半紙!$B$11:$B$310),INDEX(半紙!$J$11:$J$310,434),IF(434&lt;=COUNTA(半紙!$B$11:$B$310)+COUNTA(条幅!$B$11:$B$310),INDEX(条幅!$J$11:$J$310,434-COUNTA(半紙!$B$11:$B$310)),IF(434&lt;=COUNTA(半紙!$B$11:$B$310)+COUNTA(条幅!$B$11:$B$310)+COUNTA(条幅4分の1!$B$11:$B$310),INDEX(条幅4分の1!$J$11:$J$310,434-COUNTA(半紙!$B$11:$B$310)-COUNTA(条幅!$B$11:$B$310)),"")))=0,"",IF(434&lt;=COUNTA(半紙!$B$11:$B$310),INDEX(半紙!$J$11:$J$310,434),IF(434&lt;=COUNTA(半紙!$B$11:$B$310)+COUNTA(条幅!$B$11:$B$310),INDEX(条幅!$J$11:$J$310,434-COUNTA(半紙!$B$11:$B$310)),IF(434&lt;=COUNTA(半紙!$B$11:$B$310)+COUNTA(条幅!$B$11:$B$310)+COUNTA(条幅4分の1!$B$11:$B$310),INDEX(条幅4分の1!$J$11:$J$310,434-COUNTA(半紙!$B$11:$B$310)-COUNTA(条幅!$B$11:$B$310)),""))))</f>
        <v/>
      </c>
      <c r="K439" s="38" t="str">
        <f>IF(IF(434&lt;=COUNTA(半紙!$B$11:$B$310),INDEX(半紙!$K$11:$K$310,434),IF(434&lt;=COUNTA(半紙!$B$11:$B$310)+COUNTA(条幅!$B$11:$B$310),INDEX(条幅!$K$11:$K$310,434-COUNTA(半紙!$B$11:$B$310)),IF(434&lt;=COUNTA(半紙!$B$11:$B$310)+COUNTA(条幅!$B$11:$B$310)+COUNTA(条幅4分の1!$B$11:$B$310),INDEX(条幅4分の1!$K$11:$K$310,434-COUNTA(半紙!$B$11:$B$310)-COUNTA(条幅!$B$11:$B$310)),"")))=0,"",IF(434&lt;=COUNTA(半紙!$B$11:$B$310),INDEX(半紙!$K$11:$K$310,434),IF(434&lt;=COUNTA(半紙!$B$11:$B$310)+COUNTA(条幅!$B$11:$B$310),INDEX(条幅!$K$11:$K$310,434-COUNTA(半紙!$B$11:$B$310)),IF(434&lt;=COUNTA(半紙!$B$11:$B$310)+COUNTA(条幅!$B$11:$B$310)+COUNTA(条幅4分の1!$B$11:$B$310),INDEX(条幅4分の1!$K$11:$K$310,434-COUNTA(半紙!$B$11:$B$310)-COUNTA(条幅!$B$11:$B$310)),""))))</f>
        <v/>
      </c>
      <c r="L439" s="48" t="str">
        <f>IF($B439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434))</f>
        <v/>
      </c>
    </row>
    <row r="440" spans="1:12" ht="15" customHeight="1">
      <c r="A440" s="37" t="str">
        <f>IF(435&lt;=COUNTA(半紙!$B$11:$B$310),"半紙",IF(435&lt;=COUNTA(半紙!$B$11:$B$310)+COUNTA(条幅!$B$11:$B$310),"条幅(半切)",IF(435&lt;=COUNTA(半紙!$B$11:$B$310)+COUNTA(条幅!$B$11:$B$310)+COUNTA(条幅4分の1!$B$11:$B$310),"条幅(1/4)","")))</f>
        <v/>
      </c>
      <c r="B440" s="38" t="str">
        <f>IF(IF(435&lt;=COUNTA(半紙!$B$11:$B$310),INDEX(半紙!$B$11:$B$310,435),IF(435&lt;=COUNTA(半紙!$B$11:$B$310)+COUNTA(条幅!$B$11:$B$310),INDEX(条幅!$B$11:$B$310,435-COUNTA(半紙!$B$11:$B$310)),IF(435&lt;=COUNTA(半紙!$B$11:$B$310)+COUNTA(条幅!$B$11:$B$310)+COUNTA(条幅4分の1!$B$11:$B$310),INDEX(条幅4分の1!$B$11:$B$310,435-COUNTA(半紙!$B$11:$B$310)-COUNTA(条幅!$B$11:$B$310)),"")))=0,"",IF(435&lt;=COUNTA(半紙!$B$11:$B$310),INDEX(半紙!$B$11:$B$310,435),IF(435&lt;=COUNTA(半紙!$B$11:$B$310)+COUNTA(条幅!$B$11:$B$310),INDEX(条幅!$B$11:$B$310,435-COUNTA(半紙!$B$11:$B$310)),IF(435&lt;=COUNTA(半紙!$B$11:$B$310)+COUNTA(条幅!$B$11:$B$310)+COUNTA(条幅4分の1!$B$11:$B$310),INDEX(条幅4分の1!$B$11:$B$310,435-COUNTA(半紙!$B$11:$B$310)-COUNTA(条幅!$B$11:$B$310)),""))))</f>
        <v/>
      </c>
      <c r="C440" s="38" t="str">
        <f>IF(IF(435&lt;=COUNTA(半紙!$B$11:$B$310),INDEX(半紙!$C$11:$C$310,435),IF(435&lt;=COUNTA(半紙!$B$11:$B$310)+COUNTA(条幅!$B$11:$B$310),INDEX(条幅!$C$11:$C$310,435-COUNTA(半紙!$B$11:$B$310)),IF(435&lt;=COUNTA(半紙!$B$11:$B$310)+COUNTA(条幅!$B$11:$B$310)+COUNTA(条幅4分の1!$B$11:$B$310),INDEX(条幅4分の1!$C$11:$C$310,435-COUNTA(半紙!$B$11:$B$310)-COUNTA(条幅!$B$11:$B$310)),"")))=0,"",IF(435&lt;=COUNTA(半紙!$B$11:$B$310),INDEX(半紙!$C$11:$C$310,435),IF(435&lt;=COUNTA(半紙!$B$11:$B$310)+COUNTA(条幅!$B$11:$B$310),INDEX(条幅!$C$11:$C$310,435-COUNTA(半紙!$B$11:$B$310)),IF(435&lt;=COUNTA(半紙!$B$11:$B$310)+COUNTA(条幅!$B$11:$B$310)+COUNTA(条幅4分の1!$B$11:$B$310),INDEX(条幅4分の1!$C$11:$C$310,435-COUNTA(半紙!$B$11:$B$310)-COUNTA(条幅!$B$11:$B$310)),""))))</f>
        <v/>
      </c>
      <c r="D440" s="38" t="str">
        <f>IF(IF(435&lt;=COUNTA(半紙!$B$11:$B$310),INDEX(半紙!$D$11:$D$310,435),IF(435&lt;=COUNTA(半紙!$B$11:$B$310)+COUNTA(条幅!$B$11:$B$310),INDEX(条幅!$D$11:$D$310,435-COUNTA(半紙!$B$11:$B$310)),IF(435&lt;=COUNTA(半紙!$B$11:$B$310)+COUNTA(条幅!$B$11:$B$310)+COUNTA(条幅4分の1!$B$11:$B$310),INDEX(条幅4分の1!$D$11:$D$310,435-COUNTA(半紙!$B$11:$B$310)-COUNTA(条幅!$B$11:$B$310)),"")))=0,"",IF(435&lt;=COUNTA(半紙!$B$11:$B$310),INDEX(半紙!$D$11:$D$310,435),IF(435&lt;=COUNTA(半紙!$B$11:$B$310)+COUNTA(条幅!$B$11:$B$310),INDEX(条幅!$D$11:$D$310,435-COUNTA(半紙!$B$11:$B$310)),IF(435&lt;=COUNTA(半紙!$B$11:$B$310)+COUNTA(条幅!$B$11:$B$310)+COUNTA(条幅4分の1!$B$11:$B$310),INDEX(条幅4分の1!$D$11:$D$310,435-COUNTA(半紙!$B$11:$B$310)-COUNTA(条幅!$B$11:$B$310)),""))))</f>
        <v/>
      </c>
      <c r="E440" s="38" t="str">
        <f>IF(IF(435&lt;=COUNTA(半紙!$B$11:$B$310),INDEX(半紙!$E$11:$E$310,435),IF(435&lt;=COUNTA(半紙!$B$11:$B$310)+COUNTA(条幅!$B$11:$B$310),INDEX(条幅!$E$11:$E$310,435-COUNTA(半紙!$B$11:$B$310)),IF(435&lt;=COUNTA(半紙!$B$11:$B$310)+COUNTA(条幅!$B$11:$B$310)+COUNTA(条幅4分の1!$B$11:$B$310),INDEX(条幅4分の1!$E$11:$E$310,435-COUNTA(半紙!$B$11:$B$310)-COUNTA(条幅!$B$11:$B$310)),"")))=0,"",IF(435&lt;=COUNTA(半紙!$B$11:$B$310),INDEX(半紙!$E$11:$E$310,435),IF(435&lt;=COUNTA(半紙!$B$11:$B$310)+COUNTA(条幅!$B$11:$B$310),INDEX(条幅!$E$11:$E$310,435-COUNTA(半紙!$B$11:$B$310)),IF(435&lt;=COUNTA(半紙!$B$11:$B$310)+COUNTA(条幅!$B$11:$B$310)+COUNTA(条幅4分の1!$B$11:$B$310),INDEX(条幅4分の1!$E$11:$E$310,435-COUNTA(半紙!$B$11:$B$310)-COUNTA(条幅!$B$11:$B$310)),""))))</f>
        <v/>
      </c>
      <c r="F440" s="38" t="str">
        <f>IF(IF(435&lt;=COUNTA(半紙!$B$11:$B$310),INDEX(半紙!$F$11:$F$310,435),IF(435&lt;=COUNTA(半紙!$B$11:$B$310)+COUNTA(条幅!$B$11:$B$310),INDEX(条幅!$F$11:$F$310,435-COUNTA(半紙!$B$11:$B$310)),IF(435&lt;=COUNTA(半紙!$B$11:$B$310)+COUNTA(条幅!$B$11:$B$310)+COUNTA(条幅4分の1!$B$11:$B$310),INDEX(条幅4分の1!$F$11:$F$310,435-COUNTA(半紙!$B$11:$B$310)-COUNTA(条幅!$B$11:$B$310)),"")))=0,"",IF(435&lt;=COUNTA(半紙!$B$11:$B$310),INDEX(半紙!$F$11:$F$310,435),IF(435&lt;=COUNTA(半紙!$B$11:$B$310)+COUNTA(条幅!$B$11:$B$310),INDEX(条幅!$F$11:$F$310,435-COUNTA(半紙!$B$11:$B$310)),IF(435&lt;=COUNTA(半紙!$B$11:$B$310)+COUNTA(条幅!$B$11:$B$310)+COUNTA(条幅4分の1!$B$11:$B$310),INDEX(条幅4分の1!$F$11:$F$310,435-COUNTA(半紙!$B$11:$B$310)-COUNTA(条幅!$B$11:$B$310)),""))))</f>
        <v/>
      </c>
      <c r="G440" s="38" t="str">
        <f>IF(IF(435&lt;=COUNTA(半紙!$B$11:$B$310),INDEX(半紙!$G$11:$G$310,435),IF(435&lt;=COUNTA(半紙!$B$11:$B$310)+COUNTA(条幅!$B$11:$B$310),INDEX(条幅!$G$11:$G$310,435-COUNTA(半紙!$B$11:$B$310)),IF(435&lt;=COUNTA(半紙!$B$11:$B$310)+COUNTA(条幅!$B$11:$B$310)+COUNTA(条幅4分の1!$B$11:$B$310),INDEX(条幅4分の1!$G$11:$G$310,435-COUNTA(半紙!$B$11:$B$310)-COUNTA(条幅!$B$11:$B$310)),"")))=0,"",IF(435&lt;=COUNTA(半紙!$B$11:$B$310),INDEX(半紙!$G$11:$G$310,435),IF(435&lt;=COUNTA(半紙!$B$11:$B$310)+COUNTA(条幅!$B$11:$B$310),INDEX(条幅!$G$11:$G$310,435-COUNTA(半紙!$B$11:$B$310)),IF(435&lt;=COUNTA(半紙!$B$11:$B$310)+COUNTA(条幅!$B$11:$B$310)+COUNTA(条幅4分の1!$B$11:$B$310),INDEX(条幅4分の1!$G$11:$G$310,435-COUNTA(半紙!$B$11:$B$310)-COUNTA(条幅!$B$11:$B$310)),""))))</f>
        <v/>
      </c>
      <c r="H440" s="38" t="str">
        <f>IF(IF(435&lt;=COUNTA(半紙!$B$11:$B$310),INDEX(半紙!$H$11:$H$310,435),IF(435&lt;=COUNTA(半紙!$B$11:$B$310)+COUNTA(条幅!$B$11:$B$310),INDEX(条幅!$H$11:$H$310,435-COUNTA(半紙!$B$11:$B$310)),IF(435&lt;=COUNTA(半紙!$B$11:$B$310)+COUNTA(条幅!$B$11:$B$310)+COUNTA(条幅4分の1!$B$11:$B$310),INDEX(条幅4分の1!$H$11:$H$310,435-COUNTA(半紙!$B$11:$B$310)-COUNTA(条幅!$B$11:$B$310)),"")))=0,"",IF(435&lt;=COUNTA(半紙!$B$11:$B$310),INDEX(半紙!$H$11:$H$310,435),IF(435&lt;=COUNTA(半紙!$B$11:$B$310)+COUNTA(条幅!$B$11:$B$310),INDEX(条幅!$H$11:$H$310,435-COUNTA(半紙!$B$11:$B$310)),IF(435&lt;=COUNTA(半紙!$B$11:$B$310)+COUNTA(条幅!$B$11:$B$310)+COUNTA(条幅4分の1!$B$11:$B$310),INDEX(条幅4分の1!$H$11:$H$310,435-COUNTA(半紙!$B$11:$B$310)-COUNTA(条幅!$B$11:$B$310)),""))))</f>
        <v/>
      </c>
      <c r="I440" s="38" t="str">
        <f>IF(IF(435&lt;=COUNTA(半紙!$B$11:$B$310),INDEX(半紙!$I$11:$I$310,435),IF(435&lt;=COUNTA(半紙!$B$11:$B$310)+COUNTA(条幅!$B$11:$B$310),INDEX(条幅!$I$11:$I$310,435-COUNTA(半紙!$B$11:$B$310)),IF(435&lt;=COUNTA(半紙!$B$11:$B$310)+COUNTA(条幅!$B$11:$B$310)+COUNTA(条幅4分の1!$B$11:$B$310),INDEX(条幅4分の1!$I$11:$I$310,435-COUNTA(半紙!$B$11:$B$310)-COUNTA(条幅!$B$11:$B$310)),"")))=0,"",IF(435&lt;=COUNTA(半紙!$B$11:$B$310),INDEX(半紙!$I$11:$I$310,435),IF(435&lt;=COUNTA(半紙!$B$11:$B$310)+COUNTA(条幅!$B$11:$B$310),INDEX(条幅!$I$11:$I$310,435-COUNTA(半紙!$B$11:$B$310)),IF(435&lt;=COUNTA(半紙!$B$11:$B$310)+COUNTA(条幅!$B$11:$B$310)+COUNTA(条幅4分の1!$B$11:$B$310),INDEX(条幅4分の1!$I$11:$I$310,435-COUNTA(半紙!$B$11:$B$310)-COUNTA(条幅!$B$11:$B$310)),""))))</f>
        <v/>
      </c>
      <c r="J440" s="38" t="str">
        <f>IF(IF(435&lt;=COUNTA(半紙!$B$11:$B$310),INDEX(半紙!$J$11:$J$310,435),IF(435&lt;=COUNTA(半紙!$B$11:$B$310)+COUNTA(条幅!$B$11:$B$310),INDEX(条幅!$J$11:$J$310,435-COUNTA(半紙!$B$11:$B$310)),IF(435&lt;=COUNTA(半紙!$B$11:$B$310)+COUNTA(条幅!$B$11:$B$310)+COUNTA(条幅4分の1!$B$11:$B$310),INDEX(条幅4分の1!$J$11:$J$310,435-COUNTA(半紙!$B$11:$B$310)-COUNTA(条幅!$B$11:$B$310)),"")))=0,"",IF(435&lt;=COUNTA(半紙!$B$11:$B$310),INDEX(半紙!$J$11:$J$310,435),IF(435&lt;=COUNTA(半紙!$B$11:$B$310)+COUNTA(条幅!$B$11:$B$310),INDEX(条幅!$J$11:$J$310,435-COUNTA(半紙!$B$11:$B$310)),IF(435&lt;=COUNTA(半紙!$B$11:$B$310)+COUNTA(条幅!$B$11:$B$310)+COUNTA(条幅4分の1!$B$11:$B$310),INDEX(条幅4分の1!$J$11:$J$310,435-COUNTA(半紙!$B$11:$B$310)-COUNTA(条幅!$B$11:$B$310)),""))))</f>
        <v/>
      </c>
      <c r="K440" s="38" t="str">
        <f>IF(IF(435&lt;=COUNTA(半紙!$B$11:$B$310),INDEX(半紙!$K$11:$K$310,435),IF(435&lt;=COUNTA(半紙!$B$11:$B$310)+COUNTA(条幅!$B$11:$B$310),INDEX(条幅!$K$11:$K$310,435-COUNTA(半紙!$B$11:$B$310)),IF(435&lt;=COUNTA(半紙!$B$11:$B$310)+COUNTA(条幅!$B$11:$B$310)+COUNTA(条幅4分の1!$B$11:$B$310),INDEX(条幅4分の1!$K$11:$K$310,435-COUNTA(半紙!$B$11:$B$310)-COUNTA(条幅!$B$11:$B$310)),"")))=0,"",IF(435&lt;=COUNTA(半紙!$B$11:$B$310),INDEX(半紙!$K$11:$K$310,435),IF(435&lt;=COUNTA(半紙!$B$11:$B$310)+COUNTA(条幅!$B$11:$B$310),INDEX(条幅!$K$11:$K$310,435-COUNTA(半紙!$B$11:$B$310)),IF(435&lt;=COUNTA(半紙!$B$11:$B$310)+COUNTA(条幅!$B$11:$B$310)+COUNTA(条幅4分の1!$B$11:$B$310),INDEX(条幅4分の1!$K$11:$K$310,435-COUNTA(半紙!$B$11:$B$310)-COUNTA(条幅!$B$11:$B$310)),""))))</f>
        <v/>
      </c>
      <c r="L440" s="48" t="str">
        <f>IF($B440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435))</f>
        <v/>
      </c>
    </row>
    <row r="441" spans="1:12" ht="15" customHeight="1">
      <c r="A441" s="37" t="str">
        <f>IF(436&lt;=COUNTA(半紙!$B$11:$B$310),"半紙",IF(436&lt;=COUNTA(半紙!$B$11:$B$310)+COUNTA(条幅!$B$11:$B$310),"条幅(半切)",IF(436&lt;=COUNTA(半紙!$B$11:$B$310)+COUNTA(条幅!$B$11:$B$310)+COUNTA(条幅4分の1!$B$11:$B$310),"条幅(1/4)","")))</f>
        <v/>
      </c>
      <c r="B441" s="38" t="str">
        <f>IF(IF(436&lt;=COUNTA(半紙!$B$11:$B$310),INDEX(半紙!$B$11:$B$310,436),IF(436&lt;=COUNTA(半紙!$B$11:$B$310)+COUNTA(条幅!$B$11:$B$310),INDEX(条幅!$B$11:$B$310,436-COUNTA(半紙!$B$11:$B$310)),IF(436&lt;=COUNTA(半紙!$B$11:$B$310)+COUNTA(条幅!$B$11:$B$310)+COUNTA(条幅4分の1!$B$11:$B$310),INDEX(条幅4分の1!$B$11:$B$310,436-COUNTA(半紙!$B$11:$B$310)-COUNTA(条幅!$B$11:$B$310)),"")))=0,"",IF(436&lt;=COUNTA(半紙!$B$11:$B$310),INDEX(半紙!$B$11:$B$310,436),IF(436&lt;=COUNTA(半紙!$B$11:$B$310)+COUNTA(条幅!$B$11:$B$310),INDEX(条幅!$B$11:$B$310,436-COUNTA(半紙!$B$11:$B$310)),IF(436&lt;=COUNTA(半紙!$B$11:$B$310)+COUNTA(条幅!$B$11:$B$310)+COUNTA(条幅4分の1!$B$11:$B$310),INDEX(条幅4分の1!$B$11:$B$310,436-COUNTA(半紙!$B$11:$B$310)-COUNTA(条幅!$B$11:$B$310)),""))))</f>
        <v/>
      </c>
      <c r="C441" s="38" t="str">
        <f>IF(IF(436&lt;=COUNTA(半紙!$B$11:$B$310),INDEX(半紙!$C$11:$C$310,436),IF(436&lt;=COUNTA(半紙!$B$11:$B$310)+COUNTA(条幅!$B$11:$B$310),INDEX(条幅!$C$11:$C$310,436-COUNTA(半紙!$B$11:$B$310)),IF(436&lt;=COUNTA(半紙!$B$11:$B$310)+COUNTA(条幅!$B$11:$B$310)+COUNTA(条幅4分の1!$B$11:$B$310),INDEX(条幅4分の1!$C$11:$C$310,436-COUNTA(半紙!$B$11:$B$310)-COUNTA(条幅!$B$11:$B$310)),"")))=0,"",IF(436&lt;=COUNTA(半紙!$B$11:$B$310),INDEX(半紙!$C$11:$C$310,436),IF(436&lt;=COUNTA(半紙!$B$11:$B$310)+COUNTA(条幅!$B$11:$B$310),INDEX(条幅!$C$11:$C$310,436-COUNTA(半紙!$B$11:$B$310)),IF(436&lt;=COUNTA(半紙!$B$11:$B$310)+COUNTA(条幅!$B$11:$B$310)+COUNTA(条幅4分の1!$B$11:$B$310),INDEX(条幅4分の1!$C$11:$C$310,436-COUNTA(半紙!$B$11:$B$310)-COUNTA(条幅!$B$11:$B$310)),""))))</f>
        <v/>
      </c>
      <c r="D441" s="38" t="str">
        <f>IF(IF(436&lt;=COUNTA(半紙!$B$11:$B$310),INDEX(半紙!$D$11:$D$310,436),IF(436&lt;=COUNTA(半紙!$B$11:$B$310)+COUNTA(条幅!$B$11:$B$310),INDEX(条幅!$D$11:$D$310,436-COUNTA(半紙!$B$11:$B$310)),IF(436&lt;=COUNTA(半紙!$B$11:$B$310)+COUNTA(条幅!$B$11:$B$310)+COUNTA(条幅4分の1!$B$11:$B$310),INDEX(条幅4分の1!$D$11:$D$310,436-COUNTA(半紙!$B$11:$B$310)-COUNTA(条幅!$B$11:$B$310)),"")))=0,"",IF(436&lt;=COUNTA(半紙!$B$11:$B$310),INDEX(半紙!$D$11:$D$310,436),IF(436&lt;=COUNTA(半紙!$B$11:$B$310)+COUNTA(条幅!$B$11:$B$310),INDEX(条幅!$D$11:$D$310,436-COUNTA(半紙!$B$11:$B$310)),IF(436&lt;=COUNTA(半紙!$B$11:$B$310)+COUNTA(条幅!$B$11:$B$310)+COUNTA(条幅4分の1!$B$11:$B$310),INDEX(条幅4分の1!$D$11:$D$310,436-COUNTA(半紙!$B$11:$B$310)-COUNTA(条幅!$B$11:$B$310)),""))))</f>
        <v/>
      </c>
      <c r="E441" s="38" t="str">
        <f>IF(IF(436&lt;=COUNTA(半紙!$B$11:$B$310),INDEX(半紙!$E$11:$E$310,436),IF(436&lt;=COUNTA(半紙!$B$11:$B$310)+COUNTA(条幅!$B$11:$B$310),INDEX(条幅!$E$11:$E$310,436-COUNTA(半紙!$B$11:$B$310)),IF(436&lt;=COUNTA(半紙!$B$11:$B$310)+COUNTA(条幅!$B$11:$B$310)+COUNTA(条幅4分の1!$B$11:$B$310),INDEX(条幅4分の1!$E$11:$E$310,436-COUNTA(半紙!$B$11:$B$310)-COUNTA(条幅!$B$11:$B$310)),"")))=0,"",IF(436&lt;=COUNTA(半紙!$B$11:$B$310),INDEX(半紙!$E$11:$E$310,436),IF(436&lt;=COUNTA(半紙!$B$11:$B$310)+COUNTA(条幅!$B$11:$B$310),INDEX(条幅!$E$11:$E$310,436-COUNTA(半紙!$B$11:$B$310)),IF(436&lt;=COUNTA(半紙!$B$11:$B$310)+COUNTA(条幅!$B$11:$B$310)+COUNTA(条幅4分の1!$B$11:$B$310),INDEX(条幅4分の1!$E$11:$E$310,436-COUNTA(半紙!$B$11:$B$310)-COUNTA(条幅!$B$11:$B$310)),""))))</f>
        <v/>
      </c>
      <c r="F441" s="38" t="str">
        <f>IF(IF(436&lt;=COUNTA(半紙!$B$11:$B$310),INDEX(半紙!$F$11:$F$310,436),IF(436&lt;=COUNTA(半紙!$B$11:$B$310)+COUNTA(条幅!$B$11:$B$310),INDEX(条幅!$F$11:$F$310,436-COUNTA(半紙!$B$11:$B$310)),IF(436&lt;=COUNTA(半紙!$B$11:$B$310)+COUNTA(条幅!$B$11:$B$310)+COUNTA(条幅4分の1!$B$11:$B$310),INDEX(条幅4分の1!$F$11:$F$310,436-COUNTA(半紙!$B$11:$B$310)-COUNTA(条幅!$B$11:$B$310)),"")))=0,"",IF(436&lt;=COUNTA(半紙!$B$11:$B$310),INDEX(半紙!$F$11:$F$310,436),IF(436&lt;=COUNTA(半紙!$B$11:$B$310)+COUNTA(条幅!$B$11:$B$310),INDEX(条幅!$F$11:$F$310,436-COUNTA(半紙!$B$11:$B$310)),IF(436&lt;=COUNTA(半紙!$B$11:$B$310)+COUNTA(条幅!$B$11:$B$310)+COUNTA(条幅4分の1!$B$11:$B$310),INDEX(条幅4分の1!$F$11:$F$310,436-COUNTA(半紙!$B$11:$B$310)-COUNTA(条幅!$B$11:$B$310)),""))))</f>
        <v/>
      </c>
      <c r="G441" s="38" t="str">
        <f>IF(IF(436&lt;=COUNTA(半紙!$B$11:$B$310),INDEX(半紙!$G$11:$G$310,436),IF(436&lt;=COUNTA(半紙!$B$11:$B$310)+COUNTA(条幅!$B$11:$B$310),INDEX(条幅!$G$11:$G$310,436-COUNTA(半紙!$B$11:$B$310)),IF(436&lt;=COUNTA(半紙!$B$11:$B$310)+COUNTA(条幅!$B$11:$B$310)+COUNTA(条幅4分の1!$B$11:$B$310),INDEX(条幅4分の1!$G$11:$G$310,436-COUNTA(半紙!$B$11:$B$310)-COUNTA(条幅!$B$11:$B$310)),"")))=0,"",IF(436&lt;=COUNTA(半紙!$B$11:$B$310),INDEX(半紙!$G$11:$G$310,436),IF(436&lt;=COUNTA(半紙!$B$11:$B$310)+COUNTA(条幅!$B$11:$B$310),INDEX(条幅!$G$11:$G$310,436-COUNTA(半紙!$B$11:$B$310)),IF(436&lt;=COUNTA(半紙!$B$11:$B$310)+COUNTA(条幅!$B$11:$B$310)+COUNTA(条幅4分の1!$B$11:$B$310),INDEX(条幅4分の1!$G$11:$G$310,436-COUNTA(半紙!$B$11:$B$310)-COUNTA(条幅!$B$11:$B$310)),""))))</f>
        <v/>
      </c>
      <c r="H441" s="38" t="str">
        <f>IF(IF(436&lt;=COUNTA(半紙!$B$11:$B$310),INDEX(半紙!$H$11:$H$310,436),IF(436&lt;=COUNTA(半紙!$B$11:$B$310)+COUNTA(条幅!$B$11:$B$310),INDEX(条幅!$H$11:$H$310,436-COUNTA(半紙!$B$11:$B$310)),IF(436&lt;=COUNTA(半紙!$B$11:$B$310)+COUNTA(条幅!$B$11:$B$310)+COUNTA(条幅4分の1!$B$11:$B$310),INDEX(条幅4分の1!$H$11:$H$310,436-COUNTA(半紙!$B$11:$B$310)-COUNTA(条幅!$B$11:$B$310)),"")))=0,"",IF(436&lt;=COUNTA(半紙!$B$11:$B$310),INDEX(半紙!$H$11:$H$310,436),IF(436&lt;=COUNTA(半紙!$B$11:$B$310)+COUNTA(条幅!$B$11:$B$310),INDEX(条幅!$H$11:$H$310,436-COUNTA(半紙!$B$11:$B$310)),IF(436&lt;=COUNTA(半紙!$B$11:$B$310)+COUNTA(条幅!$B$11:$B$310)+COUNTA(条幅4分の1!$B$11:$B$310),INDEX(条幅4分の1!$H$11:$H$310,436-COUNTA(半紙!$B$11:$B$310)-COUNTA(条幅!$B$11:$B$310)),""))))</f>
        <v/>
      </c>
      <c r="I441" s="38" t="str">
        <f>IF(IF(436&lt;=COUNTA(半紙!$B$11:$B$310),INDEX(半紙!$I$11:$I$310,436),IF(436&lt;=COUNTA(半紙!$B$11:$B$310)+COUNTA(条幅!$B$11:$B$310),INDEX(条幅!$I$11:$I$310,436-COUNTA(半紙!$B$11:$B$310)),IF(436&lt;=COUNTA(半紙!$B$11:$B$310)+COUNTA(条幅!$B$11:$B$310)+COUNTA(条幅4分の1!$B$11:$B$310),INDEX(条幅4分の1!$I$11:$I$310,436-COUNTA(半紙!$B$11:$B$310)-COUNTA(条幅!$B$11:$B$310)),"")))=0,"",IF(436&lt;=COUNTA(半紙!$B$11:$B$310),INDEX(半紙!$I$11:$I$310,436),IF(436&lt;=COUNTA(半紙!$B$11:$B$310)+COUNTA(条幅!$B$11:$B$310),INDEX(条幅!$I$11:$I$310,436-COUNTA(半紙!$B$11:$B$310)),IF(436&lt;=COUNTA(半紙!$B$11:$B$310)+COUNTA(条幅!$B$11:$B$310)+COUNTA(条幅4分の1!$B$11:$B$310),INDEX(条幅4分の1!$I$11:$I$310,436-COUNTA(半紙!$B$11:$B$310)-COUNTA(条幅!$B$11:$B$310)),""))))</f>
        <v/>
      </c>
      <c r="J441" s="38" t="str">
        <f>IF(IF(436&lt;=COUNTA(半紙!$B$11:$B$310),INDEX(半紙!$J$11:$J$310,436),IF(436&lt;=COUNTA(半紙!$B$11:$B$310)+COUNTA(条幅!$B$11:$B$310),INDEX(条幅!$J$11:$J$310,436-COUNTA(半紙!$B$11:$B$310)),IF(436&lt;=COUNTA(半紙!$B$11:$B$310)+COUNTA(条幅!$B$11:$B$310)+COUNTA(条幅4分の1!$B$11:$B$310),INDEX(条幅4分の1!$J$11:$J$310,436-COUNTA(半紙!$B$11:$B$310)-COUNTA(条幅!$B$11:$B$310)),"")))=0,"",IF(436&lt;=COUNTA(半紙!$B$11:$B$310),INDEX(半紙!$J$11:$J$310,436),IF(436&lt;=COUNTA(半紙!$B$11:$B$310)+COUNTA(条幅!$B$11:$B$310),INDEX(条幅!$J$11:$J$310,436-COUNTA(半紙!$B$11:$B$310)),IF(436&lt;=COUNTA(半紙!$B$11:$B$310)+COUNTA(条幅!$B$11:$B$310)+COUNTA(条幅4分の1!$B$11:$B$310),INDEX(条幅4分の1!$J$11:$J$310,436-COUNTA(半紙!$B$11:$B$310)-COUNTA(条幅!$B$11:$B$310)),""))))</f>
        <v/>
      </c>
      <c r="K441" s="38" t="str">
        <f>IF(IF(436&lt;=COUNTA(半紙!$B$11:$B$310),INDEX(半紙!$K$11:$K$310,436),IF(436&lt;=COUNTA(半紙!$B$11:$B$310)+COUNTA(条幅!$B$11:$B$310),INDEX(条幅!$K$11:$K$310,436-COUNTA(半紙!$B$11:$B$310)),IF(436&lt;=COUNTA(半紙!$B$11:$B$310)+COUNTA(条幅!$B$11:$B$310)+COUNTA(条幅4分の1!$B$11:$B$310),INDEX(条幅4分の1!$K$11:$K$310,436-COUNTA(半紙!$B$11:$B$310)-COUNTA(条幅!$B$11:$B$310)),"")))=0,"",IF(436&lt;=COUNTA(半紙!$B$11:$B$310),INDEX(半紙!$K$11:$K$310,436),IF(436&lt;=COUNTA(半紙!$B$11:$B$310)+COUNTA(条幅!$B$11:$B$310),INDEX(条幅!$K$11:$K$310,436-COUNTA(半紙!$B$11:$B$310)),IF(436&lt;=COUNTA(半紙!$B$11:$B$310)+COUNTA(条幅!$B$11:$B$310)+COUNTA(条幅4分の1!$B$11:$B$310),INDEX(条幅4分の1!$K$11:$K$310,436-COUNTA(半紙!$B$11:$B$310)-COUNTA(条幅!$B$11:$B$310)),""))))</f>
        <v/>
      </c>
      <c r="L441" s="48" t="str">
        <f>IF($B441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436))</f>
        <v/>
      </c>
    </row>
    <row r="442" spans="1:12" ht="15" customHeight="1">
      <c r="A442" s="37" t="str">
        <f>IF(437&lt;=COUNTA(半紙!$B$11:$B$310),"半紙",IF(437&lt;=COUNTA(半紙!$B$11:$B$310)+COUNTA(条幅!$B$11:$B$310),"条幅(半切)",IF(437&lt;=COUNTA(半紙!$B$11:$B$310)+COUNTA(条幅!$B$11:$B$310)+COUNTA(条幅4分の1!$B$11:$B$310),"条幅(1/4)","")))</f>
        <v/>
      </c>
      <c r="B442" s="38" t="str">
        <f>IF(IF(437&lt;=COUNTA(半紙!$B$11:$B$310),INDEX(半紙!$B$11:$B$310,437),IF(437&lt;=COUNTA(半紙!$B$11:$B$310)+COUNTA(条幅!$B$11:$B$310),INDEX(条幅!$B$11:$B$310,437-COUNTA(半紙!$B$11:$B$310)),IF(437&lt;=COUNTA(半紙!$B$11:$B$310)+COUNTA(条幅!$B$11:$B$310)+COUNTA(条幅4分の1!$B$11:$B$310),INDEX(条幅4分の1!$B$11:$B$310,437-COUNTA(半紙!$B$11:$B$310)-COUNTA(条幅!$B$11:$B$310)),"")))=0,"",IF(437&lt;=COUNTA(半紙!$B$11:$B$310),INDEX(半紙!$B$11:$B$310,437),IF(437&lt;=COUNTA(半紙!$B$11:$B$310)+COUNTA(条幅!$B$11:$B$310),INDEX(条幅!$B$11:$B$310,437-COUNTA(半紙!$B$11:$B$310)),IF(437&lt;=COUNTA(半紙!$B$11:$B$310)+COUNTA(条幅!$B$11:$B$310)+COUNTA(条幅4分の1!$B$11:$B$310),INDEX(条幅4分の1!$B$11:$B$310,437-COUNTA(半紙!$B$11:$B$310)-COUNTA(条幅!$B$11:$B$310)),""))))</f>
        <v/>
      </c>
      <c r="C442" s="38" t="str">
        <f>IF(IF(437&lt;=COUNTA(半紙!$B$11:$B$310),INDEX(半紙!$C$11:$C$310,437),IF(437&lt;=COUNTA(半紙!$B$11:$B$310)+COUNTA(条幅!$B$11:$B$310),INDEX(条幅!$C$11:$C$310,437-COUNTA(半紙!$B$11:$B$310)),IF(437&lt;=COUNTA(半紙!$B$11:$B$310)+COUNTA(条幅!$B$11:$B$310)+COUNTA(条幅4分の1!$B$11:$B$310),INDEX(条幅4分の1!$C$11:$C$310,437-COUNTA(半紙!$B$11:$B$310)-COUNTA(条幅!$B$11:$B$310)),"")))=0,"",IF(437&lt;=COUNTA(半紙!$B$11:$B$310),INDEX(半紙!$C$11:$C$310,437),IF(437&lt;=COUNTA(半紙!$B$11:$B$310)+COUNTA(条幅!$B$11:$B$310),INDEX(条幅!$C$11:$C$310,437-COUNTA(半紙!$B$11:$B$310)),IF(437&lt;=COUNTA(半紙!$B$11:$B$310)+COUNTA(条幅!$B$11:$B$310)+COUNTA(条幅4分の1!$B$11:$B$310),INDEX(条幅4分の1!$C$11:$C$310,437-COUNTA(半紙!$B$11:$B$310)-COUNTA(条幅!$B$11:$B$310)),""))))</f>
        <v/>
      </c>
      <c r="D442" s="38" t="str">
        <f>IF(IF(437&lt;=COUNTA(半紙!$B$11:$B$310),INDEX(半紙!$D$11:$D$310,437),IF(437&lt;=COUNTA(半紙!$B$11:$B$310)+COUNTA(条幅!$B$11:$B$310),INDEX(条幅!$D$11:$D$310,437-COUNTA(半紙!$B$11:$B$310)),IF(437&lt;=COUNTA(半紙!$B$11:$B$310)+COUNTA(条幅!$B$11:$B$310)+COUNTA(条幅4分の1!$B$11:$B$310),INDEX(条幅4分の1!$D$11:$D$310,437-COUNTA(半紙!$B$11:$B$310)-COUNTA(条幅!$B$11:$B$310)),"")))=0,"",IF(437&lt;=COUNTA(半紙!$B$11:$B$310),INDEX(半紙!$D$11:$D$310,437),IF(437&lt;=COUNTA(半紙!$B$11:$B$310)+COUNTA(条幅!$B$11:$B$310),INDEX(条幅!$D$11:$D$310,437-COUNTA(半紙!$B$11:$B$310)),IF(437&lt;=COUNTA(半紙!$B$11:$B$310)+COUNTA(条幅!$B$11:$B$310)+COUNTA(条幅4分の1!$B$11:$B$310),INDEX(条幅4分の1!$D$11:$D$310,437-COUNTA(半紙!$B$11:$B$310)-COUNTA(条幅!$B$11:$B$310)),""))))</f>
        <v/>
      </c>
      <c r="E442" s="38" t="str">
        <f>IF(IF(437&lt;=COUNTA(半紙!$B$11:$B$310),INDEX(半紙!$E$11:$E$310,437),IF(437&lt;=COUNTA(半紙!$B$11:$B$310)+COUNTA(条幅!$B$11:$B$310),INDEX(条幅!$E$11:$E$310,437-COUNTA(半紙!$B$11:$B$310)),IF(437&lt;=COUNTA(半紙!$B$11:$B$310)+COUNTA(条幅!$B$11:$B$310)+COUNTA(条幅4分の1!$B$11:$B$310),INDEX(条幅4分の1!$E$11:$E$310,437-COUNTA(半紙!$B$11:$B$310)-COUNTA(条幅!$B$11:$B$310)),"")))=0,"",IF(437&lt;=COUNTA(半紙!$B$11:$B$310),INDEX(半紙!$E$11:$E$310,437),IF(437&lt;=COUNTA(半紙!$B$11:$B$310)+COUNTA(条幅!$B$11:$B$310),INDEX(条幅!$E$11:$E$310,437-COUNTA(半紙!$B$11:$B$310)),IF(437&lt;=COUNTA(半紙!$B$11:$B$310)+COUNTA(条幅!$B$11:$B$310)+COUNTA(条幅4分の1!$B$11:$B$310),INDEX(条幅4分の1!$E$11:$E$310,437-COUNTA(半紙!$B$11:$B$310)-COUNTA(条幅!$B$11:$B$310)),""))))</f>
        <v/>
      </c>
      <c r="F442" s="38" t="str">
        <f>IF(IF(437&lt;=COUNTA(半紙!$B$11:$B$310),INDEX(半紙!$F$11:$F$310,437),IF(437&lt;=COUNTA(半紙!$B$11:$B$310)+COUNTA(条幅!$B$11:$B$310),INDEX(条幅!$F$11:$F$310,437-COUNTA(半紙!$B$11:$B$310)),IF(437&lt;=COUNTA(半紙!$B$11:$B$310)+COUNTA(条幅!$B$11:$B$310)+COUNTA(条幅4分の1!$B$11:$B$310),INDEX(条幅4分の1!$F$11:$F$310,437-COUNTA(半紙!$B$11:$B$310)-COUNTA(条幅!$B$11:$B$310)),"")))=0,"",IF(437&lt;=COUNTA(半紙!$B$11:$B$310),INDEX(半紙!$F$11:$F$310,437),IF(437&lt;=COUNTA(半紙!$B$11:$B$310)+COUNTA(条幅!$B$11:$B$310),INDEX(条幅!$F$11:$F$310,437-COUNTA(半紙!$B$11:$B$310)),IF(437&lt;=COUNTA(半紙!$B$11:$B$310)+COUNTA(条幅!$B$11:$B$310)+COUNTA(条幅4分の1!$B$11:$B$310),INDEX(条幅4分の1!$F$11:$F$310,437-COUNTA(半紙!$B$11:$B$310)-COUNTA(条幅!$B$11:$B$310)),""))))</f>
        <v/>
      </c>
      <c r="G442" s="38" t="str">
        <f>IF(IF(437&lt;=COUNTA(半紙!$B$11:$B$310),INDEX(半紙!$G$11:$G$310,437),IF(437&lt;=COUNTA(半紙!$B$11:$B$310)+COUNTA(条幅!$B$11:$B$310),INDEX(条幅!$G$11:$G$310,437-COUNTA(半紙!$B$11:$B$310)),IF(437&lt;=COUNTA(半紙!$B$11:$B$310)+COUNTA(条幅!$B$11:$B$310)+COUNTA(条幅4分の1!$B$11:$B$310),INDEX(条幅4分の1!$G$11:$G$310,437-COUNTA(半紙!$B$11:$B$310)-COUNTA(条幅!$B$11:$B$310)),"")))=0,"",IF(437&lt;=COUNTA(半紙!$B$11:$B$310),INDEX(半紙!$G$11:$G$310,437),IF(437&lt;=COUNTA(半紙!$B$11:$B$310)+COUNTA(条幅!$B$11:$B$310),INDEX(条幅!$G$11:$G$310,437-COUNTA(半紙!$B$11:$B$310)),IF(437&lt;=COUNTA(半紙!$B$11:$B$310)+COUNTA(条幅!$B$11:$B$310)+COUNTA(条幅4分の1!$B$11:$B$310),INDEX(条幅4分の1!$G$11:$G$310,437-COUNTA(半紙!$B$11:$B$310)-COUNTA(条幅!$B$11:$B$310)),""))))</f>
        <v/>
      </c>
      <c r="H442" s="38" t="str">
        <f>IF(IF(437&lt;=COUNTA(半紙!$B$11:$B$310),INDEX(半紙!$H$11:$H$310,437),IF(437&lt;=COUNTA(半紙!$B$11:$B$310)+COUNTA(条幅!$B$11:$B$310),INDEX(条幅!$H$11:$H$310,437-COUNTA(半紙!$B$11:$B$310)),IF(437&lt;=COUNTA(半紙!$B$11:$B$310)+COUNTA(条幅!$B$11:$B$310)+COUNTA(条幅4分の1!$B$11:$B$310),INDEX(条幅4分の1!$H$11:$H$310,437-COUNTA(半紙!$B$11:$B$310)-COUNTA(条幅!$B$11:$B$310)),"")))=0,"",IF(437&lt;=COUNTA(半紙!$B$11:$B$310),INDEX(半紙!$H$11:$H$310,437),IF(437&lt;=COUNTA(半紙!$B$11:$B$310)+COUNTA(条幅!$B$11:$B$310),INDEX(条幅!$H$11:$H$310,437-COUNTA(半紙!$B$11:$B$310)),IF(437&lt;=COUNTA(半紙!$B$11:$B$310)+COUNTA(条幅!$B$11:$B$310)+COUNTA(条幅4分の1!$B$11:$B$310),INDEX(条幅4分の1!$H$11:$H$310,437-COUNTA(半紙!$B$11:$B$310)-COUNTA(条幅!$B$11:$B$310)),""))))</f>
        <v/>
      </c>
      <c r="I442" s="38" t="str">
        <f>IF(IF(437&lt;=COUNTA(半紙!$B$11:$B$310),INDEX(半紙!$I$11:$I$310,437),IF(437&lt;=COUNTA(半紙!$B$11:$B$310)+COUNTA(条幅!$B$11:$B$310),INDEX(条幅!$I$11:$I$310,437-COUNTA(半紙!$B$11:$B$310)),IF(437&lt;=COUNTA(半紙!$B$11:$B$310)+COUNTA(条幅!$B$11:$B$310)+COUNTA(条幅4分の1!$B$11:$B$310),INDEX(条幅4分の1!$I$11:$I$310,437-COUNTA(半紙!$B$11:$B$310)-COUNTA(条幅!$B$11:$B$310)),"")))=0,"",IF(437&lt;=COUNTA(半紙!$B$11:$B$310),INDEX(半紙!$I$11:$I$310,437),IF(437&lt;=COUNTA(半紙!$B$11:$B$310)+COUNTA(条幅!$B$11:$B$310),INDEX(条幅!$I$11:$I$310,437-COUNTA(半紙!$B$11:$B$310)),IF(437&lt;=COUNTA(半紙!$B$11:$B$310)+COUNTA(条幅!$B$11:$B$310)+COUNTA(条幅4分の1!$B$11:$B$310),INDEX(条幅4分の1!$I$11:$I$310,437-COUNTA(半紙!$B$11:$B$310)-COUNTA(条幅!$B$11:$B$310)),""))))</f>
        <v/>
      </c>
      <c r="J442" s="38" t="str">
        <f>IF(IF(437&lt;=COUNTA(半紙!$B$11:$B$310),INDEX(半紙!$J$11:$J$310,437),IF(437&lt;=COUNTA(半紙!$B$11:$B$310)+COUNTA(条幅!$B$11:$B$310),INDEX(条幅!$J$11:$J$310,437-COUNTA(半紙!$B$11:$B$310)),IF(437&lt;=COUNTA(半紙!$B$11:$B$310)+COUNTA(条幅!$B$11:$B$310)+COUNTA(条幅4分の1!$B$11:$B$310),INDEX(条幅4分の1!$J$11:$J$310,437-COUNTA(半紙!$B$11:$B$310)-COUNTA(条幅!$B$11:$B$310)),"")))=0,"",IF(437&lt;=COUNTA(半紙!$B$11:$B$310),INDEX(半紙!$J$11:$J$310,437),IF(437&lt;=COUNTA(半紙!$B$11:$B$310)+COUNTA(条幅!$B$11:$B$310),INDEX(条幅!$J$11:$J$310,437-COUNTA(半紙!$B$11:$B$310)),IF(437&lt;=COUNTA(半紙!$B$11:$B$310)+COUNTA(条幅!$B$11:$B$310)+COUNTA(条幅4分の1!$B$11:$B$310),INDEX(条幅4分の1!$J$11:$J$310,437-COUNTA(半紙!$B$11:$B$310)-COUNTA(条幅!$B$11:$B$310)),""))))</f>
        <v/>
      </c>
      <c r="K442" s="38" t="str">
        <f>IF(IF(437&lt;=COUNTA(半紙!$B$11:$B$310),INDEX(半紙!$K$11:$K$310,437),IF(437&lt;=COUNTA(半紙!$B$11:$B$310)+COUNTA(条幅!$B$11:$B$310),INDEX(条幅!$K$11:$K$310,437-COUNTA(半紙!$B$11:$B$310)),IF(437&lt;=COUNTA(半紙!$B$11:$B$310)+COUNTA(条幅!$B$11:$B$310)+COUNTA(条幅4分の1!$B$11:$B$310),INDEX(条幅4分の1!$K$11:$K$310,437-COUNTA(半紙!$B$11:$B$310)-COUNTA(条幅!$B$11:$B$310)),"")))=0,"",IF(437&lt;=COUNTA(半紙!$B$11:$B$310),INDEX(半紙!$K$11:$K$310,437),IF(437&lt;=COUNTA(半紙!$B$11:$B$310)+COUNTA(条幅!$B$11:$B$310),INDEX(条幅!$K$11:$K$310,437-COUNTA(半紙!$B$11:$B$310)),IF(437&lt;=COUNTA(半紙!$B$11:$B$310)+COUNTA(条幅!$B$11:$B$310)+COUNTA(条幅4分の1!$B$11:$B$310),INDEX(条幅4分の1!$K$11:$K$310,437-COUNTA(半紙!$B$11:$B$310)-COUNTA(条幅!$B$11:$B$310)),""))))</f>
        <v/>
      </c>
      <c r="L442" s="48" t="str">
        <f>IF($B442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437))</f>
        <v/>
      </c>
    </row>
    <row r="443" spans="1:12" ht="15" customHeight="1">
      <c r="A443" s="37" t="str">
        <f>IF(438&lt;=COUNTA(半紙!$B$11:$B$310),"半紙",IF(438&lt;=COUNTA(半紙!$B$11:$B$310)+COUNTA(条幅!$B$11:$B$310),"条幅(半切)",IF(438&lt;=COUNTA(半紙!$B$11:$B$310)+COUNTA(条幅!$B$11:$B$310)+COUNTA(条幅4分の1!$B$11:$B$310),"条幅(1/4)","")))</f>
        <v/>
      </c>
      <c r="B443" s="38" t="str">
        <f>IF(IF(438&lt;=COUNTA(半紙!$B$11:$B$310),INDEX(半紙!$B$11:$B$310,438),IF(438&lt;=COUNTA(半紙!$B$11:$B$310)+COUNTA(条幅!$B$11:$B$310),INDEX(条幅!$B$11:$B$310,438-COUNTA(半紙!$B$11:$B$310)),IF(438&lt;=COUNTA(半紙!$B$11:$B$310)+COUNTA(条幅!$B$11:$B$310)+COUNTA(条幅4分の1!$B$11:$B$310),INDEX(条幅4分の1!$B$11:$B$310,438-COUNTA(半紙!$B$11:$B$310)-COUNTA(条幅!$B$11:$B$310)),"")))=0,"",IF(438&lt;=COUNTA(半紙!$B$11:$B$310),INDEX(半紙!$B$11:$B$310,438),IF(438&lt;=COUNTA(半紙!$B$11:$B$310)+COUNTA(条幅!$B$11:$B$310),INDEX(条幅!$B$11:$B$310,438-COUNTA(半紙!$B$11:$B$310)),IF(438&lt;=COUNTA(半紙!$B$11:$B$310)+COUNTA(条幅!$B$11:$B$310)+COUNTA(条幅4分の1!$B$11:$B$310),INDEX(条幅4分の1!$B$11:$B$310,438-COUNTA(半紙!$B$11:$B$310)-COUNTA(条幅!$B$11:$B$310)),""))))</f>
        <v/>
      </c>
      <c r="C443" s="38" t="str">
        <f>IF(IF(438&lt;=COUNTA(半紙!$B$11:$B$310),INDEX(半紙!$C$11:$C$310,438),IF(438&lt;=COUNTA(半紙!$B$11:$B$310)+COUNTA(条幅!$B$11:$B$310),INDEX(条幅!$C$11:$C$310,438-COUNTA(半紙!$B$11:$B$310)),IF(438&lt;=COUNTA(半紙!$B$11:$B$310)+COUNTA(条幅!$B$11:$B$310)+COUNTA(条幅4分の1!$B$11:$B$310),INDEX(条幅4分の1!$C$11:$C$310,438-COUNTA(半紙!$B$11:$B$310)-COUNTA(条幅!$B$11:$B$310)),"")))=0,"",IF(438&lt;=COUNTA(半紙!$B$11:$B$310),INDEX(半紙!$C$11:$C$310,438),IF(438&lt;=COUNTA(半紙!$B$11:$B$310)+COUNTA(条幅!$B$11:$B$310),INDEX(条幅!$C$11:$C$310,438-COUNTA(半紙!$B$11:$B$310)),IF(438&lt;=COUNTA(半紙!$B$11:$B$310)+COUNTA(条幅!$B$11:$B$310)+COUNTA(条幅4分の1!$B$11:$B$310),INDEX(条幅4分の1!$C$11:$C$310,438-COUNTA(半紙!$B$11:$B$310)-COUNTA(条幅!$B$11:$B$310)),""))))</f>
        <v/>
      </c>
      <c r="D443" s="38" t="str">
        <f>IF(IF(438&lt;=COUNTA(半紙!$B$11:$B$310),INDEX(半紙!$D$11:$D$310,438),IF(438&lt;=COUNTA(半紙!$B$11:$B$310)+COUNTA(条幅!$B$11:$B$310),INDEX(条幅!$D$11:$D$310,438-COUNTA(半紙!$B$11:$B$310)),IF(438&lt;=COUNTA(半紙!$B$11:$B$310)+COUNTA(条幅!$B$11:$B$310)+COUNTA(条幅4分の1!$B$11:$B$310),INDEX(条幅4分の1!$D$11:$D$310,438-COUNTA(半紙!$B$11:$B$310)-COUNTA(条幅!$B$11:$B$310)),"")))=0,"",IF(438&lt;=COUNTA(半紙!$B$11:$B$310),INDEX(半紙!$D$11:$D$310,438),IF(438&lt;=COUNTA(半紙!$B$11:$B$310)+COUNTA(条幅!$B$11:$B$310),INDEX(条幅!$D$11:$D$310,438-COUNTA(半紙!$B$11:$B$310)),IF(438&lt;=COUNTA(半紙!$B$11:$B$310)+COUNTA(条幅!$B$11:$B$310)+COUNTA(条幅4分の1!$B$11:$B$310),INDEX(条幅4分の1!$D$11:$D$310,438-COUNTA(半紙!$B$11:$B$310)-COUNTA(条幅!$B$11:$B$310)),""))))</f>
        <v/>
      </c>
      <c r="E443" s="38" t="str">
        <f>IF(IF(438&lt;=COUNTA(半紙!$B$11:$B$310),INDEX(半紙!$E$11:$E$310,438),IF(438&lt;=COUNTA(半紙!$B$11:$B$310)+COUNTA(条幅!$B$11:$B$310),INDEX(条幅!$E$11:$E$310,438-COUNTA(半紙!$B$11:$B$310)),IF(438&lt;=COUNTA(半紙!$B$11:$B$310)+COUNTA(条幅!$B$11:$B$310)+COUNTA(条幅4分の1!$B$11:$B$310),INDEX(条幅4分の1!$E$11:$E$310,438-COUNTA(半紙!$B$11:$B$310)-COUNTA(条幅!$B$11:$B$310)),"")))=0,"",IF(438&lt;=COUNTA(半紙!$B$11:$B$310),INDEX(半紙!$E$11:$E$310,438),IF(438&lt;=COUNTA(半紙!$B$11:$B$310)+COUNTA(条幅!$B$11:$B$310),INDEX(条幅!$E$11:$E$310,438-COUNTA(半紙!$B$11:$B$310)),IF(438&lt;=COUNTA(半紙!$B$11:$B$310)+COUNTA(条幅!$B$11:$B$310)+COUNTA(条幅4分の1!$B$11:$B$310),INDEX(条幅4分の1!$E$11:$E$310,438-COUNTA(半紙!$B$11:$B$310)-COUNTA(条幅!$B$11:$B$310)),""))))</f>
        <v/>
      </c>
      <c r="F443" s="38" t="str">
        <f>IF(IF(438&lt;=COUNTA(半紙!$B$11:$B$310),INDEX(半紙!$F$11:$F$310,438),IF(438&lt;=COUNTA(半紙!$B$11:$B$310)+COUNTA(条幅!$B$11:$B$310),INDEX(条幅!$F$11:$F$310,438-COUNTA(半紙!$B$11:$B$310)),IF(438&lt;=COUNTA(半紙!$B$11:$B$310)+COUNTA(条幅!$B$11:$B$310)+COUNTA(条幅4分の1!$B$11:$B$310),INDEX(条幅4分の1!$F$11:$F$310,438-COUNTA(半紙!$B$11:$B$310)-COUNTA(条幅!$B$11:$B$310)),"")))=0,"",IF(438&lt;=COUNTA(半紙!$B$11:$B$310),INDEX(半紙!$F$11:$F$310,438),IF(438&lt;=COUNTA(半紙!$B$11:$B$310)+COUNTA(条幅!$B$11:$B$310),INDEX(条幅!$F$11:$F$310,438-COUNTA(半紙!$B$11:$B$310)),IF(438&lt;=COUNTA(半紙!$B$11:$B$310)+COUNTA(条幅!$B$11:$B$310)+COUNTA(条幅4分の1!$B$11:$B$310),INDEX(条幅4分の1!$F$11:$F$310,438-COUNTA(半紙!$B$11:$B$310)-COUNTA(条幅!$B$11:$B$310)),""))))</f>
        <v/>
      </c>
      <c r="G443" s="38" t="str">
        <f>IF(IF(438&lt;=COUNTA(半紙!$B$11:$B$310),INDEX(半紙!$G$11:$G$310,438),IF(438&lt;=COUNTA(半紙!$B$11:$B$310)+COUNTA(条幅!$B$11:$B$310),INDEX(条幅!$G$11:$G$310,438-COUNTA(半紙!$B$11:$B$310)),IF(438&lt;=COUNTA(半紙!$B$11:$B$310)+COUNTA(条幅!$B$11:$B$310)+COUNTA(条幅4分の1!$B$11:$B$310),INDEX(条幅4分の1!$G$11:$G$310,438-COUNTA(半紙!$B$11:$B$310)-COUNTA(条幅!$B$11:$B$310)),"")))=0,"",IF(438&lt;=COUNTA(半紙!$B$11:$B$310),INDEX(半紙!$G$11:$G$310,438),IF(438&lt;=COUNTA(半紙!$B$11:$B$310)+COUNTA(条幅!$B$11:$B$310),INDEX(条幅!$G$11:$G$310,438-COUNTA(半紙!$B$11:$B$310)),IF(438&lt;=COUNTA(半紙!$B$11:$B$310)+COUNTA(条幅!$B$11:$B$310)+COUNTA(条幅4分の1!$B$11:$B$310),INDEX(条幅4分の1!$G$11:$G$310,438-COUNTA(半紙!$B$11:$B$310)-COUNTA(条幅!$B$11:$B$310)),""))))</f>
        <v/>
      </c>
      <c r="H443" s="38" t="str">
        <f>IF(IF(438&lt;=COUNTA(半紙!$B$11:$B$310),INDEX(半紙!$H$11:$H$310,438),IF(438&lt;=COUNTA(半紙!$B$11:$B$310)+COUNTA(条幅!$B$11:$B$310),INDEX(条幅!$H$11:$H$310,438-COUNTA(半紙!$B$11:$B$310)),IF(438&lt;=COUNTA(半紙!$B$11:$B$310)+COUNTA(条幅!$B$11:$B$310)+COUNTA(条幅4分の1!$B$11:$B$310),INDEX(条幅4分の1!$H$11:$H$310,438-COUNTA(半紙!$B$11:$B$310)-COUNTA(条幅!$B$11:$B$310)),"")))=0,"",IF(438&lt;=COUNTA(半紙!$B$11:$B$310),INDEX(半紙!$H$11:$H$310,438),IF(438&lt;=COUNTA(半紙!$B$11:$B$310)+COUNTA(条幅!$B$11:$B$310),INDEX(条幅!$H$11:$H$310,438-COUNTA(半紙!$B$11:$B$310)),IF(438&lt;=COUNTA(半紙!$B$11:$B$310)+COUNTA(条幅!$B$11:$B$310)+COUNTA(条幅4分の1!$B$11:$B$310),INDEX(条幅4分の1!$H$11:$H$310,438-COUNTA(半紙!$B$11:$B$310)-COUNTA(条幅!$B$11:$B$310)),""))))</f>
        <v/>
      </c>
      <c r="I443" s="38" t="str">
        <f>IF(IF(438&lt;=COUNTA(半紙!$B$11:$B$310),INDEX(半紙!$I$11:$I$310,438),IF(438&lt;=COUNTA(半紙!$B$11:$B$310)+COUNTA(条幅!$B$11:$B$310),INDEX(条幅!$I$11:$I$310,438-COUNTA(半紙!$B$11:$B$310)),IF(438&lt;=COUNTA(半紙!$B$11:$B$310)+COUNTA(条幅!$B$11:$B$310)+COUNTA(条幅4分の1!$B$11:$B$310),INDEX(条幅4分の1!$I$11:$I$310,438-COUNTA(半紙!$B$11:$B$310)-COUNTA(条幅!$B$11:$B$310)),"")))=0,"",IF(438&lt;=COUNTA(半紙!$B$11:$B$310),INDEX(半紙!$I$11:$I$310,438),IF(438&lt;=COUNTA(半紙!$B$11:$B$310)+COUNTA(条幅!$B$11:$B$310),INDEX(条幅!$I$11:$I$310,438-COUNTA(半紙!$B$11:$B$310)),IF(438&lt;=COUNTA(半紙!$B$11:$B$310)+COUNTA(条幅!$B$11:$B$310)+COUNTA(条幅4分の1!$B$11:$B$310),INDEX(条幅4分の1!$I$11:$I$310,438-COUNTA(半紙!$B$11:$B$310)-COUNTA(条幅!$B$11:$B$310)),""))))</f>
        <v/>
      </c>
      <c r="J443" s="38" t="str">
        <f>IF(IF(438&lt;=COUNTA(半紙!$B$11:$B$310),INDEX(半紙!$J$11:$J$310,438),IF(438&lt;=COUNTA(半紙!$B$11:$B$310)+COUNTA(条幅!$B$11:$B$310),INDEX(条幅!$J$11:$J$310,438-COUNTA(半紙!$B$11:$B$310)),IF(438&lt;=COUNTA(半紙!$B$11:$B$310)+COUNTA(条幅!$B$11:$B$310)+COUNTA(条幅4分の1!$B$11:$B$310),INDEX(条幅4分の1!$J$11:$J$310,438-COUNTA(半紙!$B$11:$B$310)-COUNTA(条幅!$B$11:$B$310)),"")))=0,"",IF(438&lt;=COUNTA(半紙!$B$11:$B$310),INDEX(半紙!$J$11:$J$310,438),IF(438&lt;=COUNTA(半紙!$B$11:$B$310)+COUNTA(条幅!$B$11:$B$310),INDEX(条幅!$J$11:$J$310,438-COUNTA(半紙!$B$11:$B$310)),IF(438&lt;=COUNTA(半紙!$B$11:$B$310)+COUNTA(条幅!$B$11:$B$310)+COUNTA(条幅4分の1!$B$11:$B$310),INDEX(条幅4分の1!$J$11:$J$310,438-COUNTA(半紙!$B$11:$B$310)-COUNTA(条幅!$B$11:$B$310)),""))))</f>
        <v/>
      </c>
      <c r="K443" s="38" t="str">
        <f>IF(IF(438&lt;=COUNTA(半紙!$B$11:$B$310),INDEX(半紙!$K$11:$K$310,438),IF(438&lt;=COUNTA(半紙!$B$11:$B$310)+COUNTA(条幅!$B$11:$B$310),INDEX(条幅!$K$11:$K$310,438-COUNTA(半紙!$B$11:$B$310)),IF(438&lt;=COUNTA(半紙!$B$11:$B$310)+COUNTA(条幅!$B$11:$B$310)+COUNTA(条幅4分の1!$B$11:$B$310),INDEX(条幅4分の1!$K$11:$K$310,438-COUNTA(半紙!$B$11:$B$310)-COUNTA(条幅!$B$11:$B$310)),"")))=0,"",IF(438&lt;=COUNTA(半紙!$B$11:$B$310),INDEX(半紙!$K$11:$K$310,438),IF(438&lt;=COUNTA(半紙!$B$11:$B$310)+COUNTA(条幅!$B$11:$B$310),INDEX(条幅!$K$11:$K$310,438-COUNTA(半紙!$B$11:$B$310)),IF(438&lt;=COUNTA(半紙!$B$11:$B$310)+COUNTA(条幅!$B$11:$B$310)+COUNTA(条幅4分の1!$B$11:$B$310),INDEX(条幅4分の1!$K$11:$K$310,438-COUNTA(半紙!$B$11:$B$310)-COUNTA(条幅!$B$11:$B$310)),""))))</f>
        <v/>
      </c>
      <c r="L443" s="48" t="str">
        <f>IF($B443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438))</f>
        <v/>
      </c>
    </row>
    <row r="444" spans="1:12" ht="15" customHeight="1">
      <c r="A444" s="37" t="str">
        <f>IF(439&lt;=COUNTA(半紙!$B$11:$B$310),"半紙",IF(439&lt;=COUNTA(半紙!$B$11:$B$310)+COUNTA(条幅!$B$11:$B$310),"条幅(半切)",IF(439&lt;=COUNTA(半紙!$B$11:$B$310)+COUNTA(条幅!$B$11:$B$310)+COUNTA(条幅4分の1!$B$11:$B$310),"条幅(1/4)","")))</f>
        <v/>
      </c>
      <c r="B444" s="38" t="str">
        <f>IF(IF(439&lt;=COUNTA(半紙!$B$11:$B$310),INDEX(半紙!$B$11:$B$310,439),IF(439&lt;=COUNTA(半紙!$B$11:$B$310)+COUNTA(条幅!$B$11:$B$310),INDEX(条幅!$B$11:$B$310,439-COUNTA(半紙!$B$11:$B$310)),IF(439&lt;=COUNTA(半紙!$B$11:$B$310)+COUNTA(条幅!$B$11:$B$310)+COUNTA(条幅4分の1!$B$11:$B$310),INDEX(条幅4分の1!$B$11:$B$310,439-COUNTA(半紙!$B$11:$B$310)-COUNTA(条幅!$B$11:$B$310)),"")))=0,"",IF(439&lt;=COUNTA(半紙!$B$11:$B$310),INDEX(半紙!$B$11:$B$310,439),IF(439&lt;=COUNTA(半紙!$B$11:$B$310)+COUNTA(条幅!$B$11:$B$310),INDEX(条幅!$B$11:$B$310,439-COUNTA(半紙!$B$11:$B$310)),IF(439&lt;=COUNTA(半紙!$B$11:$B$310)+COUNTA(条幅!$B$11:$B$310)+COUNTA(条幅4分の1!$B$11:$B$310),INDEX(条幅4分の1!$B$11:$B$310,439-COUNTA(半紙!$B$11:$B$310)-COUNTA(条幅!$B$11:$B$310)),""))))</f>
        <v/>
      </c>
      <c r="C444" s="38" t="str">
        <f>IF(IF(439&lt;=COUNTA(半紙!$B$11:$B$310),INDEX(半紙!$C$11:$C$310,439),IF(439&lt;=COUNTA(半紙!$B$11:$B$310)+COUNTA(条幅!$B$11:$B$310),INDEX(条幅!$C$11:$C$310,439-COUNTA(半紙!$B$11:$B$310)),IF(439&lt;=COUNTA(半紙!$B$11:$B$310)+COUNTA(条幅!$B$11:$B$310)+COUNTA(条幅4分の1!$B$11:$B$310),INDEX(条幅4分の1!$C$11:$C$310,439-COUNTA(半紙!$B$11:$B$310)-COUNTA(条幅!$B$11:$B$310)),"")))=0,"",IF(439&lt;=COUNTA(半紙!$B$11:$B$310),INDEX(半紙!$C$11:$C$310,439),IF(439&lt;=COUNTA(半紙!$B$11:$B$310)+COUNTA(条幅!$B$11:$B$310),INDEX(条幅!$C$11:$C$310,439-COUNTA(半紙!$B$11:$B$310)),IF(439&lt;=COUNTA(半紙!$B$11:$B$310)+COUNTA(条幅!$B$11:$B$310)+COUNTA(条幅4分の1!$B$11:$B$310),INDEX(条幅4分の1!$C$11:$C$310,439-COUNTA(半紙!$B$11:$B$310)-COUNTA(条幅!$B$11:$B$310)),""))))</f>
        <v/>
      </c>
      <c r="D444" s="38" t="str">
        <f>IF(IF(439&lt;=COUNTA(半紙!$B$11:$B$310),INDEX(半紙!$D$11:$D$310,439),IF(439&lt;=COUNTA(半紙!$B$11:$B$310)+COUNTA(条幅!$B$11:$B$310),INDEX(条幅!$D$11:$D$310,439-COUNTA(半紙!$B$11:$B$310)),IF(439&lt;=COUNTA(半紙!$B$11:$B$310)+COUNTA(条幅!$B$11:$B$310)+COUNTA(条幅4分の1!$B$11:$B$310),INDEX(条幅4分の1!$D$11:$D$310,439-COUNTA(半紙!$B$11:$B$310)-COUNTA(条幅!$B$11:$B$310)),"")))=0,"",IF(439&lt;=COUNTA(半紙!$B$11:$B$310),INDEX(半紙!$D$11:$D$310,439),IF(439&lt;=COUNTA(半紙!$B$11:$B$310)+COUNTA(条幅!$B$11:$B$310),INDEX(条幅!$D$11:$D$310,439-COUNTA(半紙!$B$11:$B$310)),IF(439&lt;=COUNTA(半紙!$B$11:$B$310)+COUNTA(条幅!$B$11:$B$310)+COUNTA(条幅4分の1!$B$11:$B$310),INDEX(条幅4分の1!$D$11:$D$310,439-COUNTA(半紙!$B$11:$B$310)-COUNTA(条幅!$B$11:$B$310)),""))))</f>
        <v/>
      </c>
      <c r="E444" s="38" t="str">
        <f>IF(IF(439&lt;=COUNTA(半紙!$B$11:$B$310),INDEX(半紙!$E$11:$E$310,439),IF(439&lt;=COUNTA(半紙!$B$11:$B$310)+COUNTA(条幅!$B$11:$B$310),INDEX(条幅!$E$11:$E$310,439-COUNTA(半紙!$B$11:$B$310)),IF(439&lt;=COUNTA(半紙!$B$11:$B$310)+COUNTA(条幅!$B$11:$B$310)+COUNTA(条幅4分の1!$B$11:$B$310),INDEX(条幅4分の1!$E$11:$E$310,439-COUNTA(半紙!$B$11:$B$310)-COUNTA(条幅!$B$11:$B$310)),"")))=0,"",IF(439&lt;=COUNTA(半紙!$B$11:$B$310),INDEX(半紙!$E$11:$E$310,439),IF(439&lt;=COUNTA(半紙!$B$11:$B$310)+COUNTA(条幅!$B$11:$B$310),INDEX(条幅!$E$11:$E$310,439-COUNTA(半紙!$B$11:$B$310)),IF(439&lt;=COUNTA(半紙!$B$11:$B$310)+COUNTA(条幅!$B$11:$B$310)+COUNTA(条幅4分の1!$B$11:$B$310),INDEX(条幅4分の1!$E$11:$E$310,439-COUNTA(半紙!$B$11:$B$310)-COUNTA(条幅!$B$11:$B$310)),""))))</f>
        <v/>
      </c>
      <c r="F444" s="38" t="str">
        <f>IF(IF(439&lt;=COUNTA(半紙!$B$11:$B$310),INDEX(半紙!$F$11:$F$310,439),IF(439&lt;=COUNTA(半紙!$B$11:$B$310)+COUNTA(条幅!$B$11:$B$310),INDEX(条幅!$F$11:$F$310,439-COUNTA(半紙!$B$11:$B$310)),IF(439&lt;=COUNTA(半紙!$B$11:$B$310)+COUNTA(条幅!$B$11:$B$310)+COUNTA(条幅4分の1!$B$11:$B$310),INDEX(条幅4分の1!$F$11:$F$310,439-COUNTA(半紙!$B$11:$B$310)-COUNTA(条幅!$B$11:$B$310)),"")))=0,"",IF(439&lt;=COUNTA(半紙!$B$11:$B$310),INDEX(半紙!$F$11:$F$310,439),IF(439&lt;=COUNTA(半紙!$B$11:$B$310)+COUNTA(条幅!$B$11:$B$310),INDEX(条幅!$F$11:$F$310,439-COUNTA(半紙!$B$11:$B$310)),IF(439&lt;=COUNTA(半紙!$B$11:$B$310)+COUNTA(条幅!$B$11:$B$310)+COUNTA(条幅4分の1!$B$11:$B$310),INDEX(条幅4分の1!$F$11:$F$310,439-COUNTA(半紙!$B$11:$B$310)-COUNTA(条幅!$B$11:$B$310)),""))))</f>
        <v/>
      </c>
      <c r="G444" s="38" t="str">
        <f>IF(IF(439&lt;=COUNTA(半紙!$B$11:$B$310),INDEX(半紙!$G$11:$G$310,439),IF(439&lt;=COUNTA(半紙!$B$11:$B$310)+COUNTA(条幅!$B$11:$B$310),INDEX(条幅!$G$11:$G$310,439-COUNTA(半紙!$B$11:$B$310)),IF(439&lt;=COUNTA(半紙!$B$11:$B$310)+COUNTA(条幅!$B$11:$B$310)+COUNTA(条幅4分の1!$B$11:$B$310),INDEX(条幅4分の1!$G$11:$G$310,439-COUNTA(半紙!$B$11:$B$310)-COUNTA(条幅!$B$11:$B$310)),"")))=0,"",IF(439&lt;=COUNTA(半紙!$B$11:$B$310),INDEX(半紙!$G$11:$G$310,439),IF(439&lt;=COUNTA(半紙!$B$11:$B$310)+COUNTA(条幅!$B$11:$B$310),INDEX(条幅!$G$11:$G$310,439-COUNTA(半紙!$B$11:$B$310)),IF(439&lt;=COUNTA(半紙!$B$11:$B$310)+COUNTA(条幅!$B$11:$B$310)+COUNTA(条幅4分の1!$B$11:$B$310),INDEX(条幅4分の1!$G$11:$G$310,439-COUNTA(半紙!$B$11:$B$310)-COUNTA(条幅!$B$11:$B$310)),""))))</f>
        <v/>
      </c>
      <c r="H444" s="38" t="str">
        <f>IF(IF(439&lt;=COUNTA(半紙!$B$11:$B$310),INDEX(半紙!$H$11:$H$310,439),IF(439&lt;=COUNTA(半紙!$B$11:$B$310)+COUNTA(条幅!$B$11:$B$310),INDEX(条幅!$H$11:$H$310,439-COUNTA(半紙!$B$11:$B$310)),IF(439&lt;=COUNTA(半紙!$B$11:$B$310)+COUNTA(条幅!$B$11:$B$310)+COUNTA(条幅4分の1!$B$11:$B$310),INDEX(条幅4分の1!$H$11:$H$310,439-COUNTA(半紙!$B$11:$B$310)-COUNTA(条幅!$B$11:$B$310)),"")))=0,"",IF(439&lt;=COUNTA(半紙!$B$11:$B$310),INDEX(半紙!$H$11:$H$310,439),IF(439&lt;=COUNTA(半紙!$B$11:$B$310)+COUNTA(条幅!$B$11:$B$310),INDEX(条幅!$H$11:$H$310,439-COUNTA(半紙!$B$11:$B$310)),IF(439&lt;=COUNTA(半紙!$B$11:$B$310)+COUNTA(条幅!$B$11:$B$310)+COUNTA(条幅4分の1!$B$11:$B$310),INDEX(条幅4分の1!$H$11:$H$310,439-COUNTA(半紙!$B$11:$B$310)-COUNTA(条幅!$B$11:$B$310)),""))))</f>
        <v/>
      </c>
      <c r="I444" s="38" t="str">
        <f>IF(IF(439&lt;=COUNTA(半紙!$B$11:$B$310),INDEX(半紙!$I$11:$I$310,439),IF(439&lt;=COUNTA(半紙!$B$11:$B$310)+COUNTA(条幅!$B$11:$B$310),INDEX(条幅!$I$11:$I$310,439-COUNTA(半紙!$B$11:$B$310)),IF(439&lt;=COUNTA(半紙!$B$11:$B$310)+COUNTA(条幅!$B$11:$B$310)+COUNTA(条幅4分の1!$B$11:$B$310),INDEX(条幅4分の1!$I$11:$I$310,439-COUNTA(半紙!$B$11:$B$310)-COUNTA(条幅!$B$11:$B$310)),"")))=0,"",IF(439&lt;=COUNTA(半紙!$B$11:$B$310),INDEX(半紙!$I$11:$I$310,439),IF(439&lt;=COUNTA(半紙!$B$11:$B$310)+COUNTA(条幅!$B$11:$B$310),INDEX(条幅!$I$11:$I$310,439-COUNTA(半紙!$B$11:$B$310)),IF(439&lt;=COUNTA(半紙!$B$11:$B$310)+COUNTA(条幅!$B$11:$B$310)+COUNTA(条幅4分の1!$B$11:$B$310),INDEX(条幅4分の1!$I$11:$I$310,439-COUNTA(半紙!$B$11:$B$310)-COUNTA(条幅!$B$11:$B$310)),""))))</f>
        <v/>
      </c>
      <c r="J444" s="38" t="str">
        <f>IF(IF(439&lt;=COUNTA(半紙!$B$11:$B$310),INDEX(半紙!$J$11:$J$310,439),IF(439&lt;=COUNTA(半紙!$B$11:$B$310)+COUNTA(条幅!$B$11:$B$310),INDEX(条幅!$J$11:$J$310,439-COUNTA(半紙!$B$11:$B$310)),IF(439&lt;=COUNTA(半紙!$B$11:$B$310)+COUNTA(条幅!$B$11:$B$310)+COUNTA(条幅4分の1!$B$11:$B$310),INDEX(条幅4分の1!$J$11:$J$310,439-COUNTA(半紙!$B$11:$B$310)-COUNTA(条幅!$B$11:$B$310)),"")))=0,"",IF(439&lt;=COUNTA(半紙!$B$11:$B$310),INDEX(半紙!$J$11:$J$310,439),IF(439&lt;=COUNTA(半紙!$B$11:$B$310)+COUNTA(条幅!$B$11:$B$310),INDEX(条幅!$J$11:$J$310,439-COUNTA(半紙!$B$11:$B$310)),IF(439&lt;=COUNTA(半紙!$B$11:$B$310)+COUNTA(条幅!$B$11:$B$310)+COUNTA(条幅4分の1!$B$11:$B$310),INDEX(条幅4分の1!$J$11:$J$310,439-COUNTA(半紙!$B$11:$B$310)-COUNTA(条幅!$B$11:$B$310)),""))))</f>
        <v/>
      </c>
      <c r="K444" s="38" t="str">
        <f>IF(IF(439&lt;=COUNTA(半紙!$B$11:$B$310),INDEX(半紙!$K$11:$K$310,439),IF(439&lt;=COUNTA(半紙!$B$11:$B$310)+COUNTA(条幅!$B$11:$B$310),INDEX(条幅!$K$11:$K$310,439-COUNTA(半紙!$B$11:$B$310)),IF(439&lt;=COUNTA(半紙!$B$11:$B$310)+COUNTA(条幅!$B$11:$B$310)+COUNTA(条幅4分の1!$B$11:$B$310),INDEX(条幅4分の1!$K$11:$K$310,439-COUNTA(半紙!$B$11:$B$310)-COUNTA(条幅!$B$11:$B$310)),"")))=0,"",IF(439&lt;=COUNTA(半紙!$B$11:$B$310),INDEX(半紙!$K$11:$K$310,439),IF(439&lt;=COUNTA(半紙!$B$11:$B$310)+COUNTA(条幅!$B$11:$B$310),INDEX(条幅!$K$11:$K$310,439-COUNTA(半紙!$B$11:$B$310)),IF(439&lt;=COUNTA(半紙!$B$11:$B$310)+COUNTA(条幅!$B$11:$B$310)+COUNTA(条幅4分の1!$B$11:$B$310),INDEX(条幅4分の1!$K$11:$K$310,439-COUNTA(半紙!$B$11:$B$310)-COUNTA(条幅!$B$11:$B$310)),""))))</f>
        <v/>
      </c>
      <c r="L444" s="48" t="str">
        <f>IF($B444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439))</f>
        <v/>
      </c>
    </row>
    <row r="445" spans="1:12" ht="15" customHeight="1">
      <c r="A445" s="37" t="str">
        <f>IF(440&lt;=COUNTA(半紙!$B$11:$B$310),"半紙",IF(440&lt;=COUNTA(半紙!$B$11:$B$310)+COUNTA(条幅!$B$11:$B$310),"条幅(半切)",IF(440&lt;=COUNTA(半紙!$B$11:$B$310)+COUNTA(条幅!$B$11:$B$310)+COUNTA(条幅4分の1!$B$11:$B$310),"条幅(1/4)","")))</f>
        <v/>
      </c>
      <c r="B445" s="38" t="str">
        <f>IF(IF(440&lt;=COUNTA(半紙!$B$11:$B$310),INDEX(半紙!$B$11:$B$310,440),IF(440&lt;=COUNTA(半紙!$B$11:$B$310)+COUNTA(条幅!$B$11:$B$310),INDEX(条幅!$B$11:$B$310,440-COUNTA(半紙!$B$11:$B$310)),IF(440&lt;=COUNTA(半紙!$B$11:$B$310)+COUNTA(条幅!$B$11:$B$310)+COUNTA(条幅4分の1!$B$11:$B$310),INDEX(条幅4分の1!$B$11:$B$310,440-COUNTA(半紙!$B$11:$B$310)-COUNTA(条幅!$B$11:$B$310)),"")))=0,"",IF(440&lt;=COUNTA(半紙!$B$11:$B$310),INDEX(半紙!$B$11:$B$310,440),IF(440&lt;=COUNTA(半紙!$B$11:$B$310)+COUNTA(条幅!$B$11:$B$310),INDEX(条幅!$B$11:$B$310,440-COUNTA(半紙!$B$11:$B$310)),IF(440&lt;=COUNTA(半紙!$B$11:$B$310)+COUNTA(条幅!$B$11:$B$310)+COUNTA(条幅4分の1!$B$11:$B$310),INDEX(条幅4分の1!$B$11:$B$310,440-COUNTA(半紙!$B$11:$B$310)-COUNTA(条幅!$B$11:$B$310)),""))))</f>
        <v/>
      </c>
      <c r="C445" s="38" t="str">
        <f>IF(IF(440&lt;=COUNTA(半紙!$B$11:$B$310),INDEX(半紙!$C$11:$C$310,440),IF(440&lt;=COUNTA(半紙!$B$11:$B$310)+COUNTA(条幅!$B$11:$B$310),INDEX(条幅!$C$11:$C$310,440-COUNTA(半紙!$B$11:$B$310)),IF(440&lt;=COUNTA(半紙!$B$11:$B$310)+COUNTA(条幅!$B$11:$B$310)+COUNTA(条幅4分の1!$B$11:$B$310),INDEX(条幅4分の1!$C$11:$C$310,440-COUNTA(半紙!$B$11:$B$310)-COUNTA(条幅!$B$11:$B$310)),"")))=0,"",IF(440&lt;=COUNTA(半紙!$B$11:$B$310),INDEX(半紙!$C$11:$C$310,440),IF(440&lt;=COUNTA(半紙!$B$11:$B$310)+COUNTA(条幅!$B$11:$B$310),INDEX(条幅!$C$11:$C$310,440-COUNTA(半紙!$B$11:$B$310)),IF(440&lt;=COUNTA(半紙!$B$11:$B$310)+COUNTA(条幅!$B$11:$B$310)+COUNTA(条幅4分の1!$B$11:$B$310),INDEX(条幅4分の1!$C$11:$C$310,440-COUNTA(半紙!$B$11:$B$310)-COUNTA(条幅!$B$11:$B$310)),""))))</f>
        <v/>
      </c>
      <c r="D445" s="38" t="str">
        <f>IF(IF(440&lt;=COUNTA(半紙!$B$11:$B$310),INDEX(半紙!$D$11:$D$310,440),IF(440&lt;=COUNTA(半紙!$B$11:$B$310)+COUNTA(条幅!$B$11:$B$310),INDEX(条幅!$D$11:$D$310,440-COUNTA(半紙!$B$11:$B$310)),IF(440&lt;=COUNTA(半紙!$B$11:$B$310)+COUNTA(条幅!$B$11:$B$310)+COUNTA(条幅4分の1!$B$11:$B$310),INDEX(条幅4分の1!$D$11:$D$310,440-COUNTA(半紙!$B$11:$B$310)-COUNTA(条幅!$B$11:$B$310)),"")))=0,"",IF(440&lt;=COUNTA(半紙!$B$11:$B$310),INDEX(半紙!$D$11:$D$310,440),IF(440&lt;=COUNTA(半紙!$B$11:$B$310)+COUNTA(条幅!$B$11:$B$310),INDEX(条幅!$D$11:$D$310,440-COUNTA(半紙!$B$11:$B$310)),IF(440&lt;=COUNTA(半紙!$B$11:$B$310)+COUNTA(条幅!$B$11:$B$310)+COUNTA(条幅4分の1!$B$11:$B$310),INDEX(条幅4分の1!$D$11:$D$310,440-COUNTA(半紙!$B$11:$B$310)-COUNTA(条幅!$B$11:$B$310)),""))))</f>
        <v/>
      </c>
      <c r="E445" s="38" t="str">
        <f>IF(IF(440&lt;=COUNTA(半紙!$B$11:$B$310),INDEX(半紙!$E$11:$E$310,440),IF(440&lt;=COUNTA(半紙!$B$11:$B$310)+COUNTA(条幅!$B$11:$B$310),INDEX(条幅!$E$11:$E$310,440-COUNTA(半紙!$B$11:$B$310)),IF(440&lt;=COUNTA(半紙!$B$11:$B$310)+COUNTA(条幅!$B$11:$B$310)+COUNTA(条幅4分の1!$B$11:$B$310),INDEX(条幅4分の1!$E$11:$E$310,440-COUNTA(半紙!$B$11:$B$310)-COUNTA(条幅!$B$11:$B$310)),"")))=0,"",IF(440&lt;=COUNTA(半紙!$B$11:$B$310),INDEX(半紙!$E$11:$E$310,440),IF(440&lt;=COUNTA(半紙!$B$11:$B$310)+COUNTA(条幅!$B$11:$B$310),INDEX(条幅!$E$11:$E$310,440-COUNTA(半紙!$B$11:$B$310)),IF(440&lt;=COUNTA(半紙!$B$11:$B$310)+COUNTA(条幅!$B$11:$B$310)+COUNTA(条幅4分の1!$B$11:$B$310),INDEX(条幅4分の1!$E$11:$E$310,440-COUNTA(半紙!$B$11:$B$310)-COUNTA(条幅!$B$11:$B$310)),""))))</f>
        <v/>
      </c>
      <c r="F445" s="38" t="str">
        <f>IF(IF(440&lt;=COUNTA(半紙!$B$11:$B$310),INDEX(半紙!$F$11:$F$310,440),IF(440&lt;=COUNTA(半紙!$B$11:$B$310)+COUNTA(条幅!$B$11:$B$310),INDEX(条幅!$F$11:$F$310,440-COUNTA(半紙!$B$11:$B$310)),IF(440&lt;=COUNTA(半紙!$B$11:$B$310)+COUNTA(条幅!$B$11:$B$310)+COUNTA(条幅4分の1!$B$11:$B$310),INDEX(条幅4分の1!$F$11:$F$310,440-COUNTA(半紙!$B$11:$B$310)-COUNTA(条幅!$B$11:$B$310)),"")))=0,"",IF(440&lt;=COUNTA(半紙!$B$11:$B$310),INDEX(半紙!$F$11:$F$310,440),IF(440&lt;=COUNTA(半紙!$B$11:$B$310)+COUNTA(条幅!$B$11:$B$310),INDEX(条幅!$F$11:$F$310,440-COUNTA(半紙!$B$11:$B$310)),IF(440&lt;=COUNTA(半紙!$B$11:$B$310)+COUNTA(条幅!$B$11:$B$310)+COUNTA(条幅4分の1!$B$11:$B$310),INDEX(条幅4分の1!$F$11:$F$310,440-COUNTA(半紙!$B$11:$B$310)-COUNTA(条幅!$B$11:$B$310)),""))))</f>
        <v/>
      </c>
      <c r="G445" s="38" t="str">
        <f>IF(IF(440&lt;=COUNTA(半紙!$B$11:$B$310),INDEX(半紙!$G$11:$G$310,440),IF(440&lt;=COUNTA(半紙!$B$11:$B$310)+COUNTA(条幅!$B$11:$B$310),INDEX(条幅!$G$11:$G$310,440-COUNTA(半紙!$B$11:$B$310)),IF(440&lt;=COUNTA(半紙!$B$11:$B$310)+COUNTA(条幅!$B$11:$B$310)+COUNTA(条幅4分の1!$B$11:$B$310),INDEX(条幅4分の1!$G$11:$G$310,440-COUNTA(半紙!$B$11:$B$310)-COUNTA(条幅!$B$11:$B$310)),"")))=0,"",IF(440&lt;=COUNTA(半紙!$B$11:$B$310),INDEX(半紙!$G$11:$G$310,440),IF(440&lt;=COUNTA(半紙!$B$11:$B$310)+COUNTA(条幅!$B$11:$B$310),INDEX(条幅!$G$11:$G$310,440-COUNTA(半紙!$B$11:$B$310)),IF(440&lt;=COUNTA(半紙!$B$11:$B$310)+COUNTA(条幅!$B$11:$B$310)+COUNTA(条幅4分の1!$B$11:$B$310),INDEX(条幅4分の1!$G$11:$G$310,440-COUNTA(半紙!$B$11:$B$310)-COUNTA(条幅!$B$11:$B$310)),""))))</f>
        <v/>
      </c>
      <c r="H445" s="38" t="str">
        <f>IF(IF(440&lt;=COUNTA(半紙!$B$11:$B$310),INDEX(半紙!$H$11:$H$310,440),IF(440&lt;=COUNTA(半紙!$B$11:$B$310)+COUNTA(条幅!$B$11:$B$310),INDEX(条幅!$H$11:$H$310,440-COUNTA(半紙!$B$11:$B$310)),IF(440&lt;=COUNTA(半紙!$B$11:$B$310)+COUNTA(条幅!$B$11:$B$310)+COUNTA(条幅4分の1!$B$11:$B$310),INDEX(条幅4分の1!$H$11:$H$310,440-COUNTA(半紙!$B$11:$B$310)-COUNTA(条幅!$B$11:$B$310)),"")))=0,"",IF(440&lt;=COUNTA(半紙!$B$11:$B$310),INDEX(半紙!$H$11:$H$310,440),IF(440&lt;=COUNTA(半紙!$B$11:$B$310)+COUNTA(条幅!$B$11:$B$310),INDEX(条幅!$H$11:$H$310,440-COUNTA(半紙!$B$11:$B$310)),IF(440&lt;=COUNTA(半紙!$B$11:$B$310)+COUNTA(条幅!$B$11:$B$310)+COUNTA(条幅4分の1!$B$11:$B$310),INDEX(条幅4分の1!$H$11:$H$310,440-COUNTA(半紙!$B$11:$B$310)-COUNTA(条幅!$B$11:$B$310)),""))))</f>
        <v/>
      </c>
      <c r="I445" s="38" t="str">
        <f>IF(IF(440&lt;=COUNTA(半紙!$B$11:$B$310),INDEX(半紙!$I$11:$I$310,440),IF(440&lt;=COUNTA(半紙!$B$11:$B$310)+COUNTA(条幅!$B$11:$B$310),INDEX(条幅!$I$11:$I$310,440-COUNTA(半紙!$B$11:$B$310)),IF(440&lt;=COUNTA(半紙!$B$11:$B$310)+COUNTA(条幅!$B$11:$B$310)+COUNTA(条幅4分の1!$B$11:$B$310),INDEX(条幅4分の1!$I$11:$I$310,440-COUNTA(半紙!$B$11:$B$310)-COUNTA(条幅!$B$11:$B$310)),"")))=0,"",IF(440&lt;=COUNTA(半紙!$B$11:$B$310),INDEX(半紙!$I$11:$I$310,440),IF(440&lt;=COUNTA(半紙!$B$11:$B$310)+COUNTA(条幅!$B$11:$B$310),INDEX(条幅!$I$11:$I$310,440-COUNTA(半紙!$B$11:$B$310)),IF(440&lt;=COUNTA(半紙!$B$11:$B$310)+COUNTA(条幅!$B$11:$B$310)+COUNTA(条幅4分の1!$B$11:$B$310),INDEX(条幅4分の1!$I$11:$I$310,440-COUNTA(半紙!$B$11:$B$310)-COUNTA(条幅!$B$11:$B$310)),""))))</f>
        <v/>
      </c>
      <c r="J445" s="38" t="str">
        <f>IF(IF(440&lt;=COUNTA(半紙!$B$11:$B$310),INDEX(半紙!$J$11:$J$310,440),IF(440&lt;=COUNTA(半紙!$B$11:$B$310)+COUNTA(条幅!$B$11:$B$310),INDEX(条幅!$J$11:$J$310,440-COUNTA(半紙!$B$11:$B$310)),IF(440&lt;=COUNTA(半紙!$B$11:$B$310)+COUNTA(条幅!$B$11:$B$310)+COUNTA(条幅4分の1!$B$11:$B$310),INDEX(条幅4分の1!$J$11:$J$310,440-COUNTA(半紙!$B$11:$B$310)-COUNTA(条幅!$B$11:$B$310)),"")))=0,"",IF(440&lt;=COUNTA(半紙!$B$11:$B$310),INDEX(半紙!$J$11:$J$310,440),IF(440&lt;=COUNTA(半紙!$B$11:$B$310)+COUNTA(条幅!$B$11:$B$310),INDEX(条幅!$J$11:$J$310,440-COUNTA(半紙!$B$11:$B$310)),IF(440&lt;=COUNTA(半紙!$B$11:$B$310)+COUNTA(条幅!$B$11:$B$310)+COUNTA(条幅4分の1!$B$11:$B$310),INDEX(条幅4分の1!$J$11:$J$310,440-COUNTA(半紙!$B$11:$B$310)-COUNTA(条幅!$B$11:$B$310)),""))))</f>
        <v/>
      </c>
      <c r="K445" s="38" t="str">
        <f>IF(IF(440&lt;=COUNTA(半紙!$B$11:$B$310),INDEX(半紙!$K$11:$K$310,440),IF(440&lt;=COUNTA(半紙!$B$11:$B$310)+COUNTA(条幅!$B$11:$B$310),INDEX(条幅!$K$11:$K$310,440-COUNTA(半紙!$B$11:$B$310)),IF(440&lt;=COUNTA(半紙!$B$11:$B$310)+COUNTA(条幅!$B$11:$B$310)+COUNTA(条幅4分の1!$B$11:$B$310),INDEX(条幅4分の1!$K$11:$K$310,440-COUNTA(半紙!$B$11:$B$310)-COUNTA(条幅!$B$11:$B$310)),"")))=0,"",IF(440&lt;=COUNTA(半紙!$B$11:$B$310),INDEX(半紙!$K$11:$K$310,440),IF(440&lt;=COUNTA(半紙!$B$11:$B$310)+COUNTA(条幅!$B$11:$B$310),INDEX(条幅!$K$11:$K$310,440-COUNTA(半紙!$B$11:$B$310)),IF(440&lt;=COUNTA(半紙!$B$11:$B$310)+COUNTA(条幅!$B$11:$B$310)+COUNTA(条幅4分の1!$B$11:$B$310),INDEX(条幅4分の1!$K$11:$K$310,440-COUNTA(半紙!$B$11:$B$310)-COUNTA(条幅!$B$11:$B$310)),""))))</f>
        <v/>
      </c>
      <c r="L445" s="48" t="str">
        <f>IF($B445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440))</f>
        <v/>
      </c>
    </row>
    <row r="446" spans="1:12" ht="15" customHeight="1">
      <c r="A446" s="37" t="str">
        <f>IF(441&lt;=COUNTA(半紙!$B$11:$B$310),"半紙",IF(441&lt;=COUNTA(半紙!$B$11:$B$310)+COUNTA(条幅!$B$11:$B$310),"条幅(半切)",IF(441&lt;=COUNTA(半紙!$B$11:$B$310)+COUNTA(条幅!$B$11:$B$310)+COUNTA(条幅4分の1!$B$11:$B$310),"条幅(1/4)","")))</f>
        <v/>
      </c>
      <c r="B446" s="38" t="str">
        <f>IF(IF(441&lt;=COUNTA(半紙!$B$11:$B$310),INDEX(半紙!$B$11:$B$310,441),IF(441&lt;=COUNTA(半紙!$B$11:$B$310)+COUNTA(条幅!$B$11:$B$310),INDEX(条幅!$B$11:$B$310,441-COUNTA(半紙!$B$11:$B$310)),IF(441&lt;=COUNTA(半紙!$B$11:$B$310)+COUNTA(条幅!$B$11:$B$310)+COUNTA(条幅4分の1!$B$11:$B$310),INDEX(条幅4分の1!$B$11:$B$310,441-COUNTA(半紙!$B$11:$B$310)-COUNTA(条幅!$B$11:$B$310)),"")))=0,"",IF(441&lt;=COUNTA(半紙!$B$11:$B$310),INDEX(半紙!$B$11:$B$310,441),IF(441&lt;=COUNTA(半紙!$B$11:$B$310)+COUNTA(条幅!$B$11:$B$310),INDEX(条幅!$B$11:$B$310,441-COUNTA(半紙!$B$11:$B$310)),IF(441&lt;=COUNTA(半紙!$B$11:$B$310)+COUNTA(条幅!$B$11:$B$310)+COUNTA(条幅4分の1!$B$11:$B$310),INDEX(条幅4分の1!$B$11:$B$310,441-COUNTA(半紙!$B$11:$B$310)-COUNTA(条幅!$B$11:$B$310)),""))))</f>
        <v/>
      </c>
      <c r="C446" s="38" t="str">
        <f>IF(IF(441&lt;=COUNTA(半紙!$B$11:$B$310),INDEX(半紙!$C$11:$C$310,441),IF(441&lt;=COUNTA(半紙!$B$11:$B$310)+COUNTA(条幅!$B$11:$B$310),INDEX(条幅!$C$11:$C$310,441-COUNTA(半紙!$B$11:$B$310)),IF(441&lt;=COUNTA(半紙!$B$11:$B$310)+COUNTA(条幅!$B$11:$B$310)+COUNTA(条幅4分の1!$B$11:$B$310),INDEX(条幅4分の1!$C$11:$C$310,441-COUNTA(半紙!$B$11:$B$310)-COUNTA(条幅!$B$11:$B$310)),"")))=0,"",IF(441&lt;=COUNTA(半紙!$B$11:$B$310),INDEX(半紙!$C$11:$C$310,441),IF(441&lt;=COUNTA(半紙!$B$11:$B$310)+COUNTA(条幅!$B$11:$B$310),INDEX(条幅!$C$11:$C$310,441-COUNTA(半紙!$B$11:$B$310)),IF(441&lt;=COUNTA(半紙!$B$11:$B$310)+COUNTA(条幅!$B$11:$B$310)+COUNTA(条幅4分の1!$B$11:$B$310),INDEX(条幅4分の1!$C$11:$C$310,441-COUNTA(半紙!$B$11:$B$310)-COUNTA(条幅!$B$11:$B$310)),""))))</f>
        <v/>
      </c>
      <c r="D446" s="38" t="str">
        <f>IF(IF(441&lt;=COUNTA(半紙!$B$11:$B$310),INDEX(半紙!$D$11:$D$310,441),IF(441&lt;=COUNTA(半紙!$B$11:$B$310)+COUNTA(条幅!$B$11:$B$310),INDEX(条幅!$D$11:$D$310,441-COUNTA(半紙!$B$11:$B$310)),IF(441&lt;=COUNTA(半紙!$B$11:$B$310)+COUNTA(条幅!$B$11:$B$310)+COUNTA(条幅4分の1!$B$11:$B$310),INDEX(条幅4分の1!$D$11:$D$310,441-COUNTA(半紙!$B$11:$B$310)-COUNTA(条幅!$B$11:$B$310)),"")))=0,"",IF(441&lt;=COUNTA(半紙!$B$11:$B$310),INDEX(半紙!$D$11:$D$310,441),IF(441&lt;=COUNTA(半紙!$B$11:$B$310)+COUNTA(条幅!$B$11:$B$310),INDEX(条幅!$D$11:$D$310,441-COUNTA(半紙!$B$11:$B$310)),IF(441&lt;=COUNTA(半紙!$B$11:$B$310)+COUNTA(条幅!$B$11:$B$310)+COUNTA(条幅4分の1!$B$11:$B$310),INDEX(条幅4分の1!$D$11:$D$310,441-COUNTA(半紙!$B$11:$B$310)-COUNTA(条幅!$B$11:$B$310)),""))))</f>
        <v/>
      </c>
      <c r="E446" s="38" t="str">
        <f>IF(IF(441&lt;=COUNTA(半紙!$B$11:$B$310),INDEX(半紙!$E$11:$E$310,441),IF(441&lt;=COUNTA(半紙!$B$11:$B$310)+COUNTA(条幅!$B$11:$B$310),INDEX(条幅!$E$11:$E$310,441-COUNTA(半紙!$B$11:$B$310)),IF(441&lt;=COUNTA(半紙!$B$11:$B$310)+COUNTA(条幅!$B$11:$B$310)+COUNTA(条幅4分の1!$B$11:$B$310),INDEX(条幅4分の1!$E$11:$E$310,441-COUNTA(半紙!$B$11:$B$310)-COUNTA(条幅!$B$11:$B$310)),"")))=0,"",IF(441&lt;=COUNTA(半紙!$B$11:$B$310),INDEX(半紙!$E$11:$E$310,441),IF(441&lt;=COUNTA(半紙!$B$11:$B$310)+COUNTA(条幅!$B$11:$B$310),INDEX(条幅!$E$11:$E$310,441-COUNTA(半紙!$B$11:$B$310)),IF(441&lt;=COUNTA(半紙!$B$11:$B$310)+COUNTA(条幅!$B$11:$B$310)+COUNTA(条幅4分の1!$B$11:$B$310),INDEX(条幅4分の1!$E$11:$E$310,441-COUNTA(半紙!$B$11:$B$310)-COUNTA(条幅!$B$11:$B$310)),""))))</f>
        <v/>
      </c>
      <c r="F446" s="38" t="str">
        <f>IF(IF(441&lt;=COUNTA(半紙!$B$11:$B$310),INDEX(半紙!$F$11:$F$310,441),IF(441&lt;=COUNTA(半紙!$B$11:$B$310)+COUNTA(条幅!$B$11:$B$310),INDEX(条幅!$F$11:$F$310,441-COUNTA(半紙!$B$11:$B$310)),IF(441&lt;=COUNTA(半紙!$B$11:$B$310)+COUNTA(条幅!$B$11:$B$310)+COUNTA(条幅4分の1!$B$11:$B$310),INDEX(条幅4分の1!$F$11:$F$310,441-COUNTA(半紙!$B$11:$B$310)-COUNTA(条幅!$B$11:$B$310)),"")))=0,"",IF(441&lt;=COUNTA(半紙!$B$11:$B$310),INDEX(半紙!$F$11:$F$310,441),IF(441&lt;=COUNTA(半紙!$B$11:$B$310)+COUNTA(条幅!$B$11:$B$310),INDEX(条幅!$F$11:$F$310,441-COUNTA(半紙!$B$11:$B$310)),IF(441&lt;=COUNTA(半紙!$B$11:$B$310)+COUNTA(条幅!$B$11:$B$310)+COUNTA(条幅4分の1!$B$11:$B$310),INDEX(条幅4分の1!$F$11:$F$310,441-COUNTA(半紙!$B$11:$B$310)-COUNTA(条幅!$B$11:$B$310)),""))))</f>
        <v/>
      </c>
      <c r="G446" s="38" t="str">
        <f>IF(IF(441&lt;=COUNTA(半紙!$B$11:$B$310),INDEX(半紙!$G$11:$G$310,441),IF(441&lt;=COUNTA(半紙!$B$11:$B$310)+COUNTA(条幅!$B$11:$B$310),INDEX(条幅!$G$11:$G$310,441-COUNTA(半紙!$B$11:$B$310)),IF(441&lt;=COUNTA(半紙!$B$11:$B$310)+COUNTA(条幅!$B$11:$B$310)+COUNTA(条幅4分の1!$B$11:$B$310),INDEX(条幅4分の1!$G$11:$G$310,441-COUNTA(半紙!$B$11:$B$310)-COUNTA(条幅!$B$11:$B$310)),"")))=0,"",IF(441&lt;=COUNTA(半紙!$B$11:$B$310),INDEX(半紙!$G$11:$G$310,441),IF(441&lt;=COUNTA(半紙!$B$11:$B$310)+COUNTA(条幅!$B$11:$B$310),INDEX(条幅!$G$11:$G$310,441-COUNTA(半紙!$B$11:$B$310)),IF(441&lt;=COUNTA(半紙!$B$11:$B$310)+COUNTA(条幅!$B$11:$B$310)+COUNTA(条幅4分の1!$B$11:$B$310),INDEX(条幅4分の1!$G$11:$G$310,441-COUNTA(半紙!$B$11:$B$310)-COUNTA(条幅!$B$11:$B$310)),""))))</f>
        <v/>
      </c>
      <c r="H446" s="38" t="str">
        <f>IF(IF(441&lt;=COUNTA(半紙!$B$11:$B$310),INDEX(半紙!$H$11:$H$310,441),IF(441&lt;=COUNTA(半紙!$B$11:$B$310)+COUNTA(条幅!$B$11:$B$310),INDEX(条幅!$H$11:$H$310,441-COUNTA(半紙!$B$11:$B$310)),IF(441&lt;=COUNTA(半紙!$B$11:$B$310)+COUNTA(条幅!$B$11:$B$310)+COUNTA(条幅4分の1!$B$11:$B$310),INDEX(条幅4分の1!$H$11:$H$310,441-COUNTA(半紙!$B$11:$B$310)-COUNTA(条幅!$B$11:$B$310)),"")))=0,"",IF(441&lt;=COUNTA(半紙!$B$11:$B$310),INDEX(半紙!$H$11:$H$310,441),IF(441&lt;=COUNTA(半紙!$B$11:$B$310)+COUNTA(条幅!$B$11:$B$310),INDEX(条幅!$H$11:$H$310,441-COUNTA(半紙!$B$11:$B$310)),IF(441&lt;=COUNTA(半紙!$B$11:$B$310)+COUNTA(条幅!$B$11:$B$310)+COUNTA(条幅4分の1!$B$11:$B$310),INDEX(条幅4分の1!$H$11:$H$310,441-COUNTA(半紙!$B$11:$B$310)-COUNTA(条幅!$B$11:$B$310)),""))))</f>
        <v/>
      </c>
      <c r="I446" s="38" t="str">
        <f>IF(IF(441&lt;=COUNTA(半紙!$B$11:$B$310),INDEX(半紙!$I$11:$I$310,441),IF(441&lt;=COUNTA(半紙!$B$11:$B$310)+COUNTA(条幅!$B$11:$B$310),INDEX(条幅!$I$11:$I$310,441-COUNTA(半紙!$B$11:$B$310)),IF(441&lt;=COUNTA(半紙!$B$11:$B$310)+COUNTA(条幅!$B$11:$B$310)+COUNTA(条幅4分の1!$B$11:$B$310),INDEX(条幅4分の1!$I$11:$I$310,441-COUNTA(半紙!$B$11:$B$310)-COUNTA(条幅!$B$11:$B$310)),"")))=0,"",IF(441&lt;=COUNTA(半紙!$B$11:$B$310),INDEX(半紙!$I$11:$I$310,441),IF(441&lt;=COUNTA(半紙!$B$11:$B$310)+COUNTA(条幅!$B$11:$B$310),INDEX(条幅!$I$11:$I$310,441-COUNTA(半紙!$B$11:$B$310)),IF(441&lt;=COUNTA(半紙!$B$11:$B$310)+COUNTA(条幅!$B$11:$B$310)+COUNTA(条幅4分の1!$B$11:$B$310),INDEX(条幅4分の1!$I$11:$I$310,441-COUNTA(半紙!$B$11:$B$310)-COUNTA(条幅!$B$11:$B$310)),""))))</f>
        <v/>
      </c>
      <c r="J446" s="38" t="str">
        <f>IF(IF(441&lt;=COUNTA(半紙!$B$11:$B$310),INDEX(半紙!$J$11:$J$310,441),IF(441&lt;=COUNTA(半紙!$B$11:$B$310)+COUNTA(条幅!$B$11:$B$310),INDEX(条幅!$J$11:$J$310,441-COUNTA(半紙!$B$11:$B$310)),IF(441&lt;=COUNTA(半紙!$B$11:$B$310)+COUNTA(条幅!$B$11:$B$310)+COUNTA(条幅4分の1!$B$11:$B$310),INDEX(条幅4分の1!$J$11:$J$310,441-COUNTA(半紙!$B$11:$B$310)-COUNTA(条幅!$B$11:$B$310)),"")))=0,"",IF(441&lt;=COUNTA(半紙!$B$11:$B$310),INDEX(半紙!$J$11:$J$310,441),IF(441&lt;=COUNTA(半紙!$B$11:$B$310)+COUNTA(条幅!$B$11:$B$310),INDEX(条幅!$J$11:$J$310,441-COUNTA(半紙!$B$11:$B$310)),IF(441&lt;=COUNTA(半紙!$B$11:$B$310)+COUNTA(条幅!$B$11:$B$310)+COUNTA(条幅4分の1!$B$11:$B$310),INDEX(条幅4分の1!$J$11:$J$310,441-COUNTA(半紙!$B$11:$B$310)-COUNTA(条幅!$B$11:$B$310)),""))))</f>
        <v/>
      </c>
      <c r="K446" s="38" t="str">
        <f>IF(IF(441&lt;=COUNTA(半紙!$B$11:$B$310),INDEX(半紙!$K$11:$K$310,441),IF(441&lt;=COUNTA(半紙!$B$11:$B$310)+COUNTA(条幅!$B$11:$B$310),INDEX(条幅!$K$11:$K$310,441-COUNTA(半紙!$B$11:$B$310)),IF(441&lt;=COUNTA(半紙!$B$11:$B$310)+COUNTA(条幅!$B$11:$B$310)+COUNTA(条幅4分の1!$B$11:$B$310),INDEX(条幅4分の1!$K$11:$K$310,441-COUNTA(半紙!$B$11:$B$310)-COUNTA(条幅!$B$11:$B$310)),"")))=0,"",IF(441&lt;=COUNTA(半紙!$B$11:$B$310),INDEX(半紙!$K$11:$K$310,441),IF(441&lt;=COUNTA(半紙!$B$11:$B$310)+COUNTA(条幅!$B$11:$B$310),INDEX(条幅!$K$11:$K$310,441-COUNTA(半紙!$B$11:$B$310)),IF(441&lt;=COUNTA(半紙!$B$11:$B$310)+COUNTA(条幅!$B$11:$B$310)+COUNTA(条幅4分の1!$B$11:$B$310),INDEX(条幅4分の1!$K$11:$K$310,441-COUNTA(半紙!$B$11:$B$310)-COUNTA(条幅!$B$11:$B$310)),""))))</f>
        <v/>
      </c>
      <c r="L446" s="48" t="str">
        <f>IF($B446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441))</f>
        <v/>
      </c>
    </row>
    <row r="447" spans="1:12" ht="15" customHeight="1">
      <c r="A447" s="37" t="str">
        <f>IF(442&lt;=COUNTA(半紙!$B$11:$B$310),"半紙",IF(442&lt;=COUNTA(半紙!$B$11:$B$310)+COUNTA(条幅!$B$11:$B$310),"条幅(半切)",IF(442&lt;=COUNTA(半紙!$B$11:$B$310)+COUNTA(条幅!$B$11:$B$310)+COUNTA(条幅4分の1!$B$11:$B$310),"条幅(1/4)","")))</f>
        <v/>
      </c>
      <c r="B447" s="38" t="str">
        <f>IF(IF(442&lt;=COUNTA(半紙!$B$11:$B$310),INDEX(半紙!$B$11:$B$310,442),IF(442&lt;=COUNTA(半紙!$B$11:$B$310)+COUNTA(条幅!$B$11:$B$310),INDEX(条幅!$B$11:$B$310,442-COUNTA(半紙!$B$11:$B$310)),IF(442&lt;=COUNTA(半紙!$B$11:$B$310)+COUNTA(条幅!$B$11:$B$310)+COUNTA(条幅4分の1!$B$11:$B$310),INDEX(条幅4分の1!$B$11:$B$310,442-COUNTA(半紙!$B$11:$B$310)-COUNTA(条幅!$B$11:$B$310)),"")))=0,"",IF(442&lt;=COUNTA(半紙!$B$11:$B$310),INDEX(半紙!$B$11:$B$310,442),IF(442&lt;=COUNTA(半紙!$B$11:$B$310)+COUNTA(条幅!$B$11:$B$310),INDEX(条幅!$B$11:$B$310,442-COUNTA(半紙!$B$11:$B$310)),IF(442&lt;=COUNTA(半紙!$B$11:$B$310)+COUNTA(条幅!$B$11:$B$310)+COUNTA(条幅4分の1!$B$11:$B$310),INDEX(条幅4分の1!$B$11:$B$310,442-COUNTA(半紙!$B$11:$B$310)-COUNTA(条幅!$B$11:$B$310)),""))))</f>
        <v/>
      </c>
      <c r="C447" s="38" t="str">
        <f>IF(IF(442&lt;=COUNTA(半紙!$B$11:$B$310),INDEX(半紙!$C$11:$C$310,442),IF(442&lt;=COUNTA(半紙!$B$11:$B$310)+COUNTA(条幅!$B$11:$B$310),INDEX(条幅!$C$11:$C$310,442-COUNTA(半紙!$B$11:$B$310)),IF(442&lt;=COUNTA(半紙!$B$11:$B$310)+COUNTA(条幅!$B$11:$B$310)+COUNTA(条幅4分の1!$B$11:$B$310),INDEX(条幅4分の1!$C$11:$C$310,442-COUNTA(半紙!$B$11:$B$310)-COUNTA(条幅!$B$11:$B$310)),"")))=0,"",IF(442&lt;=COUNTA(半紙!$B$11:$B$310),INDEX(半紙!$C$11:$C$310,442),IF(442&lt;=COUNTA(半紙!$B$11:$B$310)+COUNTA(条幅!$B$11:$B$310),INDEX(条幅!$C$11:$C$310,442-COUNTA(半紙!$B$11:$B$310)),IF(442&lt;=COUNTA(半紙!$B$11:$B$310)+COUNTA(条幅!$B$11:$B$310)+COUNTA(条幅4分の1!$B$11:$B$310),INDEX(条幅4分の1!$C$11:$C$310,442-COUNTA(半紙!$B$11:$B$310)-COUNTA(条幅!$B$11:$B$310)),""))))</f>
        <v/>
      </c>
      <c r="D447" s="38" t="str">
        <f>IF(IF(442&lt;=COUNTA(半紙!$B$11:$B$310),INDEX(半紙!$D$11:$D$310,442),IF(442&lt;=COUNTA(半紙!$B$11:$B$310)+COUNTA(条幅!$B$11:$B$310),INDEX(条幅!$D$11:$D$310,442-COUNTA(半紙!$B$11:$B$310)),IF(442&lt;=COUNTA(半紙!$B$11:$B$310)+COUNTA(条幅!$B$11:$B$310)+COUNTA(条幅4分の1!$B$11:$B$310),INDEX(条幅4分の1!$D$11:$D$310,442-COUNTA(半紙!$B$11:$B$310)-COUNTA(条幅!$B$11:$B$310)),"")))=0,"",IF(442&lt;=COUNTA(半紙!$B$11:$B$310),INDEX(半紙!$D$11:$D$310,442),IF(442&lt;=COUNTA(半紙!$B$11:$B$310)+COUNTA(条幅!$B$11:$B$310),INDEX(条幅!$D$11:$D$310,442-COUNTA(半紙!$B$11:$B$310)),IF(442&lt;=COUNTA(半紙!$B$11:$B$310)+COUNTA(条幅!$B$11:$B$310)+COUNTA(条幅4分の1!$B$11:$B$310),INDEX(条幅4分の1!$D$11:$D$310,442-COUNTA(半紙!$B$11:$B$310)-COUNTA(条幅!$B$11:$B$310)),""))))</f>
        <v/>
      </c>
      <c r="E447" s="38" t="str">
        <f>IF(IF(442&lt;=COUNTA(半紙!$B$11:$B$310),INDEX(半紙!$E$11:$E$310,442),IF(442&lt;=COUNTA(半紙!$B$11:$B$310)+COUNTA(条幅!$B$11:$B$310),INDEX(条幅!$E$11:$E$310,442-COUNTA(半紙!$B$11:$B$310)),IF(442&lt;=COUNTA(半紙!$B$11:$B$310)+COUNTA(条幅!$B$11:$B$310)+COUNTA(条幅4分の1!$B$11:$B$310),INDEX(条幅4分の1!$E$11:$E$310,442-COUNTA(半紙!$B$11:$B$310)-COUNTA(条幅!$B$11:$B$310)),"")))=0,"",IF(442&lt;=COUNTA(半紙!$B$11:$B$310),INDEX(半紙!$E$11:$E$310,442),IF(442&lt;=COUNTA(半紙!$B$11:$B$310)+COUNTA(条幅!$B$11:$B$310),INDEX(条幅!$E$11:$E$310,442-COUNTA(半紙!$B$11:$B$310)),IF(442&lt;=COUNTA(半紙!$B$11:$B$310)+COUNTA(条幅!$B$11:$B$310)+COUNTA(条幅4分の1!$B$11:$B$310),INDEX(条幅4分の1!$E$11:$E$310,442-COUNTA(半紙!$B$11:$B$310)-COUNTA(条幅!$B$11:$B$310)),""))))</f>
        <v/>
      </c>
      <c r="F447" s="38" t="str">
        <f>IF(IF(442&lt;=COUNTA(半紙!$B$11:$B$310),INDEX(半紙!$F$11:$F$310,442),IF(442&lt;=COUNTA(半紙!$B$11:$B$310)+COUNTA(条幅!$B$11:$B$310),INDEX(条幅!$F$11:$F$310,442-COUNTA(半紙!$B$11:$B$310)),IF(442&lt;=COUNTA(半紙!$B$11:$B$310)+COUNTA(条幅!$B$11:$B$310)+COUNTA(条幅4分の1!$B$11:$B$310),INDEX(条幅4分の1!$F$11:$F$310,442-COUNTA(半紙!$B$11:$B$310)-COUNTA(条幅!$B$11:$B$310)),"")))=0,"",IF(442&lt;=COUNTA(半紙!$B$11:$B$310),INDEX(半紙!$F$11:$F$310,442),IF(442&lt;=COUNTA(半紙!$B$11:$B$310)+COUNTA(条幅!$B$11:$B$310),INDEX(条幅!$F$11:$F$310,442-COUNTA(半紙!$B$11:$B$310)),IF(442&lt;=COUNTA(半紙!$B$11:$B$310)+COUNTA(条幅!$B$11:$B$310)+COUNTA(条幅4分の1!$B$11:$B$310),INDEX(条幅4分の1!$F$11:$F$310,442-COUNTA(半紙!$B$11:$B$310)-COUNTA(条幅!$B$11:$B$310)),""))))</f>
        <v/>
      </c>
      <c r="G447" s="38" t="str">
        <f>IF(IF(442&lt;=COUNTA(半紙!$B$11:$B$310),INDEX(半紙!$G$11:$G$310,442),IF(442&lt;=COUNTA(半紙!$B$11:$B$310)+COUNTA(条幅!$B$11:$B$310),INDEX(条幅!$G$11:$G$310,442-COUNTA(半紙!$B$11:$B$310)),IF(442&lt;=COUNTA(半紙!$B$11:$B$310)+COUNTA(条幅!$B$11:$B$310)+COUNTA(条幅4分の1!$B$11:$B$310),INDEX(条幅4分の1!$G$11:$G$310,442-COUNTA(半紙!$B$11:$B$310)-COUNTA(条幅!$B$11:$B$310)),"")))=0,"",IF(442&lt;=COUNTA(半紙!$B$11:$B$310),INDEX(半紙!$G$11:$G$310,442),IF(442&lt;=COUNTA(半紙!$B$11:$B$310)+COUNTA(条幅!$B$11:$B$310),INDEX(条幅!$G$11:$G$310,442-COUNTA(半紙!$B$11:$B$310)),IF(442&lt;=COUNTA(半紙!$B$11:$B$310)+COUNTA(条幅!$B$11:$B$310)+COUNTA(条幅4分の1!$B$11:$B$310),INDEX(条幅4分の1!$G$11:$G$310,442-COUNTA(半紙!$B$11:$B$310)-COUNTA(条幅!$B$11:$B$310)),""))))</f>
        <v/>
      </c>
      <c r="H447" s="38" t="str">
        <f>IF(IF(442&lt;=COUNTA(半紙!$B$11:$B$310),INDEX(半紙!$H$11:$H$310,442),IF(442&lt;=COUNTA(半紙!$B$11:$B$310)+COUNTA(条幅!$B$11:$B$310),INDEX(条幅!$H$11:$H$310,442-COUNTA(半紙!$B$11:$B$310)),IF(442&lt;=COUNTA(半紙!$B$11:$B$310)+COUNTA(条幅!$B$11:$B$310)+COUNTA(条幅4分の1!$B$11:$B$310),INDEX(条幅4分の1!$H$11:$H$310,442-COUNTA(半紙!$B$11:$B$310)-COUNTA(条幅!$B$11:$B$310)),"")))=0,"",IF(442&lt;=COUNTA(半紙!$B$11:$B$310),INDEX(半紙!$H$11:$H$310,442),IF(442&lt;=COUNTA(半紙!$B$11:$B$310)+COUNTA(条幅!$B$11:$B$310),INDEX(条幅!$H$11:$H$310,442-COUNTA(半紙!$B$11:$B$310)),IF(442&lt;=COUNTA(半紙!$B$11:$B$310)+COUNTA(条幅!$B$11:$B$310)+COUNTA(条幅4分の1!$B$11:$B$310),INDEX(条幅4分の1!$H$11:$H$310,442-COUNTA(半紙!$B$11:$B$310)-COUNTA(条幅!$B$11:$B$310)),""))))</f>
        <v/>
      </c>
      <c r="I447" s="38" t="str">
        <f>IF(IF(442&lt;=COUNTA(半紙!$B$11:$B$310),INDEX(半紙!$I$11:$I$310,442),IF(442&lt;=COUNTA(半紙!$B$11:$B$310)+COUNTA(条幅!$B$11:$B$310),INDEX(条幅!$I$11:$I$310,442-COUNTA(半紙!$B$11:$B$310)),IF(442&lt;=COUNTA(半紙!$B$11:$B$310)+COUNTA(条幅!$B$11:$B$310)+COUNTA(条幅4分の1!$B$11:$B$310),INDEX(条幅4分の1!$I$11:$I$310,442-COUNTA(半紙!$B$11:$B$310)-COUNTA(条幅!$B$11:$B$310)),"")))=0,"",IF(442&lt;=COUNTA(半紙!$B$11:$B$310),INDEX(半紙!$I$11:$I$310,442),IF(442&lt;=COUNTA(半紙!$B$11:$B$310)+COUNTA(条幅!$B$11:$B$310),INDEX(条幅!$I$11:$I$310,442-COUNTA(半紙!$B$11:$B$310)),IF(442&lt;=COUNTA(半紙!$B$11:$B$310)+COUNTA(条幅!$B$11:$B$310)+COUNTA(条幅4分の1!$B$11:$B$310),INDEX(条幅4分の1!$I$11:$I$310,442-COUNTA(半紙!$B$11:$B$310)-COUNTA(条幅!$B$11:$B$310)),""))))</f>
        <v/>
      </c>
      <c r="J447" s="38" t="str">
        <f>IF(IF(442&lt;=COUNTA(半紙!$B$11:$B$310),INDEX(半紙!$J$11:$J$310,442),IF(442&lt;=COUNTA(半紙!$B$11:$B$310)+COUNTA(条幅!$B$11:$B$310),INDEX(条幅!$J$11:$J$310,442-COUNTA(半紙!$B$11:$B$310)),IF(442&lt;=COUNTA(半紙!$B$11:$B$310)+COUNTA(条幅!$B$11:$B$310)+COUNTA(条幅4分の1!$B$11:$B$310),INDEX(条幅4分の1!$J$11:$J$310,442-COUNTA(半紙!$B$11:$B$310)-COUNTA(条幅!$B$11:$B$310)),"")))=0,"",IF(442&lt;=COUNTA(半紙!$B$11:$B$310),INDEX(半紙!$J$11:$J$310,442),IF(442&lt;=COUNTA(半紙!$B$11:$B$310)+COUNTA(条幅!$B$11:$B$310),INDEX(条幅!$J$11:$J$310,442-COUNTA(半紙!$B$11:$B$310)),IF(442&lt;=COUNTA(半紙!$B$11:$B$310)+COUNTA(条幅!$B$11:$B$310)+COUNTA(条幅4分の1!$B$11:$B$310),INDEX(条幅4分の1!$J$11:$J$310,442-COUNTA(半紙!$B$11:$B$310)-COUNTA(条幅!$B$11:$B$310)),""))))</f>
        <v/>
      </c>
      <c r="K447" s="38" t="str">
        <f>IF(IF(442&lt;=COUNTA(半紙!$B$11:$B$310),INDEX(半紙!$K$11:$K$310,442),IF(442&lt;=COUNTA(半紙!$B$11:$B$310)+COUNTA(条幅!$B$11:$B$310),INDEX(条幅!$K$11:$K$310,442-COUNTA(半紙!$B$11:$B$310)),IF(442&lt;=COUNTA(半紙!$B$11:$B$310)+COUNTA(条幅!$B$11:$B$310)+COUNTA(条幅4分の1!$B$11:$B$310),INDEX(条幅4分の1!$K$11:$K$310,442-COUNTA(半紙!$B$11:$B$310)-COUNTA(条幅!$B$11:$B$310)),"")))=0,"",IF(442&lt;=COUNTA(半紙!$B$11:$B$310),INDEX(半紙!$K$11:$K$310,442),IF(442&lt;=COUNTA(半紙!$B$11:$B$310)+COUNTA(条幅!$B$11:$B$310),INDEX(条幅!$K$11:$K$310,442-COUNTA(半紙!$B$11:$B$310)),IF(442&lt;=COUNTA(半紙!$B$11:$B$310)+COUNTA(条幅!$B$11:$B$310)+COUNTA(条幅4分の1!$B$11:$B$310),INDEX(条幅4分の1!$K$11:$K$310,442-COUNTA(半紙!$B$11:$B$310)-COUNTA(条幅!$B$11:$B$310)),""))))</f>
        <v/>
      </c>
      <c r="L447" s="48" t="str">
        <f>IF($B447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442))</f>
        <v/>
      </c>
    </row>
    <row r="448" spans="1:12" ht="15" customHeight="1">
      <c r="A448" s="37" t="str">
        <f>IF(443&lt;=COUNTA(半紙!$B$11:$B$310),"半紙",IF(443&lt;=COUNTA(半紙!$B$11:$B$310)+COUNTA(条幅!$B$11:$B$310),"条幅(半切)",IF(443&lt;=COUNTA(半紙!$B$11:$B$310)+COUNTA(条幅!$B$11:$B$310)+COUNTA(条幅4分の1!$B$11:$B$310),"条幅(1/4)","")))</f>
        <v/>
      </c>
      <c r="B448" s="38" t="str">
        <f>IF(IF(443&lt;=COUNTA(半紙!$B$11:$B$310),INDEX(半紙!$B$11:$B$310,443),IF(443&lt;=COUNTA(半紙!$B$11:$B$310)+COUNTA(条幅!$B$11:$B$310),INDEX(条幅!$B$11:$B$310,443-COUNTA(半紙!$B$11:$B$310)),IF(443&lt;=COUNTA(半紙!$B$11:$B$310)+COUNTA(条幅!$B$11:$B$310)+COUNTA(条幅4分の1!$B$11:$B$310),INDEX(条幅4分の1!$B$11:$B$310,443-COUNTA(半紙!$B$11:$B$310)-COUNTA(条幅!$B$11:$B$310)),"")))=0,"",IF(443&lt;=COUNTA(半紙!$B$11:$B$310),INDEX(半紙!$B$11:$B$310,443),IF(443&lt;=COUNTA(半紙!$B$11:$B$310)+COUNTA(条幅!$B$11:$B$310),INDEX(条幅!$B$11:$B$310,443-COUNTA(半紙!$B$11:$B$310)),IF(443&lt;=COUNTA(半紙!$B$11:$B$310)+COUNTA(条幅!$B$11:$B$310)+COUNTA(条幅4分の1!$B$11:$B$310),INDEX(条幅4分の1!$B$11:$B$310,443-COUNTA(半紙!$B$11:$B$310)-COUNTA(条幅!$B$11:$B$310)),""))))</f>
        <v/>
      </c>
      <c r="C448" s="38" t="str">
        <f>IF(IF(443&lt;=COUNTA(半紙!$B$11:$B$310),INDEX(半紙!$C$11:$C$310,443),IF(443&lt;=COUNTA(半紙!$B$11:$B$310)+COUNTA(条幅!$B$11:$B$310),INDEX(条幅!$C$11:$C$310,443-COUNTA(半紙!$B$11:$B$310)),IF(443&lt;=COUNTA(半紙!$B$11:$B$310)+COUNTA(条幅!$B$11:$B$310)+COUNTA(条幅4分の1!$B$11:$B$310),INDEX(条幅4分の1!$C$11:$C$310,443-COUNTA(半紙!$B$11:$B$310)-COUNTA(条幅!$B$11:$B$310)),"")))=0,"",IF(443&lt;=COUNTA(半紙!$B$11:$B$310),INDEX(半紙!$C$11:$C$310,443),IF(443&lt;=COUNTA(半紙!$B$11:$B$310)+COUNTA(条幅!$B$11:$B$310),INDEX(条幅!$C$11:$C$310,443-COUNTA(半紙!$B$11:$B$310)),IF(443&lt;=COUNTA(半紙!$B$11:$B$310)+COUNTA(条幅!$B$11:$B$310)+COUNTA(条幅4分の1!$B$11:$B$310),INDEX(条幅4分の1!$C$11:$C$310,443-COUNTA(半紙!$B$11:$B$310)-COUNTA(条幅!$B$11:$B$310)),""))))</f>
        <v/>
      </c>
      <c r="D448" s="38" t="str">
        <f>IF(IF(443&lt;=COUNTA(半紙!$B$11:$B$310),INDEX(半紙!$D$11:$D$310,443),IF(443&lt;=COUNTA(半紙!$B$11:$B$310)+COUNTA(条幅!$B$11:$B$310),INDEX(条幅!$D$11:$D$310,443-COUNTA(半紙!$B$11:$B$310)),IF(443&lt;=COUNTA(半紙!$B$11:$B$310)+COUNTA(条幅!$B$11:$B$310)+COUNTA(条幅4分の1!$B$11:$B$310),INDEX(条幅4分の1!$D$11:$D$310,443-COUNTA(半紙!$B$11:$B$310)-COUNTA(条幅!$B$11:$B$310)),"")))=0,"",IF(443&lt;=COUNTA(半紙!$B$11:$B$310),INDEX(半紙!$D$11:$D$310,443),IF(443&lt;=COUNTA(半紙!$B$11:$B$310)+COUNTA(条幅!$B$11:$B$310),INDEX(条幅!$D$11:$D$310,443-COUNTA(半紙!$B$11:$B$310)),IF(443&lt;=COUNTA(半紙!$B$11:$B$310)+COUNTA(条幅!$B$11:$B$310)+COUNTA(条幅4分の1!$B$11:$B$310),INDEX(条幅4分の1!$D$11:$D$310,443-COUNTA(半紙!$B$11:$B$310)-COUNTA(条幅!$B$11:$B$310)),""))))</f>
        <v/>
      </c>
      <c r="E448" s="38" t="str">
        <f>IF(IF(443&lt;=COUNTA(半紙!$B$11:$B$310),INDEX(半紙!$E$11:$E$310,443),IF(443&lt;=COUNTA(半紙!$B$11:$B$310)+COUNTA(条幅!$B$11:$B$310),INDEX(条幅!$E$11:$E$310,443-COUNTA(半紙!$B$11:$B$310)),IF(443&lt;=COUNTA(半紙!$B$11:$B$310)+COUNTA(条幅!$B$11:$B$310)+COUNTA(条幅4分の1!$B$11:$B$310),INDEX(条幅4分の1!$E$11:$E$310,443-COUNTA(半紙!$B$11:$B$310)-COUNTA(条幅!$B$11:$B$310)),"")))=0,"",IF(443&lt;=COUNTA(半紙!$B$11:$B$310),INDEX(半紙!$E$11:$E$310,443),IF(443&lt;=COUNTA(半紙!$B$11:$B$310)+COUNTA(条幅!$B$11:$B$310),INDEX(条幅!$E$11:$E$310,443-COUNTA(半紙!$B$11:$B$310)),IF(443&lt;=COUNTA(半紙!$B$11:$B$310)+COUNTA(条幅!$B$11:$B$310)+COUNTA(条幅4分の1!$B$11:$B$310),INDEX(条幅4分の1!$E$11:$E$310,443-COUNTA(半紙!$B$11:$B$310)-COUNTA(条幅!$B$11:$B$310)),""))))</f>
        <v/>
      </c>
      <c r="F448" s="38" t="str">
        <f>IF(IF(443&lt;=COUNTA(半紙!$B$11:$B$310),INDEX(半紙!$F$11:$F$310,443),IF(443&lt;=COUNTA(半紙!$B$11:$B$310)+COUNTA(条幅!$B$11:$B$310),INDEX(条幅!$F$11:$F$310,443-COUNTA(半紙!$B$11:$B$310)),IF(443&lt;=COUNTA(半紙!$B$11:$B$310)+COUNTA(条幅!$B$11:$B$310)+COUNTA(条幅4分の1!$B$11:$B$310),INDEX(条幅4分の1!$F$11:$F$310,443-COUNTA(半紙!$B$11:$B$310)-COUNTA(条幅!$B$11:$B$310)),"")))=0,"",IF(443&lt;=COUNTA(半紙!$B$11:$B$310),INDEX(半紙!$F$11:$F$310,443),IF(443&lt;=COUNTA(半紙!$B$11:$B$310)+COUNTA(条幅!$B$11:$B$310),INDEX(条幅!$F$11:$F$310,443-COUNTA(半紙!$B$11:$B$310)),IF(443&lt;=COUNTA(半紙!$B$11:$B$310)+COUNTA(条幅!$B$11:$B$310)+COUNTA(条幅4分の1!$B$11:$B$310),INDEX(条幅4分の1!$F$11:$F$310,443-COUNTA(半紙!$B$11:$B$310)-COUNTA(条幅!$B$11:$B$310)),""))))</f>
        <v/>
      </c>
      <c r="G448" s="38" t="str">
        <f>IF(IF(443&lt;=COUNTA(半紙!$B$11:$B$310),INDEX(半紙!$G$11:$G$310,443),IF(443&lt;=COUNTA(半紙!$B$11:$B$310)+COUNTA(条幅!$B$11:$B$310),INDEX(条幅!$G$11:$G$310,443-COUNTA(半紙!$B$11:$B$310)),IF(443&lt;=COUNTA(半紙!$B$11:$B$310)+COUNTA(条幅!$B$11:$B$310)+COUNTA(条幅4分の1!$B$11:$B$310),INDEX(条幅4分の1!$G$11:$G$310,443-COUNTA(半紙!$B$11:$B$310)-COUNTA(条幅!$B$11:$B$310)),"")))=0,"",IF(443&lt;=COUNTA(半紙!$B$11:$B$310),INDEX(半紙!$G$11:$G$310,443),IF(443&lt;=COUNTA(半紙!$B$11:$B$310)+COUNTA(条幅!$B$11:$B$310),INDEX(条幅!$G$11:$G$310,443-COUNTA(半紙!$B$11:$B$310)),IF(443&lt;=COUNTA(半紙!$B$11:$B$310)+COUNTA(条幅!$B$11:$B$310)+COUNTA(条幅4分の1!$B$11:$B$310),INDEX(条幅4分の1!$G$11:$G$310,443-COUNTA(半紙!$B$11:$B$310)-COUNTA(条幅!$B$11:$B$310)),""))))</f>
        <v/>
      </c>
      <c r="H448" s="38" t="str">
        <f>IF(IF(443&lt;=COUNTA(半紙!$B$11:$B$310),INDEX(半紙!$H$11:$H$310,443),IF(443&lt;=COUNTA(半紙!$B$11:$B$310)+COUNTA(条幅!$B$11:$B$310),INDEX(条幅!$H$11:$H$310,443-COUNTA(半紙!$B$11:$B$310)),IF(443&lt;=COUNTA(半紙!$B$11:$B$310)+COUNTA(条幅!$B$11:$B$310)+COUNTA(条幅4分の1!$B$11:$B$310),INDEX(条幅4分の1!$H$11:$H$310,443-COUNTA(半紙!$B$11:$B$310)-COUNTA(条幅!$B$11:$B$310)),"")))=0,"",IF(443&lt;=COUNTA(半紙!$B$11:$B$310),INDEX(半紙!$H$11:$H$310,443),IF(443&lt;=COUNTA(半紙!$B$11:$B$310)+COUNTA(条幅!$B$11:$B$310),INDEX(条幅!$H$11:$H$310,443-COUNTA(半紙!$B$11:$B$310)),IF(443&lt;=COUNTA(半紙!$B$11:$B$310)+COUNTA(条幅!$B$11:$B$310)+COUNTA(条幅4分の1!$B$11:$B$310),INDEX(条幅4分の1!$H$11:$H$310,443-COUNTA(半紙!$B$11:$B$310)-COUNTA(条幅!$B$11:$B$310)),""))))</f>
        <v/>
      </c>
      <c r="I448" s="38" t="str">
        <f>IF(IF(443&lt;=COUNTA(半紙!$B$11:$B$310),INDEX(半紙!$I$11:$I$310,443),IF(443&lt;=COUNTA(半紙!$B$11:$B$310)+COUNTA(条幅!$B$11:$B$310),INDEX(条幅!$I$11:$I$310,443-COUNTA(半紙!$B$11:$B$310)),IF(443&lt;=COUNTA(半紙!$B$11:$B$310)+COUNTA(条幅!$B$11:$B$310)+COUNTA(条幅4分の1!$B$11:$B$310),INDEX(条幅4分の1!$I$11:$I$310,443-COUNTA(半紙!$B$11:$B$310)-COUNTA(条幅!$B$11:$B$310)),"")))=0,"",IF(443&lt;=COUNTA(半紙!$B$11:$B$310),INDEX(半紙!$I$11:$I$310,443),IF(443&lt;=COUNTA(半紙!$B$11:$B$310)+COUNTA(条幅!$B$11:$B$310),INDEX(条幅!$I$11:$I$310,443-COUNTA(半紙!$B$11:$B$310)),IF(443&lt;=COUNTA(半紙!$B$11:$B$310)+COUNTA(条幅!$B$11:$B$310)+COUNTA(条幅4分の1!$B$11:$B$310),INDEX(条幅4分の1!$I$11:$I$310,443-COUNTA(半紙!$B$11:$B$310)-COUNTA(条幅!$B$11:$B$310)),""))))</f>
        <v/>
      </c>
      <c r="J448" s="38" t="str">
        <f>IF(IF(443&lt;=COUNTA(半紙!$B$11:$B$310),INDEX(半紙!$J$11:$J$310,443),IF(443&lt;=COUNTA(半紙!$B$11:$B$310)+COUNTA(条幅!$B$11:$B$310),INDEX(条幅!$J$11:$J$310,443-COUNTA(半紙!$B$11:$B$310)),IF(443&lt;=COUNTA(半紙!$B$11:$B$310)+COUNTA(条幅!$B$11:$B$310)+COUNTA(条幅4分の1!$B$11:$B$310),INDEX(条幅4分の1!$J$11:$J$310,443-COUNTA(半紙!$B$11:$B$310)-COUNTA(条幅!$B$11:$B$310)),"")))=0,"",IF(443&lt;=COUNTA(半紙!$B$11:$B$310),INDEX(半紙!$J$11:$J$310,443),IF(443&lt;=COUNTA(半紙!$B$11:$B$310)+COUNTA(条幅!$B$11:$B$310),INDEX(条幅!$J$11:$J$310,443-COUNTA(半紙!$B$11:$B$310)),IF(443&lt;=COUNTA(半紙!$B$11:$B$310)+COUNTA(条幅!$B$11:$B$310)+COUNTA(条幅4分の1!$B$11:$B$310),INDEX(条幅4分の1!$J$11:$J$310,443-COUNTA(半紙!$B$11:$B$310)-COUNTA(条幅!$B$11:$B$310)),""))))</f>
        <v/>
      </c>
      <c r="K448" s="38" t="str">
        <f>IF(IF(443&lt;=COUNTA(半紙!$B$11:$B$310),INDEX(半紙!$K$11:$K$310,443),IF(443&lt;=COUNTA(半紙!$B$11:$B$310)+COUNTA(条幅!$B$11:$B$310),INDEX(条幅!$K$11:$K$310,443-COUNTA(半紙!$B$11:$B$310)),IF(443&lt;=COUNTA(半紙!$B$11:$B$310)+COUNTA(条幅!$B$11:$B$310)+COUNTA(条幅4分の1!$B$11:$B$310),INDEX(条幅4分の1!$K$11:$K$310,443-COUNTA(半紙!$B$11:$B$310)-COUNTA(条幅!$B$11:$B$310)),"")))=0,"",IF(443&lt;=COUNTA(半紙!$B$11:$B$310),INDEX(半紙!$K$11:$K$310,443),IF(443&lt;=COUNTA(半紙!$B$11:$B$310)+COUNTA(条幅!$B$11:$B$310),INDEX(条幅!$K$11:$K$310,443-COUNTA(半紙!$B$11:$B$310)),IF(443&lt;=COUNTA(半紙!$B$11:$B$310)+COUNTA(条幅!$B$11:$B$310)+COUNTA(条幅4分の1!$B$11:$B$310),INDEX(条幅4分の1!$K$11:$K$310,443-COUNTA(半紙!$B$11:$B$310)-COUNTA(条幅!$B$11:$B$310)),""))))</f>
        <v/>
      </c>
      <c r="L448" s="48" t="str">
        <f>IF($B448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443))</f>
        <v/>
      </c>
    </row>
    <row r="449" spans="1:12" ht="15" customHeight="1">
      <c r="A449" s="37" t="str">
        <f>IF(444&lt;=COUNTA(半紙!$B$11:$B$310),"半紙",IF(444&lt;=COUNTA(半紙!$B$11:$B$310)+COUNTA(条幅!$B$11:$B$310),"条幅(半切)",IF(444&lt;=COUNTA(半紙!$B$11:$B$310)+COUNTA(条幅!$B$11:$B$310)+COUNTA(条幅4分の1!$B$11:$B$310),"条幅(1/4)","")))</f>
        <v/>
      </c>
      <c r="B449" s="38" t="str">
        <f>IF(IF(444&lt;=COUNTA(半紙!$B$11:$B$310),INDEX(半紙!$B$11:$B$310,444),IF(444&lt;=COUNTA(半紙!$B$11:$B$310)+COUNTA(条幅!$B$11:$B$310),INDEX(条幅!$B$11:$B$310,444-COUNTA(半紙!$B$11:$B$310)),IF(444&lt;=COUNTA(半紙!$B$11:$B$310)+COUNTA(条幅!$B$11:$B$310)+COUNTA(条幅4分の1!$B$11:$B$310),INDEX(条幅4分の1!$B$11:$B$310,444-COUNTA(半紙!$B$11:$B$310)-COUNTA(条幅!$B$11:$B$310)),"")))=0,"",IF(444&lt;=COUNTA(半紙!$B$11:$B$310),INDEX(半紙!$B$11:$B$310,444),IF(444&lt;=COUNTA(半紙!$B$11:$B$310)+COUNTA(条幅!$B$11:$B$310),INDEX(条幅!$B$11:$B$310,444-COUNTA(半紙!$B$11:$B$310)),IF(444&lt;=COUNTA(半紙!$B$11:$B$310)+COUNTA(条幅!$B$11:$B$310)+COUNTA(条幅4分の1!$B$11:$B$310),INDEX(条幅4分の1!$B$11:$B$310,444-COUNTA(半紙!$B$11:$B$310)-COUNTA(条幅!$B$11:$B$310)),""))))</f>
        <v/>
      </c>
      <c r="C449" s="38" t="str">
        <f>IF(IF(444&lt;=COUNTA(半紙!$B$11:$B$310),INDEX(半紙!$C$11:$C$310,444),IF(444&lt;=COUNTA(半紙!$B$11:$B$310)+COUNTA(条幅!$B$11:$B$310),INDEX(条幅!$C$11:$C$310,444-COUNTA(半紙!$B$11:$B$310)),IF(444&lt;=COUNTA(半紙!$B$11:$B$310)+COUNTA(条幅!$B$11:$B$310)+COUNTA(条幅4分の1!$B$11:$B$310),INDEX(条幅4分の1!$C$11:$C$310,444-COUNTA(半紙!$B$11:$B$310)-COUNTA(条幅!$B$11:$B$310)),"")))=0,"",IF(444&lt;=COUNTA(半紙!$B$11:$B$310),INDEX(半紙!$C$11:$C$310,444),IF(444&lt;=COUNTA(半紙!$B$11:$B$310)+COUNTA(条幅!$B$11:$B$310),INDEX(条幅!$C$11:$C$310,444-COUNTA(半紙!$B$11:$B$310)),IF(444&lt;=COUNTA(半紙!$B$11:$B$310)+COUNTA(条幅!$B$11:$B$310)+COUNTA(条幅4分の1!$B$11:$B$310),INDEX(条幅4分の1!$C$11:$C$310,444-COUNTA(半紙!$B$11:$B$310)-COUNTA(条幅!$B$11:$B$310)),""))))</f>
        <v/>
      </c>
      <c r="D449" s="38" t="str">
        <f>IF(IF(444&lt;=COUNTA(半紙!$B$11:$B$310),INDEX(半紙!$D$11:$D$310,444),IF(444&lt;=COUNTA(半紙!$B$11:$B$310)+COUNTA(条幅!$B$11:$B$310),INDEX(条幅!$D$11:$D$310,444-COUNTA(半紙!$B$11:$B$310)),IF(444&lt;=COUNTA(半紙!$B$11:$B$310)+COUNTA(条幅!$B$11:$B$310)+COUNTA(条幅4分の1!$B$11:$B$310),INDEX(条幅4分の1!$D$11:$D$310,444-COUNTA(半紙!$B$11:$B$310)-COUNTA(条幅!$B$11:$B$310)),"")))=0,"",IF(444&lt;=COUNTA(半紙!$B$11:$B$310),INDEX(半紙!$D$11:$D$310,444),IF(444&lt;=COUNTA(半紙!$B$11:$B$310)+COUNTA(条幅!$B$11:$B$310),INDEX(条幅!$D$11:$D$310,444-COUNTA(半紙!$B$11:$B$310)),IF(444&lt;=COUNTA(半紙!$B$11:$B$310)+COUNTA(条幅!$B$11:$B$310)+COUNTA(条幅4分の1!$B$11:$B$310),INDEX(条幅4分の1!$D$11:$D$310,444-COUNTA(半紙!$B$11:$B$310)-COUNTA(条幅!$B$11:$B$310)),""))))</f>
        <v/>
      </c>
      <c r="E449" s="38" t="str">
        <f>IF(IF(444&lt;=COUNTA(半紙!$B$11:$B$310),INDEX(半紙!$E$11:$E$310,444),IF(444&lt;=COUNTA(半紙!$B$11:$B$310)+COUNTA(条幅!$B$11:$B$310),INDEX(条幅!$E$11:$E$310,444-COUNTA(半紙!$B$11:$B$310)),IF(444&lt;=COUNTA(半紙!$B$11:$B$310)+COUNTA(条幅!$B$11:$B$310)+COUNTA(条幅4分の1!$B$11:$B$310),INDEX(条幅4分の1!$E$11:$E$310,444-COUNTA(半紙!$B$11:$B$310)-COUNTA(条幅!$B$11:$B$310)),"")))=0,"",IF(444&lt;=COUNTA(半紙!$B$11:$B$310),INDEX(半紙!$E$11:$E$310,444),IF(444&lt;=COUNTA(半紙!$B$11:$B$310)+COUNTA(条幅!$B$11:$B$310),INDEX(条幅!$E$11:$E$310,444-COUNTA(半紙!$B$11:$B$310)),IF(444&lt;=COUNTA(半紙!$B$11:$B$310)+COUNTA(条幅!$B$11:$B$310)+COUNTA(条幅4分の1!$B$11:$B$310),INDEX(条幅4分の1!$E$11:$E$310,444-COUNTA(半紙!$B$11:$B$310)-COUNTA(条幅!$B$11:$B$310)),""))))</f>
        <v/>
      </c>
      <c r="F449" s="38" t="str">
        <f>IF(IF(444&lt;=COUNTA(半紙!$B$11:$B$310),INDEX(半紙!$F$11:$F$310,444),IF(444&lt;=COUNTA(半紙!$B$11:$B$310)+COUNTA(条幅!$B$11:$B$310),INDEX(条幅!$F$11:$F$310,444-COUNTA(半紙!$B$11:$B$310)),IF(444&lt;=COUNTA(半紙!$B$11:$B$310)+COUNTA(条幅!$B$11:$B$310)+COUNTA(条幅4分の1!$B$11:$B$310),INDEX(条幅4分の1!$F$11:$F$310,444-COUNTA(半紙!$B$11:$B$310)-COUNTA(条幅!$B$11:$B$310)),"")))=0,"",IF(444&lt;=COUNTA(半紙!$B$11:$B$310),INDEX(半紙!$F$11:$F$310,444),IF(444&lt;=COUNTA(半紙!$B$11:$B$310)+COUNTA(条幅!$B$11:$B$310),INDEX(条幅!$F$11:$F$310,444-COUNTA(半紙!$B$11:$B$310)),IF(444&lt;=COUNTA(半紙!$B$11:$B$310)+COUNTA(条幅!$B$11:$B$310)+COUNTA(条幅4分の1!$B$11:$B$310),INDEX(条幅4分の1!$F$11:$F$310,444-COUNTA(半紙!$B$11:$B$310)-COUNTA(条幅!$B$11:$B$310)),""))))</f>
        <v/>
      </c>
      <c r="G449" s="38" t="str">
        <f>IF(IF(444&lt;=COUNTA(半紙!$B$11:$B$310),INDEX(半紙!$G$11:$G$310,444),IF(444&lt;=COUNTA(半紙!$B$11:$B$310)+COUNTA(条幅!$B$11:$B$310),INDEX(条幅!$G$11:$G$310,444-COUNTA(半紙!$B$11:$B$310)),IF(444&lt;=COUNTA(半紙!$B$11:$B$310)+COUNTA(条幅!$B$11:$B$310)+COUNTA(条幅4分の1!$B$11:$B$310),INDEX(条幅4分の1!$G$11:$G$310,444-COUNTA(半紙!$B$11:$B$310)-COUNTA(条幅!$B$11:$B$310)),"")))=0,"",IF(444&lt;=COUNTA(半紙!$B$11:$B$310),INDEX(半紙!$G$11:$G$310,444),IF(444&lt;=COUNTA(半紙!$B$11:$B$310)+COUNTA(条幅!$B$11:$B$310),INDEX(条幅!$G$11:$G$310,444-COUNTA(半紙!$B$11:$B$310)),IF(444&lt;=COUNTA(半紙!$B$11:$B$310)+COUNTA(条幅!$B$11:$B$310)+COUNTA(条幅4分の1!$B$11:$B$310),INDEX(条幅4分の1!$G$11:$G$310,444-COUNTA(半紙!$B$11:$B$310)-COUNTA(条幅!$B$11:$B$310)),""))))</f>
        <v/>
      </c>
      <c r="H449" s="38" t="str">
        <f>IF(IF(444&lt;=COUNTA(半紙!$B$11:$B$310),INDEX(半紙!$H$11:$H$310,444),IF(444&lt;=COUNTA(半紙!$B$11:$B$310)+COUNTA(条幅!$B$11:$B$310),INDEX(条幅!$H$11:$H$310,444-COUNTA(半紙!$B$11:$B$310)),IF(444&lt;=COUNTA(半紙!$B$11:$B$310)+COUNTA(条幅!$B$11:$B$310)+COUNTA(条幅4分の1!$B$11:$B$310),INDEX(条幅4分の1!$H$11:$H$310,444-COUNTA(半紙!$B$11:$B$310)-COUNTA(条幅!$B$11:$B$310)),"")))=0,"",IF(444&lt;=COUNTA(半紙!$B$11:$B$310),INDEX(半紙!$H$11:$H$310,444),IF(444&lt;=COUNTA(半紙!$B$11:$B$310)+COUNTA(条幅!$B$11:$B$310),INDEX(条幅!$H$11:$H$310,444-COUNTA(半紙!$B$11:$B$310)),IF(444&lt;=COUNTA(半紙!$B$11:$B$310)+COUNTA(条幅!$B$11:$B$310)+COUNTA(条幅4分の1!$B$11:$B$310),INDEX(条幅4分の1!$H$11:$H$310,444-COUNTA(半紙!$B$11:$B$310)-COUNTA(条幅!$B$11:$B$310)),""))))</f>
        <v/>
      </c>
      <c r="I449" s="38" t="str">
        <f>IF(IF(444&lt;=COUNTA(半紙!$B$11:$B$310),INDEX(半紙!$I$11:$I$310,444),IF(444&lt;=COUNTA(半紙!$B$11:$B$310)+COUNTA(条幅!$B$11:$B$310),INDEX(条幅!$I$11:$I$310,444-COUNTA(半紙!$B$11:$B$310)),IF(444&lt;=COUNTA(半紙!$B$11:$B$310)+COUNTA(条幅!$B$11:$B$310)+COUNTA(条幅4分の1!$B$11:$B$310),INDEX(条幅4分の1!$I$11:$I$310,444-COUNTA(半紙!$B$11:$B$310)-COUNTA(条幅!$B$11:$B$310)),"")))=0,"",IF(444&lt;=COUNTA(半紙!$B$11:$B$310),INDEX(半紙!$I$11:$I$310,444),IF(444&lt;=COUNTA(半紙!$B$11:$B$310)+COUNTA(条幅!$B$11:$B$310),INDEX(条幅!$I$11:$I$310,444-COUNTA(半紙!$B$11:$B$310)),IF(444&lt;=COUNTA(半紙!$B$11:$B$310)+COUNTA(条幅!$B$11:$B$310)+COUNTA(条幅4分の1!$B$11:$B$310),INDEX(条幅4分の1!$I$11:$I$310,444-COUNTA(半紙!$B$11:$B$310)-COUNTA(条幅!$B$11:$B$310)),""))))</f>
        <v/>
      </c>
      <c r="J449" s="38" t="str">
        <f>IF(IF(444&lt;=COUNTA(半紙!$B$11:$B$310),INDEX(半紙!$J$11:$J$310,444),IF(444&lt;=COUNTA(半紙!$B$11:$B$310)+COUNTA(条幅!$B$11:$B$310),INDEX(条幅!$J$11:$J$310,444-COUNTA(半紙!$B$11:$B$310)),IF(444&lt;=COUNTA(半紙!$B$11:$B$310)+COUNTA(条幅!$B$11:$B$310)+COUNTA(条幅4分の1!$B$11:$B$310),INDEX(条幅4分の1!$J$11:$J$310,444-COUNTA(半紙!$B$11:$B$310)-COUNTA(条幅!$B$11:$B$310)),"")))=0,"",IF(444&lt;=COUNTA(半紙!$B$11:$B$310),INDEX(半紙!$J$11:$J$310,444),IF(444&lt;=COUNTA(半紙!$B$11:$B$310)+COUNTA(条幅!$B$11:$B$310),INDEX(条幅!$J$11:$J$310,444-COUNTA(半紙!$B$11:$B$310)),IF(444&lt;=COUNTA(半紙!$B$11:$B$310)+COUNTA(条幅!$B$11:$B$310)+COUNTA(条幅4分の1!$B$11:$B$310),INDEX(条幅4分の1!$J$11:$J$310,444-COUNTA(半紙!$B$11:$B$310)-COUNTA(条幅!$B$11:$B$310)),""))))</f>
        <v/>
      </c>
      <c r="K449" s="38" t="str">
        <f>IF(IF(444&lt;=COUNTA(半紙!$B$11:$B$310),INDEX(半紙!$K$11:$K$310,444),IF(444&lt;=COUNTA(半紙!$B$11:$B$310)+COUNTA(条幅!$B$11:$B$310),INDEX(条幅!$K$11:$K$310,444-COUNTA(半紙!$B$11:$B$310)),IF(444&lt;=COUNTA(半紙!$B$11:$B$310)+COUNTA(条幅!$B$11:$B$310)+COUNTA(条幅4分の1!$B$11:$B$310),INDEX(条幅4分の1!$K$11:$K$310,444-COUNTA(半紙!$B$11:$B$310)-COUNTA(条幅!$B$11:$B$310)),"")))=0,"",IF(444&lt;=COUNTA(半紙!$B$11:$B$310),INDEX(半紙!$K$11:$K$310,444),IF(444&lt;=COUNTA(半紙!$B$11:$B$310)+COUNTA(条幅!$B$11:$B$310),INDEX(条幅!$K$11:$K$310,444-COUNTA(半紙!$B$11:$B$310)),IF(444&lt;=COUNTA(半紙!$B$11:$B$310)+COUNTA(条幅!$B$11:$B$310)+COUNTA(条幅4分の1!$B$11:$B$310),INDEX(条幅4分の1!$K$11:$K$310,444-COUNTA(半紙!$B$11:$B$310)-COUNTA(条幅!$B$11:$B$310)),""))))</f>
        <v/>
      </c>
      <c r="L449" s="48" t="str">
        <f>IF($B449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444))</f>
        <v/>
      </c>
    </row>
    <row r="450" spans="1:12" ht="15" customHeight="1">
      <c r="A450" s="37" t="str">
        <f>IF(445&lt;=COUNTA(半紙!$B$11:$B$310),"半紙",IF(445&lt;=COUNTA(半紙!$B$11:$B$310)+COUNTA(条幅!$B$11:$B$310),"条幅(半切)",IF(445&lt;=COUNTA(半紙!$B$11:$B$310)+COUNTA(条幅!$B$11:$B$310)+COUNTA(条幅4分の1!$B$11:$B$310),"条幅(1/4)","")))</f>
        <v/>
      </c>
      <c r="B450" s="38" t="str">
        <f>IF(IF(445&lt;=COUNTA(半紙!$B$11:$B$310),INDEX(半紙!$B$11:$B$310,445),IF(445&lt;=COUNTA(半紙!$B$11:$B$310)+COUNTA(条幅!$B$11:$B$310),INDEX(条幅!$B$11:$B$310,445-COUNTA(半紙!$B$11:$B$310)),IF(445&lt;=COUNTA(半紙!$B$11:$B$310)+COUNTA(条幅!$B$11:$B$310)+COUNTA(条幅4分の1!$B$11:$B$310),INDEX(条幅4分の1!$B$11:$B$310,445-COUNTA(半紙!$B$11:$B$310)-COUNTA(条幅!$B$11:$B$310)),"")))=0,"",IF(445&lt;=COUNTA(半紙!$B$11:$B$310),INDEX(半紙!$B$11:$B$310,445),IF(445&lt;=COUNTA(半紙!$B$11:$B$310)+COUNTA(条幅!$B$11:$B$310),INDEX(条幅!$B$11:$B$310,445-COUNTA(半紙!$B$11:$B$310)),IF(445&lt;=COUNTA(半紙!$B$11:$B$310)+COUNTA(条幅!$B$11:$B$310)+COUNTA(条幅4分の1!$B$11:$B$310),INDEX(条幅4分の1!$B$11:$B$310,445-COUNTA(半紙!$B$11:$B$310)-COUNTA(条幅!$B$11:$B$310)),""))))</f>
        <v/>
      </c>
      <c r="C450" s="38" t="str">
        <f>IF(IF(445&lt;=COUNTA(半紙!$B$11:$B$310),INDEX(半紙!$C$11:$C$310,445),IF(445&lt;=COUNTA(半紙!$B$11:$B$310)+COUNTA(条幅!$B$11:$B$310),INDEX(条幅!$C$11:$C$310,445-COUNTA(半紙!$B$11:$B$310)),IF(445&lt;=COUNTA(半紙!$B$11:$B$310)+COUNTA(条幅!$B$11:$B$310)+COUNTA(条幅4分の1!$B$11:$B$310),INDEX(条幅4分の1!$C$11:$C$310,445-COUNTA(半紙!$B$11:$B$310)-COUNTA(条幅!$B$11:$B$310)),"")))=0,"",IF(445&lt;=COUNTA(半紙!$B$11:$B$310),INDEX(半紙!$C$11:$C$310,445),IF(445&lt;=COUNTA(半紙!$B$11:$B$310)+COUNTA(条幅!$B$11:$B$310),INDEX(条幅!$C$11:$C$310,445-COUNTA(半紙!$B$11:$B$310)),IF(445&lt;=COUNTA(半紙!$B$11:$B$310)+COUNTA(条幅!$B$11:$B$310)+COUNTA(条幅4分の1!$B$11:$B$310),INDEX(条幅4分の1!$C$11:$C$310,445-COUNTA(半紙!$B$11:$B$310)-COUNTA(条幅!$B$11:$B$310)),""))))</f>
        <v/>
      </c>
      <c r="D450" s="38" t="str">
        <f>IF(IF(445&lt;=COUNTA(半紙!$B$11:$B$310),INDEX(半紙!$D$11:$D$310,445),IF(445&lt;=COUNTA(半紙!$B$11:$B$310)+COUNTA(条幅!$B$11:$B$310),INDEX(条幅!$D$11:$D$310,445-COUNTA(半紙!$B$11:$B$310)),IF(445&lt;=COUNTA(半紙!$B$11:$B$310)+COUNTA(条幅!$B$11:$B$310)+COUNTA(条幅4分の1!$B$11:$B$310),INDEX(条幅4分の1!$D$11:$D$310,445-COUNTA(半紙!$B$11:$B$310)-COUNTA(条幅!$B$11:$B$310)),"")))=0,"",IF(445&lt;=COUNTA(半紙!$B$11:$B$310),INDEX(半紙!$D$11:$D$310,445),IF(445&lt;=COUNTA(半紙!$B$11:$B$310)+COUNTA(条幅!$B$11:$B$310),INDEX(条幅!$D$11:$D$310,445-COUNTA(半紙!$B$11:$B$310)),IF(445&lt;=COUNTA(半紙!$B$11:$B$310)+COUNTA(条幅!$B$11:$B$310)+COUNTA(条幅4分の1!$B$11:$B$310),INDEX(条幅4分の1!$D$11:$D$310,445-COUNTA(半紙!$B$11:$B$310)-COUNTA(条幅!$B$11:$B$310)),""))))</f>
        <v/>
      </c>
      <c r="E450" s="38" t="str">
        <f>IF(IF(445&lt;=COUNTA(半紙!$B$11:$B$310),INDEX(半紙!$E$11:$E$310,445),IF(445&lt;=COUNTA(半紙!$B$11:$B$310)+COUNTA(条幅!$B$11:$B$310),INDEX(条幅!$E$11:$E$310,445-COUNTA(半紙!$B$11:$B$310)),IF(445&lt;=COUNTA(半紙!$B$11:$B$310)+COUNTA(条幅!$B$11:$B$310)+COUNTA(条幅4分の1!$B$11:$B$310),INDEX(条幅4分の1!$E$11:$E$310,445-COUNTA(半紙!$B$11:$B$310)-COUNTA(条幅!$B$11:$B$310)),"")))=0,"",IF(445&lt;=COUNTA(半紙!$B$11:$B$310),INDEX(半紙!$E$11:$E$310,445),IF(445&lt;=COUNTA(半紙!$B$11:$B$310)+COUNTA(条幅!$B$11:$B$310),INDEX(条幅!$E$11:$E$310,445-COUNTA(半紙!$B$11:$B$310)),IF(445&lt;=COUNTA(半紙!$B$11:$B$310)+COUNTA(条幅!$B$11:$B$310)+COUNTA(条幅4分の1!$B$11:$B$310),INDEX(条幅4分の1!$E$11:$E$310,445-COUNTA(半紙!$B$11:$B$310)-COUNTA(条幅!$B$11:$B$310)),""))))</f>
        <v/>
      </c>
      <c r="F450" s="38" t="str">
        <f>IF(IF(445&lt;=COUNTA(半紙!$B$11:$B$310),INDEX(半紙!$F$11:$F$310,445),IF(445&lt;=COUNTA(半紙!$B$11:$B$310)+COUNTA(条幅!$B$11:$B$310),INDEX(条幅!$F$11:$F$310,445-COUNTA(半紙!$B$11:$B$310)),IF(445&lt;=COUNTA(半紙!$B$11:$B$310)+COUNTA(条幅!$B$11:$B$310)+COUNTA(条幅4分の1!$B$11:$B$310),INDEX(条幅4分の1!$F$11:$F$310,445-COUNTA(半紙!$B$11:$B$310)-COUNTA(条幅!$B$11:$B$310)),"")))=0,"",IF(445&lt;=COUNTA(半紙!$B$11:$B$310),INDEX(半紙!$F$11:$F$310,445),IF(445&lt;=COUNTA(半紙!$B$11:$B$310)+COUNTA(条幅!$B$11:$B$310),INDEX(条幅!$F$11:$F$310,445-COUNTA(半紙!$B$11:$B$310)),IF(445&lt;=COUNTA(半紙!$B$11:$B$310)+COUNTA(条幅!$B$11:$B$310)+COUNTA(条幅4分の1!$B$11:$B$310),INDEX(条幅4分の1!$F$11:$F$310,445-COUNTA(半紙!$B$11:$B$310)-COUNTA(条幅!$B$11:$B$310)),""))))</f>
        <v/>
      </c>
      <c r="G450" s="38" t="str">
        <f>IF(IF(445&lt;=COUNTA(半紙!$B$11:$B$310),INDEX(半紙!$G$11:$G$310,445),IF(445&lt;=COUNTA(半紙!$B$11:$B$310)+COUNTA(条幅!$B$11:$B$310),INDEX(条幅!$G$11:$G$310,445-COUNTA(半紙!$B$11:$B$310)),IF(445&lt;=COUNTA(半紙!$B$11:$B$310)+COUNTA(条幅!$B$11:$B$310)+COUNTA(条幅4分の1!$B$11:$B$310),INDEX(条幅4分の1!$G$11:$G$310,445-COUNTA(半紙!$B$11:$B$310)-COUNTA(条幅!$B$11:$B$310)),"")))=0,"",IF(445&lt;=COUNTA(半紙!$B$11:$B$310),INDEX(半紙!$G$11:$G$310,445),IF(445&lt;=COUNTA(半紙!$B$11:$B$310)+COUNTA(条幅!$B$11:$B$310),INDEX(条幅!$G$11:$G$310,445-COUNTA(半紙!$B$11:$B$310)),IF(445&lt;=COUNTA(半紙!$B$11:$B$310)+COUNTA(条幅!$B$11:$B$310)+COUNTA(条幅4分の1!$B$11:$B$310),INDEX(条幅4分の1!$G$11:$G$310,445-COUNTA(半紙!$B$11:$B$310)-COUNTA(条幅!$B$11:$B$310)),""))))</f>
        <v/>
      </c>
      <c r="H450" s="38" t="str">
        <f>IF(IF(445&lt;=COUNTA(半紙!$B$11:$B$310),INDEX(半紙!$H$11:$H$310,445),IF(445&lt;=COUNTA(半紙!$B$11:$B$310)+COUNTA(条幅!$B$11:$B$310),INDEX(条幅!$H$11:$H$310,445-COUNTA(半紙!$B$11:$B$310)),IF(445&lt;=COUNTA(半紙!$B$11:$B$310)+COUNTA(条幅!$B$11:$B$310)+COUNTA(条幅4分の1!$B$11:$B$310),INDEX(条幅4分の1!$H$11:$H$310,445-COUNTA(半紙!$B$11:$B$310)-COUNTA(条幅!$B$11:$B$310)),"")))=0,"",IF(445&lt;=COUNTA(半紙!$B$11:$B$310),INDEX(半紙!$H$11:$H$310,445),IF(445&lt;=COUNTA(半紙!$B$11:$B$310)+COUNTA(条幅!$B$11:$B$310),INDEX(条幅!$H$11:$H$310,445-COUNTA(半紙!$B$11:$B$310)),IF(445&lt;=COUNTA(半紙!$B$11:$B$310)+COUNTA(条幅!$B$11:$B$310)+COUNTA(条幅4分の1!$B$11:$B$310),INDEX(条幅4分の1!$H$11:$H$310,445-COUNTA(半紙!$B$11:$B$310)-COUNTA(条幅!$B$11:$B$310)),""))))</f>
        <v/>
      </c>
      <c r="I450" s="38" t="str">
        <f>IF(IF(445&lt;=COUNTA(半紙!$B$11:$B$310),INDEX(半紙!$I$11:$I$310,445),IF(445&lt;=COUNTA(半紙!$B$11:$B$310)+COUNTA(条幅!$B$11:$B$310),INDEX(条幅!$I$11:$I$310,445-COUNTA(半紙!$B$11:$B$310)),IF(445&lt;=COUNTA(半紙!$B$11:$B$310)+COUNTA(条幅!$B$11:$B$310)+COUNTA(条幅4分の1!$B$11:$B$310),INDEX(条幅4分の1!$I$11:$I$310,445-COUNTA(半紙!$B$11:$B$310)-COUNTA(条幅!$B$11:$B$310)),"")))=0,"",IF(445&lt;=COUNTA(半紙!$B$11:$B$310),INDEX(半紙!$I$11:$I$310,445),IF(445&lt;=COUNTA(半紙!$B$11:$B$310)+COUNTA(条幅!$B$11:$B$310),INDEX(条幅!$I$11:$I$310,445-COUNTA(半紙!$B$11:$B$310)),IF(445&lt;=COUNTA(半紙!$B$11:$B$310)+COUNTA(条幅!$B$11:$B$310)+COUNTA(条幅4分の1!$B$11:$B$310),INDEX(条幅4分の1!$I$11:$I$310,445-COUNTA(半紙!$B$11:$B$310)-COUNTA(条幅!$B$11:$B$310)),""))))</f>
        <v/>
      </c>
      <c r="J450" s="38" t="str">
        <f>IF(IF(445&lt;=COUNTA(半紙!$B$11:$B$310),INDEX(半紙!$J$11:$J$310,445),IF(445&lt;=COUNTA(半紙!$B$11:$B$310)+COUNTA(条幅!$B$11:$B$310),INDEX(条幅!$J$11:$J$310,445-COUNTA(半紙!$B$11:$B$310)),IF(445&lt;=COUNTA(半紙!$B$11:$B$310)+COUNTA(条幅!$B$11:$B$310)+COUNTA(条幅4分の1!$B$11:$B$310),INDEX(条幅4分の1!$J$11:$J$310,445-COUNTA(半紙!$B$11:$B$310)-COUNTA(条幅!$B$11:$B$310)),"")))=0,"",IF(445&lt;=COUNTA(半紙!$B$11:$B$310),INDEX(半紙!$J$11:$J$310,445),IF(445&lt;=COUNTA(半紙!$B$11:$B$310)+COUNTA(条幅!$B$11:$B$310),INDEX(条幅!$J$11:$J$310,445-COUNTA(半紙!$B$11:$B$310)),IF(445&lt;=COUNTA(半紙!$B$11:$B$310)+COUNTA(条幅!$B$11:$B$310)+COUNTA(条幅4分の1!$B$11:$B$310),INDEX(条幅4分の1!$J$11:$J$310,445-COUNTA(半紙!$B$11:$B$310)-COUNTA(条幅!$B$11:$B$310)),""))))</f>
        <v/>
      </c>
      <c r="K450" s="38" t="str">
        <f>IF(IF(445&lt;=COUNTA(半紙!$B$11:$B$310),INDEX(半紙!$K$11:$K$310,445),IF(445&lt;=COUNTA(半紙!$B$11:$B$310)+COUNTA(条幅!$B$11:$B$310),INDEX(条幅!$K$11:$K$310,445-COUNTA(半紙!$B$11:$B$310)),IF(445&lt;=COUNTA(半紙!$B$11:$B$310)+COUNTA(条幅!$B$11:$B$310)+COUNTA(条幅4分の1!$B$11:$B$310),INDEX(条幅4分の1!$K$11:$K$310,445-COUNTA(半紙!$B$11:$B$310)-COUNTA(条幅!$B$11:$B$310)),"")))=0,"",IF(445&lt;=COUNTA(半紙!$B$11:$B$310),INDEX(半紙!$K$11:$K$310,445),IF(445&lt;=COUNTA(半紙!$B$11:$B$310)+COUNTA(条幅!$B$11:$B$310),INDEX(条幅!$K$11:$K$310,445-COUNTA(半紙!$B$11:$B$310)),IF(445&lt;=COUNTA(半紙!$B$11:$B$310)+COUNTA(条幅!$B$11:$B$310)+COUNTA(条幅4分の1!$B$11:$B$310),INDEX(条幅4分の1!$K$11:$K$310,445-COUNTA(半紙!$B$11:$B$310)-COUNTA(条幅!$B$11:$B$310)),""))))</f>
        <v/>
      </c>
      <c r="L450" s="48" t="str">
        <f>IF($B450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445))</f>
        <v/>
      </c>
    </row>
    <row r="451" spans="1:12" ht="15" customHeight="1">
      <c r="A451" s="37" t="str">
        <f>IF(446&lt;=COUNTA(半紙!$B$11:$B$310),"半紙",IF(446&lt;=COUNTA(半紙!$B$11:$B$310)+COUNTA(条幅!$B$11:$B$310),"条幅(半切)",IF(446&lt;=COUNTA(半紙!$B$11:$B$310)+COUNTA(条幅!$B$11:$B$310)+COUNTA(条幅4分の1!$B$11:$B$310),"条幅(1/4)","")))</f>
        <v/>
      </c>
      <c r="B451" s="38" t="str">
        <f>IF(IF(446&lt;=COUNTA(半紙!$B$11:$B$310),INDEX(半紙!$B$11:$B$310,446),IF(446&lt;=COUNTA(半紙!$B$11:$B$310)+COUNTA(条幅!$B$11:$B$310),INDEX(条幅!$B$11:$B$310,446-COUNTA(半紙!$B$11:$B$310)),IF(446&lt;=COUNTA(半紙!$B$11:$B$310)+COUNTA(条幅!$B$11:$B$310)+COUNTA(条幅4分の1!$B$11:$B$310),INDEX(条幅4分の1!$B$11:$B$310,446-COUNTA(半紙!$B$11:$B$310)-COUNTA(条幅!$B$11:$B$310)),"")))=0,"",IF(446&lt;=COUNTA(半紙!$B$11:$B$310),INDEX(半紙!$B$11:$B$310,446),IF(446&lt;=COUNTA(半紙!$B$11:$B$310)+COUNTA(条幅!$B$11:$B$310),INDEX(条幅!$B$11:$B$310,446-COUNTA(半紙!$B$11:$B$310)),IF(446&lt;=COUNTA(半紙!$B$11:$B$310)+COUNTA(条幅!$B$11:$B$310)+COUNTA(条幅4分の1!$B$11:$B$310),INDEX(条幅4分の1!$B$11:$B$310,446-COUNTA(半紙!$B$11:$B$310)-COUNTA(条幅!$B$11:$B$310)),""))))</f>
        <v/>
      </c>
      <c r="C451" s="38" t="str">
        <f>IF(IF(446&lt;=COUNTA(半紙!$B$11:$B$310),INDEX(半紙!$C$11:$C$310,446),IF(446&lt;=COUNTA(半紙!$B$11:$B$310)+COUNTA(条幅!$B$11:$B$310),INDEX(条幅!$C$11:$C$310,446-COUNTA(半紙!$B$11:$B$310)),IF(446&lt;=COUNTA(半紙!$B$11:$B$310)+COUNTA(条幅!$B$11:$B$310)+COUNTA(条幅4分の1!$B$11:$B$310),INDEX(条幅4分の1!$C$11:$C$310,446-COUNTA(半紙!$B$11:$B$310)-COUNTA(条幅!$B$11:$B$310)),"")))=0,"",IF(446&lt;=COUNTA(半紙!$B$11:$B$310),INDEX(半紙!$C$11:$C$310,446),IF(446&lt;=COUNTA(半紙!$B$11:$B$310)+COUNTA(条幅!$B$11:$B$310),INDEX(条幅!$C$11:$C$310,446-COUNTA(半紙!$B$11:$B$310)),IF(446&lt;=COUNTA(半紙!$B$11:$B$310)+COUNTA(条幅!$B$11:$B$310)+COUNTA(条幅4分の1!$B$11:$B$310),INDEX(条幅4分の1!$C$11:$C$310,446-COUNTA(半紙!$B$11:$B$310)-COUNTA(条幅!$B$11:$B$310)),""))))</f>
        <v/>
      </c>
      <c r="D451" s="38" t="str">
        <f>IF(IF(446&lt;=COUNTA(半紙!$B$11:$B$310),INDEX(半紙!$D$11:$D$310,446),IF(446&lt;=COUNTA(半紙!$B$11:$B$310)+COUNTA(条幅!$B$11:$B$310),INDEX(条幅!$D$11:$D$310,446-COUNTA(半紙!$B$11:$B$310)),IF(446&lt;=COUNTA(半紙!$B$11:$B$310)+COUNTA(条幅!$B$11:$B$310)+COUNTA(条幅4分の1!$B$11:$B$310),INDEX(条幅4分の1!$D$11:$D$310,446-COUNTA(半紙!$B$11:$B$310)-COUNTA(条幅!$B$11:$B$310)),"")))=0,"",IF(446&lt;=COUNTA(半紙!$B$11:$B$310),INDEX(半紙!$D$11:$D$310,446),IF(446&lt;=COUNTA(半紙!$B$11:$B$310)+COUNTA(条幅!$B$11:$B$310),INDEX(条幅!$D$11:$D$310,446-COUNTA(半紙!$B$11:$B$310)),IF(446&lt;=COUNTA(半紙!$B$11:$B$310)+COUNTA(条幅!$B$11:$B$310)+COUNTA(条幅4分の1!$B$11:$B$310),INDEX(条幅4分の1!$D$11:$D$310,446-COUNTA(半紙!$B$11:$B$310)-COUNTA(条幅!$B$11:$B$310)),""))))</f>
        <v/>
      </c>
      <c r="E451" s="38" t="str">
        <f>IF(IF(446&lt;=COUNTA(半紙!$B$11:$B$310),INDEX(半紙!$E$11:$E$310,446),IF(446&lt;=COUNTA(半紙!$B$11:$B$310)+COUNTA(条幅!$B$11:$B$310),INDEX(条幅!$E$11:$E$310,446-COUNTA(半紙!$B$11:$B$310)),IF(446&lt;=COUNTA(半紙!$B$11:$B$310)+COUNTA(条幅!$B$11:$B$310)+COUNTA(条幅4分の1!$B$11:$B$310),INDEX(条幅4分の1!$E$11:$E$310,446-COUNTA(半紙!$B$11:$B$310)-COUNTA(条幅!$B$11:$B$310)),"")))=0,"",IF(446&lt;=COUNTA(半紙!$B$11:$B$310),INDEX(半紙!$E$11:$E$310,446),IF(446&lt;=COUNTA(半紙!$B$11:$B$310)+COUNTA(条幅!$B$11:$B$310),INDEX(条幅!$E$11:$E$310,446-COUNTA(半紙!$B$11:$B$310)),IF(446&lt;=COUNTA(半紙!$B$11:$B$310)+COUNTA(条幅!$B$11:$B$310)+COUNTA(条幅4分の1!$B$11:$B$310),INDEX(条幅4分の1!$E$11:$E$310,446-COUNTA(半紙!$B$11:$B$310)-COUNTA(条幅!$B$11:$B$310)),""))))</f>
        <v/>
      </c>
      <c r="F451" s="38" t="str">
        <f>IF(IF(446&lt;=COUNTA(半紙!$B$11:$B$310),INDEX(半紙!$F$11:$F$310,446),IF(446&lt;=COUNTA(半紙!$B$11:$B$310)+COUNTA(条幅!$B$11:$B$310),INDEX(条幅!$F$11:$F$310,446-COUNTA(半紙!$B$11:$B$310)),IF(446&lt;=COUNTA(半紙!$B$11:$B$310)+COUNTA(条幅!$B$11:$B$310)+COUNTA(条幅4分の1!$B$11:$B$310),INDEX(条幅4分の1!$F$11:$F$310,446-COUNTA(半紙!$B$11:$B$310)-COUNTA(条幅!$B$11:$B$310)),"")))=0,"",IF(446&lt;=COUNTA(半紙!$B$11:$B$310),INDEX(半紙!$F$11:$F$310,446),IF(446&lt;=COUNTA(半紙!$B$11:$B$310)+COUNTA(条幅!$B$11:$B$310),INDEX(条幅!$F$11:$F$310,446-COUNTA(半紙!$B$11:$B$310)),IF(446&lt;=COUNTA(半紙!$B$11:$B$310)+COUNTA(条幅!$B$11:$B$310)+COUNTA(条幅4分の1!$B$11:$B$310),INDEX(条幅4分の1!$F$11:$F$310,446-COUNTA(半紙!$B$11:$B$310)-COUNTA(条幅!$B$11:$B$310)),""))))</f>
        <v/>
      </c>
      <c r="G451" s="38" t="str">
        <f>IF(IF(446&lt;=COUNTA(半紙!$B$11:$B$310),INDEX(半紙!$G$11:$G$310,446),IF(446&lt;=COUNTA(半紙!$B$11:$B$310)+COUNTA(条幅!$B$11:$B$310),INDEX(条幅!$G$11:$G$310,446-COUNTA(半紙!$B$11:$B$310)),IF(446&lt;=COUNTA(半紙!$B$11:$B$310)+COUNTA(条幅!$B$11:$B$310)+COUNTA(条幅4分の1!$B$11:$B$310),INDEX(条幅4分の1!$G$11:$G$310,446-COUNTA(半紙!$B$11:$B$310)-COUNTA(条幅!$B$11:$B$310)),"")))=0,"",IF(446&lt;=COUNTA(半紙!$B$11:$B$310),INDEX(半紙!$G$11:$G$310,446),IF(446&lt;=COUNTA(半紙!$B$11:$B$310)+COUNTA(条幅!$B$11:$B$310),INDEX(条幅!$G$11:$G$310,446-COUNTA(半紙!$B$11:$B$310)),IF(446&lt;=COUNTA(半紙!$B$11:$B$310)+COUNTA(条幅!$B$11:$B$310)+COUNTA(条幅4分の1!$B$11:$B$310),INDEX(条幅4分の1!$G$11:$G$310,446-COUNTA(半紙!$B$11:$B$310)-COUNTA(条幅!$B$11:$B$310)),""))))</f>
        <v/>
      </c>
      <c r="H451" s="38" t="str">
        <f>IF(IF(446&lt;=COUNTA(半紙!$B$11:$B$310),INDEX(半紙!$H$11:$H$310,446),IF(446&lt;=COUNTA(半紙!$B$11:$B$310)+COUNTA(条幅!$B$11:$B$310),INDEX(条幅!$H$11:$H$310,446-COUNTA(半紙!$B$11:$B$310)),IF(446&lt;=COUNTA(半紙!$B$11:$B$310)+COUNTA(条幅!$B$11:$B$310)+COUNTA(条幅4分の1!$B$11:$B$310),INDEX(条幅4分の1!$H$11:$H$310,446-COUNTA(半紙!$B$11:$B$310)-COUNTA(条幅!$B$11:$B$310)),"")))=0,"",IF(446&lt;=COUNTA(半紙!$B$11:$B$310),INDEX(半紙!$H$11:$H$310,446),IF(446&lt;=COUNTA(半紙!$B$11:$B$310)+COUNTA(条幅!$B$11:$B$310),INDEX(条幅!$H$11:$H$310,446-COUNTA(半紙!$B$11:$B$310)),IF(446&lt;=COUNTA(半紙!$B$11:$B$310)+COUNTA(条幅!$B$11:$B$310)+COUNTA(条幅4分の1!$B$11:$B$310),INDEX(条幅4分の1!$H$11:$H$310,446-COUNTA(半紙!$B$11:$B$310)-COUNTA(条幅!$B$11:$B$310)),""))))</f>
        <v/>
      </c>
      <c r="I451" s="38" t="str">
        <f>IF(IF(446&lt;=COUNTA(半紙!$B$11:$B$310),INDEX(半紙!$I$11:$I$310,446),IF(446&lt;=COUNTA(半紙!$B$11:$B$310)+COUNTA(条幅!$B$11:$B$310),INDEX(条幅!$I$11:$I$310,446-COUNTA(半紙!$B$11:$B$310)),IF(446&lt;=COUNTA(半紙!$B$11:$B$310)+COUNTA(条幅!$B$11:$B$310)+COUNTA(条幅4分の1!$B$11:$B$310),INDEX(条幅4分の1!$I$11:$I$310,446-COUNTA(半紙!$B$11:$B$310)-COUNTA(条幅!$B$11:$B$310)),"")))=0,"",IF(446&lt;=COUNTA(半紙!$B$11:$B$310),INDEX(半紙!$I$11:$I$310,446),IF(446&lt;=COUNTA(半紙!$B$11:$B$310)+COUNTA(条幅!$B$11:$B$310),INDEX(条幅!$I$11:$I$310,446-COUNTA(半紙!$B$11:$B$310)),IF(446&lt;=COUNTA(半紙!$B$11:$B$310)+COUNTA(条幅!$B$11:$B$310)+COUNTA(条幅4分の1!$B$11:$B$310),INDEX(条幅4分の1!$I$11:$I$310,446-COUNTA(半紙!$B$11:$B$310)-COUNTA(条幅!$B$11:$B$310)),""))))</f>
        <v/>
      </c>
      <c r="J451" s="38" t="str">
        <f>IF(IF(446&lt;=COUNTA(半紙!$B$11:$B$310),INDEX(半紙!$J$11:$J$310,446),IF(446&lt;=COUNTA(半紙!$B$11:$B$310)+COUNTA(条幅!$B$11:$B$310),INDEX(条幅!$J$11:$J$310,446-COUNTA(半紙!$B$11:$B$310)),IF(446&lt;=COUNTA(半紙!$B$11:$B$310)+COUNTA(条幅!$B$11:$B$310)+COUNTA(条幅4分の1!$B$11:$B$310),INDEX(条幅4分の1!$J$11:$J$310,446-COUNTA(半紙!$B$11:$B$310)-COUNTA(条幅!$B$11:$B$310)),"")))=0,"",IF(446&lt;=COUNTA(半紙!$B$11:$B$310),INDEX(半紙!$J$11:$J$310,446),IF(446&lt;=COUNTA(半紙!$B$11:$B$310)+COUNTA(条幅!$B$11:$B$310),INDEX(条幅!$J$11:$J$310,446-COUNTA(半紙!$B$11:$B$310)),IF(446&lt;=COUNTA(半紙!$B$11:$B$310)+COUNTA(条幅!$B$11:$B$310)+COUNTA(条幅4分の1!$B$11:$B$310),INDEX(条幅4分の1!$J$11:$J$310,446-COUNTA(半紙!$B$11:$B$310)-COUNTA(条幅!$B$11:$B$310)),""))))</f>
        <v/>
      </c>
      <c r="K451" s="38" t="str">
        <f>IF(IF(446&lt;=COUNTA(半紙!$B$11:$B$310),INDEX(半紙!$K$11:$K$310,446),IF(446&lt;=COUNTA(半紙!$B$11:$B$310)+COUNTA(条幅!$B$11:$B$310),INDEX(条幅!$K$11:$K$310,446-COUNTA(半紙!$B$11:$B$310)),IF(446&lt;=COUNTA(半紙!$B$11:$B$310)+COUNTA(条幅!$B$11:$B$310)+COUNTA(条幅4分の1!$B$11:$B$310),INDEX(条幅4分の1!$K$11:$K$310,446-COUNTA(半紙!$B$11:$B$310)-COUNTA(条幅!$B$11:$B$310)),"")))=0,"",IF(446&lt;=COUNTA(半紙!$B$11:$B$310),INDEX(半紙!$K$11:$K$310,446),IF(446&lt;=COUNTA(半紙!$B$11:$B$310)+COUNTA(条幅!$B$11:$B$310),INDEX(条幅!$K$11:$K$310,446-COUNTA(半紙!$B$11:$B$310)),IF(446&lt;=COUNTA(半紙!$B$11:$B$310)+COUNTA(条幅!$B$11:$B$310)+COUNTA(条幅4分の1!$B$11:$B$310),INDEX(条幅4分の1!$K$11:$K$310,446-COUNTA(半紙!$B$11:$B$310)-COUNTA(条幅!$B$11:$B$310)),""))))</f>
        <v/>
      </c>
      <c r="L451" s="48" t="str">
        <f>IF($B451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446))</f>
        <v/>
      </c>
    </row>
    <row r="452" spans="1:12" ht="15" customHeight="1">
      <c r="A452" s="37" t="str">
        <f>IF(447&lt;=COUNTA(半紙!$B$11:$B$310),"半紙",IF(447&lt;=COUNTA(半紙!$B$11:$B$310)+COUNTA(条幅!$B$11:$B$310),"条幅(半切)",IF(447&lt;=COUNTA(半紙!$B$11:$B$310)+COUNTA(条幅!$B$11:$B$310)+COUNTA(条幅4分の1!$B$11:$B$310),"条幅(1/4)","")))</f>
        <v/>
      </c>
      <c r="B452" s="38" t="str">
        <f>IF(IF(447&lt;=COUNTA(半紙!$B$11:$B$310),INDEX(半紙!$B$11:$B$310,447),IF(447&lt;=COUNTA(半紙!$B$11:$B$310)+COUNTA(条幅!$B$11:$B$310),INDEX(条幅!$B$11:$B$310,447-COUNTA(半紙!$B$11:$B$310)),IF(447&lt;=COUNTA(半紙!$B$11:$B$310)+COUNTA(条幅!$B$11:$B$310)+COUNTA(条幅4分の1!$B$11:$B$310),INDEX(条幅4分の1!$B$11:$B$310,447-COUNTA(半紙!$B$11:$B$310)-COUNTA(条幅!$B$11:$B$310)),"")))=0,"",IF(447&lt;=COUNTA(半紙!$B$11:$B$310),INDEX(半紙!$B$11:$B$310,447),IF(447&lt;=COUNTA(半紙!$B$11:$B$310)+COUNTA(条幅!$B$11:$B$310),INDEX(条幅!$B$11:$B$310,447-COUNTA(半紙!$B$11:$B$310)),IF(447&lt;=COUNTA(半紙!$B$11:$B$310)+COUNTA(条幅!$B$11:$B$310)+COUNTA(条幅4分の1!$B$11:$B$310),INDEX(条幅4分の1!$B$11:$B$310,447-COUNTA(半紙!$B$11:$B$310)-COUNTA(条幅!$B$11:$B$310)),""))))</f>
        <v/>
      </c>
      <c r="C452" s="38" t="str">
        <f>IF(IF(447&lt;=COUNTA(半紙!$B$11:$B$310),INDEX(半紙!$C$11:$C$310,447),IF(447&lt;=COUNTA(半紙!$B$11:$B$310)+COUNTA(条幅!$B$11:$B$310),INDEX(条幅!$C$11:$C$310,447-COUNTA(半紙!$B$11:$B$310)),IF(447&lt;=COUNTA(半紙!$B$11:$B$310)+COUNTA(条幅!$B$11:$B$310)+COUNTA(条幅4分の1!$B$11:$B$310),INDEX(条幅4分の1!$C$11:$C$310,447-COUNTA(半紙!$B$11:$B$310)-COUNTA(条幅!$B$11:$B$310)),"")))=0,"",IF(447&lt;=COUNTA(半紙!$B$11:$B$310),INDEX(半紙!$C$11:$C$310,447),IF(447&lt;=COUNTA(半紙!$B$11:$B$310)+COUNTA(条幅!$B$11:$B$310),INDEX(条幅!$C$11:$C$310,447-COUNTA(半紙!$B$11:$B$310)),IF(447&lt;=COUNTA(半紙!$B$11:$B$310)+COUNTA(条幅!$B$11:$B$310)+COUNTA(条幅4分の1!$B$11:$B$310),INDEX(条幅4分の1!$C$11:$C$310,447-COUNTA(半紙!$B$11:$B$310)-COUNTA(条幅!$B$11:$B$310)),""))))</f>
        <v/>
      </c>
      <c r="D452" s="38" t="str">
        <f>IF(IF(447&lt;=COUNTA(半紙!$B$11:$B$310),INDEX(半紙!$D$11:$D$310,447),IF(447&lt;=COUNTA(半紙!$B$11:$B$310)+COUNTA(条幅!$B$11:$B$310),INDEX(条幅!$D$11:$D$310,447-COUNTA(半紙!$B$11:$B$310)),IF(447&lt;=COUNTA(半紙!$B$11:$B$310)+COUNTA(条幅!$B$11:$B$310)+COUNTA(条幅4分の1!$B$11:$B$310),INDEX(条幅4分の1!$D$11:$D$310,447-COUNTA(半紙!$B$11:$B$310)-COUNTA(条幅!$B$11:$B$310)),"")))=0,"",IF(447&lt;=COUNTA(半紙!$B$11:$B$310),INDEX(半紙!$D$11:$D$310,447),IF(447&lt;=COUNTA(半紙!$B$11:$B$310)+COUNTA(条幅!$B$11:$B$310),INDEX(条幅!$D$11:$D$310,447-COUNTA(半紙!$B$11:$B$310)),IF(447&lt;=COUNTA(半紙!$B$11:$B$310)+COUNTA(条幅!$B$11:$B$310)+COUNTA(条幅4分の1!$B$11:$B$310),INDEX(条幅4分の1!$D$11:$D$310,447-COUNTA(半紙!$B$11:$B$310)-COUNTA(条幅!$B$11:$B$310)),""))))</f>
        <v/>
      </c>
      <c r="E452" s="38" t="str">
        <f>IF(IF(447&lt;=COUNTA(半紙!$B$11:$B$310),INDEX(半紙!$E$11:$E$310,447),IF(447&lt;=COUNTA(半紙!$B$11:$B$310)+COUNTA(条幅!$B$11:$B$310),INDEX(条幅!$E$11:$E$310,447-COUNTA(半紙!$B$11:$B$310)),IF(447&lt;=COUNTA(半紙!$B$11:$B$310)+COUNTA(条幅!$B$11:$B$310)+COUNTA(条幅4分の1!$B$11:$B$310),INDEX(条幅4分の1!$E$11:$E$310,447-COUNTA(半紙!$B$11:$B$310)-COUNTA(条幅!$B$11:$B$310)),"")))=0,"",IF(447&lt;=COUNTA(半紙!$B$11:$B$310),INDEX(半紙!$E$11:$E$310,447),IF(447&lt;=COUNTA(半紙!$B$11:$B$310)+COUNTA(条幅!$B$11:$B$310),INDEX(条幅!$E$11:$E$310,447-COUNTA(半紙!$B$11:$B$310)),IF(447&lt;=COUNTA(半紙!$B$11:$B$310)+COUNTA(条幅!$B$11:$B$310)+COUNTA(条幅4分の1!$B$11:$B$310),INDEX(条幅4分の1!$E$11:$E$310,447-COUNTA(半紙!$B$11:$B$310)-COUNTA(条幅!$B$11:$B$310)),""))))</f>
        <v/>
      </c>
      <c r="F452" s="38" t="str">
        <f>IF(IF(447&lt;=COUNTA(半紙!$B$11:$B$310),INDEX(半紙!$F$11:$F$310,447),IF(447&lt;=COUNTA(半紙!$B$11:$B$310)+COUNTA(条幅!$B$11:$B$310),INDEX(条幅!$F$11:$F$310,447-COUNTA(半紙!$B$11:$B$310)),IF(447&lt;=COUNTA(半紙!$B$11:$B$310)+COUNTA(条幅!$B$11:$B$310)+COUNTA(条幅4分の1!$B$11:$B$310),INDEX(条幅4分の1!$F$11:$F$310,447-COUNTA(半紙!$B$11:$B$310)-COUNTA(条幅!$B$11:$B$310)),"")))=0,"",IF(447&lt;=COUNTA(半紙!$B$11:$B$310),INDEX(半紙!$F$11:$F$310,447),IF(447&lt;=COUNTA(半紙!$B$11:$B$310)+COUNTA(条幅!$B$11:$B$310),INDEX(条幅!$F$11:$F$310,447-COUNTA(半紙!$B$11:$B$310)),IF(447&lt;=COUNTA(半紙!$B$11:$B$310)+COUNTA(条幅!$B$11:$B$310)+COUNTA(条幅4分の1!$B$11:$B$310),INDEX(条幅4分の1!$F$11:$F$310,447-COUNTA(半紙!$B$11:$B$310)-COUNTA(条幅!$B$11:$B$310)),""))))</f>
        <v/>
      </c>
      <c r="G452" s="38" t="str">
        <f>IF(IF(447&lt;=COUNTA(半紙!$B$11:$B$310),INDEX(半紙!$G$11:$G$310,447),IF(447&lt;=COUNTA(半紙!$B$11:$B$310)+COUNTA(条幅!$B$11:$B$310),INDEX(条幅!$G$11:$G$310,447-COUNTA(半紙!$B$11:$B$310)),IF(447&lt;=COUNTA(半紙!$B$11:$B$310)+COUNTA(条幅!$B$11:$B$310)+COUNTA(条幅4分の1!$B$11:$B$310),INDEX(条幅4分の1!$G$11:$G$310,447-COUNTA(半紙!$B$11:$B$310)-COUNTA(条幅!$B$11:$B$310)),"")))=0,"",IF(447&lt;=COUNTA(半紙!$B$11:$B$310),INDEX(半紙!$G$11:$G$310,447),IF(447&lt;=COUNTA(半紙!$B$11:$B$310)+COUNTA(条幅!$B$11:$B$310),INDEX(条幅!$G$11:$G$310,447-COUNTA(半紙!$B$11:$B$310)),IF(447&lt;=COUNTA(半紙!$B$11:$B$310)+COUNTA(条幅!$B$11:$B$310)+COUNTA(条幅4分の1!$B$11:$B$310),INDEX(条幅4分の1!$G$11:$G$310,447-COUNTA(半紙!$B$11:$B$310)-COUNTA(条幅!$B$11:$B$310)),""))))</f>
        <v/>
      </c>
      <c r="H452" s="38" t="str">
        <f>IF(IF(447&lt;=COUNTA(半紙!$B$11:$B$310),INDEX(半紙!$H$11:$H$310,447),IF(447&lt;=COUNTA(半紙!$B$11:$B$310)+COUNTA(条幅!$B$11:$B$310),INDEX(条幅!$H$11:$H$310,447-COUNTA(半紙!$B$11:$B$310)),IF(447&lt;=COUNTA(半紙!$B$11:$B$310)+COUNTA(条幅!$B$11:$B$310)+COUNTA(条幅4分の1!$B$11:$B$310),INDEX(条幅4分の1!$H$11:$H$310,447-COUNTA(半紙!$B$11:$B$310)-COUNTA(条幅!$B$11:$B$310)),"")))=0,"",IF(447&lt;=COUNTA(半紙!$B$11:$B$310),INDEX(半紙!$H$11:$H$310,447),IF(447&lt;=COUNTA(半紙!$B$11:$B$310)+COUNTA(条幅!$B$11:$B$310),INDEX(条幅!$H$11:$H$310,447-COUNTA(半紙!$B$11:$B$310)),IF(447&lt;=COUNTA(半紙!$B$11:$B$310)+COUNTA(条幅!$B$11:$B$310)+COUNTA(条幅4分の1!$B$11:$B$310),INDEX(条幅4分の1!$H$11:$H$310,447-COUNTA(半紙!$B$11:$B$310)-COUNTA(条幅!$B$11:$B$310)),""))))</f>
        <v/>
      </c>
      <c r="I452" s="38" t="str">
        <f>IF(IF(447&lt;=COUNTA(半紙!$B$11:$B$310),INDEX(半紙!$I$11:$I$310,447),IF(447&lt;=COUNTA(半紙!$B$11:$B$310)+COUNTA(条幅!$B$11:$B$310),INDEX(条幅!$I$11:$I$310,447-COUNTA(半紙!$B$11:$B$310)),IF(447&lt;=COUNTA(半紙!$B$11:$B$310)+COUNTA(条幅!$B$11:$B$310)+COUNTA(条幅4分の1!$B$11:$B$310),INDEX(条幅4分の1!$I$11:$I$310,447-COUNTA(半紙!$B$11:$B$310)-COUNTA(条幅!$B$11:$B$310)),"")))=0,"",IF(447&lt;=COUNTA(半紙!$B$11:$B$310),INDEX(半紙!$I$11:$I$310,447),IF(447&lt;=COUNTA(半紙!$B$11:$B$310)+COUNTA(条幅!$B$11:$B$310),INDEX(条幅!$I$11:$I$310,447-COUNTA(半紙!$B$11:$B$310)),IF(447&lt;=COUNTA(半紙!$B$11:$B$310)+COUNTA(条幅!$B$11:$B$310)+COUNTA(条幅4分の1!$B$11:$B$310),INDEX(条幅4分の1!$I$11:$I$310,447-COUNTA(半紙!$B$11:$B$310)-COUNTA(条幅!$B$11:$B$310)),""))))</f>
        <v/>
      </c>
      <c r="J452" s="38" t="str">
        <f>IF(IF(447&lt;=COUNTA(半紙!$B$11:$B$310),INDEX(半紙!$J$11:$J$310,447),IF(447&lt;=COUNTA(半紙!$B$11:$B$310)+COUNTA(条幅!$B$11:$B$310),INDEX(条幅!$J$11:$J$310,447-COUNTA(半紙!$B$11:$B$310)),IF(447&lt;=COUNTA(半紙!$B$11:$B$310)+COUNTA(条幅!$B$11:$B$310)+COUNTA(条幅4分の1!$B$11:$B$310),INDEX(条幅4分の1!$J$11:$J$310,447-COUNTA(半紙!$B$11:$B$310)-COUNTA(条幅!$B$11:$B$310)),"")))=0,"",IF(447&lt;=COUNTA(半紙!$B$11:$B$310),INDEX(半紙!$J$11:$J$310,447),IF(447&lt;=COUNTA(半紙!$B$11:$B$310)+COUNTA(条幅!$B$11:$B$310),INDEX(条幅!$J$11:$J$310,447-COUNTA(半紙!$B$11:$B$310)),IF(447&lt;=COUNTA(半紙!$B$11:$B$310)+COUNTA(条幅!$B$11:$B$310)+COUNTA(条幅4分の1!$B$11:$B$310),INDEX(条幅4分の1!$J$11:$J$310,447-COUNTA(半紙!$B$11:$B$310)-COUNTA(条幅!$B$11:$B$310)),""))))</f>
        <v/>
      </c>
      <c r="K452" s="38" t="str">
        <f>IF(IF(447&lt;=COUNTA(半紙!$B$11:$B$310),INDEX(半紙!$K$11:$K$310,447),IF(447&lt;=COUNTA(半紙!$B$11:$B$310)+COUNTA(条幅!$B$11:$B$310),INDEX(条幅!$K$11:$K$310,447-COUNTA(半紙!$B$11:$B$310)),IF(447&lt;=COUNTA(半紙!$B$11:$B$310)+COUNTA(条幅!$B$11:$B$310)+COUNTA(条幅4分の1!$B$11:$B$310),INDEX(条幅4分の1!$K$11:$K$310,447-COUNTA(半紙!$B$11:$B$310)-COUNTA(条幅!$B$11:$B$310)),"")))=0,"",IF(447&lt;=COUNTA(半紙!$B$11:$B$310),INDEX(半紙!$K$11:$K$310,447),IF(447&lt;=COUNTA(半紙!$B$11:$B$310)+COUNTA(条幅!$B$11:$B$310),INDEX(条幅!$K$11:$K$310,447-COUNTA(半紙!$B$11:$B$310)),IF(447&lt;=COUNTA(半紙!$B$11:$B$310)+COUNTA(条幅!$B$11:$B$310)+COUNTA(条幅4分の1!$B$11:$B$310),INDEX(条幅4分の1!$K$11:$K$310,447-COUNTA(半紙!$B$11:$B$310)-COUNTA(条幅!$B$11:$B$310)),""))))</f>
        <v/>
      </c>
      <c r="L452" s="48" t="str">
        <f>IF($B452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447))</f>
        <v/>
      </c>
    </row>
    <row r="453" spans="1:12" ht="15" customHeight="1">
      <c r="A453" s="37" t="str">
        <f>IF(448&lt;=COUNTA(半紙!$B$11:$B$310),"半紙",IF(448&lt;=COUNTA(半紙!$B$11:$B$310)+COUNTA(条幅!$B$11:$B$310),"条幅(半切)",IF(448&lt;=COUNTA(半紙!$B$11:$B$310)+COUNTA(条幅!$B$11:$B$310)+COUNTA(条幅4分の1!$B$11:$B$310),"条幅(1/4)","")))</f>
        <v/>
      </c>
      <c r="B453" s="38" t="str">
        <f>IF(IF(448&lt;=COUNTA(半紙!$B$11:$B$310),INDEX(半紙!$B$11:$B$310,448),IF(448&lt;=COUNTA(半紙!$B$11:$B$310)+COUNTA(条幅!$B$11:$B$310),INDEX(条幅!$B$11:$B$310,448-COUNTA(半紙!$B$11:$B$310)),IF(448&lt;=COUNTA(半紙!$B$11:$B$310)+COUNTA(条幅!$B$11:$B$310)+COUNTA(条幅4分の1!$B$11:$B$310),INDEX(条幅4分の1!$B$11:$B$310,448-COUNTA(半紙!$B$11:$B$310)-COUNTA(条幅!$B$11:$B$310)),"")))=0,"",IF(448&lt;=COUNTA(半紙!$B$11:$B$310),INDEX(半紙!$B$11:$B$310,448),IF(448&lt;=COUNTA(半紙!$B$11:$B$310)+COUNTA(条幅!$B$11:$B$310),INDEX(条幅!$B$11:$B$310,448-COUNTA(半紙!$B$11:$B$310)),IF(448&lt;=COUNTA(半紙!$B$11:$B$310)+COUNTA(条幅!$B$11:$B$310)+COUNTA(条幅4分の1!$B$11:$B$310),INDEX(条幅4分の1!$B$11:$B$310,448-COUNTA(半紙!$B$11:$B$310)-COUNTA(条幅!$B$11:$B$310)),""))))</f>
        <v/>
      </c>
      <c r="C453" s="38" t="str">
        <f>IF(IF(448&lt;=COUNTA(半紙!$B$11:$B$310),INDEX(半紙!$C$11:$C$310,448),IF(448&lt;=COUNTA(半紙!$B$11:$B$310)+COUNTA(条幅!$B$11:$B$310),INDEX(条幅!$C$11:$C$310,448-COUNTA(半紙!$B$11:$B$310)),IF(448&lt;=COUNTA(半紙!$B$11:$B$310)+COUNTA(条幅!$B$11:$B$310)+COUNTA(条幅4分の1!$B$11:$B$310),INDEX(条幅4分の1!$C$11:$C$310,448-COUNTA(半紙!$B$11:$B$310)-COUNTA(条幅!$B$11:$B$310)),"")))=0,"",IF(448&lt;=COUNTA(半紙!$B$11:$B$310),INDEX(半紙!$C$11:$C$310,448),IF(448&lt;=COUNTA(半紙!$B$11:$B$310)+COUNTA(条幅!$B$11:$B$310),INDEX(条幅!$C$11:$C$310,448-COUNTA(半紙!$B$11:$B$310)),IF(448&lt;=COUNTA(半紙!$B$11:$B$310)+COUNTA(条幅!$B$11:$B$310)+COUNTA(条幅4分の1!$B$11:$B$310),INDEX(条幅4分の1!$C$11:$C$310,448-COUNTA(半紙!$B$11:$B$310)-COUNTA(条幅!$B$11:$B$310)),""))))</f>
        <v/>
      </c>
      <c r="D453" s="38" t="str">
        <f>IF(IF(448&lt;=COUNTA(半紙!$B$11:$B$310),INDEX(半紙!$D$11:$D$310,448),IF(448&lt;=COUNTA(半紙!$B$11:$B$310)+COUNTA(条幅!$B$11:$B$310),INDEX(条幅!$D$11:$D$310,448-COUNTA(半紙!$B$11:$B$310)),IF(448&lt;=COUNTA(半紙!$B$11:$B$310)+COUNTA(条幅!$B$11:$B$310)+COUNTA(条幅4分の1!$B$11:$B$310),INDEX(条幅4分の1!$D$11:$D$310,448-COUNTA(半紙!$B$11:$B$310)-COUNTA(条幅!$B$11:$B$310)),"")))=0,"",IF(448&lt;=COUNTA(半紙!$B$11:$B$310),INDEX(半紙!$D$11:$D$310,448),IF(448&lt;=COUNTA(半紙!$B$11:$B$310)+COUNTA(条幅!$B$11:$B$310),INDEX(条幅!$D$11:$D$310,448-COUNTA(半紙!$B$11:$B$310)),IF(448&lt;=COUNTA(半紙!$B$11:$B$310)+COUNTA(条幅!$B$11:$B$310)+COUNTA(条幅4分の1!$B$11:$B$310),INDEX(条幅4分の1!$D$11:$D$310,448-COUNTA(半紙!$B$11:$B$310)-COUNTA(条幅!$B$11:$B$310)),""))))</f>
        <v/>
      </c>
      <c r="E453" s="38" t="str">
        <f>IF(IF(448&lt;=COUNTA(半紙!$B$11:$B$310),INDEX(半紙!$E$11:$E$310,448),IF(448&lt;=COUNTA(半紙!$B$11:$B$310)+COUNTA(条幅!$B$11:$B$310),INDEX(条幅!$E$11:$E$310,448-COUNTA(半紙!$B$11:$B$310)),IF(448&lt;=COUNTA(半紙!$B$11:$B$310)+COUNTA(条幅!$B$11:$B$310)+COUNTA(条幅4分の1!$B$11:$B$310),INDEX(条幅4分の1!$E$11:$E$310,448-COUNTA(半紙!$B$11:$B$310)-COUNTA(条幅!$B$11:$B$310)),"")))=0,"",IF(448&lt;=COUNTA(半紙!$B$11:$B$310),INDEX(半紙!$E$11:$E$310,448),IF(448&lt;=COUNTA(半紙!$B$11:$B$310)+COUNTA(条幅!$B$11:$B$310),INDEX(条幅!$E$11:$E$310,448-COUNTA(半紙!$B$11:$B$310)),IF(448&lt;=COUNTA(半紙!$B$11:$B$310)+COUNTA(条幅!$B$11:$B$310)+COUNTA(条幅4分の1!$B$11:$B$310),INDEX(条幅4分の1!$E$11:$E$310,448-COUNTA(半紙!$B$11:$B$310)-COUNTA(条幅!$B$11:$B$310)),""))))</f>
        <v/>
      </c>
      <c r="F453" s="38" t="str">
        <f>IF(IF(448&lt;=COUNTA(半紙!$B$11:$B$310),INDEX(半紙!$F$11:$F$310,448),IF(448&lt;=COUNTA(半紙!$B$11:$B$310)+COUNTA(条幅!$B$11:$B$310),INDEX(条幅!$F$11:$F$310,448-COUNTA(半紙!$B$11:$B$310)),IF(448&lt;=COUNTA(半紙!$B$11:$B$310)+COUNTA(条幅!$B$11:$B$310)+COUNTA(条幅4分の1!$B$11:$B$310),INDEX(条幅4分の1!$F$11:$F$310,448-COUNTA(半紙!$B$11:$B$310)-COUNTA(条幅!$B$11:$B$310)),"")))=0,"",IF(448&lt;=COUNTA(半紙!$B$11:$B$310),INDEX(半紙!$F$11:$F$310,448),IF(448&lt;=COUNTA(半紙!$B$11:$B$310)+COUNTA(条幅!$B$11:$B$310),INDEX(条幅!$F$11:$F$310,448-COUNTA(半紙!$B$11:$B$310)),IF(448&lt;=COUNTA(半紙!$B$11:$B$310)+COUNTA(条幅!$B$11:$B$310)+COUNTA(条幅4分の1!$B$11:$B$310),INDEX(条幅4分の1!$F$11:$F$310,448-COUNTA(半紙!$B$11:$B$310)-COUNTA(条幅!$B$11:$B$310)),""))))</f>
        <v/>
      </c>
      <c r="G453" s="38" t="str">
        <f>IF(IF(448&lt;=COUNTA(半紙!$B$11:$B$310),INDEX(半紙!$G$11:$G$310,448),IF(448&lt;=COUNTA(半紙!$B$11:$B$310)+COUNTA(条幅!$B$11:$B$310),INDEX(条幅!$G$11:$G$310,448-COUNTA(半紙!$B$11:$B$310)),IF(448&lt;=COUNTA(半紙!$B$11:$B$310)+COUNTA(条幅!$B$11:$B$310)+COUNTA(条幅4分の1!$B$11:$B$310),INDEX(条幅4分の1!$G$11:$G$310,448-COUNTA(半紙!$B$11:$B$310)-COUNTA(条幅!$B$11:$B$310)),"")))=0,"",IF(448&lt;=COUNTA(半紙!$B$11:$B$310),INDEX(半紙!$G$11:$G$310,448),IF(448&lt;=COUNTA(半紙!$B$11:$B$310)+COUNTA(条幅!$B$11:$B$310),INDEX(条幅!$G$11:$G$310,448-COUNTA(半紙!$B$11:$B$310)),IF(448&lt;=COUNTA(半紙!$B$11:$B$310)+COUNTA(条幅!$B$11:$B$310)+COUNTA(条幅4分の1!$B$11:$B$310),INDEX(条幅4分の1!$G$11:$G$310,448-COUNTA(半紙!$B$11:$B$310)-COUNTA(条幅!$B$11:$B$310)),""))))</f>
        <v/>
      </c>
      <c r="H453" s="38" t="str">
        <f>IF(IF(448&lt;=COUNTA(半紙!$B$11:$B$310),INDEX(半紙!$H$11:$H$310,448),IF(448&lt;=COUNTA(半紙!$B$11:$B$310)+COUNTA(条幅!$B$11:$B$310),INDEX(条幅!$H$11:$H$310,448-COUNTA(半紙!$B$11:$B$310)),IF(448&lt;=COUNTA(半紙!$B$11:$B$310)+COUNTA(条幅!$B$11:$B$310)+COUNTA(条幅4分の1!$B$11:$B$310),INDEX(条幅4分の1!$H$11:$H$310,448-COUNTA(半紙!$B$11:$B$310)-COUNTA(条幅!$B$11:$B$310)),"")))=0,"",IF(448&lt;=COUNTA(半紙!$B$11:$B$310),INDEX(半紙!$H$11:$H$310,448),IF(448&lt;=COUNTA(半紙!$B$11:$B$310)+COUNTA(条幅!$B$11:$B$310),INDEX(条幅!$H$11:$H$310,448-COUNTA(半紙!$B$11:$B$310)),IF(448&lt;=COUNTA(半紙!$B$11:$B$310)+COUNTA(条幅!$B$11:$B$310)+COUNTA(条幅4分の1!$B$11:$B$310),INDEX(条幅4分の1!$H$11:$H$310,448-COUNTA(半紙!$B$11:$B$310)-COUNTA(条幅!$B$11:$B$310)),""))))</f>
        <v/>
      </c>
      <c r="I453" s="38" t="str">
        <f>IF(IF(448&lt;=COUNTA(半紙!$B$11:$B$310),INDEX(半紙!$I$11:$I$310,448),IF(448&lt;=COUNTA(半紙!$B$11:$B$310)+COUNTA(条幅!$B$11:$B$310),INDEX(条幅!$I$11:$I$310,448-COUNTA(半紙!$B$11:$B$310)),IF(448&lt;=COUNTA(半紙!$B$11:$B$310)+COUNTA(条幅!$B$11:$B$310)+COUNTA(条幅4分の1!$B$11:$B$310),INDEX(条幅4分の1!$I$11:$I$310,448-COUNTA(半紙!$B$11:$B$310)-COUNTA(条幅!$B$11:$B$310)),"")))=0,"",IF(448&lt;=COUNTA(半紙!$B$11:$B$310),INDEX(半紙!$I$11:$I$310,448),IF(448&lt;=COUNTA(半紙!$B$11:$B$310)+COUNTA(条幅!$B$11:$B$310),INDEX(条幅!$I$11:$I$310,448-COUNTA(半紙!$B$11:$B$310)),IF(448&lt;=COUNTA(半紙!$B$11:$B$310)+COUNTA(条幅!$B$11:$B$310)+COUNTA(条幅4分の1!$B$11:$B$310),INDEX(条幅4分の1!$I$11:$I$310,448-COUNTA(半紙!$B$11:$B$310)-COUNTA(条幅!$B$11:$B$310)),""))))</f>
        <v/>
      </c>
      <c r="J453" s="38" t="str">
        <f>IF(IF(448&lt;=COUNTA(半紙!$B$11:$B$310),INDEX(半紙!$J$11:$J$310,448),IF(448&lt;=COUNTA(半紙!$B$11:$B$310)+COUNTA(条幅!$B$11:$B$310),INDEX(条幅!$J$11:$J$310,448-COUNTA(半紙!$B$11:$B$310)),IF(448&lt;=COUNTA(半紙!$B$11:$B$310)+COUNTA(条幅!$B$11:$B$310)+COUNTA(条幅4分の1!$B$11:$B$310),INDEX(条幅4分の1!$J$11:$J$310,448-COUNTA(半紙!$B$11:$B$310)-COUNTA(条幅!$B$11:$B$310)),"")))=0,"",IF(448&lt;=COUNTA(半紙!$B$11:$B$310),INDEX(半紙!$J$11:$J$310,448),IF(448&lt;=COUNTA(半紙!$B$11:$B$310)+COUNTA(条幅!$B$11:$B$310),INDEX(条幅!$J$11:$J$310,448-COUNTA(半紙!$B$11:$B$310)),IF(448&lt;=COUNTA(半紙!$B$11:$B$310)+COUNTA(条幅!$B$11:$B$310)+COUNTA(条幅4分の1!$B$11:$B$310),INDEX(条幅4分の1!$J$11:$J$310,448-COUNTA(半紙!$B$11:$B$310)-COUNTA(条幅!$B$11:$B$310)),""))))</f>
        <v/>
      </c>
      <c r="K453" s="38" t="str">
        <f>IF(IF(448&lt;=COUNTA(半紙!$B$11:$B$310),INDEX(半紙!$K$11:$K$310,448),IF(448&lt;=COUNTA(半紙!$B$11:$B$310)+COUNTA(条幅!$B$11:$B$310),INDEX(条幅!$K$11:$K$310,448-COUNTA(半紙!$B$11:$B$310)),IF(448&lt;=COUNTA(半紙!$B$11:$B$310)+COUNTA(条幅!$B$11:$B$310)+COUNTA(条幅4分の1!$B$11:$B$310),INDEX(条幅4分の1!$K$11:$K$310,448-COUNTA(半紙!$B$11:$B$310)-COUNTA(条幅!$B$11:$B$310)),"")))=0,"",IF(448&lt;=COUNTA(半紙!$B$11:$B$310),INDEX(半紙!$K$11:$K$310,448),IF(448&lt;=COUNTA(半紙!$B$11:$B$310)+COUNTA(条幅!$B$11:$B$310),INDEX(条幅!$K$11:$K$310,448-COUNTA(半紙!$B$11:$B$310)),IF(448&lt;=COUNTA(半紙!$B$11:$B$310)+COUNTA(条幅!$B$11:$B$310)+COUNTA(条幅4分の1!$B$11:$B$310),INDEX(条幅4分の1!$K$11:$K$310,448-COUNTA(半紙!$B$11:$B$310)-COUNTA(条幅!$B$11:$B$310)),""))))</f>
        <v/>
      </c>
      <c r="L453" s="48" t="str">
        <f>IF($B453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448))</f>
        <v/>
      </c>
    </row>
    <row r="454" spans="1:12" ht="15" customHeight="1">
      <c r="A454" s="37" t="str">
        <f>IF(449&lt;=COUNTA(半紙!$B$11:$B$310),"半紙",IF(449&lt;=COUNTA(半紙!$B$11:$B$310)+COUNTA(条幅!$B$11:$B$310),"条幅(半切)",IF(449&lt;=COUNTA(半紙!$B$11:$B$310)+COUNTA(条幅!$B$11:$B$310)+COUNTA(条幅4分の1!$B$11:$B$310),"条幅(1/4)","")))</f>
        <v/>
      </c>
      <c r="B454" s="38" t="str">
        <f>IF(IF(449&lt;=COUNTA(半紙!$B$11:$B$310),INDEX(半紙!$B$11:$B$310,449),IF(449&lt;=COUNTA(半紙!$B$11:$B$310)+COUNTA(条幅!$B$11:$B$310),INDEX(条幅!$B$11:$B$310,449-COUNTA(半紙!$B$11:$B$310)),IF(449&lt;=COUNTA(半紙!$B$11:$B$310)+COUNTA(条幅!$B$11:$B$310)+COUNTA(条幅4分の1!$B$11:$B$310),INDEX(条幅4分の1!$B$11:$B$310,449-COUNTA(半紙!$B$11:$B$310)-COUNTA(条幅!$B$11:$B$310)),"")))=0,"",IF(449&lt;=COUNTA(半紙!$B$11:$B$310),INDEX(半紙!$B$11:$B$310,449),IF(449&lt;=COUNTA(半紙!$B$11:$B$310)+COUNTA(条幅!$B$11:$B$310),INDEX(条幅!$B$11:$B$310,449-COUNTA(半紙!$B$11:$B$310)),IF(449&lt;=COUNTA(半紙!$B$11:$B$310)+COUNTA(条幅!$B$11:$B$310)+COUNTA(条幅4分の1!$B$11:$B$310),INDEX(条幅4分の1!$B$11:$B$310,449-COUNTA(半紙!$B$11:$B$310)-COUNTA(条幅!$B$11:$B$310)),""))))</f>
        <v/>
      </c>
      <c r="C454" s="38" t="str">
        <f>IF(IF(449&lt;=COUNTA(半紙!$B$11:$B$310),INDEX(半紙!$C$11:$C$310,449),IF(449&lt;=COUNTA(半紙!$B$11:$B$310)+COUNTA(条幅!$B$11:$B$310),INDEX(条幅!$C$11:$C$310,449-COUNTA(半紙!$B$11:$B$310)),IF(449&lt;=COUNTA(半紙!$B$11:$B$310)+COUNTA(条幅!$B$11:$B$310)+COUNTA(条幅4分の1!$B$11:$B$310),INDEX(条幅4分の1!$C$11:$C$310,449-COUNTA(半紙!$B$11:$B$310)-COUNTA(条幅!$B$11:$B$310)),"")))=0,"",IF(449&lt;=COUNTA(半紙!$B$11:$B$310),INDEX(半紙!$C$11:$C$310,449),IF(449&lt;=COUNTA(半紙!$B$11:$B$310)+COUNTA(条幅!$B$11:$B$310),INDEX(条幅!$C$11:$C$310,449-COUNTA(半紙!$B$11:$B$310)),IF(449&lt;=COUNTA(半紙!$B$11:$B$310)+COUNTA(条幅!$B$11:$B$310)+COUNTA(条幅4分の1!$B$11:$B$310),INDEX(条幅4分の1!$C$11:$C$310,449-COUNTA(半紙!$B$11:$B$310)-COUNTA(条幅!$B$11:$B$310)),""))))</f>
        <v/>
      </c>
      <c r="D454" s="38" t="str">
        <f>IF(IF(449&lt;=COUNTA(半紙!$B$11:$B$310),INDEX(半紙!$D$11:$D$310,449),IF(449&lt;=COUNTA(半紙!$B$11:$B$310)+COUNTA(条幅!$B$11:$B$310),INDEX(条幅!$D$11:$D$310,449-COUNTA(半紙!$B$11:$B$310)),IF(449&lt;=COUNTA(半紙!$B$11:$B$310)+COUNTA(条幅!$B$11:$B$310)+COUNTA(条幅4分の1!$B$11:$B$310),INDEX(条幅4分の1!$D$11:$D$310,449-COUNTA(半紙!$B$11:$B$310)-COUNTA(条幅!$B$11:$B$310)),"")))=0,"",IF(449&lt;=COUNTA(半紙!$B$11:$B$310),INDEX(半紙!$D$11:$D$310,449),IF(449&lt;=COUNTA(半紙!$B$11:$B$310)+COUNTA(条幅!$B$11:$B$310),INDEX(条幅!$D$11:$D$310,449-COUNTA(半紙!$B$11:$B$310)),IF(449&lt;=COUNTA(半紙!$B$11:$B$310)+COUNTA(条幅!$B$11:$B$310)+COUNTA(条幅4分の1!$B$11:$B$310),INDEX(条幅4分の1!$D$11:$D$310,449-COUNTA(半紙!$B$11:$B$310)-COUNTA(条幅!$B$11:$B$310)),""))))</f>
        <v/>
      </c>
      <c r="E454" s="38" t="str">
        <f>IF(IF(449&lt;=COUNTA(半紙!$B$11:$B$310),INDEX(半紙!$E$11:$E$310,449),IF(449&lt;=COUNTA(半紙!$B$11:$B$310)+COUNTA(条幅!$B$11:$B$310),INDEX(条幅!$E$11:$E$310,449-COUNTA(半紙!$B$11:$B$310)),IF(449&lt;=COUNTA(半紙!$B$11:$B$310)+COUNTA(条幅!$B$11:$B$310)+COUNTA(条幅4分の1!$B$11:$B$310),INDEX(条幅4分の1!$E$11:$E$310,449-COUNTA(半紙!$B$11:$B$310)-COUNTA(条幅!$B$11:$B$310)),"")))=0,"",IF(449&lt;=COUNTA(半紙!$B$11:$B$310),INDEX(半紙!$E$11:$E$310,449),IF(449&lt;=COUNTA(半紙!$B$11:$B$310)+COUNTA(条幅!$B$11:$B$310),INDEX(条幅!$E$11:$E$310,449-COUNTA(半紙!$B$11:$B$310)),IF(449&lt;=COUNTA(半紙!$B$11:$B$310)+COUNTA(条幅!$B$11:$B$310)+COUNTA(条幅4分の1!$B$11:$B$310),INDEX(条幅4分の1!$E$11:$E$310,449-COUNTA(半紙!$B$11:$B$310)-COUNTA(条幅!$B$11:$B$310)),""))))</f>
        <v/>
      </c>
      <c r="F454" s="38" t="str">
        <f>IF(IF(449&lt;=COUNTA(半紙!$B$11:$B$310),INDEX(半紙!$F$11:$F$310,449),IF(449&lt;=COUNTA(半紙!$B$11:$B$310)+COUNTA(条幅!$B$11:$B$310),INDEX(条幅!$F$11:$F$310,449-COUNTA(半紙!$B$11:$B$310)),IF(449&lt;=COUNTA(半紙!$B$11:$B$310)+COUNTA(条幅!$B$11:$B$310)+COUNTA(条幅4分の1!$B$11:$B$310),INDEX(条幅4分の1!$F$11:$F$310,449-COUNTA(半紙!$B$11:$B$310)-COUNTA(条幅!$B$11:$B$310)),"")))=0,"",IF(449&lt;=COUNTA(半紙!$B$11:$B$310),INDEX(半紙!$F$11:$F$310,449),IF(449&lt;=COUNTA(半紙!$B$11:$B$310)+COUNTA(条幅!$B$11:$B$310),INDEX(条幅!$F$11:$F$310,449-COUNTA(半紙!$B$11:$B$310)),IF(449&lt;=COUNTA(半紙!$B$11:$B$310)+COUNTA(条幅!$B$11:$B$310)+COUNTA(条幅4分の1!$B$11:$B$310),INDEX(条幅4分の1!$F$11:$F$310,449-COUNTA(半紙!$B$11:$B$310)-COUNTA(条幅!$B$11:$B$310)),""))))</f>
        <v/>
      </c>
      <c r="G454" s="38" t="str">
        <f>IF(IF(449&lt;=COUNTA(半紙!$B$11:$B$310),INDEX(半紙!$G$11:$G$310,449),IF(449&lt;=COUNTA(半紙!$B$11:$B$310)+COUNTA(条幅!$B$11:$B$310),INDEX(条幅!$G$11:$G$310,449-COUNTA(半紙!$B$11:$B$310)),IF(449&lt;=COUNTA(半紙!$B$11:$B$310)+COUNTA(条幅!$B$11:$B$310)+COUNTA(条幅4分の1!$B$11:$B$310),INDEX(条幅4分の1!$G$11:$G$310,449-COUNTA(半紙!$B$11:$B$310)-COUNTA(条幅!$B$11:$B$310)),"")))=0,"",IF(449&lt;=COUNTA(半紙!$B$11:$B$310),INDEX(半紙!$G$11:$G$310,449),IF(449&lt;=COUNTA(半紙!$B$11:$B$310)+COUNTA(条幅!$B$11:$B$310),INDEX(条幅!$G$11:$G$310,449-COUNTA(半紙!$B$11:$B$310)),IF(449&lt;=COUNTA(半紙!$B$11:$B$310)+COUNTA(条幅!$B$11:$B$310)+COUNTA(条幅4分の1!$B$11:$B$310),INDEX(条幅4分の1!$G$11:$G$310,449-COUNTA(半紙!$B$11:$B$310)-COUNTA(条幅!$B$11:$B$310)),""))))</f>
        <v/>
      </c>
      <c r="H454" s="38" t="str">
        <f>IF(IF(449&lt;=COUNTA(半紙!$B$11:$B$310),INDEX(半紙!$H$11:$H$310,449),IF(449&lt;=COUNTA(半紙!$B$11:$B$310)+COUNTA(条幅!$B$11:$B$310),INDEX(条幅!$H$11:$H$310,449-COUNTA(半紙!$B$11:$B$310)),IF(449&lt;=COUNTA(半紙!$B$11:$B$310)+COUNTA(条幅!$B$11:$B$310)+COUNTA(条幅4分の1!$B$11:$B$310),INDEX(条幅4分の1!$H$11:$H$310,449-COUNTA(半紙!$B$11:$B$310)-COUNTA(条幅!$B$11:$B$310)),"")))=0,"",IF(449&lt;=COUNTA(半紙!$B$11:$B$310),INDEX(半紙!$H$11:$H$310,449),IF(449&lt;=COUNTA(半紙!$B$11:$B$310)+COUNTA(条幅!$B$11:$B$310),INDEX(条幅!$H$11:$H$310,449-COUNTA(半紙!$B$11:$B$310)),IF(449&lt;=COUNTA(半紙!$B$11:$B$310)+COUNTA(条幅!$B$11:$B$310)+COUNTA(条幅4分の1!$B$11:$B$310),INDEX(条幅4分の1!$H$11:$H$310,449-COUNTA(半紙!$B$11:$B$310)-COUNTA(条幅!$B$11:$B$310)),""))))</f>
        <v/>
      </c>
      <c r="I454" s="38" t="str">
        <f>IF(IF(449&lt;=COUNTA(半紙!$B$11:$B$310),INDEX(半紙!$I$11:$I$310,449),IF(449&lt;=COUNTA(半紙!$B$11:$B$310)+COUNTA(条幅!$B$11:$B$310),INDEX(条幅!$I$11:$I$310,449-COUNTA(半紙!$B$11:$B$310)),IF(449&lt;=COUNTA(半紙!$B$11:$B$310)+COUNTA(条幅!$B$11:$B$310)+COUNTA(条幅4分の1!$B$11:$B$310),INDEX(条幅4分の1!$I$11:$I$310,449-COUNTA(半紙!$B$11:$B$310)-COUNTA(条幅!$B$11:$B$310)),"")))=0,"",IF(449&lt;=COUNTA(半紙!$B$11:$B$310),INDEX(半紙!$I$11:$I$310,449),IF(449&lt;=COUNTA(半紙!$B$11:$B$310)+COUNTA(条幅!$B$11:$B$310),INDEX(条幅!$I$11:$I$310,449-COUNTA(半紙!$B$11:$B$310)),IF(449&lt;=COUNTA(半紙!$B$11:$B$310)+COUNTA(条幅!$B$11:$B$310)+COUNTA(条幅4分の1!$B$11:$B$310),INDEX(条幅4分の1!$I$11:$I$310,449-COUNTA(半紙!$B$11:$B$310)-COUNTA(条幅!$B$11:$B$310)),""))))</f>
        <v/>
      </c>
      <c r="J454" s="38" t="str">
        <f>IF(IF(449&lt;=COUNTA(半紙!$B$11:$B$310),INDEX(半紙!$J$11:$J$310,449),IF(449&lt;=COUNTA(半紙!$B$11:$B$310)+COUNTA(条幅!$B$11:$B$310),INDEX(条幅!$J$11:$J$310,449-COUNTA(半紙!$B$11:$B$310)),IF(449&lt;=COUNTA(半紙!$B$11:$B$310)+COUNTA(条幅!$B$11:$B$310)+COUNTA(条幅4分の1!$B$11:$B$310),INDEX(条幅4分の1!$J$11:$J$310,449-COUNTA(半紙!$B$11:$B$310)-COUNTA(条幅!$B$11:$B$310)),"")))=0,"",IF(449&lt;=COUNTA(半紙!$B$11:$B$310),INDEX(半紙!$J$11:$J$310,449),IF(449&lt;=COUNTA(半紙!$B$11:$B$310)+COUNTA(条幅!$B$11:$B$310),INDEX(条幅!$J$11:$J$310,449-COUNTA(半紙!$B$11:$B$310)),IF(449&lt;=COUNTA(半紙!$B$11:$B$310)+COUNTA(条幅!$B$11:$B$310)+COUNTA(条幅4分の1!$B$11:$B$310),INDEX(条幅4分の1!$J$11:$J$310,449-COUNTA(半紙!$B$11:$B$310)-COUNTA(条幅!$B$11:$B$310)),""))))</f>
        <v/>
      </c>
      <c r="K454" s="38" t="str">
        <f>IF(IF(449&lt;=COUNTA(半紙!$B$11:$B$310),INDEX(半紙!$K$11:$K$310,449),IF(449&lt;=COUNTA(半紙!$B$11:$B$310)+COUNTA(条幅!$B$11:$B$310),INDEX(条幅!$K$11:$K$310,449-COUNTA(半紙!$B$11:$B$310)),IF(449&lt;=COUNTA(半紙!$B$11:$B$310)+COUNTA(条幅!$B$11:$B$310)+COUNTA(条幅4分の1!$B$11:$B$310),INDEX(条幅4分の1!$K$11:$K$310,449-COUNTA(半紙!$B$11:$B$310)-COUNTA(条幅!$B$11:$B$310)),"")))=0,"",IF(449&lt;=COUNTA(半紙!$B$11:$B$310),INDEX(半紙!$K$11:$K$310,449),IF(449&lt;=COUNTA(半紙!$B$11:$B$310)+COUNTA(条幅!$B$11:$B$310),INDEX(条幅!$K$11:$K$310,449-COUNTA(半紙!$B$11:$B$310)),IF(449&lt;=COUNTA(半紙!$B$11:$B$310)+COUNTA(条幅!$B$11:$B$310)+COUNTA(条幅4分の1!$B$11:$B$310),INDEX(条幅4分の1!$K$11:$K$310,449-COUNTA(半紙!$B$11:$B$310)-COUNTA(条幅!$B$11:$B$310)),""))))</f>
        <v/>
      </c>
      <c r="L454" s="48" t="str">
        <f>IF($B454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449))</f>
        <v/>
      </c>
    </row>
    <row r="455" spans="1:12" ht="15" customHeight="1">
      <c r="A455" s="37" t="str">
        <f>IF(450&lt;=COUNTA(半紙!$B$11:$B$310),"半紙",IF(450&lt;=COUNTA(半紙!$B$11:$B$310)+COUNTA(条幅!$B$11:$B$310),"条幅(半切)",IF(450&lt;=COUNTA(半紙!$B$11:$B$310)+COUNTA(条幅!$B$11:$B$310)+COUNTA(条幅4分の1!$B$11:$B$310),"条幅(1/4)","")))</f>
        <v/>
      </c>
      <c r="B455" s="38" t="str">
        <f>IF(IF(450&lt;=COUNTA(半紙!$B$11:$B$310),INDEX(半紙!$B$11:$B$310,450),IF(450&lt;=COUNTA(半紙!$B$11:$B$310)+COUNTA(条幅!$B$11:$B$310),INDEX(条幅!$B$11:$B$310,450-COUNTA(半紙!$B$11:$B$310)),IF(450&lt;=COUNTA(半紙!$B$11:$B$310)+COUNTA(条幅!$B$11:$B$310)+COUNTA(条幅4分の1!$B$11:$B$310),INDEX(条幅4分の1!$B$11:$B$310,450-COUNTA(半紙!$B$11:$B$310)-COUNTA(条幅!$B$11:$B$310)),"")))=0,"",IF(450&lt;=COUNTA(半紙!$B$11:$B$310),INDEX(半紙!$B$11:$B$310,450),IF(450&lt;=COUNTA(半紙!$B$11:$B$310)+COUNTA(条幅!$B$11:$B$310),INDEX(条幅!$B$11:$B$310,450-COUNTA(半紙!$B$11:$B$310)),IF(450&lt;=COUNTA(半紙!$B$11:$B$310)+COUNTA(条幅!$B$11:$B$310)+COUNTA(条幅4分の1!$B$11:$B$310),INDEX(条幅4分の1!$B$11:$B$310,450-COUNTA(半紙!$B$11:$B$310)-COUNTA(条幅!$B$11:$B$310)),""))))</f>
        <v/>
      </c>
      <c r="C455" s="38" t="str">
        <f>IF(IF(450&lt;=COUNTA(半紙!$B$11:$B$310),INDEX(半紙!$C$11:$C$310,450),IF(450&lt;=COUNTA(半紙!$B$11:$B$310)+COUNTA(条幅!$B$11:$B$310),INDEX(条幅!$C$11:$C$310,450-COUNTA(半紙!$B$11:$B$310)),IF(450&lt;=COUNTA(半紙!$B$11:$B$310)+COUNTA(条幅!$B$11:$B$310)+COUNTA(条幅4分の1!$B$11:$B$310),INDEX(条幅4分の1!$C$11:$C$310,450-COUNTA(半紙!$B$11:$B$310)-COUNTA(条幅!$B$11:$B$310)),"")))=0,"",IF(450&lt;=COUNTA(半紙!$B$11:$B$310),INDEX(半紙!$C$11:$C$310,450),IF(450&lt;=COUNTA(半紙!$B$11:$B$310)+COUNTA(条幅!$B$11:$B$310),INDEX(条幅!$C$11:$C$310,450-COUNTA(半紙!$B$11:$B$310)),IF(450&lt;=COUNTA(半紙!$B$11:$B$310)+COUNTA(条幅!$B$11:$B$310)+COUNTA(条幅4分の1!$B$11:$B$310),INDEX(条幅4分の1!$C$11:$C$310,450-COUNTA(半紙!$B$11:$B$310)-COUNTA(条幅!$B$11:$B$310)),""))))</f>
        <v/>
      </c>
      <c r="D455" s="38" t="str">
        <f>IF(IF(450&lt;=COUNTA(半紙!$B$11:$B$310),INDEX(半紙!$D$11:$D$310,450),IF(450&lt;=COUNTA(半紙!$B$11:$B$310)+COUNTA(条幅!$B$11:$B$310),INDEX(条幅!$D$11:$D$310,450-COUNTA(半紙!$B$11:$B$310)),IF(450&lt;=COUNTA(半紙!$B$11:$B$310)+COUNTA(条幅!$B$11:$B$310)+COUNTA(条幅4分の1!$B$11:$B$310),INDEX(条幅4分の1!$D$11:$D$310,450-COUNTA(半紙!$B$11:$B$310)-COUNTA(条幅!$B$11:$B$310)),"")))=0,"",IF(450&lt;=COUNTA(半紙!$B$11:$B$310),INDEX(半紙!$D$11:$D$310,450),IF(450&lt;=COUNTA(半紙!$B$11:$B$310)+COUNTA(条幅!$B$11:$B$310),INDEX(条幅!$D$11:$D$310,450-COUNTA(半紙!$B$11:$B$310)),IF(450&lt;=COUNTA(半紙!$B$11:$B$310)+COUNTA(条幅!$B$11:$B$310)+COUNTA(条幅4分の1!$B$11:$B$310),INDEX(条幅4分の1!$D$11:$D$310,450-COUNTA(半紙!$B$11:$B$310)-COUNTA(条幅!$B$11:$B$310)),""))))</f>
        <v/>
      </c>
      <c r="E455" s="38" t="str">
        <f>IF(IF(450&lt;=COUNTA(半紙!$B$11:$B$310),INDEX(半紙!$E$11:$E$310,450),IF(450&lt;=COUNTA(半紙!$B$11:$B$310)+COUNTA(条幅!$B$11:$B$310),INDEX(条幅!$E$11:$E$310,450-COUNTA(半紙!$B$11:$B$310)),IF(450&lt;=COUNTA(半紙!$B$11:$B$310)+COUNTA(条幅!$B$11:$B$310)+COUNTA(条幅4分の1!$B$11:$B$310),INDEX(条幅4分の1!$E$11:$E$310,450-COUNTA(半紙!$B$11:$B$310)-COUNTA(条幅!$B$11:$B$310)),"")))=0,"",IF(450&lt;=COUNTA(半紙!$B$11:$B$310),INDEX(半紙!$E$11:$E$310,450),IF(450&lt;=COUNTA(半紙!$B$11:$B$310)+COUNTA(条幅!$B$11:$B$310),INDEX(条幅!$E$11:$E$310,450-COUNTA(半紙!$B$11:$B$310)),IF(450&lt;=COUNTA(半紙!$B$11:$B$310)+COUNTA(条幅!$B$11:$B$310)+COUNTA(条幅4分の1!$B$11:$B$310),INDEX(条幅4分の1!$E$11:$E$310,450-COUNTA(半紙!$B$11:$B$310)-COUNTA(条幅!$B$11:$B$310)),""))))</f>
        <v/>
      </c>
      <c r="F455" s="38" t="str">
        <f>IF(IF(450&lt;=COUNTA(半紙!$B$11:$B$310),INDEX(半紙!$F$11:$F$310,450),IF(450&lt;=COUNTA(半紙!$B$11:$B$310)+COUNTA(条幅!$B$11:$B$310),INDEX(条幅!$F$11:$F$310,450-COUNTA(半紙!$B$11:$B$310)),IF(450&lt;=COUNTA(半紙!$B$11:$B$310)+COUNTA(条幅!$B$11:$B$310)+COUNTA(条幅4分の1!$B$11:$B$310),INDEX(条幅4分の1!$F$11:$F$310,450-COUNTA(半紙!$B$11:$B$310)-COUNTA(条幅!$B$11:$B$310)),"")))=0,"",IF(450&lt;=COUNTA(半紙!$B$11:$B$310),INDEX(半紙!$F$11:$F$310,450),IF(450&lt;=COUNTA(半紙!$B$11:$B$310)+COUNTA(条幅!$B$11:$B$310),INDEX(条幅!$F$11:$F$310,450-COUNTA(半紙!$B$11:$B$310)),IF(450&lt;=COUNTA(半紙!$B$11:$B$310)+COUNTA(条幅!$B$11:$B$310)+COUNTA(条幅4分の1!$B$11:$B$310),INDEX(条幅4分の1!$F$11:$F$310,450-COUNTA(半紙!$B$11:$B$310)-COUNTA(条幅!$B$11:$B$310)),""))))</f>
        <v/>
      </c>
      <c r="G455" s="38" t="str">
        <f>IF(IF(450&lt;=COUNTA(半紙!$B$11:$B$310),INDEX(半紙!$G$11:$G$310,450),IF(450&lt;=COUNTA(半紙!$B$11:$B$310)+COUNTA(条幅!$B$11:$B$310),INDEX(条幅!$G$11:$G$310,450-COUNTA(半紙!$B$11:$B$310)),IF(450&lt;=COUNTA(半紙!$B$11:$B$310)+COUNTA(条幅!$B$11:$B$310)+COUNTA(条幅4分の1!$B$11:$B$310),INDEX(条幅4分の1!$G$11:$G$310,450-COUNTA(半紙!$B$11:$B$310)-COUNTA(条幅!$B$11:$B$310)),"")))=0,"",IF(450&lt;=COUNTA(半紙!$B$11:$B$310),INDEX(半紙!$G$11:$G$310,450),IF(450&lt;=COUNTA(半紙!$B$11:$B$310)+COUNTA(条幅!$B$11:$B$310),INDEX(条幅!$G$11:$G$310,450-COUNTA(半紙!$B$11:$B$310)),IF(450&lt;=COUNTA(半紙!$B$11:$B$310)+COUNTA(条幅!$B$11:$B$310)+COUNTA(条幅4分の1!$B$11:$B$310),INDEX(条幅4分の1!$G$11:$G$310,450-COUNTA(半紙!$B$11:$B$310)-COUNTA(条幅!$B$11:$B$310)),""))))</f>
        <v/>
      </c>
      <c r="H455" s="38" t="str">
        <f>IF(IF(450&lt;=COUNTA(半紙!$B$11:$B$310),INDEX(半紙!$H$11:$H$310,450),IF(450&lt;=COUNTA(半紙!$B$11:$B$310)+COUNTA(条幅!$B$11:$B$310),INDEX(条幅!$H$11:$H$310,450-COUNTA(半紙!$B$11:$B$310)),IF(450&lt;=COUNTA(半紙!$B$11:$B$310)+COUNTA(条幅!$B$11:$B$310)+COUNTA(条幅4分の1!$B$11:$B$310),INDEX(条幅4分の1!$H$11:$H$310,450-COUNTA(半紙!$B$11:$B$310)-COUNTA(条幅!$B$11:$B$310)),"")))=0,"",IF(450&lt;=COUNTA(半紙!$B$11:$B$310),INDEX(半紙!$H$11:$H$310,450),IF(450&lt;=COUNTA(半紙!$B$11:$B$310)+COUNTA(条幅!$B$11:$B$310),INDEX(条幅!$H$11:$H$310,450-COUNTA(半紙!$B$11:$B$310)),IF(450&lt;=COUNTA(半紙!$B$11:$B$310)+COUNTA(条幅!$B$11:$B$310)+COUNTA(条幅4分の1!$B$11:$B$310),INDEX(条幅4分の1!$H$11:$H$310,450-COUNTA(半紙!$B$11:$B$310)-COUNTA(条幅!$B$11:$B$310)),""))))</f>
        <v/>
      </c>
      <c r="I455" s="38" t="str">
        <f>IF(IF(450&lt;=COUNTA(半紙!$B$11:$B$310),INDEX(半紙!$I$11:$I$310,450),IF(450&lt;=COUNTA(半紙!$B$11:$B$310)+COUNTA(条幅!$B$11:$B$310),INDEX(条幅!$I$11:$I$310,450-COUNTA(半紙!$B$11:$B$310)),IF(450&lt;=COUNTA(半紙!$B$11:$B$310)+COUNTA(条幅!$B$11:$B$310)+COUNTA(条幅4分の1!$B$11:$B$310),INDEX(条幅4分の1!$I$11:$I$310,450-COUNTA(半紙!$B$11:$B$310)-COUNTA(条幅!$B$11:$B$310)),"")))=0,"",IF(450&lt;=COUNTA(半紙!$B$11:$B$310),INDEX(半紙!$I$11:$I$310,450),IF(450&lt;=COUNTA(半紙!$B$11:$B$310)+COUNTA(条幅!$B$11:$B$310),INDEX(条幅!$I$11:$I$310,450-COUNTA(半紙!$B$11:$B$310)),IF(450&lt;=COUNTA(半紙!$B$11:$B$310)+COUNTA(条幅!$B$11:$B$310)+COUNTA(条幅4分の1!$B$11:$B$310),INDEX(条幅4分の1!$I$11:$I$310,450-COUNTA(半紙!$B$11:$B$310)-COUNTA(条幅!$B$11:$B$310)),""))))</f>
        <v/>
      </c>
      <c r="J455" s="38" t="str">
        <f>IF(IF(450&lt;=COUNTA(半紙!$B$11:$B$310),INDEX(半紙!$J$11:$J$310,450),IF(450&lt;=COUNTA(半紙!$B$11:$B$310)+COUNTA(条幅!$B$11:$B$310),INDEX(条幅!$J$11:$J$310,450-COUNTA(半紙!$B$11:$B$310)),IF(450&lt;=COUNTA(半紙!$B$11:$B$310)+COUNTA(条幅!$B$11:$B$310)+COUNTA(条幅4分の1!$B$11:$B$310),INDEX(条幅4分の1!$J$11:$J$310,450-COUNTA(半紙!$B$11:$B$310)-COUNTA(条幅!$B$11:$B$310)),"")))=0,"",IF(450&lt;=COUNTA(半紙!$B$11:$B$310),INDEX(半紙!$J$11:$J$310,450),IF(450&lt;=COUNTA(半紙!$B$11:$B$310)+COUNTA(条幅!$B$11:$B$310),INDEX(条幅!$J$11:$J$310,450-COUNTA(半紙!$B$11:$B$310)),IF(450&lt;=COUNTA(半紙!$B$11:$B$310)+COUNTA(条幅!$B$11:$B$310)+COUNTA(条幅4分の1!$B$11:$B$310),INDEX(条幅4分の1!$J$11:$J$310,450-COUNTA(半紙!$B$11:$B$310)-COUNTA(条幅!$B$11:$B$310)),""))))</f>
        <v/>
      </c>
      <c r="K455" s="38" t="str">
        <f>IF(IF(450&lt;=COUNTA(半紙!$B$11:$B$310),INDEX(半紙!$K$11:$K$310,450),IF(450&lt;=COUNTA(半紙!$B$11:$B$310)+COUNTA(条幅!$B$11:$B$310),INDEX(条幅!$K$11:$K$310,450-COUNTA(半紙!$B$11:$B$310)),IF(450&lt;=COUNTA(半紙!$B$11:$B$310)+COUNTA(条幅!$B$11:$B$310)+COUNTA(条幅4分の1!$B$11:$B$310),INDEX(条幅4分の1!$K$11:$K$310,450-COUNTA(半紙!$B$11:$B$310)-COUNTA(条幅!$B$11:$B$310)),"")))=0,"",IF(450&lt;=COUNTA(半紙!$B$11:$B$310),INDEX(半紙!$K$11:$K$310,450),IF(450&lt;=COUNTA(半紙!$B$11:$B$310)+COUNTA(条幅!$B$11:$B$310),INDEX(条幅!$K$11:$K$310,450-COUNTA(半紙!$B$11:$B$310)),IF(450&lt;=COUNTA(半紙!$B$11:$B$310)+COUNTA(条幅!$B$11:$B$310)+COUNTA(条幅4分の1!$B$11:$B$310),INDEX(条幅4分の1!$K$11:$K$310,450-COUNTA(半紙!$B$11:$B$310)-COUNTA(条幅!$B$11:$B$310)),""))))</f>
        <v/>
      </c>
      <c r="L455" s="48" t="str">
        <f>IF($B455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450))</f>
        <v/>
      </c>
    </row>
    <row r="456" spans="1:12" ht="15" customHeight="1">
      <c r="A456" s="37" t="str">
        <f>IF(451&lt;=COUNTA(半紙!$B$11:$B$310),"半紙",IF(451&lt;=COUNTA(半紙!$B$11:$B$310)+COUNTA(条幅!$B$11:$B$310),"条幅(半切)",IF(451&lt;=COUNTA(半紙!$B$11:$B$310)+COUNTA(条幅!$B$11:$B$310)+COUNTA(条幅4分の1!$B$11:$B$310),"条幅(1/4)","")))</f>
        <v/>
      </c>
      <c r="B456" s="38" t="str">
        <f>IF(IF(451&lt;=COUNTA(半紙!$B$11:$B$310),INDEX(半紙!$B$11:$B$310,451),IF(451&lt;=COUNTA(半紙!$B$11:$B$310)+COUNTA(条幅!$B$11:$B$310),INDEX(条幅!$B$11:$B$310,451-COUNTA(半紙!$B$11:$B$310)),IF(451&lt;=COUNTA(半紙!$B$11:$B$310)+COUNTA(条幅!$B$11:$B$310)+COUNTA(条幅4分の1!$B$11:$B$310),INDEX(条幅4分の1!$B$11:$B$310,451-COUNTA(半紙!$B$11:$B$310)-COUNTA(条幅!$B$11:$B$310)),"")))=0,"",IF(451&lt;=COUNTA(半紙!$B$11:$B$310),INDEX(半紙!$B$11:$B$310,451),IF(451&lt;=COUNTA(半紙!$B$11:$B$310)+COUNTA(条幅!$B$11:$B$310),INDEX(条幅!$B$11:$B$310,451-COUNTA(半紙!$B$11:$B$310)),IF(451&lt;=COUNTA(半紙!$B$11:$B$310)+COUNTA(条幅!$B$11:$B$310)+COUNTA(条幅4分の1!$B$11:$B$310),INDEX(条幅4分の1!$B$11:$B$310,451-COUNTA(半紙!$B$11:$B$310)-COUNTA(条幅!$B$11:$B$310)),""))))</f>
        <v/>
      </c>
      <c r="C456" s="38" t="str">
        <f>IF(IF(451&lt;=COUNTA(半紙!$B$11:$B$310),INDEX(半紙!$C$11:$C$310,451),IF(451&lt;=COUNTA(半紙!$B$11:$B$310)+COUNTA(条幅!$B$11:$B$310),INDEX(条幅!$C$11:$C$310,451-COUNTA(半紙!$B$11:$B$310)),IF(451&lt;=COUNTA(半紙!$B$11:$B$310)+COUNTA(条幅!$B$11:$B$310)+COUNTA(条幅4分の1!$B$11:$B$310),INDEX(条幅4分の1!$C$11:$C$310,451-COUNTA(半紙!$B$11:$B$310)-COUNTA(条幅!$B$11:$B$310)),"")))=0,"",IF(451&lt;=COUNTA(半紙!$B$11:$B$310),INDEX(半紙!$C$11:$C$310,451),IF(451&lt;=COUNTA(半紙!$B$11:$B$310)+COUNTA(条幅!$B$11:$B$310),INDEX(条幅!$C$11:$C$310,451-COUNTA(半紙!$B$11:$B$310)),IF(451&lt;=COUNTA(半紙!$B$11:$B$310)+COUNTA(条幅!$B$11:$B$310)+COUNTA(条幅4分の1!$B$11:$B$310),INDEX(条幅4分の1!$C$11:$C$310,451-COUNTA(半紙!$B$11:$B$310)-COUNTA(条幅!$B$11:$B$310)),""))))</f>
        <v/>
      </c>
      <c r="D456" s="38" t="str">
        <f>IF(IF(451&lt;=COUNTA(半紙!$B$11:$B$310),INDEX(半紙!$D$11:$D$310,451),IF(451&lt;=COUNTA(半紙!$B$11:$B$310)+COUNTA(条幅!$B$11:$B$310),INDEX(条幅!$D$11:$D$310,451-COUNTA(半紙!$B$11:$B$310)),IF(451&lt;=COUNTA(半紙!$B$11:$B$310)+COUNTA(条幅!$B$11:$B$310)+COUNTA(条幅4分の1!$B$11:$B$310),INDEX(条幅4分の1!$D$11:$D$310,451-COUNTA(半紙!$B$11:$B$310)-COUNTA(条幅!$B$11:$B$310)),"")))=0,"",IF(451&lt;=COUNTA(半紙!$B$11:$B$310),INDEX(半紙!$D$11:$D$310,451),IF(451&lt;=COUNTA(半紙!$B$11:$B$310)+COUNTA(条幅!$B$11:$B$310),INDEX(条幅!$D$11:$D$310,451-COUNTA(半紙!$B$11:$B$310)),IF(451&lt;=COUNTA(半紙!$B$11:$B$310)+COUNTA(条幅!$B$11:$B$310)+COUNTA(条幅4分の1!$B$11:$B$310),INDEX(条幅4分の1!$D$11:$D$310,451-COUNTA(半紙!$B$11:$B$310)-COUNTA(条幅!$B$11:$B$310)),""))))</f>
        <v/>
      </c>
      <c r="E456" s="38" t="str">
        <f>IF(IF(451&lt;=COUNTA(半紙!$B$11:$B$310),INDEX(半紙!$E$11:$E$310,451),IF(451&lt;=COUNTA(半紙!$B$11:$B$310)+COUNTA(条幅!$B$11:$B$310),INDEX(条幅!$E$11:$E$310,451-COUNTA(半紙!$B$11:$B$310)),IF(451&lt;=COUNTA(半紙!$B$11:$B$310)+COUNTA(条幅!$B$11:$B$310)+COUNTA(条幅4分の1!$B$11:$B$310),INDEX(条幅4分の1!$E$11:$E$310,451-COUNTA(半紙!$B$11:$B$310)-COUNTA(条幅!$B$11:$B$310)),"")))=0,"",IF(451&lt;=COUNTA(半紙!$B$11:$B$310),INDEX(半紙!$E$11:$E$310,451),IF(451&lt;=COUNTA(半紙!$B$11:$B$310)+COUNTA(条幅!$B$11:$B$310),INDEX(条幅!$E$11:$E$310,451-COUNTA(半紙!$B$11:$B$310)),IF(451&lt;=COUNTA(半紙!$B$11:$B$310)+COUNTA(条幅!$B$11:$B$310)+COUNTA(条幅4分の1!$B$11:$B$310),INDEX(条幅4分の1!$E$11:$E$310,451-COUNTA(半紙!$B$11:$B$310)-COUNTA(条幅!$B$11:$B$310)),""))))</f>
        <v/>
      </c>
      <c r="F456" s="38" t="str">
        <f>IF(IF(451&lt;=COUNTA(半紙!$B$11:$B$310),INDEX(半紙!$F$11:$F$310,451),IF(451&lt;=COUNTA(半紙!$B$11:$B$310)+COUNTA(条幅!$B$11:$B$310),INDEX(条幅!$F$11:$F$310,451-COUNTA(半紙!$B$11:$B$310)),IF(451&lt;=COUNTA(半紙!$B$11:$B$310)+COUNTA(条幅!$B$11:$B$310)+COUNTA(条幅4分の1!$B$11:$B$310),INDEX(条幅4分の1!$F$11:$F$310,451-COUNTA(半紙!$B$11:$B$310)-COUNTA(条幅!$B$11:$B$310)),"")))=0,"",IF(451&lt;=COUNTA(半紙!$B$11:$B$310),INDEX(半紙!$F$11:$F$310,451),IF(451&lt;=COUNTA(半紙!$B$11:$B$310)+COUNTA(条幅!$B$11:$B$310),INDEX(条幅!$F$11:$F$310,451-COUNTA(半紙!$B$11:$B$310)),IF(451&lt;=COUNTA(半紙!$B$11:$B$310)+COUNTA(条幅!$B$11:$B$310)+COUNTA(条幅4分の1!$B$11:$B$310),INDEX(条幅4分の1!$F$11:$F$310,451-COUNTA(半紙!$B$11:$B$310)-COUNTA(条幅!$B$11:$B$310)),""))))</f>
        <v/>
      </c>
      <c r="G456" s="38" t="str">
        <f>IF(IF(451&lt;=COUNTA(半紙!$B$11:$B$310),INDEX(半紙!$G$11:$G$310,451),IF(451&lt;=COUNTA(半紙!$B$11:$B$310)+COUNTA(条幅!$B$11:$B$310),INDEX(条幅!$G$11:$G$310,451-COUNTA(半紙!$B$11:$B$310)),IF(451&lt;=COUNTA(半紙!$B$11:$B$310)+COUNTA(条幅!$B$11:$B$310)+COUNTA(条幅4分の1!$B$11:$B$310),INDEX(条幅4分の1!$G$11:$G$310,451-COUNTA(半紙!$B$11:$B$310)-COUNTA(条幅!$B$11:$B$310)),"")))=0,"",IF(451&lt;=COUNTA(半紙!$B$11:$B$310),INDEX(半紙!$G$11:$G$310,451),IF(451&lt;=COUNTA(半紙!$B$11:$B$310)+COUNTA(条幅!$B$11:$B$310),INDEX(条幅!$G$11:$G$310,451-COUNTA(半紙!$B$11:$B$310)),IF(451&lt;=COUNTA(半紙!$B$11:$B$310)+COUNTA(条幅!$B$11:$B$310)+COUNTA(条幅4分の1!$B$11:$B$310),INDEX(条幅4分の1!$G$11:$G$310,451-COUNTA(半紙!$B$11:$B$310)-COUNTA(条幅!$B$11:$B$310)),""))))</f>
        <v/>
      </c>
      <c r="H456" s="38" t="str">
        <f>IF(IF(451&lt;=COUNTA(半紙!$B$11:$B$310),INDEX(半紙!$H$11:$H$310,451),IF(451&lt;=COUNTA(半紙!$B$11:$B$310)+COUNTA(条幅!$B$11:$B$310),INDEX(条幅!$H$11:$H$310,451-COUNTA(半紙!$B$11:$B$310)),IF(451&lt;=COUNTA(半紙!$B$11:$B$310)+COUNTA(条幅!$B$11:$B$310)+COUNTA(条幅4分の1!$B$11:$B$310),INDEX(条幅4分の1!$H$11:$H$310,451-COUNTA(半紙!$B$11:$B$310)-COUNTA(条幅!$B$11:$B$310)),"")))=0,"",IF(451&lt;=COUNTA(半紙!$B$11:$B$310),INDEX(半紙!$H$11:$H$310,451),IF(451&lt;=COUNTA(半紙!$B$11:$B$310)+COUNTA(条幅!$B$11:$B$310),INDEX(条幅!$H$11:$H$310,451-COUNTA(半紙!$B$11:$B$310)),IF(451&lt;=COUNTA(半紙!$B$11:$B$310)+COUNTA(条幅!$B$11:$B$310)+COUNTA(条幅4分の1!$B$11:$B$310),INDEX(条幅4分の1!$H$11:$H$310,451-COUNTA(半紙!$B$11:$B$310)-COUNTA(条幅!$B$11:$B$310)),""))))</f>
        <v/>
      </c>
      <c r="I456" s="38" t="str">
        <f>IF(IF(451&lt;=COUNTA(半紙!$B$11:$B$310),INDEX(半紙!$I$11:$I$310,451),IF(451&lt;=COUNTA(半紙!$B$11:$B$310)+COUNTA(条幅!$B$11:$B$310),INDEX(条幅!$I$11:$I$310,451-COUNTA(半紙!$B$11:$B$310)),IF(451&lt;=COUNTA(半紙!$B$11:$B$310)+COUNTA(条幅!$B$11:$B$310)+COUNTA(条幅4分の1!$B$11:$B$310),INDEX(条幅4分の1!$I$11:$I$310,451-COUNTA(半紙!$B$11:$B$310)-COUNTA(条幅!$B$11:$B$310)),"")))=0,"",IF(451&lt;=COUNTA(半紙!$B$11:$B$310),INDEX(半紙!$I$11:$I$310,451),IF(451&lt;=COUNTA(半紙!$B$11:$B$310)+COUNTA(条幅!$B$11:$B$310),INDEX(条幅!$I$11:$I$310,451-COUNTA(半紙!$B$11:$B$310)),IF(451&lt;=COUNTA(半紙!$B$11:$B$310)+COUNTA(条幅!$B$11:$B$310)+COUNTA(条幅4分の1!$B$11:$B$310),INDEX(条幅4分の1!$I$11:$I$310,451-COUNTA(半紙!$B$11:$B$310)-COUNTA(条幅!$B$11:$B$310)),""))))</f>
        <v/>
      </c>
      <c r="J456" s="38" t="str">
        <f>IF(IF(451&lt;=COUNTA(半紙!$B$11:$B$310),INDEX(半紙!$J$11:$J$310,451),IF(451&lt;=COUNTA(半紙!$B$11:$B$310)+COUNTA(条幅!$B$11:$B$310),INDEX(条幅!$J$11:$J$310,451-COUNTA(半紙!$B$11:$B$310)),IF(451&lt;=COUNTA(半紙!$B$11:$B$310)+COUNTA(条幅!$B$11:$B$310)+COUNTA(条幅4分の1!$B$11:$B$310),INDEX(条幅4分の1!$J$11:$J$310,451-COUNTA(半紙!$B$11:$B$310)-COUNTA(条幅!$B$11:$B$310)),"")))=0,"",IF(451&lt;=COUNTA(半紙!$B$11:$B$310),INDEX(半紙!$J$11:$J$310,451),IF(451&lt;=COUNTA(半紙!$B$11:$B$310)+COUNTA(条幅!$B$11:$B$310),INDEX(条幅!$J$11:$J$310,451-COUNTA(半紙!$B$11:$B$310)),IF(451&lt;=COUNTA(半紙!$B$11:$B$310)+COUNTA(条幅!$B$11:$B$310)+COUNTA(条幅4分の1!$B$11:$B$310),INDEX(条幅4分の1!$J$11:$J$310,451-COUNTA(半紙!$B$11:$B$310)-COUNTA(条幅!$B$11:$B$310)),""))))</f>
        <v/>
      </c>
      <c r="K456" s="38" t="str">
        <f>IF(IF(451&lt;=COUNTA(半紙!$B$11:$B$310),INDEX(半紙!$K$11:$K$310,451),IF(451&lt;=COUNTA(半紙!$B$11:$B$310)+COUNTA(条幅!$B$11:$B$310),INDEX(条幅!$K$11:$K$310,451-COUNTA(半紙!$B$11:$B$310)),IF(451&lt;=COUNTA(半紙!$B$11:$B$310)+COUNTA(条幅!$B$11:$B$310)+COUNTA(条幅4分の1!$B$11:$B$310),INDEX(条幅4分の1!$K$11:$K$310,451-COUNTA(半紙!$B$11:$B$310)-COUNTA(条幅!$B$11:$B$310)),"")))=0,"",IF(451&lt;=COUNTA(半紙!$B$11:$B$310),INDEX(半紙!$K$11:$K$310,451),IF(451&lt;=COUNTA(半紙!$B$11:$B$310)+COUNTA(条幅!$B$11:$B$310),INDEX(条幅!$K$11:$K$310,451-COUNTA(半紙!$B$11:$B$310)),IF(451&lt;=COUNTA(半紙!$B$11:$B$310)+COUNTA(条幅!$B$11:$B$310)+COUNTA(条幅4分の1!$B$11:$B$310),INDEX(条幅4分の1!$K$11:$K$310,451-COUNTA(半紙!$B$11:$B$310)-COUNTA(条幅!$B$11:$B$310)),""))))</f>
        <v/>
      </c>
      <c r="L456" s="48" t="str">
        <f>IF($B456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451))</f>
        <v/>
      </c>
    </row>
    <row r="457" spans="1:12" ht="15" customHeight="1">
      <c r="A457" s="37" t="str">
        <f>IF(452&lt;=COUNTA(半紙!$B$11:$B$310),"半紙",IF(452&lt;=COUNTA(半紙!$B$11:$B$310)+COUNTA(条幅!$B$11:$B$310),"条幅(半切)",IF(452&lt;=COUNTA(半紙!$B$11:$B$310)+COUNTA(条幅!$B$11:$B$310)+COUNTA(条幅4分の1!$B$11:$B$310),"条幅(1/4)","")))</f>
        <v/>
      </c>
      <c r="B457" s="38" t="str">
        <f>IF(IF(452&lt;=COUNTA(半紙!$B$11:$B$310),INDEX(半紙!$B$11:$B$310,452),IF(452&lt;=COUNTA(半紙!$B$11:$B$310)+COUNTA(条幅!$B$11:$B$310),INDEX(条幅!$B$11:$B$310,452-COUNTA(半紙!$B$11:$B$310)),IF(452&lt;=COUNTA(半紙!$B$11:$B$310)+COUNTA(条幅!$B$11:$B$310)+COUNTA(条幅4分の1!$B$11:$B$310),INDEX(条幅4分の1!$B$11:$B$310,452-COUNTA(半紙!$B$11:$B$310)-COUNTA(条幅!$B$11:$B$310)),"")))=0,"",IF(452&lt;=COUNTA(半紙!$B$11:$B$310),INDEX(半紙!$B$11:$B$310,452),IF(452&lt;=COUNTA(半紙!$B$11:$B$310)+COUNTA(条幅!$B$11:$B$310),INDEX(条幅!$B$11:$B$310,452-COUNTA(半紙!$B$11:$B$310)),IF(452&lt;=COUNTA(半紙!$B$11:$B$310)+COUNTA(条幅!$B$11:$B$310)+COUNTA(条幅4分の1!$B$11:$B$310),INDEX(条幅4分の1!$B$11:$B$310,452-COUNTA(半紙!$B$11:$B$310)-COUNTA(条幅!$B$11:$B$310)),""))))</f>
        <v/>
      </c>
      <c r="C457" s="38" t="str">
        <f>IF(IF(452&lt;=COUNTA(半紙!$B$11:$B$310),INDEX(半紙!$C$11:$C$310,452),IF(452&lt;=COUNTA(半紙!$B$11:$B$310)+COUNTA(条幅!$B$11:$B$310),INDEX(条幅!$C$11:$C$310,452-COUNTA(半紙!$B$11:$B$310)),IF(452&lt;=COUNTA(半紙!$B$11:$B$310)+COUNTA(条幅!$B$11:$B$310)+COUNTA(条幅4分の1!$B$11:$B$310),INDEX(条幅4分の1!$C$11:$C$310,452-COUNTA(半紙!$B$11:$B$310)-COUNTA(条幅!$B$11:$B$310)),"")))=0,"",IF(452&lt;=COUNTA(半紙!$B$11:$B$310),INDEX(半紙!$C$11:$C$310,452),IF(452&lt;=COUNTA(半紙!$B$11:$B$310)+COUNTA(条幅!$B$11:$B$310),INDEX(条幅!$C$11:$C$310,452-COUNTA(半紙!$B$11:$B$310)),IF(452&lt;=COUNTA(半紙!$B$11:$B$310)+COUNTA(条幅!$B$11:$B$310)+COUNTA(条幅4分の1!$B$11:$B$310),INDEX(条幅4分の1!$C$11:$C$310,452-COUNTA(半紙!$B$11:$B$310)-COUNTA(条幅!$B$11:$B$310)),""))))</f>
        <v/>
      </c>
      <c r="D457" s="38" t="str">
        <f>IF(IF(452&lt;=COUNTA(半紙!$B$11:$B$310),INDEX(半紙!$D$11:$D$310,452),IF(452&lt;=COUNTA(半紙!$B$11:$B$310)+COUNTA(条幅!$B$11:$B$310),INDEX(条幅!$D$11:$D$310,452-COUNTA(半紙!$B$11:$B$310)),IF(452&lt;=COUNTA(半紙!$B$11:$B$310)+COUNTA(条幅!$B$11:$B$310)+COUNTA(条幅4分の1!$B$11:$B$310),INDEX(条幅4分の1!$D$11:$D$310,452-COUNTA(半紙!$B$11:$B$310)-COUNTA(条幅!$B$11:$B$310)),"")))=0,"",IF(452&lt;=COUNTA(半紙!$B$11:$B$310),INDEX(半紙!$D$11:$D$310,452),IF(452&lt;=COUNTA(半紙!$B$11:$B$310)+COUNTA(条幅!$B$11:$B$310),INDEX(条幅!$D$11:$D$310,452-COUNTA(半紙!$B$11:$B$310)),IF(452&lt;=COUNTA(半紙!$B$11:$B$310)+COUNTA(条幅!$B$11:$B$310)+COUNTA(条幅4分の1!$B$11:$B$310),INDEX(条幅4分の1!$D$11:$D$310,452-COUNTA(半紙!$B$11:$B$310)-COUNTA(条幅!$B$11:$B$310)),""))))</f>
        <v/>
      </c>
      <c r="E457" s="38" t="str">
        <f>IF(IF(452&lt;=COUNTA(半紙!$B$11:$B$310),INDEX(半紙!$E$11:$E$310,452),IF(452&lt;=COUNTA(半紙!$B$11:$B$310)+COUNTA(条幅!$B$11:$B$310),INDEX(条幅!$E$11:$E$310,452-COUNTA(半紙!$B$11:$B$310)),IF(452&lt;=COUNTA(半紙!$B$11:$B$310)+COUNTA(条幅!$B$11:$B$310)+COUNTA(条幅4分の1!$B$11:$B$310),INDEX(条幅4分の1!$E$11:$E$310,452-COUNTA(半紙!$B$11:$B$310)-COUNTA(条幅!$B$11:$B$310)),"")))=0,"",IF(452&lt;=COUNTA(半紙!$B$11:$B$310),INDEX(半紙!$E$11:$E$310,452),IF(452&lt;=COUNTA(半紙!$B$11:$B$310)+COUNTA(条幅!$B$11:$B$310),INDEX(条幅!$E$11:$E$310,452-COUNTA(半紙!$B$11:$B$310)),IF(452&lt;=COUNTA(半紙!$B$11:$B$310)+COUNTA(条幅!$B$11:$B$310)+COUNTA(条幅4分の1!$B$11:$B$310),INDEX(条幅4分の1!$E$11:$E$310,452-COUNTA(半紙!$B$11:$B$310)-COUNTA(条幅!$B$11:$B$310)),""))))</f>
        <v/>
      </c>
      <c r="F457" s="38" t="str">
        <f>IF(IF(452&lt;=COUNTA(半紙!$B$11:$B$310),INDEX(半紙!$F$11:$F$310,452),IF(452&lt;=COUNTA(半紙!$B$11:$B$310)+COUNTA(条幅!$B$11:$B$310),INDEX(条幅!$F$11:$F$310,452-COUNTA(半紙!$B$11:$B$310)),IF(452&lt;=COUNTA(半紙!$B$11:$B$310)+COUNTA(条幅!$B$11:$B$310)+COUNTA(条幅4分の1!$B$11:$B$310),INDEX(条幅4分の1!$F$11:$F$310,452-COUNTA(半紙!$B$11:$B$310)-COUNTA(条幅!$B$11:$B$310)),"")))=0,"",IF(452&lt;=COUNTA(半紙!$B$11:$B$310),INDEX(半紙!$F$11:$F$310,452),IF(452&lt;=COUNTA(半紙!$B$11:$B$310)+COUNTA(条幅!$B$11:$B$310),INDEX(条幅!$F$11:$F$310,452-COUNTA(半紙!$B$11:$B$310)),IF(452&lt;=COUNTA(半紙!$B$11:$B$310)+COUNTA(条幅!$B$11:$B$310)+COUNTA(条幅4分の1!$B$11:$B$310),INDEX(条幅4分の1!$F$11:$F$310,452-COUNTA(半紙!$B$11:$B$310)-COUNTA(条幅!$B$11:$B$310)),""))))</f>
        <v/>
      </c>
      <c r="G457" s="38" t="str">
        <f>IF(IF(452&lt;=COUNTA(半紙!$B$11:$B$310),INDEX(半紙!$G$11:$G$310,452),IF(452&lt;=COUNTA(半紙!$B$11:$B$310)+COUNTA(条幅!$B$11:$B$310),INDEX(条幅!$G$11:$G$310,452-COUNTA(半紙!$B$11:$B$310)),IF(452&lt;=COUNTA(半紙!$B$11:$B$310)+COUNTA(条幅!$B$11:$B$310)+COUNTA(条幅4分の1!$B$11:$B$310),INDEX(条幅4分の1!$G$11:$G$310,452-COUNTA(半紙!$B$11:$B$310)-COUNTA(条幅!$B$11:$B$310)),"")))=0,"",IF(452&lt;=COUNTA(半紙!$B$11:$B$310),INDEX(半紙!$G$11:$G$310,452),IF(452&lt;=COUNTA(半紙!$B$11:$B$310)+COUNTA(条幅!$B$11:$B$310),INDEX(条幅!$G$11:$G$310,452-COUNTA(半紙!$B$11:$B$310)),IF(452&lt;=COUNTA(半紙!$B$11:$B$310)+COUNTA(条幅!$B$11:$B$310)+COUNTA(条幅4分の1!$B$11:$B$310),INDEX(条幅4分の1!$G$11:$G$310,452-COUNTA(半紙!$B$11:$B$310)-COUNTA(条幅!$B$11:$B$310)),""))))</f>
        <v/>
      </c>
      <c r="H457" s="38" t="str">
        <f>IF(IF(452&lt;=COUNTA(半紙!$B$11:$B$310),INDEX(半紙!$H$11:$H$310,452),IF(452&lt;=COUNTA(半紙!$B$11:$B$310)+COUNTA(条幅!$B$11:$B$310),INDEX(条幅!$H$11:$H$310,452-COUNTA(半紙!$B$11:$B$310)),IF(452&lt;=COUNTA(半紙!$B$11:$B$310)+COUNTA(条幅!$B$11:$B$310)+COUNTA(条幅4分の1!$B$11:$B$310),INDEX(条幅4分の1!$H$11:$H$310,452-COUNTA(半紙!$B$11:$B$310)-COUNTA(条幅!$B$11:$B$310)),"")))=0,"",IF(452&lt;=COUNTA(半紙!$B$11:$B$310),INDEX(半紙!$H$11:$H$310,452),IF(452&lt;=COUNTA(半紙!$B$11:$B$310)+COUNTA(条幅!$B$11:$B$310),INDEX(条幅!$H$11:$H$310,452-COUNTA(半紙!$B$11:$B$310)),IF(452&lt;=COUNTA(半紙!$B$11:$B$310)+COUNTA(条幅!$B$11:$B$310)+COUNTA(条幅4分の1!$B$11:$B$310),INDEX(条幅4分の1!$H$11:$H$310,452-COUNTA(半紙!$B$11:$B$310)-COUNTA(条幅!$B$11:$B$310)),""))))</f>
        <v/>
      </c>
      <c r="I457" s="38" t="str">
        <f>IF(IF(452&lt;=COUNTA(半紙!$B$11:$B$310),INDEX(半紙!$I$11:$I$310,452),IF(452&lt;=COUNTA(半紙!$B$11:$B$310)+COUNTA(条幅!$B$11:$B$310),INDEX(条幅!$I$11:$I$310,452-COUNTA(半紙!$B$11:$B$310)),IF(452&lt;=COUNTA(半紙!$B$11:$B$310)+COUNTA(条幅!$B$11:$B$310)+COUNTA(条幅4分の1!$B$11:$B$310),INDEX(条幅4分の1!$I$11:$I$310,452-COUNTA(半紙!$B$11:$B$310)-COUNTA(条幅!$B$11:$B$310)),"")))=0,"",IF(452&lt;=COUNTA(半紙!$B$11:$B$310),INDEX(半紙!$I$11:$I$310,452),IF(452&lt;=COUNTA(半紙!$B$11:$B$310)+COUNTA(条幅!$B$11:$B$310),INDEX(条幅!$I$11:$I$310,452-COUNTA(半紙!$B$11:$B$310)),IF(452&lt;=COUNTA(半紙!$B$11:$B$310)+COUNTA(条幅!$B$11:$B$310)+COUNTA(条幅4分の1!$B$11:$B$310),INDEX(条幅4分の1!$I$11:$I$310,452-COUNTA(半紙!$B$11:$B$310)-COUNTA(条幅!$B$11:$B$310)),""))))</f>
        <v/>
      </c>
      <c r="J457" s="38" t="str">
        <f>IF(IF(452&lt;=COUNTA(半紙!$B$11:$B$310),INDEX(半紙!$J$11:$J$310,452),IF(452&lt;=COUNTA(半紙!$B$11:$B$310)+COUNTA(条幅!$B$11:$B$310),INDEX(条幅!$J$11:$J$310,452-COUNTA(半紙!$B$11:$B$310)),IF(452&lt;=COUNTA(半紙!$B$11:$B$310)+COUNTA(条幅!$B$11:$B$310)+COUNTA(条幅4分の1!$B$11:$B$310),INDEX(条幅4分の1!$J$11:$J$310,452-COUNTA(半紙!$B$11:$B$310)-COUNTA(条幅!$B$11:$B$310)),"")))=0,"",IF(452&lt;=COUNTA(半紙!$B$11:$B$310),INDEX(半紙!$J$11:$J$310,452),IF(452&lt;=COUNTA(半紙!$B$11:$B$310)+COUNTA(条幅!$B$11:$B$310),INDEX(条幅!$J$11:$J$310,452-COUNTA(半紙!$B$11:$B$310)),IF(452&lt;=COUNTA(半紙!$B$11:$B$310)+COUNTA(条幅!$B$11:$B$310)+COUNTA(条幅4分の1!$B$11:$B$310),INDEX(条幅4分の1!$J$11:$J$310,452-COUNTA(半紙!$B$11:$B$310)-COUNTA(条幅!$B$11:$B$310)),""))))</f>
        <v/>
      </c>
      <c r="K457" s="38" t="str">
        <f>IF(IF(452&lt;=COUNTA(半紙!$B$11:$B$310),INDEX(半紙!$K$11:$K$310,452),IF(452&lt;=COUNTA(半紙!$B$11:$B$310)+COUNTA(条幅!$B$11:$B$310),INDEX(条幅!$K$11:$K$310,452-COUNTA(半紙!$B$11:$B$310)),IF(452&lt;=COUNTA(半紙!$B$11:$B$310)+COUNTA(条幅!$B$11:$B$310)+COUNTA(条幅4分の1!$B$11:$B$310),INDEX(条幅4分の1!$K$11:$K$310,452-COUNTA(半紙!$B$11:$B$310)-COUNTA(条幅!$B$11:$B$310)),"")))=0,"",IF(452&lt;=COUNTA(半紙!$B$11:$B$310),INDEX(半紙!$K$11:$K$310,452),IF(452&lt;=COUNTA(半紙!$B$11:$B$310)+COUNTA(条幅!$B$11:$B$310),INDEX(条幅!$K$11:$K$310,452-COUNTA(半紙!$B$11:$B$310)),IF(452&lt;=COUNTA(半紙!$B$11:$B$310)+COUNTA(条幅!$B$11:$B$310)+COUNTA(条幅4分の1!$B$11:$B$310),INDEX(条幅4分の1!$K$11:$K$310,452-COUNTA(半紙!$B$11:$B$310)-COUNTA(条幅!$B$11:$B$310)),""))))</f>
        <v/>
      </c>
      <c r="L457" s="48" t="str">
        <f>IF($B457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452))</f>
        <v/>
      </c>
    </row>
    <row r="458" spans="1:12" ht="15" customHeight="1">
      <c r="A458" s="37" t="str">
        <f>IF(453&lt;=COUNTA(半紙!$B$11:$B$310),"半紙",IF(453&lt;=COUNTA(半紙!$B$11:$B$310)+COUNTA(条幅!$B$11:$B$310),"条幅(半切)",IF(453&lt;=COUNTA(半紙!$B$11:$B$310)+COUNTA(条幅!$B$11:$B$310)+COUNTA(条幅4分の1!$B$11:$B$310),"条幅(1/4)","")))</f>
        <v/>
      </c>
      <c r="B458" s="38" t="str">
        <f>IF(IF(453&lt;=COUNTA(半紙!$B$11:$B$310),INDEX(半紙!$B$11:$B$310,453),IF(453&lt;=COUNTA(半紙!$B$11:$B$310)+COUNTA(条幅!$B$11:$B$310),INDEX(条幅!$B$11:$B$310,453-COUNTA(半紙!$B$11:$B$310)),IF(453&lt;=COUNTA(半紙!$B$11:$B$310)+COUNTA(条幅!$B$11:$B$310)+COUNTA(条幅4分の1!$B$11:$B$310),INDEX(条幅4分の1!$B$11:$B$310,453-COUNTA(半紙!$B$11:$B$310)-COUNTA(条幅!$B$11:$B$310)),"")))=0,"",IF(453&lt;=COUNTA(半紙!$B$11:$B$310),INDEX(半紙!$B$11:$B$310,453),IF(453&lt;=COUNTA(半紙!$B$11:$B$310)+COUNTA(条幅!$B$11:$B$310),INDEX(条幅!$B$11:$B$310,453-COUNTA(半紙!$B$11:$B$310)),IF(453&lt;=COUNTA(半紙!$B$11:$B$310)+COUNTA(条幅!$B$11:$B$310)+COUNTA(条幅4分の1!$B$11:$B$310),INDEX(条幅4分の1!$B$11:$B$310,453-COUNTA(半紙!$B$11:$B$310)-COUNTA(条幅!$B$11:$B$310)),""))))</f>
        <v/>
      </c>
      <c r="C458" s="38" t="str">
        <f>IF(IF(453&lt;=COUNTA(半紙!$B$11:$B$310),INDEX(半紙!$C$11:$C$310,453),IF(453&lt;=COUNTA(半紙!$B$11:$B$310)+COUNTA(条幅!$B$11:$B$310),INDEX(条幅!$C$11:$C$310,453-COUNTA(半紙!$B$11:$B$310)),IF(453&lt;=COUNTA(半紙!$B$11:$B$310)+COUNTA(条幅!$B$11:$B$310)+COUNTA(条幅4分の1!$B$11:$B$310),INDEX(条幅4分の1!$C$11:$C$310,453-COUNTA(半紙!$B$11:$B$310)-COUNTA(条幅!$B$11:$B$310)),"")))=0,"",IF(453&lt;=COUNTA(半紙!$B$11:$B$310),INDEX(半紙!$C$11:$C$310,453),IF(453&lt;=COUNTA(半紙!$B$11:$B$310)+COUNTA(条幅!$B$11:$B$310),INDEX(条幅!$C$11:$C$310,453-COUNTA(半紙!$B$11:$B$310)),IF(453&lt;=COUNTA(半紙!$B$11:$B$310)+COUNTA(条幅!$B$11:$B$310)+COUNTA(条幅4分の1!$B$11:$B$310),INDEX(条幅4分の1!$C$11:$C$310,453-COUNTA(半紙!$B$11:$B$310)-COUNTA(条幅!$B$11:$B$310)),""))))</f>
        <v/>
      </c>
      <c r="D458" s="38" t="str">
        <f>IF(IF(453&lt;=COUNTA(半紙!$B$11:$B$310),INDEX(半紙!$D$11:$D$310,453),IF(453&lt;=COUNTA(半紙!$B$11:$B$310)+COUNTA(条幅!$B$11:$B$310),INDEX(条幅!$D$11:$D$310,453-COUNTA(半紙!$B$11:$B$310)),IF(453&lt;=COUNTA(半紙!$B$11:$B$310)+COUNTA(条幅!$B$11:$B$310)+COUNTA(条幅4分の1!$B$11:$B$310),INDEX(条幅4分の1!$D$11:$D$310,453-COUNTA(半紙!$B$11:$B$310)-COUNTA(条幅!$B$11:$B$310)),"")))=0,"",IF(453&lt;=COUNTA(半紙!$B$11:$B$310),INDEX(半紙!$D$11:$D$310,453),IF(453&lt;=COUNTA(半紙!$B$11:$B$310)+COUNTA(条幅!$B$11:$B$310),INDEX(条幅!$D$11:$D$310,453-COUNTA(半紙!$B$11:$B$310)),IF(453&lt;=COUNTA(半紙!$B$11:$B$310)+COUNTA(条幅!$B$11:$B$310)+COUNTA(条幅4分の1!$B$11:$B$310),INDEX(条幅4分の1!$D$11:$D$310,453-COUNTA(半紙!$B$11:$B$310)-COUNTA(条幅!$B$11:$B$310)),""))))</f>
        <v/>
      </c>
      <c r="E458" s="38" t="str">
        <f>IF(IF(453&lt;=COUNTA(半紙!$B$11:$B$310),INDEX(半紙!$E$11:$E$310,453),IF(453&lt;=COUNTA(半紙!$B$11:$B$310)+COUNTA(条幅!$B$11:$B$310),INDEX(条幅!$E$11:$E$310,453-COUNTA(半紙!$B$11:$B$310)),IF(453&lt;=COUNTA(半紙!$B$11:$B$310)+COUNTA(条幅!$B$11:$B$310)+COUNTA(条幅4分の1!$B$11:$B$310),INDEX(条幅4分の1!$E$11:$E$310,453-COUNTA(半紙!$B$11:$B$310)-COUNTA(条幅!$B$11:$B$310)),"")))=0,"",IF(453&lt;=COUNTA(半紙!$B$11:$B$310),INDEX(半紙!$E$11:$E$310,453),IF(453&lt;=COUNTA(半紙!$B$11:$B$310)+COUNTA(条幅!$B$11:$B$310),INDEX(条幅!$E$11:$E$310,453-COUNTA(半紙!$B$11:$B$310)),IF(453&lt;=COUNTA(半紙!$B$11:$B$310)+COUNTA(条幅!$B$11:$B$310)+COUNTA(条幅4分の1!$B$11:$B$310),INDEX(条幅4分の1!$E$11:$E$310,453-COUNTA(半紙!$B$11:$B$310)-COUNTA(条幅!$B$11:$B$310)),""))))</f>
        <v/>
      </c>
      <c r="F458" s="38" t="str">
        <f>IF(IF(453&lt;=COUNTA(半紙!$B$11:$B$310),INDEX(半紙!$F$11:$F$310,453),IF(453&lt;=COUNTA(半紙!$B$11:$B$310)+COUNTA(条幅!$B$11:$B$310),INDEX(条幅!$F$11:$F$310,453-COUNTA(半紙!$B$11:$B$310)),IF(453&lt;=COUNTA(半紙!$B$11:$B$310)+COUNTA(条幅!$B$11:$B$310)+COUNTA(条幅4分の1!$B$11:$B$310),INDEX(条幅4分の1!$F$11:$F$310,453-COUNTA(半紙!$B$11:$B$310)-COUNTA(条幅!$B$11:$B$310)),"")))=0,"",IF(453&lt;=COUNTA(半紙!$B$11:$B$310),INDEX(半紙!$F$11:$F$310,453),IF(453&lt;=COUNTA(半紙!$B$11:$B$310)+COUNTA(条幅!$B$11:$B$310),INDEX(条幅!$F$11:$F$310,453-COUNTA(半紙!$B$11:$B$310)),IF(453&lt;=COUNTA(半紙!$B$11:$B$310)+COUNTA(条幅!$B$11:$B$310)+COUNTA(条幅4分の1!$B$11:$B$310),INDEX(条幅4分の1!$F$11:$F$310,453-COUNTA(半紙!$B$11:$B$310)-COUNTA(条幅!$B$11:$B$310)),""))))</f>
        <v/>
      </c>
      <c r="G458" s="38" t="str">
        <f>IF(IF(453&lt;=COUNTA(半紙!$B$11:$B$310),INDEX(半紙!$G$11:$G$310,453),IF(453&lt;=COUNTA(半紙!$B$11:$B$310)+COUNTA(条幅!$B$11:$B$310),INDEX(条幅!$G$11:$G$310,453-COUNTA(半紙!$B$11:$B$310)),IF(453&lt;=COUNTA(半紙!$B$11:$B$310)+COUNTA(条幅!$B$11:$B$310)+COUNTA(条幅4分の1!$B$11:$B$310),INDEX(条幅4分の1!$G$11:$G$310,453-COUNTA(半紙!$B$11:$B$310)-COUNTA(条幅!$B$11:$B$310)),"")))=0,"",IF(453&lt;=COUNTA(半紙!$B$11:$B$310),INDEX(半紙!$G$11:$G$310,453),IF(453&lt;=COUNTA(半紙!$B$11:$B$310)+COUNTA(条幅!$B$11:$B$310),INDEX(条幅!$G$11:$G$310,453-COUNTA(半紙!$B$11:$B$310)),IF(453&lt;=COUNTA(半紙!$B$11:$B$310)+COUNTA(条幅!$B$11:$B$310)+COUNTA(条幅4分の1!$B$11:$B$310),INDEX(条幅4分の1!$G$11:$G$310,453-COUNTA(半紙!$B$11:$B$310)-COUNTA(条幅!$B$11:$B$310)),""))))</f>
        <v/>
      </c>
      <c r="H458" s="38" t="str">
        <f>IF(IF(453&lt;=COUNTA(半紙!$B$11:$B$310),INDEX(半紙!$H$11:$H$310,453),IF(453&lt;=COUNTA(半紙!$B$11:$B$310)+COUNTA(条幅!$B$11:$B$310),INDEX(条幅!$H$11:$H$310,453-COUNTA(半紙!$B$11:$B$310)),IF(453&lt;=COUNTA(半紙!$B$11:$B$310)+COUNTA(条幅!$B$11:$B$310)+COUNTA(条幅4分の1!$B$11:$B$310),INDEX(条幅4分の1!$H$11:$H$310,453-COUNTA(半紙!$B$11:$B$310)-COUNTA(条幅!$B$11:$B$310)),"")))=0,"",IF(453&lt;=COUNTA(半紙!$B$11:$B$310),INDEX(半紙!$H$11:$H$310,453),IF(453&lt;=COUNTA(半紙!$B$11:$B$310)+COUNTA(条幅!$B$11:$B$310),INDEX(条幅!$H$11:$H$310,453-COUNTA(半紙!$B$11:$B$310)),IF(453&lt;=COUNTA(半紙!$B$11:$B$310)+COUNTA(条幅!$B$11:$B$310)+COUNTA(条幅4分の1!$B$11:$B$310),INDEX(条幅4分の1!$H$11:$H$310,453-COUNTA(半紙!$B$11:$B$310)-COUNTA(条幅!$B$11:$B$310)),""))))</f>
        <v/>
      </c>
      <c r="I458" s="38" t="str">
        <f>IF(IF(453&lt;=COUNTA(半紙!$B$11:$B$310),INDEX(半紙!$I$11:$I$310,453),IF(453&lt;=COUNTA(半紙!$B$11:$B$310)+COUNTA(条幅!$B$11:$B$310),INDEX(条幅!$I$11:$I$310,453-COUNTA(半紙!$B$11:$B$310)),IF(453&lt;=COUNTA(半紙!$B$11:$B$310)+COUNTA(条幅!$B$11:$B$310)+COUNTA(条幅4分の1!$B$11:$B$310),INDEX(条幅4分の1!$I$11:$I$310,453-COUNTA(半紙!$B$11:$B$310)-COUNTA(条幅!$B$11:$B$310)),"")))=0,"",IF(453&lt;=COUNTA(半紙!$B$11:$B$310),INDEX(半紙!$I$11:$I$310,453),IF(453&lt;=COUNTA(半紙!$B$11:$B$310)+COUNTA(条幅!$B$11:$B$310),INDEX(条幅!$I$11:$I$310,453-COUNTA(半紙!$B$11:$B$310)),IF(453&lt;=COUNTA(半紙!$B$11:$B$310)+COUNTA(条幅!$B$11:$B$310)+COUNTA(条幅4分の1!$B$11:$B$310),INDEX(条幅4分の1!$I$11:$I$310,453-COUNTA(半紙!$B$11:$B$310)-COUNTA(条幅!$B$11:$B$310)),""))))</f>
        <v/>
      </c>
      <c r="J458" s="38" t="str">
        <f>IF(IF(453&lt;=COUNTA(半紙!$B$11:$B$310),INDEX(半紙!$J$11:$J$310,453),IF(453&lt;=COUNTA(半紙!$B$11:$B$310)+COUNTA(条幅!$B$11:$B$310),INDEX(条幅!$J$11:$J$310,453-COUNTA(半紙!$B$11:$B$310)),IF(453&lt;=COUNTA(半紙!$B$11:$B$310)+COUNTA(条幅!$B$11:$B$310)+COUNTA(条幅4分の1!$B$11:$B$310),INDEX(条幅4分の1!$J$11:$J$310,453-COUNTA(半紙!$B$11:$B$310)-COUNTA(条幅!$B$11:$B$310)),"")))=0,"",IF(453&lt;=COUNTA(半紙!$B$11:$B$310),INDEX(半紙!$J$11:$J$310,453),IF(453&lt;=COUNTA(半紙!$B$11:$B$310)+COUNTA(条幅!$B$11:$B$310),INDEX(条幅!$J$11:$J$310,453-COUNTA(半紙!$B$11:$B$310)),IF(453&lt;=COUNTA(半紙!$B$11:$B$310)+COUNTA(条幅!$B$11:$B$310)+COUNTA(条幅4分の1!$B$11:$B$310),INDEX(条幅4分の1!$J$11:$J$310,453-COUNTA(半紙!$B$11:$B$310)-COUNTA(条幅!$B$11:$B$310)),""))))</f>
        <v/>
      </c>
      <c r="K458" s="38" t="str">
        <f>IF(IF(453&lt;=COUNTA(半紙!$B$11:$B$310),INDEX(半紙!$K$11:$K$310,453),IF(453&lt;=COUNTA(半紙!$B$11:$B$310)+COUNTA(条幅!$B$11:$B$310),INDEX(条幅!$K$11:$K$310,453-COUNTA(半紙!$B$11:$B$310)),IF(453&lt;=COUNTA(半紙!$B$11:$B$310)+COUNTA(条幅!$B$11:$B$310)+COUNTA(条幅4分の1!$B$11:$B$310),INDEX(条幅4分の1!$K$11:$K$310,453-COUNTA(半紙!$B$11:$B$310)-COUNTA(条幅!$B$11:$B$310)),"")))=0,"",IF(453&lt;=COUNTA(半紙!$B$11:$B$310),INDEX(半紙!$K$11:$K$310,453),IF(453&lt;=COUNTA(半紙!$B$11:$B$310)+COUNTA(条幅!$B$11:$B$310),INDEX(条幅!$K$11:$K$310,453-COUNTA(半紙!$B$11:$B$310)),IF(453&lt;=COUNTA(半紙!$B$11:$B$310)+COUNTA(条幅!$B$11:$B$310)+COUNTA(条幅4分の1!$B$11:$B$310),INDEX(条幅4分の1!$K$11:$K$310,453-COUNTA(半紙!$B$11:$B$310)-COUNTA(条幅!$B$11:$B$310)),""))))</f>
        <v/>
      </c>
      <c r="L458" s="48" t="str">
        <f>IF($B458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453))</f>
        <v/>
      </c>
    </row>
    <row r="459" spans="1:12" ht="15" customHeight="1">
      <c r="A459" s="37" t="str">
        <f>IF(454&lt;=COUNTA(半紙!$B$11:$B$310),"半紙",IF(454&lt;=COUNTA(半紙!$B$11:$B$310)+COUNTA(条幅!$B$11:$B$310),"条幅(半切)",IF(454&lt;=COUNTA(半紙!$B$11:$B$310)+COUNTA(条幅!$B$11:$B$310)+COUNTA(条幅4分の1!$B$11:$B$310),"条幅(1/4)","")))</f>
        <v/>
      </c>
      <c r="B459" s="38" t="str">
        <f>IF(IF(454&lt;=COUNTA(半紙!$B$11:$B$310),INDEX(半紙!$B$11:$B$310,454),IF(454&lt;=COUNTA(半紙!$B$11:$B$310)+COUNTA(条幅!$B$11:$B$310),INDEX(条幅!$B$11:$B$310,454-COUNTA(半紙!$B$11:$B$310)),IF(454&lt;=COUNTA(半紙!$B$11:$B$310)+COUNTA(条幅!$B$11:$B$310)+COUNTA(条幅4分の1!$B$11:$B$310),INDEX(条幅4分の1!$B$11:$B$310,454-COUNTA(半紙!$B$11:$B$310)-COUNTA(条幅!$B$11:$B$310)),"")))=0,"",IF(454&lt;=COUNTA(半紙!$B$11:$B$310),INDEX(半紙!$B$11:$B$310,454),IF(454&lt;=COUNTA(半紙!$B$11:$B$310)+COUNTA(条幅!$B$11:$B$310),INDEX(条幅!$B$11:$B$310,454-COUNTA(半紙!$B$11:$B$310)),IF(454&lt;=COUNTA(半紙!$B$11:$B$310)+COUNTA(条幅!$B$11:$B$310)+COUNTA(条幅4分の1!$B$11:$B$310),INDEX(条幅4分の1!$B$11:$B$310,454-COUNTA(半紙!$B$11:$B$310)-COUNTA(条幅!$B$11:$B$310)),""))))</f>
        <v/>
      </c>
      <c r="C459" s="38" t="str">
        <f>IF(IF(454&lt;=COUNTA(半紙!$B$11:$B$310),INDEX(半紙!$C$11:$C$310,454),IF(454&lt;=COUNTA(半紙!$B$11:$B$310)+COUNTA(条幅!$B$11:$B$310),INDEX(条幅!$C$11:$C$310,454-COUNTA(半紙!$B$11:$B$310)),IF(454&lt;=COUNTA(半紙!$B$11:$B$310)+COUNTA(条幅!$B$11:$B$310)+COUNTA(条幅4分の1!$B$11:$B$310),INDEX(条幅4分の1!$C$11:$C$310,454-COUNTA(半紙!$B$11:$B$310)-COUNTA(条幅!$B$11:$B$310)),"")))=0,"",IF(454&lt;=COUNTA(半紙!$B$11:$B$310),INDEX(半紙!$C$11:$C$310,454),IF(454&lt;=COUNTA(半紙!$B$11:$B$310)+COUNTA(条幅!$B$11:$B$310),INDEX(条幅!$C$11:$C$310,454-COUNTA(半紙!$B$11:$B$310)),IF(454&lt;=COUNTA(半紙!$B$11:$B$310)+COUNTA(条幅!$B$11:$B$310)+COUNTA(条幅4分の1!$B$11:$B$310),INDEX(条幅4分の1!$C$11:$C$310,454-COUNTA(半紙!$B$11:$B$310)-COUNTA(条幅!$B$11:$B$310)),""))))</f>
        <v/>
      </c>
      <c r="D459" s="38" t="str">
        <f>IF(IF(454&lt;=COUNTA(半紙!$B$11:$B$310),INDEX(半紙!$D$11:$D$310,454),IF(454&lt;=COUNTA(半紙!$B$11:$B$310)+COUNTA(条幅!$B$11:$B$310),INDEX(条幅!$D$11:$D$310,454-COUNTA(半紙!$B$11:$B$310)),IF(454&lt;=COUNTA(半紙!$B$11:$B$310)+COUNTA(条幅!$B$11:$B$310)+COUNTA(条幅4分の1!$B$11:$B$310),INDEX(条幅4分の1!$D$11:$D$310,454-COUNTA(半紙!$B$11:$B$310)-COUNTA(条幅!$B$11:$B$310)),"")))=0,"",IF(454&lt;=COUNTA(半紙!$B$11:$B$310),INDEX(半紙!$D$11:$D$310,454),IF(454&lt;=COUNTA(半紙!$B$11:$B$310)+COUNTA(条幅!$B$11:$B$310),INDEX(条幅!$D$11:$D$310,454-COUNTA(半紙!$B$11:$B$310)),IF(454&lt;=COUNTA(半紙!$B$11:$B$310)+COUNTA(条幅!$B$11:$B$310)+COUNTA(条幅4分の1!$B$11:$B$310),INDEX(条幅4分の1!$D$11:$D$310,454-COUNTA(半紙!$B$11:$B$310)-COUNTA(条幅!$B$11:$B$310)),""))))</f>
        <v/>
      </c>
      <c r="E459" s="38" t="str">
        <f>IF(IF(454&lt;=COUNTA(半紙!$B$11:$B$310),INDEX(半紙!$E$11:$E$310,454),IF(454&lt;=COUNTA(半紙!$B$11:$B$310)+COUNTA(条幅!$B$11:$B$310),INDEX(条幅!$E$11:$E$310,454-COUNTA(半紙!$B$11:$B$310)),IF(454&lt;=COUNTA(半紙!$B$11:$B$310)+COUNTA(条幅!$B$11:$B$310)+COUNTA(条幅4分の1!$B$11:$B$310),INDEX(条幅4分の1!$E$11:$E$310,454-COUNTA(半紙!$B$11:$B$310)-COUNTA(条幅!$B$11:$B$310)),"")))=0,"",IF(454&lt;=COUNTA(半紙!$B$11:$B$310),INDEX(半紙!$E$11:$E$310,454),IF(454&lt;=COUNTA(半紙!$B$11:$B$310)+COUNTA(条幅!$B$11:$B$310),INDEX(条幅!$E$11:$E$310,454-COUNTA(半紙!$B$11:$B$310)),IF(454&lt;=COUNTA(半紙!$B$11:$B$310)+COUNTA(条幅!$B$11:$B$310)+COUNTA(条幅4分の1!$B$11:$B$310),INDEX(条幅4分の1!$E$11:$E$310,454-COUNTA(半紙!$B$11:$B$310)-COUNTA(条幅!$B$11:$B$310)),""))))</f>
        <v/>
      </c>
      <c r="F459" s="38" t="str">
        <f>IF(IF(454&lt;=COUNTA(半紙!$B$11:$B$310),INDEX(半紙!$F$11:$F$310,454),IF(454&lt;=COUNTA(半紙!$B$11:$B$310)+COUNTA(条幅!$B$11:$B$310),INDEX(条幅!$F$11:$F$310,454-COUNTA(半紙!$B$11:$B$310)),IF(454&lt;=COUNTA(半紙!$B$11:$B$310)+COUNTA(条幅!$B$11:$B$310)+COUNTA(条幅4分の1!$B$11:$B$310),INDEX(条幅4分の1!$F$11:$F$310,454-COUNTA(半紙!$B$11:$B$310)-COUNTA(条幅!$B$11:$B$310)),"")))=0,"",IF(454&lt;=COUNTA(半紙!$B$11:$B$310),INDEX(半紙!$F$11:$F$310,454),IF(454&lt;=COUNTA(半紙!$B$11:$B$310)+COUNTA(条幅!$B$11:$B$310),INDEX(条幅!$F$11:$F$310,454-COUNTA(半紙!$B$11:$B$310)),IF(454&lt;=COUNTA(半紙!$B$11:$B$310)+COUNTA(条幅!$B$11:$B$310)+COUNTA(条幅4分の1!$B$11:$B$310),INDEX(条幅4分の1!$F$11:$F$310,454-COUNTA(半紙!$B$11:$B$310)-COUNTA(条幅!$B$11:$B$310)),""))))</f>
        <v/>
      </c>
      <c r="G459" s="38" t="str">
        <f>IF(IF(454&lt;=COUNTA(半紙!$B$11:$B$310),INDEX(半紙!$G$11:$G$310,454),IF(454&lt;=COUNTA(半紙!$B$11:$B$310)+COUNTA(条幅!$B$11:$B$310),INDEX(条幅!$G$11:$G$310,454-COUNTA(半紙!$B$11:$B$310)),IF(454&lt;=COUNTA(半紙!$B$11:$B$310)+COUNTA(条幅!$B$11:$B$310)+COUNTA(条幅4分の1!$B$11:$B$310),INDEX(条幅4分の1!$G$11:$G$310,454-COUNTA(半紙!$B$11:$B$310)-COUNTA(条幅!$B$11:$B$310)),"")))=0,"",IF(454&lt;=COUNTA(半紙!$B$11:$B$310),INDEX(半紙!$G$11:$G$310,454),IF(454&lt;=COUNTA(半紙!$B$11:$B$310)+COUNTA(条幅!$B$11:$B$310),INDEX(条幅!$G$11:$G$310,454-COUNTA(半紙!$B$11:$B$310)),IF(454&lt;=COUNTA(半紙!$B$11:$B$310)+COUNTA(条幅!$B$11:$B$310)+COUNTA(条幅4分の1!$B$11:$B$310),INDEX(条幅4分の1!$G$11:$G$310,454-COUNTA(半紙!$B$11:$B$310)-COUNTA(条幅!$B$11:$B$310)),""))))</f>
        <v/>
      </c>
      <c r="H459" s="38" t="str">
        <f>IF(IF(454&lt;=COUNTA(半紙!$B$11:$B$310),INDEX(半紙!$H$11:$H$310,454),IF(454&lt;=COUNTA(半紙!$B$11:$B$310)+COUNTA(条幅!$B$11:$B$310),INDEX(条幅!$H$11:$H$310,454-COUNTA(半紙!$B$11:$B$310)),IF(454&lt;=COUNTA(半紙!$B$11:$B$310)+COUNTA(条幅!$B$11:$B$310)+COUNTA(条幅4分の1!$B$11:$B$310),INDEX(条幅4分の1!$H$11:$H$310,454-COUNTA(半紙!$B$11:$B$310)-COUNTA(条幅!$B$11:$B$310)),"")))=0,"",IF(454&lt;=COUNTA(半紙!$B$11:$B$310),INDEX(半紙!$H$11:$H$310,454),IF(454&lt;=COUNTA(半紙!$B$11:$B$310)+COUNTA(条幅!$B$11:$B$310),INDEX(条幅!$H$11:$H$310,454-COUNTA(半紙!$B$11:$B$310)),IF(454&lt;=COUNTA(半紙!$B$11:$B$310)+COUNTA(条幅!$B$11:$B$310)+COUNTA(条幅4分の1!$B$11:$B$310),INDEX(条幅4分の1!$H$11:$H$310,454-COUNTA(半紙!$B$11:$B$310)-COUNTA(条幅!$B$11:$B$310)),""))))</f>
        <v/>
      </c>
      <c r="I459" s="38" t="str">
        <f>IF(IF(454&lt;=COUNTA(半紙!$B$11:$B$310),INDEX(半紙!$I$11:$I$310,454),IF(454&lt;=COUNTA(半紙!$B$11:$B$310)+COUNTA(条幅!$B$11:$B$310),INDEX(条幅!$I$11:$I$310,454-COUNTA(半紙!$B$11:$B$310)),IF(454&lt;=COUNTA(半紙!$B$11:$B$310)+COUNTA(条幅!$B$11:$B$310)+COUNTA(条幅4分の1!$B$11:$B$310),INDEX(条幅4分の1!$I$11:$I$310,454-COUNTA(半紙!$B$11:$B$310)-COUNTA(条幅!$B$11:$B$310)),"")))=0,"",IF(454&lt;=COUNTA(半紙!$B$11:$B$310),INDEX(半紙!$I$11:$I$310,454),IF(454&lt;=COUNTA(半紙!$B$11:$B$310)+COUNTA(条幅!$B$11:$B$310),INDEX(条幅!$I$11:$I$310,454-COUNTA(半紙!$B$11:$B$310)),IF(454&lt;=COUNTA(半紙!$B$11:$B$310)+COUNTA(条幅!$B$11:$B$310)+COUNTA(条幅4分の1!$B$11:$B$310),INDEX(条幅4分の1!$I$11:$I$310,454-COUNTA(半紙!$B$11:$B$310)-COUNTA(条幅!$B$11:$B$310)),""))))</f>
        <v/>
      </c>
      <c r="J459" s="38" t="str">
        <f>IF(IF(454&lt;=COUNTA(半紙!$B$11:$B$310),INDEX(半紙!$J$11:$J$310,454),IF(454&lt;=COUNTA(半紙!$B$11:$B$310)+COUNTA(条幅!$B$11:$B$310),INDEX(条幅!$J$11:$J$310,454-COUNTA(半紙!$B$11:$B$310)),IF(454&lt;=COUNTA(半紙!$B$11:$B$310)+COUNTA(条幅!$B$11:$B$310)+COUNTA(条幅4分の1!$B$11:$B$310),INDEX(条幅4分の1!$J$11:$J$310,454-COUNTA(半紙!$B$11:$B$310)-COUNTA(条幅!$B$11:$B$310)),"")))=0,"",IF(454&lt;=COUNTA(半紙!$B$11:$B$310),INDEX(半紙!$J$11:$J$310,454),IF(454&lt;=COUNTA(半紙!$B$11:$B$310)+COUNTA(条幅!$B$11:$B$310),INDEX(条幅!$J$11:$J$310,454-COUNTA(半紙!$B$11:$B$310)),IF(454&lt;=COUNTA(半紙!$B$11:$B$310)+COUNTA(条幅!$B$11:$B$310)+COUNTA(条幅4分の1!$B$11:$B$310),INDEX(条幅4分の1!$J$11:$J$310,454-COUNTA(半紙!$B$11:$B$310)-COUNTA(条幅!$B$11:$B$310)),""))))</f>
        <v/>
      </c>
      <c r="K459" s="38" t="str">
        <f>IF(IF(454&lt;=COUNTA(半紙!$B$11:$B$310),INDEX(半紙!$K$11:$K$310,454),IF(454&lt;=COUNTA(半紙!$B$11:$B$310)+COUNTA(条幅!$B$11:$B$310),INDEX(条幅!$K$11:$K$310,454-COUNTA(半紙!$B$11:$B$310)),IF(454&lt;=COUNTA(半紙!$B$11:$B$310)+COUNTA(条幅!$B$11:$B$310)+COUNTA(条幅4分の1!$B$11:$B$310),INDEX(条幅4分の1!$K$11:$K$310,454-COUNTA(半紙!$B$11:$B$310)-COUNTA(条幅!$B$11:$B$310)),"")))=0,"",IF(454&lt;=COUNTA(半紙!$B$11:$B$310),INDEX(半紙!$K$11:$K$310,454),IF(454&lt;=COUNTA(半紙!$B$11:$B$310)+COUNTA(条幅!$B$11:$B$310),INDEX(条幅!$K$11:$K$310,454-COUNTA(半紙!$B$11:$B$310)),IF(454&lt;=COUNTA(半紙!$B$11:$B$310)+COUNTA(条幅!$B$11:$B$310)+COUNTA(条幅4分の1!$B$11:$B$310),INDEX(条幅4分の1!$K$11:$K$310,454-COUNTA(半紙!$B$11:$B$310)-COUNTA(条幅!$B$11:$B$310)),""))))</f>
        <v/>
      </c>
      <c r="L459" s="48" t="str">
        <f>IF($B459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454))</f>
        <v/>
      </c>
    </row>
    <row r="460" spans="1:12" ht="15" customHeight="1">
      <c r="A460" s="37" t="str">
        <f>IF(455&lt;=COUNTA(半紙!$B$11:$B$310),"半紙",IF(455&lt;=COUNTA(半紙!$B$11:$B$310)+COUNTA(条幅!$B$11:$B$310),"条幅(半切)",IF(455&lt;=COUNTA(半紙!$B$11:$B$310)+COUNTA(条幅!$B$11:$B$310)+COUNTA(条幅4分の1!$B$11:$B$310),"条幅(1/4)","")))</f>
        <v/>
      </c>
      <c r="B460" s="38" t="str">
        <f>IF(IF(455&lt;=COUNTA(半紙!$B$11:$B$310),INDEX(半紙!$B$11:$B$310,455),IF(455&lt;=COUNTA(半紙!$B$11:$B$310)+COUNTA(条幅!$B$11:$B$310),INDEX(条幅!$B$11:$B$310,455-COUNTA(半紙!$B$11:$B$310)),IF(455&lt;=COUNTA(半紙!$B$11:$B$310)+COUNTA(条幅!$B$11:$B$310)+COUNTA(条幅4分の1!$B$11:$B$310),INDEX(条幅4分の1!$B$11:$B$310,455-COUNTA(半紙!$B$11:$B$310)-COUNTA(条幅!$B$11:$B$310)),"")))=0,"",IF(455&lt;=COUNTA(半紙!$B$11:$B$310),INDEX(半紙!$B$11:$B$310,455),IF(455&lt;=COUNTA(半紙!$B$11:$B$310)+COUNTA(条幅!$B$11:$B$310),INDEX(条幅!$B$11:$B$310,455-COUNTA(半紙!$B$11:$B$310)),IF(455&lt;=COUNTA(半紙!$B$11:$B$310)+COUNTA(条幅!$B$11:$B$310)+COUNTA(条幅4分の1!$B$11:$B$310),INDEX(条幅4分の1!$B$11:$B$310,455-COUNTA(半紙!$B$11:$B$310)-COUNTA(条幅!$B$11:$B$310)),""))))</f>
        <v/>
      </c>
      <c r="C460" s="38" t="str">
        <f>IF(IF(455&lt;=COUNTA(半紙!$B$11:$B$310),INDEX(半紙!$C$11:$C$310,455),IF(455&lt;=COUNTA(半紙!$B$11:$B$310)+COUNTA(条幅!$B$11:$B$310),INDEX(条幅!$C$11:$C$310,455-COUNTA(半紙!$B$11:$B$310)),IF(455&lt;=COUNTA(半紙!$B$11:$B$310)+COUNTA(条幅!$B$11:$B$310)+COUNTA(条幅4分の1!$B$11:$B$310),INDEX(条幅4分の1!$C$11:$C$310,455-COUNTA(半紙!$B$11:$B$310)-COUNTA(条幅!$B$11:$B$310)),"")))=0,"",IF(455&lt;=COUNTA(半紙!$B$11:$B$310),INDEX(半紙!$C$11:$C$310,455),IF(455&lt;=COUNTA(半紙!$B$11:$B$310)+COUNTA(条幅!$B$11:$B$310),INDEX(条幅!$C$11:$C$310,455-COUNTA(半紙!$B$11:$B$310)),IF(455&lt;=COUNTA(半紙!$B$11:$B$310)+COUNTA(条幅!$B$11:$B$310)+COUNTA(条幅4分の1!$B$11:$B$310),INDEX(条幅4分の1!$C$11:$C$310,455-COUNTA(半紙!$B$11:$B$310)-COUNTA(条幅!$B$11:$B$310)),""))))</f>
        <v/>
      </c>
      <c r="D460" s="38" t="str">
        <f>IF(IF(455&lt;=COUNTA(半紙!$B$11:$B$310),INDEX(半紙!$D$11:$D$310,455),IF(455&lt;=COUNTA(半紙!$B$11:$B$310)+COUNTA(条幅!$B$11:$B$310),INDEX(条幅!$D$11:$D$310,455-COUNTA(半紙!$B$11:$B$310)),IF(455&lt;=COUNTA(半紙!$B$11:$B$310)+COUNTA(条幅!$B$11:$B$310)+COUNTA(条幅4分の1!$B$11:$B$310),INDEX(条幅4分の1!$D$11:$D$310,455-COUNTA(半紙!$B$11:$B$310)-COUNTA(条幅!$B$11:$B$310)),"")))=0,"",IF(455&lt;=COUNTA(半紙!$B$11:$B$310),INDEX(半紙!$D$11:$D$310,455),IF(455&lt;=COUNTA(半紙!$B$11:$B$310)+COUNTA(条幅!$B$11:$B$310),INDEX(条幅!$D$11:$D$310,455-COUNTA(半紙!$B$11:$B$310)),IF(455&lt;=COUNTA(半紙!$B$11:$B$310)+COUNTA(条幅!$B$11:$B$310)+COUNTA(条幅4分の1!$B$11:$B$310),INDEX(条幅4分の1!$D$11:$D$310,455-COUNTA(半紙!$B$11:$B$310)-COUNTA(条幅!$B$11:$B$310)),""))))</f>
        <v/>
      </c>
      <c r="E460" s="38" t="str">
        <f>IF(IF(455&lt;=COUNTA(半紙!$B$11:$B$310),INDEX(半紙!$E$11:$E$310,455),IF(455&lt;=COUNTA(半紙!$B$11:$B$310)+COUNTA(条幅!$B$11:$B$310),INDEX(条幅!$E$11:$E$310,455-COUNTA(半紙!$B$11:$B$310)),IF(455&lt;=COUNTA(半紙!$B$11:$B$310)+COUNTA(条幅!$B$11:$B$310)+COUNTA(条幅4分の1!$B$11:$B$310),INDEX(条幅4分の1!$E$11:$E$310,455-COUNTA(半紙!$B$11:$B$310)-COUNTA(条幅!$B$11:$B$310)),"")))=0,"",IF(455&lt;=COUNTA(半紙!$B$11:$B$310),INDEX(半紙!$E$11:$E$310,455),IF(455&lt;=COUNTA(半紙!$B$11:$B$310)+COUNTA(条幅!$B$11:$B$310),INDEX(条幅!$E$11:$E$310,455-COUNTA(半紙!$B$11:$B$310)),IF(455&lt;=COUNTA(半紙!$B$11:$B$310)+COUNTA(条幅!$B$11:$B$310)+COUNTA(条幅4分の1!$B$11:$B$310),INDEX(条幅4分の1!$E$11:$E$310,455-COUNTA(半紙!$B$11:$B$310)-COUNTA(条幅!$B$11:$B$310)),""))))</f>
        <v/>
      </c>
      <c r="F460" s="38" t="str">
        <f>IF(IF(455&lt;=COUNTA(半紙!$B$11:$B$310),INDEX(半紙!$F$11:$F$310,455),IF(455&lt;=COUNTA(半紙!$B$11:$B$310)+COUNTA(条幅!$B$11:$B$310),INDEX(条幅!$F$11:$F$310,455-COUNTA(半紙!$B$11:$B$310)),IF(455&lt;=COUNTA(半紙!$B$11:$B$310)+COUNTA(条幅!$B$11:$B$310)+COUNTA(条幅4分の1!$B$11:$B$310),INDEX(条幅4分の1!$F$11:$F$310,455-COUNTA(半紙!$B$11:$B$310)-COUNTA(条幅!$B$11:$B$310)),"")))=0,"",IF(455&lt;=COUNTA(半紙!$B$11:$B$310),INDEX(半紙!$F$11:$F$310,455),IF(455&lt;=COUNTA(半紙!$B$11:$B$310)+COUNTA(条幅!$B$11:$B$310),INDEX(条幅!$F$11:$F$310,455-COUNTA(半紙!$B$11:$B$310)),IF(455&lt;=COUNTA(半紙!$B$11:$B$310)+COUNTA(条幅!$B$11:$B$310)+COUNTA(条幅4分の1!$B$11:$B$310),INDEX(条幅4分の1!$F$11:$F$310,455-COUNTA(半紙!$B$11:$B$310)-COUNTA(条幅!$B$11:$B$310)),""))))</f>
        <v/>
      </c>
      <c r="G460" s="38" t="str">
        <f>IF(IF(455&lt;=COUNTA(半紙!$B$11:$B$310),INDEX(半紙!$G$11:$G$310,455),IF(455&lt;=COUNTA(半紙!$B$11:$B$310)+COUNTA(条幅!$B$11:$B$310),INDEX(条幅!$G$11:$G$310,455-COUNTA(半紙!$B$11:$B$310)),IF(455&lt;=COUNTA(半紙!$B$11:$B$310)+COUNTA(条幅!$B$11:$B$310)+COUNTA(条幅4分の1!$B$11:$B$310),INDEX(条幅4分の1!$G$11:$G$310,455-COUNTA(半紙!$B$11:$B$310)-COUNTA(条幅!$B$11:$B$310)),"")))=0,"",IF(455&lt;=COUNTA(半紙!$B$11:$B$310),INDEX(半紙!$G$11:$G$310,455),IF(455&lt;=COUNTA(半紙!$B$11:$B$310)+COUNTA(条幅!$B$11:$B$310),INDEX(条幅!$G$11:$G$310,455-COUNTA(半紙!$B$11:$B$310)),IF(455&lt;=COUNTA(半紙!$B$11:$B$310)+COUNTA(条幅!$B$11:$B$310)+COUNTA(条幅4分の1!$B$11:$B$310),INDEX(条幅4分の1!$G$11:$G$310,455-COUNTA(半紙!$B$11:$B$310)-COUNTA(条幅!$B$11:$B$310)),""))))</f>
        <v/>
      </c>
      <c r="H460" s="38" t="str">
        <f>IF(IF(455&lt;=COUNTA(半紙!$B$11:$B$310),INDEX(半紙!$H$11:$H$310,455),IF(455&lt;=COUNTA(半紙!$B$11:$B$310)+COUNTA(条幅!$B$11:$B$310),INDEX(条幅!$H$11:$H$310,455-COUNTA(半紙!$B$11:$B$310)),IF(455&lt;=COUNTA(半紙!$B$11:$B$310)+COUNTA(条幅!$B$11:$B$310)+COUNTA(条幅4分の1!$B$11:$B$310),INDEX(条幅4分の1!$H$11:$H$310,455-COUNTA(半紙!$B$11:$B$310)-COUNTA(条幅!$B$11:$B$310)),"")))=0,"",IF(455&lt;=COUNTA(半紙!$B$11:$B$310),INDEX(半紙!$H$11:$H$310,455),IF(455&lt;=COUNTA(半紙!$B$11:$B$310)+COUNTA(条幅!$B$11:$B$310),INDEX(条幅!$H$11:$H$310,455-COUNTA(半紙!$B$11:$B$310)),IF(455&lt;=COUNTA(半紙!$B$11:$B$310)+COUNTA(条幅!$B$11:$B$310)+COUNTA(条幅4分の1!$B$11:$B$310),INDEX(条幅4分の1!$H$11:$H$310,455-COUNTA(半紙!$B$11:$B$310)-COUNTA(条幅!$B$11:$B$310)),""))))</f>
        <v/>
      </c>
      <c r="I460" s="38" t="str">
        <f>IF(IF(455&lt;=COUNTA(半紙!$B$11:$B$310),INDEX(半紙!$I$11:$I$310,455),IF(455&lt;=COUNTA(半紙!$B$11:$B$310)+COUNTA(条幅!$B$11:$B$310),INDEX(条幅!$I$11:$I$310,455-COUNTA(半紙!$B$11:$B$310)),IF(455&lt;=COUNTA(半紙!$B$11:$B$310)+COUNTA(条幅!$B$11:$B$310)+COUNTA(条幅4分の1!$B$11:$B$310),INDEX(条幅4分の1!$I$11:$I$310,455-COUNTA(半紙!$B$11:$B$310)-COUNTA(条幅!$B$11:$B$310)),"")))=0,"",IF(455&lt;=COUNTA(半紙!$B$11:$B$310),INDEX(半紙!$I$11:$I$310,455),IF(455&lt;=COUNTA(半紙!$B$11:$B$310)+COUNTA(条幅!$B$11:$B$310),INDEX(条幅!$I$11:$I$310,455-COUNTA(半紙!$B$11:$B$310)),IF(455&lt;=COUNTA(半紙!$B$11:$B$310)+COUNTA(条幅!$B$11:$B$310)+COUNTA(条幅4分の1!$B$11:$B$310),INDEX(条幅4分の1!$I$11:$I$310,455-COUNTA(半紙!$B$11:$B$310)-COUNTA(条幅!$B$11:$B$310)),""))))</f>
        <v/>
      </c>
      <c r="J460" s="38" t="str">
        <f>IF(IF(455&lt;=COUNTA(半紙!$B$11:$B$310),INDEX(半紙!$J$11:$J$310,455),IF(455&lt;=COUNTA(半紙!$B$11:$B$310)+COUNTA(条幅!$B$11:$B$310),INDEX(条幅!$J$11:$J$310,455-COUNTA(半紙!$B$11:$B$310)),IF(455&lt;=COUNTA(半紙!$B$11:$B$310)+COUNTA(条幅!$B$11:$B$310)+COUNTA(条幅4分の1!$B$11:$B$310),INDEX(条幅4分の1!$J$11:$J$310,455-COUNTA(半紙!$B$11:$B$310)-COUNTA(条幅!$B$11:$B$310)),"")))=0,"",IF(455&lt;=COUNTA(半紙!$B$11:$B$310),INDEX(半紙!$J$11:$J$310,455),IF(455&lt;=COUNTA(半紙!$B$11:$B$310)+COUNTA(条幅!$B$11:$B$310),INDEX(条幅!$J$11:$J$310,455-COUNTA(半紙!$B$11:$B$310)),IF(455&lt;=COUNTA(半紙!$B$11:$B$310)+COUNTA(条幅!$B$11:$B$310)+COUNTA(条幅4分の1!$B$11:$B$310),INDEX(条幅4分の1!$J$11:$J$310,455-COUNTA(半紙!$B$11:$B$310)-COUNTA(条幅!$B$11:$B$310)),""))))</f>
        <v/>
      </c>
      <c r="K460" s="38" t="str">
        <f>IF(IF(455&lt;=COUNTA(半紙!$B$11:$B$310),INDEX(半紙!$K$11:$K$310,455),IF(455&lt;=COUNTA(半紙!$B$11:$B$310)+COUNTA(条幅!$B$11:$B$310),INDEX(条幅!$K$11:$K$310,455-COUNTA(半紙!$B$11:$B$310)),IF(455&lt;=COUNTA(半紙!$B$11:$B$310)+COUNTA(条幅!$B$11:$B$310)+COUNTA(条幅4分の1!$B$11:$B$310),INDEX(条幅4分の1!$K$11:$K$310,455-COUNTA(半紙!$B$11:$B$310)-COUNTA(条幅!$B$11:$B$310)),"")))=0,"",IF(455&lt;=COUNTA(半紙!$B$11:$B$310),INDEX(半紙!$K$11:$K$310,455),IF(455&lt;=COUNTA(半紙!$B$11:$B$310)+COUNTA(条幅!$B$11:$B$310),INDEX(条幅!$K$11:$K$310,455-COUNTA(半紙!$B$11:$B$310)),IF(455&lt;=COUNTA(半紙!$B$11:$B$310)+COUNTA(条幅!$B$11:$B$310)+COUNTA(条幅4分の1!$B$11:$B$310),INDEX(条幅4分の1!$K$11:$K$310,455-COUNTA(半紙!$B$11:$B$310)-COUNTA(条幅!$B$11:$B$310)),""))))</f>
        <v/>
      </c>
      <c r="L460" s="48" t="str">
        <f>IF($B460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455))</f>
        <v/>
      </c>
    </row>
    <row r="461" spans="1:12" ht="15" customHeight="1">
      <c r="A461" s="37" t="str">
        <f>IF(456&lt;=COUNTA(半紙!$B$11:$B$310),"半紙",IF(456&lt;=COUNTA(半紙!$B$11:$B$310)+COUNTA(条幅!$B$11:$B$310),"条幅(半切)",IF(456&lt;=COUNTA(半紙!$B$11:$B$310)+COUNTA(条幅!$B$11:$B$310)+COUNTA(条幅4分の1!$B$11:$B$310),"条幅(1/4)","")))</f>
        <v/>
      </c>
      <c r="B461" s="38" t="str">
        <f>IF(IF(456&lt;=COUNTA(半紙!$B$11:$B$310),INDEX(半紙!$B$11:$B$310,456),IF(456&lt;=COUNTA(半紙!$B$11:$B$310)+COUNTA(条幅!$B$11:$B$310),INDEX(条幅!$B$11:$B$310,456-COUNTA(半紙!$B$11:$B$310)),IF(456&lt;=COUNTA(半紙!$B$11:$B$310)+COUNTA(条幅!$B$11:$B$310)+COUNTA(条幅4分の1!$B$11:$B$310),INDEX(条幅4分の1!$B$11:$B$310,456-COUNTA(半紙!$B$11:$B$310)-COUNTA(条幅!$B$11:$B$310)),"")))=0,"",IF(456&lt;=COUNTA(半紙!$B$11:$B$310),INDEX(半紙!$B$11:$B$310,456),IF(456&lt;=COUNTA(半紙!$B$11:$B$310)+COUNTA(条幅!$B$11:$B$310),INDEX(条幅!$B$11:$B$310,456-COUNTA(半紙!$B$11:$B$310)),IF(456&lt;=COUNTA(半紙!$B$11:$B$310)+COUNTA(条幅!$B$11:$B$310)+COUNTA(条幅4分の1!$B$11:$B$310),INDEX(条幅4分の1!$B$11:$B$310,456-COUNTA(半紙!$B$11:$B$310)-COUNTA(条幅!$B$11:$B$310)),""))))</f>
        <v/>
      </c>
      <c r="C461" s="38" t="str">
        <f>IF(IF(456&lt;=COUNTA(半紙!$B$11:$B$310),INDEX(半紙!$C$11:$C$310,456),IF(456&lt;=COUNTA(半紙!$B$11:$B$310)+COUNTA(条幅!$B$11:$B$310),INDEX(条幅!$C$11:$C$310,456-COUNTA(半紙!$B$11:$B$310)),IF(456&lt;=COUNTA(半紙!$B$11:$B$310)+COUNTA(条幅!$B$11:$B$310)+COUNTA(条幅4分の1!$B$11:$B$310),INDEX(条幅4分の1!$C$11:$C$310,456-COUNTA(半紙!$B$11:$B$310)-COUNTA(条幅!$B$11:$B$310)),"")))=0,"",IF(456&lt;=COUNTA(半紙!$B$11:$B$310),INDEX(半紙!$C$11:$C$310,456),IF(456&lt;=COUNTA(半紙!$B$11:$B$310)+COUNTA(条幅!$B$11:$B$310),INDEX(条幅!$C$11:$C$310,456-COUNTA(半紙!$B$11:$B$310)),IF(456&lt;=COUNTA(半紙!$B$11:$B$310)+COUNTA(条幅!$B$11:$B$310)+COUNTA(条幅4分の1!$B$11:$B$310),INDEX(条幅4分の1!$C$11:$C$310,456-COUNTA(半紙!$B$11:$B$310)-COUNTA(条幅!$B$11:$B$310)),""))))</f>
        <v/>
      </c>
      <c r="D461" s="38" t="str">
        <f>IF(IF(456&lt;=COUNTA(半紙!$B$11:$B$310),INDEX(半紙!$D$11:$D$310,456),IF(456&lt;=COUNTA(半紙!$B$11:$B$310)+COUNTA(条幅!$B$11:$B$310),INDEX(条幅!$D$11:$D$310,456-COUNTA(半紙!$B$11:$B$310)),IF(456&lt;=COUNTA(半紙!$B$11:$B$310)+COUNTA(条幅!$B$11:$B$310)+COUNTA(条幅4分の1!$B$11:$B$310),INDEX(条幅4分の1!$D$11:$D$310,456-COUNTA(半紙!$B$11:$B$310)-COUNTA(条幅!$B$11:$B$310)),"")))=0,"",IF(456&lt;=COUNTA(半紙!$B$11:$B$310),INDEX(半紙!$D$11:$D$310,456),IF(456&lt;=COUNTA(半紙!$B$11:$B$310)+COUNTA(条幅!$B$11:$B$310),INDEX(条幅!$D$11:$D$310,456-COUNTA(半紙!$B$11:$B$310)),IF(456&lt;=COUNTA(半紙!$B$11:$B$310)+COUNTA(条幅!$B$11:$B$310)+COUNTA(条幅4分の1!$B$11:$B$310),INDEX(条幅4分の1!$D$11:$D$310,456-COUNTA(半紙!$B$11:$B$310)-COUNTA(条幅!$B$11:$B$310)),""))))</f>
        <v/>
      </c>
      <c r="E461" s="38" t="str">
        <f>IF(IF(456&lt;=COUNTA(半紙!$B$11:$B$310),INDEX(半紙!$E$11:$E$310,456),IF(456&lt;=COUNTA(半紙!$B$11:$B$310)+COUNTA(条幅!$B$11:$B$310),INDEX(条幅!$E$11:$E$310,456-COUNTA(半紙!$B$11:$B$310)),IF(456&lt;=COUNTA(半紙!$B$11:$B$310)+COUNTA(条幅!$B$11:$B$310)+COUNTA(条幅4分の1!$B$11:$B$310),INDEX(条幅4分の1!$E$11:$E$310,456-COUNTA(半紙!$B$11:$B$310)-COUNTA(条幅!$B$11:$B$310)),"")))=0,"",IF(456&lt;=COUNTA(半紙!$B$11:$B$310),INDEX(半紙!$E$11:$E$310,456),IF(456&lt;=COUNTA(半紙!$B$11:$B$310)+COUNTA(条幅!$B$11:$B$310),INDEX(条幅!$E$11:$E$310,456-COUNTA(半紙!$B$11:$B$310)),IF(456&lt;=COUNTA(半紙!$B$11:$B$310)+COUNTA(条幅!$B$11:$B$310)+COUNTA(条幅4分の1!$B$11:$B$310),INDEX(条幅4分の1!$E$11:$E$310,456-COUNTA(半紙!$B$11:$B$310)-COUNTA(条幅!$B$11:$B$310)),""))))</f>
        <v/>
      </c>
      <c r="F461" s="38" t="str">
        <f>IF(IF(456&lt;=COUNTA(半紙!$B$11:$B$310),INDEX(半紙!$F$11:$F$310,456),IF(456&lt;=COUNTA(半紙!$B$11:$B$310)+COUNTA(条幅!$B$11:$B$310),INDEX(条幅!$F$11:$F$310,456-COUNTA(半紙!$B$11:$B$310)),IF(456&lt;=COUNTA(半紙!$B$11:$B$310)+COUNTA(条幅!$B$11:$B$310)+COUNTA(条幅4分の1!$B$11:$B$310),INDEX(条幅4分の1!$F$11:$F$310,456-COUNTA(半紙!$B$11:$B$310)-COUNTA(条幅!$B$11:$B$310)),"")))=0,"",IF(456&lt;=COUNTA(半紙!$B$11:$B$310),INDEX(半紙!$F$11:$F$310,456),IF(456&lt;=COUNTA(半紙!$B$11:$B$310)+COUNTA(条幅!$B$11:$B$310),INDEX(条幅!$F$11:$F$310,456-COUNTA(半紙!$B$11:$B$310)),IF(456&lt;=COUNTA(半紙!$B$11:$B$310)+COUNTA(条幅!$B$11:$B$310)+COUNTA(条幅4分の1!$B$11:$B$310),INDEX(条幅4分の1!$F$11:$F$310,456-COUNTA(半紙!$B$11:$B$310)-COUNTA(条幅!$B$11:$B$310)),""))))</f>
        <v/>
      </c>
      <c r="G461" s="38" t="str">
        <f>IF(IF(456&lt;=COUNTA(半紙!$B$11:$B$310),INDEX(半紙!$G$11:$G$310,456),IF(456&lt;=COUNTA(半紙!$B$11:$B$310)+COUNTA(条幅!$B$11:$B$310),INDEX(条幅!$G$11:$G$310,456-COUNTA(半紙!$B$11:$B$310)),IF(456&lt;=COUNTA(半紙!$B$11:$B$310)+COUNTA(条幅!$B$11:$B$310)+COUNTA(条幅4分の1!$B$11:$B$310),INDEX(条幅4分の1!$G$11:$G$310,456-COUNTA(半紙!$B$11:$B$310)-COUNTA(条幅!$B$11:$B$310)),"")))=0,"",IF(456&lt;=COUNTA(半紙!$B$11:$B$310),INDEX(半紙!$G$11:$G$310,456),IF(456&lt;=COUNTA(半紙!$B$11:$B$310)+COUNTA(条幅!$B$11:$B$310),INDEX(条幅!$G$11:$G$310,456-COUNTA(半紙!$B$11:$B$310)),IF(456&lt;=COUNTA(半紙!$B$11:$B$310)+COUNTA(条幅!$B$11:$B$310)+COUNTA(条幅4分の1!$B$11:$B$310),INDEX(条幅4分の1!$G$11:$G$310,456-COUNTA(半紙!$B$11:$B$310)-COUNTA(条幅!$B$11:$B$310)),""))))</f>
        <v/>
      </c>
      <c r="H461" s="38" t="str">
        <f>IF(IF(456&lt;=COUNTA(半紙!$B$11:$B$310),INDEX(半紙!$H$11:$H$310,456),IF(456&lt;=COUNTA(半紙!$B$11:$B$310)+COUNTA(条幅!$B$11:$B$310),INDEX(条幅!$H$11:$H$310,456-COUNTA(半紙!$B$11:$B$310)),IF(456&lt;=COUNTA(半紙!$B$11:$B$310)+COUNTA(条幅!$B$11:$B$310)+COUNTA(条幅4分の1!$B$11:$B$310),INDEX(条幅4分の1!$H$11:$H$310,456-COUNTA(半紙!$B$11:$B$310)-COUNTA(条幅!$B$11:$B$310)),"")))=0,"",IF(456&lt;=COUNTA(半紙!$B$11:$B$310),INDEX(半紙!$H$11:$H$310,456),IF(456&lt;=COUNTA(半紙!$B$11:$B$310)+COUNTA(条幅!$B$11:$B$310),INDEX(条幅!$H$11:$H$310,456-COUNTA(半紙!$B$11:$B$310)),IF(456&lt;=COUNTA(半紙!$B$11:$B$310)+COUNTA(条幅!$B$11:$B$310)+COUNTA(条幅4分の1!$B$11:$B$310),INDEX(条幅4分の1!$H$11:$H$310,456-COUNTA(半紙!$B$11:$B$310)-COUNTA(条幅!$B$11:$B$310)),""))))</f>
        <v/>
      </c>
      <c r="I461" s="38" t="str">
        <f>IF(IF(456&lt;=COUNTA(半紙!$B$11:$B$310),INDEX(半紙!$I$11:$I$310,456),IF(456&lt;=COUNTA(半紙!$B$11:$B$310)+COUNTA(条幅!$B$11:$B$310),INDEX(条幅!$I$11:$I$310,456-COUNTA(半紙!$B$11:$B$310)),IF(456&lt;=COUNTA(半紙!$B$11:$B$310)+COUNTA(条幅!$B$11:$B$310)+COUNTA(条幅4分の1!$B$11:$B$310),INDEX(条幅4分の1!$I$11:$I$310,456-COUNTA(半紙!$B$11:$B$310)-COUNTA(条幅!$B$11:$B$310)),"")))=0,"",IF(456&lt;=COUNTA(半紙!$B$11:$B$310),INDEX(半紙!$I$11:$I$310,456),IF(456&lt;=COUNTA(半紙!$B$11:$B$310)+COUNTA(条幅!$B$11:$B$310),INDEX(条幅!$I$11:$I$310,456-COUNTA(半紙!$B$11:$B$310)),IF(456&lt;=COUNTA(半紙!$B$11:$B$310)+COUNTA(条幅!$B$11:$B$310)+COUNTA(条幅4分の1!$B$11:$B$310),INDEX(条幅4分の1!$I$11:$I$310,456-COUNTA(半紙!$B$11:$B$310)-COUNTA(条幅!$B$11:$B$310)),""))))</f>
        <v/>
      </c>
      <c r="J461" s="38" t="str">
        <f>IF(IF(456&lt;=COUNTA(半紙!$B$11:$B$310),INDEX(半紙!$J$11:$J$310,456),IF(456&lt;=COUNTA(半紙!$B$11:$B$310)+COUNTA(条幅!$B$11:$B$310),INDEX(条幅!$J$11:$J$310,456-COUNTA(半紙!$B$11:$B$310)),IF(456&lt;=COUNTA(半紙!$B$11:$B$310)+COUNTA(条幅!$B$11:$B$310)+COUNTA(条幅4分の1!$B$11:$B$310),INDEX(条幅4分の1!$J$11:$J$310,456-COUNTA(半紙!$B$11:$B$310)-COUNTA(条幅!$B$11:$B$310)),"")))=0,"",IF(456&lt;=COUNTA(半紙!$B$11:$B$310),INDEX(半紙!$J$11:$J$310,456),IF(456&lt;=COUNTA(半紙!$B$11:$B$310)+COUNTA(条幅!$B$11:$B$310),INDEX(条幅!$J$11:$J$310,456-COUNTA(半紙!$B$11:$B$310)),IF(456&lt;=COUNTA(半紙!$B$11:$B$310)+COUNTA(条幅!$B$11:$B$310)+COUNTA(条幅4分の1!$B$11:$B$310),INDEX(条幅4分の1!$J$11:$J$310,456-COUNTA(半紙!$B$11:$B$310)-COUNTA(条幅!$B$11:$B$310)),""))))</f>
        <v/>
      </c>
      <c r="K461" s="38" t="str">
        <f>IF(IF(456&lt;=COUNTA(半紙!$B$11:$B$310),INDEX(半紙!$K$11:$K$310,456),IF(456&lt;=COUNTA(半紙!$B$11:$B$310)+COUNTA(条幅!$B$11:$B$310),INDEX(条幅!$K$11:$K$310,456-COUNTA(半紙!$B$11:$B$310)),IF(456&lt;=COUNTA(半紙!$B$11:$B$310)+COUNTA(条幅!$B$11:$B$310)+COUNTA(条幅4分の1!$B$11:$B$310),INDEX(条幅4分の1!$K$11:$K$310,456-COUNTA(半紙!$B$11:$B$310)-COUNTA(条幅!$B$11:$B$310)),"")))=0,"",IF(456&lt;=COUNTA(半紙!$B$11:$B$310),INDEX(半紙!$K$11:$K$310,456),IF(456&lt;=COUNTA(半紙!$B$11:$B$310)+COUNTA(条幅!$B$11:$B$310),INDEX(条幅!$K$11:$K$310,456-COUNTA(半紙!$B$11:$B$310)),IF(456&lt;=COUNTA(半紙!$B$11:$B$310)+COUNTA(条幅!$B$11:$B$310)+COUNTA(条幅4分の1!$B$11:$B$310),INDEX(条幅4分の1!$K$11:$K$310,456-COUNTA(半紙!$B$11:$B$310)-COUNTA(条幅!$B$11:$B$310)),""))))</f>
        <v/>
      </c>
      <c r="L461" s="48" t="str">
        <f>IF($B461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456))</f>
        <v/>
      </c>
    </row>
    <row r="462" spans="1:12" ht="15" customHeight="1">
      <c r="A462" s="37" t="str">
        <f>IF(457&lt;=COUNTA(半紙!$B$11:$B$310),"半紙",IF(457&lt;=COUNTA(半紙!$B$11:$B$310)+COUNTA(条幅!$B$11:$B$310),"条幅(半切)",IF(457&lt;=COUNTA(半紙!$B$11:$B$310)+COUNTA(条幅!$B$11:$B$310)+COUNTA(条幅4分の1!$B$11:$B$310),"条幅(1/4)","")))</f>
        <v/>
      </c>
      <c r="B462" s="38" t="str">
        <f>IF(IF(457&lt;=COUNTA(半紙!$B$11:$B$310),INDEX(半紙!$B$11:$B$310,457),IF(457&lt;=COUNTA(半紙!$B$11:$B$310)+COUNTA(条幅!$B$11:$B$310),INDEX(条幅!$B$11:$B$310,457-COUNTA(半紙!$B$11:$B$310)),IF(457&lt;=COUNTA(半紙!$B$11:$B$310)+COUNTA(条幅!$B$11:$B$310)+COUNTA(条幅4分の1!$B$11:$B$310),INDEX(条幅4分の1!$B$11:$B$310,457-COUNTA(半紙!$B$11:$B$310)-COUNTA(条幅!$B$11:$B$310)),"")))=0,"",IF(457&lt;=COUNTA(半紙!$B$11:$B$310),INDEX(半紙!$B$11:$B$310,457),IF(457&lt;=COUNTA(半紙!$B$11:$B$310)+COUNTA(条幅!$B$11:$B$310),INDEX(条幅!$B$11:$B$310,457-COUNTA(半紙!$B$11:$B$310)),IF(457&lt;=COUNTA(半紙!$B$11:$B$310)+COUNTA(条幅!$B$11:$B$310)+COUNTA(条幅4分の1!$B$11:$B$310),INDEX(条幅4分の1!$B$11:$B$310,457-COUNTA(半紙!$B$11:$B$310)-COUNTA(条幅!$B$11:$B$310)),""))))</f>
        <v/>
      </c>
      <c r="C462" s="38" t="str">
        <f>IF(IF(457&lt;=COUNTA(半紙!$B$11:$B$310),INDEX(半紙!$C$11:$C$310,457),IF(457&lt;=COUNTA(半紙!$B$11:$B$310)+COUNTA(条幅!$B$11:$B$310),INDEX(条幅!$C$11:$C$310,457-COUNTA(半紙!$B$11:$B$310)),IF(457&lt;=COUNTA(半紙!$B$11:$B$310)+COUNTA(条幅!$B$11:$B$310)+COUNTA(条幅4分の1!$B$11:$B$310),INDEX(条幅4分の1!$C$11:$C$310,457-COUNTA(半紙!$B$11:$B$310)-COUNTA(条幅!$B$11:$B$310)),"")))=0,"",IF(457&lt;=COUNTA(半紙!$B$11:$B$310),INDEX(半紙!$C$11:$C$310,457),IF(457&lt;=COUNTA(半紙!$B$11:$B$310)+COUNTA(条幅!$B$11:$B$310),INDEX(条幅!$C$11:$C$310,457-COUNTA(半紙!$B$11:$B$310)),IF(457&lt;=COUNTA(半紙!$B$11:$B$310)+COUNTA(条幅!$B$11:$B$310)+COUNTA(条幅4分の1!$B$11:$B$310),INDEX(条幅4分の1!$C$11:$C$310,457-COUNTA(半紙!$B$11:$B$310)-COUNTA(条幅!$B$11:$B$310)),""))))</f>
        <v/>
      </c>
      <c r="D462" s="38" t="str">
        <f>IF(IF(457&lt;=COUNTA(半紙!$B$11:$B$310),INDEX(半紙!$D$11:$D$310,457),IF(457&lt;=COUNTA(半紙!$B$11:$B$310)+COUNTA(条幅!$B$11:$B$310),INDEX(条幅!$D$11:$D$310,457-COUNTA(半紙!$B$11:$B$310)),IF(457&lt;=COUNTA(半紙!$B$11:$B$310)+COUNTA(条幅!$B$11:$B$310)+COUNTA(条幅4分の1!$B$11:$B$310),INDEX(条幅4分の1!$D$11:$D$310,457-COUNTA(半紙!$B$11:$B$310)-COUNTA(条幅!$B$11:$B$310)),"")))=0,"",IF(457&lt;=COUNTA(半紙!$B$11:$B$310),INDEX(半紙!$D$11:$D$310,457),IF(457&lt;=COUNTA(半紙!$B$11:$B$310)+COUNTA(条幅!$B$11:$B$310),INDEX(条幅!$D$11:$D$310,457-COUNTA(半紙!$B$11:$B$310)),IF(457&lt;=COUNTA(半紙!$B$11:$B$310)+COUNTA(条幅!$B$11:$B$310)+COUNTA(条幅4分の1!$B$11:$B$310),INDEX(条幅4分の1!$D$11:$D$310,457-COUNTA(半紙!$B$11:$B$310)-COUNTA(条幅!$B$11:$B$310)),""))))</f>
        <v/>
      </c>
      <c r="E462" s="38" t="str">
        <f>IF(IF(457&lt;=COUNTA(半紙!$B$11:$B$310),INDEX(半紙!$E$11:$E$310,457),IF(457&lt;=COUNTA(半紙!$B$11:$B$310)+COUNTA(条幅!$B$11:$B$310),INDEX(条幅!$E$11:$E$310,457-COUNTA(半紙!$B$11:$B$310)),IF(457&lt;=COUNTA(半紙!$B$11:$B$310)+COUNTA(条幅!$B$11:$B$310)+COUNTA(条幅4分の1!$B$11:$B$310),INDEX(条幅4分の1!$E$11:$E$310,457-COUNTA(半紙!$B$11:$B$310)-COUNTA(条幅!$B$11:$B$310)),"")))=0,"",IF(457&lt;=COUNTA(半紙!$B$11:$B$310),INDEX(半紙!$E$11:$E$310,457),IF(457&lt;=COUNTA(半紙!$B$11:$B$310)+COUNTA(条幅!$B$11:$B$310),INDEX(条幅!$E$11:$E$310,457-COUNTA(半紙!$B$11:$B$310)),IF(457&lt;=COUNTA(半紙!$B$11:$B$310)+COUNTA(条幅!$B$11:$B$310)+COUNTA(条幅4分の1!$B$11:$B$310),INDEX(条幅4分の1!$E$11:$E$310,457-COUNTA(半紙!$B$11:$B$310)-COUNTA(条幅!$B$11:$B$310)),""))))</f>
        <v/>
      </c>
      <c r="F462" s="38" t="str">
        <f>IF(IF(457&lt;=COUNTA(半紙!$B$11:$B$310),INDEX(半紙!$F$11:$F$310,457),IF(457&lt;=COUNTA(半紙!$B$11:$B$310)+COUNTA(条幅!$B$11:$B$310),INDEX(条幅!$F$11:$F$310,457-COUNTA(半紙!$B$11:$B$310)),IF(457&lt;=COUNTA(半紙!$B$11:$B$310)+COUNTA(条幅!$B$11:$B$310)+COUNTA(条幅4分の1!$B$11:$B$310),INDEX(条幅4分の1!$F$11:$F$310,457-COUNTA(半紙!$B$11:$B$310)-COUNTA(条幅!$B$11:$B$310)),"")))=0,"",IF(457&lt;=COUNTA(半紙!$B$11:$B$310),INDEX(半紙!$F$11:$F$310,457),IF(457&lt;=COUNTA(半紙!$B$11:$B$310)+COUNTA(条幅!$B$11:$B$310),INDEX(条幅!$F$11:$F$310,457-COUNTA(半紙!$B$11:$B$310)),IF(457&lt;=COUNTA(半紙!$B$11:$B$310)+COUNTA(条幅!$B$11:$B$310)+COUNTA(条幅4分の1!$B$11:$B$310),INDEX(条幅4分の1!$F$11:$F$310,457-COUNTA(半紙!$B$11:$B$310)-COUNTA(条幅!$B$11:$B$310)),""))))</f>
        <v/>
      </c>
      <c r="G462" s="38" t="str">
        <f>IF(IF(457&lt;=COUNTA(半紙!$B$11:$B$310),INDEX(半紙!$G$11:$G$310,457),IF(457&lt;=COUNTA(半紙!$B$11:$B$310)+COUNTA(条幅!$B$11:$B$310),INDEX(条幅!$G$11:$G$310,457-COUNTA(半紙!$B$11:$B$310)),IF(457&lt;=COUNTA(半紙!$B$11:$B$310)+COUNTA(条幅!$B$11:$B$310)+COUNTA(条幅4分の1!$B$11:$B$310),INDEX(条幅4分の1!$G$11:$G$310,457-COUNTA(半紙!$B$11:$B$310)-COUNTA(条幅!$B$11:$B$310)),"")))=0,"",IF(457&lt;=COUNTA(半紙!$B$11:$B$310),INDEX(半紙!$G$11:$G$310,457),IF(457&lt;=COUNTA(半紙!$B$11:$B$310)+COUNTA(条幅!$B$11:$B$310),INDEX(条幅!$G$11:$G$310,457-COUNTA(半紙!$B$11:$B$310)),IF(457&lt;=COUNTA(半紙!$B$11:$B$310)+COUNTA(条幅!$B$11:$B$310)+COUNTA(条幅4分の1!$B$11:$B$310),INDEX(条幅4分の1!$G$11:$G$310,457-COUNTA(半紙!$B$11:$B$310)-COUNTA(条幅!$B$11:$B$310)),""))))</f>
        <v/>
      </c>
      <c r="H462" s="38" t="str">
        <f>IF(IF(457&lt;=COUNTA(半紙!$B$11:$B$310),INDEX(半紙!$H$11:$H$310,457),IF(457&lt;=COUNTA(半紙!$B$11:$B$310)+COUNTA(条幅!$B$11:$B$310),INDEX(条幅!$H$11:$H$310,457-COUNTA(半紙!$B$11:$B$310)),IF(457&lt;=COUNTA(半紙!$B$11:$B$310)+COUNTA(条幅!$B$11:$B$310)+COUNTA(条幅4分の1!$B$11:$B$310),INDEX(条幅4分の1!$H$11:$H$310,457-COUNTA(半紙!$B$11:$B$310)-COUNTA(条幅!$B$11:$B$310)),"")))=0,"",IF(457&lt;=COUNTA(半紙!$B$11:$B$310),INDEX(半紙!$H$11:$H$310,457),IF(457&lt;=COUNTA(半紙!$B$11:$B$310)+COUNTA(条幅!$B$11:$B$310),INDEX(条幅!$H$11:$H$310,457-COUNTA(半紙!$B$11:$B$310)),IF(457&lt;=COUNTA(半紙!$B$11:$B$310)+COUNTA(条幅!$B$11:$B$310)+COUNTA(条幅4分の1!$B$11:$B$310),INDEX(条幅4分の1!$H$11:$H$310,457-COUNTA(半紙!$B$11:$B$310)-COUNTA(条幅!$B$11:$B$310)),""))))</f>
        <v/>
      </c>
      <c r="I462" s="38" t="str">
        <f>IF(IF(457&lt;=COUNTA(半紙!$B$11:$B$310),INDEX(半紙!$I$11:$I$310,457),IF(457&lt;=COUNTA(半紙!$B$11:$B$310)+COUNTA(条幅!$B$11:$B$310),INDEX(条幅!$I$11:$I$310,457-COUNTA(半紙!$B$11:$B$310)),IF(457&lt;=COUNTA(半紙!$B$11:$B$310)+COUNTA(条幅!$B$11:$B$310)+COUNTA(条幅4分の1!$B$11:$B$310),INDEX(条幅4分の1!$I$11:$I$310,457-COUNTA(半紙!$B$11:$B$310)-COUNTA(条幅!$B$11:$B$310)),"")))=0,"",IF(457&lt;=COUNTA(半紙!$B$11:$B$310),INDEX(半紙!$I$11:$I$310,457),IF(457&lt;=COUNTA(半紙!$B$11:$B$310)+COUNTA(条幅!$B$11:$B$310),INDEX(条幅!$I$11:$I$310,457-COUNTA(半紙!$B$11:$B$310)),IF(457&lt;=COUNTA(半紙!$B$11:$B$310)+COUNTA(条幅!$B$11:$B$310)+COUNTA(条幅4分の1!$B$11:$B$310),INDEX(条幅4分の1!$I$11:$I$310,457-COUNTA(半紙!$B$11:$B$310)-COUNTA(条幅!$B$11:$B$310)),""))))</f>
        <v/>
      </c>
      <c r="J462" s="38" t="str">
        <f>IF(IF(457&lt;=COUNTA(半紙!$B$11:$B$310),INDEX(半紙!$J$11:$J$310,457),IF(457&lt;=COUNTA(半紙!$B$11:$B$310)+COUNTA(条幅!$B$11:$B$310),INDEX(条幅!$J$11:$J$310,457-COUNTA(半紙!$B$11:$B$310)),IF(457&lt;=COUNTA(半紙!$B$11:$B$310)+COUNTA(条幅!$B$11:$B$310)+COUNTA(条幅4分の1!$B$11:$B$310),INDEX(条幅4分の1!$J$11:$J$310,457-COUNTA(半紙!$B$11:$B$310)-COUNTA(条幅!$B$11:$B$310)),"")))=0,"",IF(457&lt;=COUNTA(半紙!$B$11:$B$310),INDEX(半紙!$J$11:$J$310,457),IF(457&lt;=COUNTA(半紙!$B$11:$B$310)+COUNTA(条幅!$B$11:$B$310),INDEX(条幅!$J$11:$J$310,457-COUNTA(半紙!$B$11:$B$310)),IF(457&lt;=COUNTA(半紙!$B$11:$B$310)+COUNTA(条幅!$B$11:$B$310)+COUNTA(条幅4分の1!$B$11:$B$310),INDEX(条幅4分の1!$J$11:$J$310,457-COUNTA(半紙!$B$11:$B$310)-COUNTA(条幅!$B$11:$B$310)),""))))</f>
        <v/>
      </c>
      <c r="K462" s="38" t="str">
        <f>IF(IF(457&lt;=COUNTA(半紙!$B$11:$B$310),INDEX(半紙!$K$11:$K$310,457),IF(457&lt;=COUNTA(半紙!$B$11:$B$310)+COUNTA(条幅!$B$11:$B$310),INDEX(条幅!$K$11:$K$310,457-COUNTA(半紙!$B$11:$B$310)),IF(457&lt;=COUNTA(半紙!$B$11:$B$310)+COUNTA(条幅!$B$11:$B$310)+COUNTA(条幅4分の1!$B$11:$B$310),INDEX(条幅4分の1!$K$11:$K$310,457-COUNTA(半紙!$B$11:$B$310)-COUNTA(条幅!$B$11:$B$310)),"")))=0,"",IF(457&lt;=COUNTA(半紙!$B$11:$B$310),INDEX(半紙!$K$11:$K$310,457),IF(457&lt;=COUNTA(半紙!$B$11:$B$310)+COUNTA(条幅!$B$11:$B$310),INDEX(条幅!$K$11:$K$310,457-COUNTA(半紙!$B$11:$B$310)),IF(457&lt;=COUNTA(半紙!$B$11:$B$310)+COUNTA(条幅!$B$11:$B$310)+COUNTA(条幅4分の1!$B$11:$B$310),INDEX(条幅4分の1!$K$11:$K$310,457-COUNTA(半紙!$B$11:$B$310)-COUNTA(条幅!$B$11:$B$310)),""))))</f>
        <v/>
      </c>
      <c r="L462" s="48" t="str">
        <f>IF($B462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457))</f>
        <v/>
      </c>
    </row>
    <row r="463" spans="1:12" ht="15" customHeight="1">
      <c r="A463" s="37" t="str">
        <f>IF(458&lt;=COUNTA(半紙!$B$11:$B$310),"半紙",IF(458&lt;=COUNTA(半紙!$B$11:$B$310)+COUNTA(条幅!$B$11:$B$310),"条幅(半切)",IF(458&lt;=COUNTA(半紙!$B$11:$B$310)+COUNTA(条幅!$B$11:$B$310)+COUNTA(条幅4分の1!$B$11:$B$310),"条幅(1/4)","")))</f>
        <v/>
      </c>
      <c r="B463" s="38" t="str">
        <f>IF(IF(458&lt;=COUNTA(半紙!$B$11:$B$310),INDEX(半紙!$B$11:$B$310,458),IF(458&lt;=COUNTA(半紙!$B$11:$B$310)+COUNTA(条幅!$B$11:$B$310),INDEX(条幅!$B$11:$B$310,458-COUNTA(半紙!$B$11:$B$310)),IF(458&lt;=COUNTA(半紙!$B$11:$B$310)+COUNTA(条幅!$B$11:$B$310)+COUNTA(条幅4分の1!$B$11:$B$310),INDEX(条幅4分の1!$B$11:$B$310,458-COUNTA(半紙!$B$11:$B$310)-COUNTA(条幅!$B$11:$B$310)),"")))=0,"",IF(458&lt;=COUNTA(半紙!$B$11:$B$310),INDEX(半紙!$B$11:$B$310,458),IF(458&lt;=COUNTA(半紙!$B$11:$B$310)+COUNTA(条幅!$B$11:$B$310),INDEX(条幅!$B$11:$B$310,458-COUNTA(半紙!$B$11:$B$310)),IF(458&lt;=COUNTA(半紙!$B$11:$B$310)+COUNTA(条幅!$B$11:$B$310)+COUNTA(条幅4分の1!$B$11:$B$310),INDEX(条幅4分の1!$B$11:$B$310,458-COUNTA(半紙!$B$11:$B$310)-COUNTA(条幅!$B$11:$B$310)),""))))</f>
        <v/>
      </c>
      <c r="C463" s="38" t="str">
        <f>IF(IF(458&lt;=COUNTA(半紙!$B$11:$B$310),INDEX(半紙!$C$11:$C$310,458),IF(458&lt;=COUNTA(半紙!$B$11:$B$310)+COUNTA(条幅!$B$11:$B$310),INDEX(条幅!$C$11:$C$310,458-COUNTA(半紙!$B$11:$B$310)),IF(458&lt;=COUNTA(半紙!$B$11:$B$310)+COUNTA(条幅!$B$11:$B$310)+COUNTA(条幅4分の1!$B$11:$B$310),INDEX(条幅4分の1!$C$11:$C$310,458-COUNTA(半紙!$B$11:$B$310)-COUNTA(条幅!$B$11:$B$310)),"")))=0,"",IF(458&lt;=COUNTA(半紙!$B$11:$B$310),INDEX(半紙!$C$11:$C$310,458),IF(458&lt;=COUNTA(半紙!$B$11:$B$310)+COUNTA(条幅!$B$11:$B$310),INDEX(条幅!$C$11:$C$310,458-COUNTA(半紙!$B$11:$B$310)),IF(458&lt;=COUNTA(半紙!$B$11:$B$310)+COUNTA(条幅!$B$11:$B$310)+COUNTA(条幅4分の1!$B$11:$B$310),INDEX(条幅4分の1!$C$11:$C$310,458-COUNTA(半紙!$B$11:$B$310)-COUNTA(条幅!$B$11:$B$310)),""))))</f>
        <v/>
      </c>
      <c r="D463" s="38" t="str">
        <f>IF(IF(458&lt;=COUNTA(半紙!$B$11:$B$310),INDEX(半紙!$D$11:$D$310,458),IF(458&lt;=COUNTA(半紙!$B$11:$B$310)+COUNTA(条幅!$B$11:$B$310),INDEX(条幅!$D$11:$D$310,458-COUNTA(半紙!$B$11:$B$310)),IF(458&lt;=COUNTA(半紙!$B$11:$B$310)+COUNTA(条幅!$B$11:$B$310)+COUNTA(条幅4分の1!$B$11:$B$310),INDEX(条幅4分の1!$D$11:$D$310,458-COUNTA(半紙!$B$11:$B$310)-COUNTA(条幅!$B$11:$B$310)),"")))=0,"",IF(458&lt;=COUNTA(半紙!$B$11:$B$310),INDEX(半紙!$D$11:$D$310,458),IF(458&lt;=COUNTA(半紙!$B$11:$B$310)+COUNTA(条幅!$B$11:$B$310),INDEX(条幅!$D$11:$D$310,458-COUNTA(半紙!$B$11:$B$310)),IF(458&lt;=COUNTA(半紙!$B$11:$B$310)+COUNTA(条幅!$B$11:$B$310)+COUNTA(条幅4分の1!$B$11:$B$310),INDEX(条幅4分の1!$D$11:$D$310,458-COUNTA(半紙!$B$11:$B$310)-COUNTA(条幅!$B$11:$B$310)),""))))</f>
        <v/>
      </c>
      <c r="E463" s="38" t="str">
        <f>IF(IF(458&lt;=COUNTA(半紙!$B$11:$B$310),INDEX(半紙!$E$11:$E$310,458),IF(458&lt;=COUNTA(半紙!$B$11:$B$310)+COUNTA(条幅!$B$11:$B$310),INDEX(条幅!$E$11:$E$310,458-COUNTA(半紙!$B$11:$B$310)),IF(458&lt;=COUNTA(半紙!$B$11:$B$310)+COUNTA(条幅!$B$11:$B$310)+COUNTA(条幅4分の1!$B$11:$B$310),INDEX(条幅4分の1!$E$11:$E$310,458-COUNTA(半紙!$B$11:$B$310)-COUNTA(条幅!$B$11:$B$310)),"")))=0,"",IF(458&lt;=COUNTA(半紙!$B$11:$B$310),INDEX(半紙!$E$11:$E$310,458),IF(458&lt;=COUNTA(半紙!$B$11:$B$310)+COUNTA(条幅!$B$11:$B$310),INDEX(条幅!$E$11:$E$310,458-COUNTA(半紙!$B$11:$B$310)),IF(458&lt;=COUNTA(半紙!$B$11:$B$310)+COUNTA(条幅!$B$11:$B$310)+COUNTA(条幅4分の1!$B$11:$B$310),INDEX(条幅4分の1!$E$11:$E$310,458-COUNTA(半紙!$B$11:$B$310)-COUNTA(条幅!$B$11:$B$310)),""))))</f>
        <v/>
      </c>
      <c r="F463" s="38" t="str">
        <f>IF(IF(458&lt;=COUNTA(半紙!$B$11:$B$310),INDEX(半紙!$F$11:$F$310,458),IF(458&lt;=COUNTA(半紙!$B$11:$B$310)+COUNTA(条幅!$B$11:$B$310),INDEX(条幅!$F$11:$F$310,458-COUNTA(半紙!$B$11:$B$310)),IF(458&lt;=COUNTA(半紙!$B$11:$B$310)+COUNTA(条幅!$B$11:$B$310)+COUNTA(条幅4分の1!$B$11:$B$310),INDEX(条幅4分の1!$F$11:$F$310,458-COUNTA(半紙!$B$11:$B$310)-COUNTA(条幅!$B$11:$B$310)),"")))=0,"",IF(458&lt;=COUNTA(半紙!$B$11:$B$310),INDEX(半紙!$F$11:$F$310,458),IF(458&lt;=COUNTA(半紙!$B$11:$B$310)+COUNTA(条幅!$B$11:$B$310),INDEX(条幅!$F$11:$F$310,458-COUNTA(半紙!$B$11:$B$310)),IF(458&lt;=COUNTA(半紙!$B$11:$B$310)+COUNTA(条幅!$B$11:$B$310)+COUNTA(条幅4分の1!$B$11:$B$310),INDEX(条幅4分の1!$F$11:$F$310,458-COUNTA(半紙!$B$11:$B$310)-COUNTA(条幅!$B$11:$B$310)),""))))</f>
        <v/>
      </c>
      <c r="G463" s="38" t="str">
        <f>IF(IF(458&lt;=COUNTA(半紙!$B$11:$B$310),INDEX(半紙!$G$11:$G$310,458),IF(458&lt;=COUNTA(半紙!$B$11:$B$310)+COUNTA(条幅!$B$11:$B$310),INDEX(条幅!$G$11:$G$310,458-COUNTA(半紙!$B$11:$B$310)),IF(458&lt;=COUNTA(半紙!$B$11:$B$310)+COUNTA(条幅!$B$11:$B$310)+COUNTA(条幅4分の1!$B$11:$B$310),INDEX(条幅4分の1!$G$11:$G$310,458-COUNTA(半紙!$B$11:$B$310)-COUNTA(条幅!$B$11:$B$310)),"")))=0,"",IF(458&lt;=COUNTA(半紙!$B$11:$B$310),INDEX(半紙!$G$11:$G$310,458),IF(458&lt;=COUNTA(半紙!$B$11:$B$310)+COUNTA(条幅!$B$11:$B$310),INDEX(条幅!$G$11:$G$310,458-COUNTA(半紙!$B$11:$B$310)),IF(458&lt;=COUNTA(半紙!$B$11:$B$310)+COUNTA(条幅!$B$11:$B$310)+COUNTA(条幅4分の1!$B$11:$B$310),INDEX(条幅4分の1!$G$11:$G$310,458-COUNTA(半紙!$B$11:$B$310)-COUNTA(条幅!$B$11:$B$310)),""))))</f>
        <v/>
      </c>
      <c r="H463" s="38" t="str">
        <f>IF(IF(458&lt;=COUNTA(半紙!$B$11:$B$310),INDEX(半紙!$H$11:$H$310,458),IF(458&lt;=COUNTA(半紙!$B$11:$B$310)+COUNTA(条幅!$B$11:$B$310),INDEX(条幅!$H$11:$H$310,458-COUNTA(半紙!$B$11:$B$310)),IF(458&lt;=COUNTA(半紙!$B$11:$B$310)+COUNTA(条幅!$B$11:$B$310)+COUNTA(条幅4分の1!$B$11:$B$310),INDEX(条幅4分の1!$H$11:$H$310,458-COUNTA(半紙!$B$11:$B$310)-COUNTA(条幅!$B$11:$B$310)),"")))=0,"",IF(458&lt;=COUNTA(半紙!$B$11:$B$310),INDEX(半紙!$H$11:$H$310,458),IF(458&lt;=COUNTA(半紙!$B$11:$B$310)+COUNTA(条幅!$B$11:$B$310),INDEX(条幅!$H$11:$H$310,458-COUNTA(半紙!$B$11:$B$310)),IF(458&lt;=COUNTA(半紙!$B$11:$B$310)+COUNTA(条幅!$B$11:$B$310)+COUNTA(条幅4分の1!$B$11:$B$310),INDEX(条幅4分の1!$H$11:$H$310,458-COUNTA(半紙!$B$11:$B$310)-COUNTA(条幅!$B$11:$B$310)),""))))</f>
        <v/>
      </c>
      <c r="I463" s="38" t="str">
        <f>IF(IF(458&lt;=COUNTA(半紙!$B$11:$B$310),INDEX(半紙!$I$11:$I$310,458),IF(458&lt;=COUNTA(半紙!$B$11:$B$310)+COUNTA(条幅!$B$11:$B$310),INDEX(条幅!$I$11:$I$310,458-COUNTA(半紙!$B$11:$B$310)),IF(458&lt;=COUNTA(半紙!$B$11:$B$310)+COUNTA(条幅!$B$11:$B$310)+COUNTA(条幅4分の1!$B$11:$B$310),INDEX(条幅4分の1!$I$11:$I$310,458-COUNTA(半紙!$B$11:$B$310)-COUNTA(条幅!$B$11:$B$310)),"")))=0,"",IF(458&lt;=COUNTA(半紙!$B$11:$B$310),INDEX(半紙!$I$11:$I$310,458),IF(458&lt;=COUNTA(半紙!$B$11:$B$310)+COUNTA(条幅!$B$11:$B$310),INDEX(条幅!$I$11:$I$310,458-COUNTA(半紙!$B$11:$B$310)),IF(458&lt;=COUNTA(半紙!$B$11:$B$310)+COUNTA(条幅!$B$11:$B$310)+COUNTA(条幅4分の1!$B$11:$B$310),INDEX(条幅4分の1!$I$11:$I$310,458-COUNTA(半紙!$B$11:$B$310)-COUNTA(条幅!$B$11:$B$310)),""))))</f>
        <v/>
      </c>
      <c r="J463" s="38" t="str">
        <f>IF(IF(458&lt;=COUNTA(半紙!$B$11:$B$310),INDEX(半紙!$J$11:$J$310,458),IF(458&lt;=COUNTA(半紙!$B$11:$B$310)+COUNTA(条幅!$B$11:$B$310),INDEX(条幅!$J$11:$J$310,458-COUNTA(半紙!$B$11:$B$310)),IF(458&lt;=COUNTA(半紙!$B$11:$B$310)+COUNTA(条幅!$B$11:$B$310)+COUNTA(条幅4分の1!$B$11:$B$310),INDEX(条幅4分の1!$J$11:$J$310,458-COUNTA(半紙!$B$11:$B$310)-COUNTA(条幅!$B$11:$B$310)),"")))=0,"",IF(458&lt;=COUNTA(半紙!$B$11:$B$310),INDEX(半紙!$J$11:$J$310,458),IF(458&lt;=COUNTA(半紙!$B$11:$B$310)+COUNTA(条幅!$B$11:$B$310),INDEX(条幅!$J$11:$J$310,458-COUNTA(半紙!$B$11:$B$310)),IF(458&lt;=COUNTA(半紙!$B$11:$B$310)+COUNTA(条幅!$B$11:$B$310)+COUNTA(条幅4分の1!$B$11:$B$310),INDEX(条幅4分の1!$J$11:$J$310,458-COUNTA(半紙!$B$11:$B$310)-COUNTA(条幅!$B$11:$B$310)),""))))</f>
        <v/>
      </c>
      <c r="K463" s="38" t="str">
        <f>IF(IF(458&lt;=COUNTA(半紙!$B$11:$B$310),INDEX(半紙!$K$11:$K$310,458),IF(458&lt;=COUNTA(半紙!$B$11:$B$310)+COUNTA(条幅!$B$11:$B$310),INDEX(条幅!$K$11:$K$310,458-COUNTA(半紙!$B$11:$B$310)),IF(458&lt;=COUNTA(半紙!$B$11:$B$310)+COUNTA(条幅!$B$11:$B$310)+COUNTA(条幅4分の1!$B$11:$B$310),INDEX(条幅4分の1!$K$11:$K$310,458-COUNTA(半紙!$B$11:$B$310)-COUNTA(条幅!$B$11:$B$310)),"")))=0,"",IF(458&lt;=COUNTA(半紙!$B$11:$B$310),INDEX(半紙!$K$11:$K$310,458),IF(458&lt;=COUNTA(半紙!$B$11:$B$310)+COUNTA(条幅!$B$11:$B$310),INDEX(条幅!$K$11:$K$310,458-COUNTA(半紙!$B$11:$B$310)),IF(458&lt;=COUNTA(半紙!$B$11:$B$310)+COUNTA(条幅!$B$11:$B$310)+COUNTA(条幅4分の1!$B$11:$B$310),INDEX(条幅4分の1!$K$11:$K$310,458-COUNTA(半紙!$B$11:$B$310)-COUNTA(条幅!$B$11:$B$310)),""))))</f>
        <v/>
      </c>
      <c r="L463" s="48" t="str">
        <f>IF($B463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458))</f>
        <v/>
      </c>
    </row>
    <row r="464" spans="1:12" ht="15" customHeight="1">
      <c r="A464" s="37" t="str">
        <f>IF(459&lt;=COUNTA(半紙!$B$11:$B$310),"半紙",IF(459&lt;=COUNTA(半紙!$B$11:$B$310)+COUNTA(条幅!$B$11:$B$310),"条幅(半切)",IF(459&lt;=COUNTA(半紙!$B$11:$B$310)+COUNTA(条幅!$B$11:$B$310)+COUNTA(条幅4分の1!$B$11:$B$310),"条幅(1/4)","")))</f>
        <v/>
      </c>
      <c r="B464" s="38" t="str">
        <f>IF(IF(459&lt;=COUNTA(半紙!$B$11:$B$310),INDEX(半紙!$B$11:$B$310,459),IF(459&lt;=COUNTA(半紙!$B$11:$B$310)+COUNTA(条幅!$B$11:$B$310),INDEX(条幅!$B$11:$B$310,459-COUNTA(半紙!$B$11:$B$310)),IF(459&lt;=COUNTA(半紙!$B$11:$B$310)+COUNTA(条幅!$B$11:$B$310)+COUNTA(条幅4分の1!$B$11:$B$310),INDEX(条幅4分の1!$B$11:$B$310,459-COUNTA(半紙!$B$11:$B$310)-COUNTA(条幅!$B$11:$B$310)),"")))=0,"",IF(459&lt;=COUNTA(半紙!$B$11:$B$310),INDEX(半紙!$B$11:$B$310,459),IF(459&lt;=COUNTA(半紙!$B$11:$B$310)+COUNTA(条幅!$B$11:$B$310),INDEX(条幅!$B$11:$B$310,459-COUNTA(半紙!$B$11:$B$310)),IF(459&lt;=COUNTA(半紙!$B$11:$B$310)+COUNTA(条幅!$B$11:$B$310)+COUNTA(条幅4分の1!$B$11:$B$310),INDEX(条幅4分の1!$B$11:$B$310,459-COUNTA(半紙!$B$11:$B$310)-COUNTA(条幅!$B$11:$B$310)),""))))</f>
        <v/>
      </c>
      <c r="C464" s="38" t="str">
        <f>IF(IF(459&lt;=COUNTA(半紙!$B$11:$B$310),INDEX(半紙!$C$11:$C$310,459),IF(459&lt;=COUNTA(半紙!$B$11:$B$310)+COUNTA(条幅!$B$11:$B$310),INDEX(条幅!$C$11:$C$310,459-COUNTA(半紙!$B$11:$B$310)),IF(459&lt;=COUNTA(半紙!$B$11:$B$310)+COUNTA(条幅!$B$11:$B$310)+COUNTA(条幅4分の1!$B$11:$B$310),INDEX(条幅4分の1!$C$11:$C$310,459-COUNTA(半紙!$B$11:$B$310)-COUNTA(条幅!$B$11:$B$310)),"")))=0,"",IF(459&lt;=COUNTA(半紙!$B$11:$B$310),INDEX(半紙!$C$11:$C$310,459),IF(459&lt;=COUNTA(半紙!$B$11:$B$310)+COUNTA(条幅!$B$11:$B$310),INDEX(条幅!$C$11:$C$310,459-COUNTA(半紙!$B$11:$B$310)),IF(459&lt;=COUNTA(半紙!$B$11:$B$310)+COUNTA(条幅!$B$11:$B$310)+COUNTA(条幅4分の1!$B$11:$B$310),INDEX(条幅4分の1!$C$11:$C$310,459-COUNTA(半紙!$B$11:$B$310)-COUNTA(条幅!$B$11:$B$310)),""))))</f>
        <v/>
      </c>
      <c r="D464" s="38" t="str">
        <f>IF(IF(459&lt;=COUNTA(半紙!$B$11:$B$310),INDEX(半紙!$D$11:$D$310,459),IF(459&lt;=COUNTA(半紙!$B$11:$B$310)+COUNTA(条幅!$B$11:$B$310),INDEX(条幅!$D$11:$D$310,459-COUNTA(半紙!$B$11:$B$310)),IF(459&lt;=COUNTA(半紙!$B$11:$B$310)+COUNTA(条幅!$B$11:$B$310)+COUNTA(条幅4分の1!$B$11:$B$310),INDEX(条幅4分の1!$D$11:$D$310,459-COUNTA(半紙!$B$11:$B$310)-COUNTA(条幅!$B$11:$B$310)),"")))=0,"",IF(459&lt;=COUNTA(半紙!$B$11:$B$310),INDEX(半紙!$D$11:$D$310,459),IF(459&lt;=COUNTA(半紙!$B$11:$B$310)+COUNTA(条幅!$B$11:$B$310),INDEX(条幅!$D$11:$D$310,459-COUNTA(半紙!$B$11:$B$310)),IF(459&lt;=COUNTA(半紙!$B$11:$B$310)+COUNTA(条幅!$B$11:$B$310)+COUNTA(条幅4分の1!$B$11:$B$310),INDEX(条幅4分の1!$D$11:$D$310,459-COUNTA(半紙!$B$11:$B$310)-COUNTA(条幅!$B$11:$B$310)),""))))</f>
        <v/>
      </c>
      <c r="E464" s="38" t="str">
        <f>IF(IF(459&lt;=COUNTA(半紙!$B$11:$B$310),INDEX(半紙!$E$11:$E$310,459),IF(459&lt;=COUNTA(半紙!$B$11:$B$310)+COUNTA(条幅!$B$11:$B$310),INDEX(条幅!$E$11:$E$310,459-COUNTA(半紙!$B$11:$B$310)),IF(459&lt;=COUNTA(半紙!$B$11:$B$310)+COUNTA(条幅!$B$11:$B$310)+COUNTA(条幅4分の1!$B$11:$B$310),INDEX(条幅4分の1!$E$11:$E$310,459-COUNTA(半紙!$B$11:$B$310)-COUNTA(条幅!$B$11:$B$310)),"")))=0,"",IF(459&lt;=COUNTA(半紙!$B$11:$B$310),INDEX(半紙!$E$11:$E$310,459),IF(459&lt;=COUNTA(半紙!$B$11:$B$310)+COUNTA(条幅!$B$11:$B$310),INDEX(条幅!$E$11:$E$310,459-COUNTA(半紙!$B$11:$B$310)),IF(459&lt;=COUNTA(半紙!$B$11:$B$310)+COUNTA(条幅!$B$11:$B$310)+COUNTA(条幅4分の1!$B$11:$B$310),INDEX(条幅4分の1!$E$11:$E$310,459-COUNTA(半紙!$B$11:$B$310)-COUNTA(条幅!$B$11:$B$310)),""))))</f>
        <v/>
      </c>
      <c r="F464" s="38" t="str">
        <f>IF(IF(459&lt;=COUNTA(半紙!$B$11:$B$310),INDEX(半紙!$F$11:$F$310,459),IF(459&lt;=COUNTA(半紙!$B$11:$B$310)+COUNTA(条幅!$B$11:$B$310),INDEX(条幅!$F$11:$F$310,459-COUNTA(半紙!$B$11:$B$310)),IF(459&lt;=COUNTA(半紙!$B$11:$B$310)+COUNTA(条幅!$B$11:$B$310)+COUNTA(条幅4分の1!$B$11:$B$310),INDEX(条幅4分の1!$F$11:$F$310,459-COUNTA(半紙!$B$11:$B$310)-COUNTA(条幅!$B$11:$B$310)),"")))=0,"",IF(459&lt;=COUNTA(半紙!$B$11:$B$310),INDEX(半紙!$F$11:$F$310,459),IF(459&lt;=COUNTA(半紙!$B$11:$B$310)+COUNTA(条幅!$B$11:$B$310),INDEX(条幅!$F$11:$F$310,459-COUNTA(半紙!$B$11:$B$310)),IF(459&lt;=COUNTA(半紙!$B$11:$B$310)+COUNTA(条幅!$B$11:$B$310)+COUNTA(条幅4分の1!$B$11:$B$310),INDEX(条幅4分の1!$F$11:$F$310,459-COUNTA(半紙!$B$11:$B$310)-COUNTA(条幅!$B$11:$B$310)),""))))</f>
        <v/>
      </c>
      <c r="G464" s="38" t="str">
        <f>IF(IF(459&lt;=COUNTA(半紙!$B$11:$B$310),INDEX(半紙!$G$11:$G$310,459),IF(459&lt;=COUNTA(半紙!$B$11:$B$310)+COUNTA(条幅!$B$11:$B$310),INDEX(条幅!$G$11:$G$310,459-COUNTA(半紙!$B$11:$B$310)),IF(459&lt;=COUNTA(半紙!$B$11:$B$310)+COUNTA(条幅!$B$11:$B$310)+COUNTA(条幅4分の1!$B$11:$B$310),INDEX(条幅4分の1!$G$11:$G$310,459-COUNTA(半紙!$B$11:$B$310)-COUNTA(条幅!$B$11:$B$310)),"")))=0,"",IF(459&lt;=COUNTA(半紙!$B$11:$B$310),INDEX(半紙!$G$11:$G$310,459),IF(459&lt;=COUNTA(半紙!$B$11:$B$310)+COUNTA(条幅!$B$11:$B$310),INDEX(条幅!$G$11:$G$310,459-COUNTA(半紙!$B$11:$B$310)),IF(459&lt;=COUNTA(半紙!$B$11:$B$310)+COUNTA(条幅!$B$11:$B$310)+COUNTA(条幅4分の1!$B$11:$B$310),INDEX(条幅4分の1!$G$11:$G$310,459-COUNTA(半紙!$B$11:$B$310)-COUNTA(条幅!$B$11:$B$310)),""))))</f>
        <v/>
      </c>
      <c r="H464" s="38" t="str">
        <f>IF(IF(459&lt;=COUNTA(半紙!$B$11:$B$310),INDEX(半紙!$H$11:$H$310,459),IF(459&lt;=COUNTA(半紙!$B$11:$B$310)+COUNTA(条幅!$B$11:$B$310),INDEX(条幅!$H$11:$H$310,459-COUNTA(半紙!$B$11:$B$310)),IF(459&lt;=COUNTA(半紙!$B$11:$B$310)+COUNTA(条幅!$B$11:$B$310)+COUNTA(条幅4分の1!$B$11:$B$310),INDEX(条幅4分の1!$H$11:$H$310,459-COUNTA(半紙!$B$11:$B$310)-COUNTA(条幅!$B$11:$B$310)),"")))=0,"",IF(459&lt;=COUNTA(半紙!$B$11:$B$310),INDEX(半紙!$H$11:$H$310,459),IF(459&lt;=COUNTA(半紙!$B$11:$B$310)+COUNTA(条幅!$B$11:$B$310),INDEX(条幅!$H$11:$H$310,459-COUNTA(半紙!$B$11:$B$310)),IF(459&lt;=COUNTA(半紙!$B$11:$B$310)+COUNTA(条幅!$B$11:$B$310)+COUNTA(条幅4分の1!$B$11:$B$310),INDEX(条幅4分の1!$H$11:$H$310,459-COUNTA(半紙!$B$11:$B$310)-COUNTA(条幅!$B$11:$B$310)),""))))</f>
        <v/>
      </c>
      <c r="I464" s="38" t="str">
        <f>IF(IF(459&lt;=COUNTA(半紙!$B$11:$B$310),INDEX(半紙!$I$11:$I$310,459),IF(459&lt;=COUNTA(半紙!$B$11:$B$310)+COUNTA(条幅!$B$11:$B$310),INDEX(条幅!$I$11:$I$310,459-COUNTA(半紙!$B$11:$B$310)),IF(459&lt;=COUNTA(半紙!$B$11:$B$310)+COUNTA(条幅!$B$11:$B$310)+COUNTA(条幅4分の1!$B$11:$B$310),INDEX(条幅4分の1!$I$11:$I$310,459-COUNTA(半紙!$B$11:$B$310)-COUNTA(条幅!$B$11:$B$310)),"")))=0,"",IF(459&lt;=COUNTA(半紙!$B$11:$B$310),INDEX(半紙!$I$11:$I$310,459),IF(459&lt;=COUNTA(半紙!$B$11:$B$310)+COUNTA(条幅!$B$11:$B$310),INDEX(条幅!$I$11:$I$310,459-COUNTA(半紙!$B$11:$B$310)),IF(459&lt;=COUNTA(半紙!$B$11:$B$310)+COUNTA(条幅!$B$11:$B$310)+COUNTA(条幅4分の1!$B$11:$B$310),INDEX(条幅4分の1!$I$11:$I$310,459-COUNTA(半紙!$B$11:$B$310)-COUNTA(条幅!$B$11:$B$310)),""))))</f>
        <v/>
      </c>
      <c r="J464" s="38" t="str">
        <f>IF(IF(459&lt;=COUNTA(半紙!$B$11:$B$310),INDEX(半紙!$J$11:$J$310,459),IF(459&lt;=COUNTA(半紙!$B$11:$B$310)+COUNTA(条幅!$B$11:$B$310),INDEX(条幅!$J$11:$J$310,459-COUNTA(半紙!$B$11:$B$310)),IF(459&lt;=COUNTA(半紙!$B$11:$B$310)+COUNTA(条幅!$B$11:$B$310)+COUNTA(条幅4分の1!$B$11:$B$310),INDEX(条幅4分の1!$J$11:$J$310,459-COUNTA(半紙!$B$11:$B$310)-COUNTA(条幅!$B$11:$B$310)),"")))=0,"",IF(459&lt;=COUNTA(半紙!$B$11:$B$310),INDEX(半紙!$J$11:$J$310,459),IF(459&lt;=COUNTA(半紙!$B$11:$B$310)+COUNTA(条幅!$B$11:$B$310),INDEX(条幅!$J$11:$J$310,459-COUNTA(半紙!$B$11:$B$310)),IF(459&lt;=COUNTA(半紙!$B$11:$B$310)+COUNTA(条幅!$B$11:$B$310)+COUNTA(条幅4分の1!$B$11:$B$310),INDEX(条幅4分の1!$J$11:$J$310,459-COUNTA(半紙!$B$11:$B$310)-COUNTA(条幅!$B$11:$B$310)),""))))</f>
        <v/>
      </c>
      <c r="K464" s="38" t="str">
        <f>IF(IF(459&lt;=COUNTA(半紙!$B$11:$B$310),INDEX(半紙!$K$11:$K$310,459),IF(459&lt;=COUNTA(半紙!$B$11:$B$310)+COUNTA(条幅!$B$11:$B$310),INDEX(条幅!$K$11:$K$310,459-COUNTA(半紙!$B$11:$B$310)),IF(459&lt;=COUNTA(半紙!$B$11:$B$310)+COUNTA(条幅!$B$11:$B$310)+COUNTA(条幅4分の1!$B$11:$B$310),INDEX(条幅4分の1!$K$11:$K$310,459-COUNTA(半紙!$B$11:$B$310)-COUNTA(条幅!$B$11:$B$310)),"")))=0,"",IF(459&lt;=COUNTA(半紙!$B$11:$B$310),INDEX(半紙!$K$11:$K$310,459),IF(459&lt;=COUNTA(半紙!$B$11:$B$310)+COUNTA(条幅!$B$11:$B$310),INDEX(条幅!$K$11:$K$310,459-COUNTA(半紙!$B$11:$B$310)),IF(459&lt;=COUNTA(半紙!$B$11:$B$310)+COUNTA(条幅!$B$11:$B$310)+COUNTA(条幅4分の1!$B$11:$B$310),INDEX(条幅4分の1!$K$11:$K$310,459-COUNTA(半紙!$B$11:$B$310)-COUNTA(条幅!$B$11:$B$310)),""))))</f>
        <v/>
      </c>
      <c r="L464" s="48" t="str">
        <f>IF($B464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459))</f>
        <v/>
      </c>
    </row>
    <row r="465" spans="1:12" ht="15" customHeight="1">
      <c r="A465" s="37" t="str">
        <f>IF(460&lt;=COUNTA(半紙!$B$11:$B$310),"半紙",IF(460&lt;=COUNTA(半紙!$B$11:$B$310)+COUNTA(条幅!$B$11:$B$310),"条幅(半切)",IF(460&lt;=COUNTA(半紙!$B$11:$B$310)+COUNTA(条幅!$B$11:$B$310)+COUNTA(条幅4分の1!$B$11:$B$310),"条幅(1/4)","")))</f>
        <v/>
      </c>
      <c r="B465" s="38" t="str">
        <f>IF(IF(460&lt;=COUNTA(半紙!$B$11:$B$310),INDEX(半紙!$B$11:$B$310,460),IF(460&lt;=COUNTA(半紙!$B$11:$B$310)+COUNTA(条幅!$B$11:$B$310),INDEX(条幅!$B$11:$B$310,460-COUNTA(半紙!$B$11:$B$310)),IF(460&lt;=COUNTA(半紙!$B$11:$B$310)+COUNTA(条幅!$B$11:$B$310)+COUNTA(条幅4分の1!$B$11:$B$310),INDEX(条幅4分の1!$B$11:$B$310,460-COUNTA(半紙!$B$11:$B$310)-COUNTA(条幅!$B$11:$B$310)),"")))=0,"",IF(460&lt;=COUNTA(半紙!$B$11:$B$310),INDEX(半紙!$B$11:$B$310,460),IF(460&lt;=COUNTA(半紙!$B$11:$B$310)+COUNTA(条幅!$B$11:$B$310),INDEX(条幅!$B$11:$B$310,460-COUNTA(半紙!$B$11:$B$310)),IF(460&lt;=COUNTA(半紙!$B$11:$B$310)+COUNTA(条幅!$B$11:$B$310)+COUNTA(条幅4分の1!$B$11:$B$310),INDEX(条幅4分の1!$B$11:$B$310,460-COUNTA(半紙!$B$11:$B$310)-COUNTA(条幅!$B$11:$B$310)),""))))</f>
        <v/>
      </c>
      <c r="C465" s="38" t="str">
        <f>IF(IF(460&lt;=COUNTA(半紙!$B$11:$B$310),INDEX(半紙!$C$11:$C$310,460),IF(460&lt;=COUNTA(半紙!$B$11:$B$310)+COUNTA(条幅!$B$11:$B$310),INDEX(条幅!$C$11:$C$310,460-COUNTA(半紙!$B$11:$B$310)),IF(460&lt;=COUNTA(半紙!$B$11:$B$310)+COUNTA(条幅!$B$11:$B$310)+COUNTA(条幅4分の1!$B$11:$B$310),INDEX(条幅4分の1!$C$11:$C$310,460-COUNTA(半紙!$B$11:$B$310)-COUNTA(条幅!$B$11:$B$310)),"")))=0,"",IF(460&lt;=COUNTA(半紙!$B$11:$B$310),INDEX(半紙!$C$11:$C$310,460),IF(460&lt;=COUNTA(半紙!$B$11:$B$310)+COUNTA(条幅!$B$11:$B$310),INDEX(条幅!$C$11:$C$310,460-COUNTA(半紙!$B$11:$B$310)),IF(460&lt;=COUNTA(半紙!$B$11:$B$310)+COUNTA(条幅!$B$11:$B$310)+COUNTA(条幅4分の1!$B$11:$B$310),INDEX(条幅4分の1!$C$11:$C$310,460-COUNTA(半紙!$B$11:$B$310)-COUNTA(条幅!$B$11:$B$310)),""))))</f>
        <v/>
      </c>
      <c r="D465" s="38" t="str">
        <f>IF(IF(460&lt;=COUNTA(半紙!$B$11:$B$310),INDEX(半紙!$D$11:$D$310,460),IF(460&lt;=COUNTA(半紙!$B$11:$B$310)+COUNTA(条幅!$B$11:$B$310),INDEX(条幅!$D$11:$D$310,460-COUNTA(半紙!$B$11:$B$310)),IF(460&lt;=COUNTA(半紙!$B$11:$B$310)+COUNTA(条幅!$B$11:$B$310)+COUNTA(条幅4分の1!$B$11:$B$310),INDEX(条幅4分の1!$D$11:$D$310,460-COUNTA(半紙!$B$11:$B$310)-COUNTA(条幅!$B$11:$B$310)),"")))=0,"",IF(460&lt;=COUNTA(半紙!$B$11:$B$310),INDEX(半紙!$D$11:$D$310,460),IF(460&lt;=COUNTA(半紙!$B$11:$B$310)+COUNTA(条幅!$B$11:$B$310),INDEX(条幅!$D$11:$D$310,460-COUNTA(半紙!$B$11:$B$310)),IF(460&lt;=COUNTA(半紙!$B$11:$B$310)+COUNTA(条幅!$B$11:$B$310)+COUNTA(条幅4分の1!$B$11:$B$310),INDEX(条幅4分の1!$D$11:$D$310,460-COUNTA(半紙!$B$11:$B$310)-COUNTA(条幅!$B$11:$B$310)),""))))</f>
        <v/>
      </c>
      <c r="E465" s="38" t="str">
        <f>IF(IF(460&lt;=COUNTA(半紙!$B$11:$B$310),INDEX(半紙!$E$11:$E$310,460),IF(460&lt;=COUNTA(半紙!$B$11:$B$310)+COUNTA(条幅!$B$11:$B$310),INDEX(条幅!$E$11:$E$310,460-COUNTA(半紙!$B$11:$B$310)),IF(460&lt;=COUNTA(半紙!$B$11:$B$310)+COUNTA(条幅!$B$11:$B$310)+COUNTA(条幅4分の1!$B$11:$B$310),INDEX(条幅4分の1!$E$11:$E$310,460-COUNTA(半紙!$B$11:$B$310)-COUNTA(条幅!$B$11:$B$310)),"")))=0,"",IF(460&lt;=COUNTA(半紙!$B$11:$B$310),INDEX(半紙!$E$11:$E$310,460),IF(460&lt;=COUNTA(半紙!$B$11:$B$310)+COUNTA(条幅!$B$11:$B$310),INDEX(条幅!$E$11:$E$310,460-COUNTA(半紙!$B$11:$B$310)),IF(460&lt;=COUNTA(半紙!$B$11:$B$310)+COUNTA(条幅!$B$11:$B$310)+COUNTA(条幅4分の1!$B$11:$B$310),INDEX(条幅4分の1!$E$11:$E$310,460-COUNTA(半紙!$B$11:$B$310)-COUNTA(条幅!$B$11:$B$310)),""))))</f>
        <v/>
      </c>
      <c r="F465" s="38" t="str">
        <f>IF(IF(460&lt;=COUNTA(半紙!$B$11:$B$310),INDEX(半紙!$F$11:$F$310,460),IF(460&lt;=COUNTA(半紙!$B$11:$B$310)+COUNTA(条幅!$B$11:$B$310),INDEX(条幅!$F$11:$F$310,460-COUNTA(半紙!$B$11:$B$310)),IF(460&lt;=COUNTA(半紙!$B$11:$B$310)+COUNTA(条幅!$B$11:$B$310)+COUNTA(条幅4分の1!$B$11:$B$310),INDEX(条幅4分の1!$F$11:$F$310,460-COUNTA(半紙!$B$11:$B$310)-COUNTA(条幅!$B$11:$B$310)),"")))=0,"",IF(460&lt;=COUNTA(半紙!$B$11:$B$310),INDEX(半紙!$F$11:$F$310,460),IF(460&lt;=COUNTA(半紙!$B$11:$B$310)+COUNTA(条幅!$B$11:$B$310),INDEX(条幅!$F$11:$F$310,460-COUNTA(半紙!$B$11:$B$310)),IF(460&lt;=COUNTA(半紙!$B$11:$B$310)+COUNTA(条幅!$B$11:$B$310)+COUNTA(条幅4分の1!$B$11:$B$310),INDEX(条幅4分の1!$F$11:$F$310,460-COUNTA(半紙!$B$11:$B$310)-COUNTA(条幅!$B$11:$B$310)),""))))</f>
        <v/>
      </c>
      <c r="G465" s="38" t="str">
        <f>IF(IF(460&lt;=COUNTA(半紙!$B$11:$B$310),INDEX(半紙!$G$11:$G$310,460),IF(460&lt;=COUNTA(半紙!$B$11:$B$310)+COUNTA(条幅!$B$11:$B$310),INDEX(条幅!$G$11:$G$310,460-COUNTA(半紙!$B$11:$B$310)),IF(460&lt;=COUNTA(半紙!$B$11:$B$310)+COUNTA(条幅!$B$11:$B$310)+COUNTA(条幅4分の1!$B$11:$B$310),INDEX(条幅4分の1!$G$11:$G$310,460-COUNTA(半紙!$B$11:$B$310)-COUNTA(条幅!$B$11:$B$310)),"")))=0,"",IF(460&lt;=COUNTA(半紙!$B$11:$B$310),INDEX(半紙!$G$11:$G$310,460),IF(460&lt;=COUNTA(半紙!$B$11:$B$310)+COUNTA(条幅!$B$11:$B$310),INDEX(条幅!$G$11:$G$310,460-COUNTA(半紙!$B$11:$B$310)),IF(460&lt;=COUNTA(半紙!$B$11:$B$310)+COUNTA(条幅!$B$11:$B$310)+COUNTA(条幅4分の1!$B$11:$B$310),INDEX(条幅4分の1!$G$11:$G$310,460-COUNTA(半紙!$B$11:$B$310)-COUNTA(条幅!$B$11:$B$310)),""))))</f>
        <v/>
      </c>
      <c r="H465" s="38" t="str">
        <f>IF(IF(460&lt;=COUNTA(半紙!$B$11:$B$310),INDEX(半紙!$H$11:$H$310,460),IF(460&lt;=COUNTA(半紙!$B$11:$B$310)+COUNTA(条幅!$B$11:$B$310),INDEX(条幅!$H$11:$H$310,460-COUNTA(半紙!$B$11:$B$310)),IF(460&lt;=COUNTA(半紙!$B$11:$B$310)+COUNTA(条幅!$B$11:$B$310)+COUNTA(条幅4分の1!$B$11:$B$310),INDEX(条幅4分の1!$H$11:$H$310,460-COUNTA(半紙!$B$11:$B$310)-COUNTA(条幅!$B$11:$B$310)),"")))=0,"",IF(460&lt;=COUNTA(半紙!$B$11:$B$310),INDEX(半紙!$H$11:$H$310,460),IF(460&lt;=COUNTA(半紙!$B$11:$B$310)+COUNTA(条幅!$B$11:$B$310),INDEX(条幅!$H$11:$H$310,460-COUNTA(半紙!$B$11:$B$310)),IF(460&lt;=COUNTA(半紙!$B$11:$B$310)+COUNTA(条幅!$B$11:$B$310)+COUNTA(条幅4分の1!$B$11:$B$310),INDEX(条幅4分の1!$H$11:$H$310,460-COUNTA(半紙!$B$11:$B$310)-COUNTA(条幅!$B$11:$B$310)),""))))</f>
        <v/>
      </c>
      <c r="I465" s="38" t="str">
        <f>IF(IF(460&lt;=COUNTA(半紙!$B$11:$B$310),INDEX(半紙!$I$11:$I$310,460),IF(460&lt;=COUNTA(半紙!$B$11:$B$310)+COUNTA(条幅!$B$11:$B$310),INDEX(条幅!$I$11:$I$310,460-COUNTA(半紙!$B$11:$B$310)),IF(460&lt;=COUNTA(半紙!$B$11:$B$310)+COUNTA(条幅!$B$11:$B$310)+COUNTA(条幅4分の1!$B$11:$B$310),INDEX(条幅4分の1!$I$11:$I$310,460-COUNTA(半紙!$B$11:$B$310)-COUNTA(条幅!$B$11:$B$310)),"")))=0,"",IF(460&lt;=COUNTA(半紙!$B$11:$B$310),INDEX(半紙!$I$11:$I$310,460),IF(460&lt;=COUNTA(半紙!$B$11:$B$310)+COUNTA(条幅!$B$11:$B$310),INDEX(条幅!$I$11:$I$310,460-COUNTA(半紙!$B$11:$B$310)),IF(460&lt;=COUNTA(半紙!$B$11:$B$310)+COUNTA(条幅!$B$11:$B$310)+COUNTA(条幅4分の1!$B$11:$B$310),INDEX(条幅4分の1!$I$11:$I$310,460-COUNTA(半紙!$B$11:$B$310)-COUNTA(条幅!$B$11:$B$310)),""))))</f>
        <v/>
      </c>
      <c r="J465" s="38" t="str">
        <f>IF(IF(460&lt;=COUNTA(半紙!$B$11:$B$310),INDEX(半紙!$J$11:$J$310,460),IF(460&lt;=COUNTA(半紙!$B$11:$B$310)+COUNTA(条幅!$B$11:$B$310),INDEX(条幅!$J$11:$J$310,460-COUNTA(半紙!$B$11:$B$310)),IF(460&lt;=COUNTA(半紙!$B$11:$B$310)+COUNTA(条幅!$B$11:$B$310)+COUNTA(条幅4分の1!$B$11:$B$310),INDEX(条幅4分の1!$J$11:$J$310,460-COUNTA(半紙!$B$11:$B$310)-COUNTA(条幅!$B$11:$B$310)),"")))=0,"",IF(460&lt;=COUNTA(半紙!$B$11:$B$310),INDEX(半紙!$J$11:$J$310,460),IF(460&lt;=COUNTA(半紙!$B$11:$B$310)+COUNTA(条幅!$B$11:$B$310),INDEX(条幅!$J$11:$J$310,460-COUNTA(半紙!$B$11:$B$310)),IF(460&lt;=COUNTA(半紙!$B$11:$B$310)+COUNTA(条幅!$B$11:$B$310)+COUNTA(条幅4分の1!$B$11:$B$310),INDEX(条幅4分の1!$J$11:$J$310,460-COUNTA(半紙!$B$11:$B$310)-COUNTA(条幅!$B$11:$B$310)),""))))</f>
        <v/>
      </c>
      <c r="K465" s="38" t="str">
        <f>IF(IF(460&lt;=COUNTA(半紙!$B$11:$B$310),INDEX(半紙!$K$11:$K$310,460),IF(460&lt;=COUNTA(半紙!$B$11:$B$310)+COUNTA(条幅!$B$11:$B$310),INDEX(条幅!$K$11:$K$310,460-COUNTA(半紙!$B$11:$B$310)),IF(460&lt;=COUNTA(半紙!$B$11:$B$310)+COUNTA(条幅!$B$11:$B$310)+COUNTA(条幅4分の1!$B$11:$B$310),INDEX(条幅4分の1!$K$11:$K$310,460-COUNTA(半紙!$B$11:$B$310)-COUNTA(条幅!$B$11:$B$310)),"")))=0,"",IF(460&lt;=COUNTA(半紙!$B$11:$B$310),INDEX(半紙!$K$11:$K$310,460),IF(460&lt;=COUNTA(半紙!$B$11:$B$310)+COUNTA(条幅!$B$11:$B$310),INDEX(条幅!$K$11:$K$310,460-COUNTA(半紙!$B$11:$B$310)),IF(460&lt;=COUNTA(半紙!$B$11:$B$310)+COUNTA(条幅!$B$11:$B$310)+COUNTA(条幅4分の1!$B$11:$B$310),INDEX(条幅4分の1!$K$11:$K$310,460-COUNTA(半紙!$B$11:$B$310)-COUNTA(条幅!$B$11:$B$310)),""))))</f>
        <v/>
      </c>
      <c r="L465" s="48" t="str">
        <f>IF($B465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460))</f>
        <v/>
      </c>
    </row>
    <row r="466" spans="1:12" ht="15" customHeight="1">
      <c r="A466" s="37" t="str">
        <f>IF(461&lt;=COUNTA(半紙!$B$11:$B$310),"半紙",IF(461&lt;=COUNTA(半紙!$B$11:$B$310)+COUNTA(条幅!$B$11:$B$310),"条幅(半切)",IF(461&lt;=COUNTA(半紙!$B$11:$B$310)+COUNTA(条幅!$B$11:$B$310)+COUNTA(条幅4分の1!$B$11:$B$310),"条幅(1/4)","")))</f>
        <v/>
      </c>
      <c r="B466" s="38" t="str">
        <f>IF(IF(461&lt;=COUNTA(半紙!$B$11:$B$310),INDEX(半紙!$B$11:$B$310,461),IF(461&lt;=COUNTA(半紙!$B$11:$B$310)+COUNTA(条幅!$B$11:$B$310),INDEX(条幅!$B$11:$B$310,461-COUNTA(半紙!$B$11:$B$310)),IF(461&lt;=COUNTA(半紙!$B$11:$B$310)+COUNTA(条幅!$B$11:$B$310)+COUNTA(条幅4分の1!$B$11:$B$310),INDEX(条幅4分の1!$B$11:$B$310,461-COUNTA(半紙!$B$11:$B$310)-COUNTA(条幅!$B$11:$B$310)),"")))=0,"",IF(461&lt;=COUNTA(半紙!$B$11:$B$310),INDEX(半紙!$B$11:$B$310,461),IF(461&lt;=COUNTA(半紙!$B$11:$B$310)+COUNTA(条幅!$B$11:$B$310),INDEX(条幅!$B$11:$B$310,461-COUNTA(半紙!$B$11:$B$310)),IF(461&lt;=COUNTA(半紙!$B$11:$B$310)+COUNTA(条幅!$B$11:$B$310)+COUNTA(条幅4分の1!$B$11:$B$310),INDEX(条幅4分の1!$B$11:$B$310,461-COUNTA(半紙!$B$11:$B$310)-COUNTA(条幅!$B$11:$B$310)),""))))</f>
        <v/>
      </c>
      <c r="C466" s="38" t="str">
        <f>IF(IF(461&lt;=COUNTA(半紙!$B$11:$B$310),INDEX(半紙!$C$11:$C$310,461),IF(461&lt;=COUNTA(半紙!$B$11:$B$310)+COUNTA(条幅!$B$11:$B$310),INDEX(条幅!$C$11:$C$310,461-COUNTA(半紙!$B$11:$B$310)),IF(461&lt;=COUNTA(半紙!$B$11:$B$310)+COUNTA(条幅!$B$11:$B$310)+COUNTA(条幅4分の1!$B$11:$B$310),INDEX(条幅4分の1!$C$11:$C$310,461-COUNTA(半紙!$B$11:$B$310)-COUNTA(条幅!$B$11:$B$310)),"")))=0,"",IF(461&lt;=COUNTA(半紙!$B$11:$B$310),INDEX(半紙!$C$11:$C$310,461),IF(461&lt;=COUNTA(半紙!$B$11:$B$310)+COUNTA(条幅!$B$11:$B$310),INDEX(条幅!$C$11:$C$310,461-COUNTA(半紙!$B$11:$B$310)),IF(461&lt;=COUNTA(半紙!$B$11:$B$310)+COUNTA(条幅!$B$11:$B$310)+COUNTA(条幅4分の1!$B$11:$B$310),INDEX(条幅4分の1!$C$11:$C$310,461-COUNTA(半紙!$B$11:$B$310)-COUNTA(条幅!$B$11:$B$310)),""))))</f>
        <v/>
      </c>
      <c r="D466" s="38" t="str">
        <f>IF(IF(461&lt;=COUNTA(半紙!$B$11:$B$310),INDEX(半紙!$D$11:$D$310,461),IF(461&lt;=COUNTA(半紙!$B$11:$B$310)+COUNTA(条幅!$B$11:$B$310),INDEX(条幅!$D$11:$D$310,461-COUNTA(半紙!$B$11:$B$310)),IF(461&lt;=COUNTA(半紙!$B$11:$B$310)+COUNTA(条幅!$B$11:$B$310)+COUNTA(条幅4分の1!$B$11:$B$310),INDEX(条幅4分の1!$D$11:$D$310,461-COUNTA(半紙!$B$11:$B$310)-COUNTA(条幅!$B$11:$B$310)),"")))=0,"",IF(461&lt;=COUNTA(半紙!$B$11:$B$310),INDEX(半紙!$D$11:$D$310,461),IF(461&lt;=COUNTA(半紙!$B$11:$B$310)+COUNTA(条幅!$B$11:$B$310),INDEX(条幅!$D$11:$D$310,461-COUNTA(半紙!$B$11:$B$310)),IF(461&lt;=COUNTA(半紙!$B$11:$B$310)+COUNTA(条幅!$B$11:$B$310)+COUNTA(条幅4分の1!$B$11:$B$310),INDEX(条幅4分の1!$D$11:$D$310,461-COUNTA(半紙!$B$11:$B$310)-COUNTA(条幅!$B$11:$B$310)),""))))</f>
        <v/>
      </c>
      <c r="E466" s="38" t="str">
        <f>IF(IF(461&lt;=COUNTA(半紙!$B$11:$B$310),INDEX(半紙!$E$11:$E$310,461),IF(461&lt;=COUNTA(半紙!$B$11:$B$310)+COUNTA(条幅!$B$11:$B$310),INDEX(条幅!$E$11:$E$310,461-COUNTA(半紙!$B$11:$B$310)),IF(461&lt;=COUNTA(半紙!$B$11:$B$310)+COUNTA(条幅!$B$11:$B$310)+COUNTA(条幅4分の1!$B$11:$B$310),INDEX(条幅4分の1!$E$11:$E$310,461-COUNTA(半紙!$B$11:$B$310)-COUNTA(条幅!$B$11:$B$310)),"")))=0,"",IF(461&lt;=COUNTA(半紙!$B$11:$B$310),INDEX(半紙!$E$11:$E$310,461),IF(461&lt;=COUNTA(半紙!$B$11:$B$310)+COUNTA(条幅!$B$11:$B$310),INDEX(条幅!$E$11:$E$310,461-COUNTA(半紙!$B$11:$B$310)),IF(461&lt;=COUNTA(半紙!$B$11:$B$310)+COUNTA(条幅!$B$11:$B$310)+COUNTA(条幅4分の1!$B$11:$B$310),INDEX(条幅4分の1!$E$11:$E$310,461-COUNTA(半紙!$B$11:$B$310)-COUNTA(条幅!$B$11:$B$310)),""))))</f>
        <v/>
      </c>
      <c r="F466" s="38" t="str">
        <f>IF(IF(461&lt;=COUNTA(半紙!$B$11:$B$310),INDEX(半紙!$F$11:$F$310,461),IF(461&lt;=COUNTA(半紙!$B$11:$B$310)+COUNTA(条幅!$B$11:$B$310),INDEX(条幅!$F$11:$F$310,461-COUNTA(半紙!$B$11:$B$310)),IF(461&lt;=COUNTA(半紙!$B$11:$B$310)+COUNTA(条幅!$B$11:$B$310)+COUNTA(条幅4分の1!$B$11:$B$310),INDEX(条幅4分の1!$F$11:$F$310,461-COUNTA(半紙!$B$11:$B$310)-COUNTA(条幅!$B$11:$B$310)),"")))=0,"",IF(461&lt;=COUNTA(半紙!$B$11:$B$310),INDEX(半紙!$F$11:$F$310,461),IF(461&lt;=COUNTA(半紙!$B$11:$B$310)+COUNTA(条幅!$B$11:$B$310),INDEX(条幅!$F$11:$F$310,461-COUNTA(半紙!$B$11:$B$310)),IF(461&lt;=COUNTA(半紙!$B$11:$B$310)+COUNTA(条幅!$B$11:$B$310)+COUNTA(条幅4分の1!$B$11:$B$310),INDEX(条幅4分の1!$F$11:$F$310,461-COUNTA(半紙!$B$11:$B$310)-COUNTA(条幅!$B$11:$B$310)),""))))</f>
        <v/>
      </c>
      <c r="G466" s="38" t="str">
        <f>IF(IF(461&lt;=COUNTA(半紙!$B$11:$B$310),INDEX(半紙!$G$11:$G$310,461),IF(461&lt;=COUNTA(半紙!$B$11:$B$310)+COUNTA(条幅!$B$11:$B$310),INDEX(条幅!$G$11:$G$310,461-COUNTA(半紙!$B$11:$B$310)),IF(461&lt;=COUNTA(半紙!$B$11:$B$310)+COUNTA(条幅!$B$11:$B$310)+COUNTA(条幅4分の1!$B$11:$B$310),INDEX(条幅4分の1!$G$11:$G$310,461-COUNTA(半紙!$B$11:$B$310)-COUNTA(条幅!$B$11:$B$310)),"")))=0,"",IF(461&lt;=COUNTA(半紙!$B$11:$B$310),INDEX(半紙!$G$11:$G$310,461),IF(461&lt;=COUNTA(半紙!$B$11:$B$310)+COUNTA(条幅!$B$11:$B$310),INDEX(条幅!$G$11:$G$310,461-COUNTA(半紙!$B$11:$B$310)),IF(461&lt;=COUNTA(半紙!$B$11:$B$310)+COUNTA(条幅!$B$11:$B$310)+COUNTA(条幅4分の1!$B$11:$B$310),INDEX(条幅4分の1!$G$11:$G$310,461-COUNTA(半紙!$B$11:$B$310)-COUNTA(条幅!$B$11:$B$310)),""))))</f>
        <v/>
      </c>
      <c r="H466" s="38" t="str">
        <f>IF(IF(461&lt;=COUNTA(半紙!$B$11:$B$310),INDEX(半紙!$H$11:$H$310,461),IF(461&lt;=COUNTA(半紙!$B$11:$B$310)+COUNTA(条幅!$B$11:$B$310),INDEX(条幅!$H$11:$H$310,461-COUNTA(半紙!$B$11:$B$310)),IF(461&lt;=COUNTA(半紙!$B$11:$B$310)+COUNTA(条幅!$B$11:$B$310)+COUNTA(条幅4分の1!$B$11:$B$310),INDEX(条幅4分の1!$H$11:$H$310,461-COUNTA(半紙!$B$11:$B$310)-COUNTA(条幅!$B$11:$B$310)),"")))=0,"",IF(461&lt;=COUNTA(半紙!$B$11:$B$310),INDEX(半紙!$H$11:$H$310,461),IF(461&lt;=COUNTA(半紙!$B$11:$B$310)+COUNTA(条幅!$B$11:$B$310),INDEX(条幅!$H$11:$H$310,461-COUNTA(半紙!$B$11:$B$310)),IF(461&lt;=COUNTA(半紙!$B$11:$B$310)+COUNTA(条幅!$B$11:$B$310)+COUNTA(条幅4分の1!$B$11:$B$310),INDEX(条幅4分の1!$H$11:$H$310,461-COUNTA(半紙!$B$11:$B$310)-COUNTA(条幅!$B$11:$B$310)),""))))</f>
        <v/>
      </c>
      <c r="I466" s="38" t="str">
        <f>IF(IF(461&lt;=COUNTA(半紙!$B$11:$B$310),INDEX(半紙!$I$11:$I$310,461),IF(461&lt;=COUNTA(半紙!$B$11:$B$310)+COUNTA(条幅!$B$11:$B$310),INDEX(条幅!$I$11:$I$310,461-COUNTA(半紙!$B$11:$B$310)),IF(461&lt;=COUNTA(半紙!$B$11:$B$310)+COUNTA(条幅!$B$11:$B$310)+COUNTA(条幅4分の1!$B$11:$B$310),INDEX(条幅4分の1!$I$11:$I$310,461-COUNTA(半紙!$B$11:$B$310)-COUNTA(条幅!$B$11:$B$310)),"")))=0,"",IF(461&lt;=COUNTA(半紙!$B$11:$B$310),INDEX(半紙!$I$11:$I$310,461),IF(461&lt;=COUNTA(半紙!$B$11:$B$310)+COUNTA(条幅!$B$11:$B$310),INDEX(条幅!$I$11:$I$310,461-COUNTA(半紙!$B$11:$B$310)),IF(461&lt;=COUNTA(半紙!$B$11:$B$310)+COUNTA(条幅!$B$11:$B$310)+COUNTA(条幅4分の1!$B$11:$B$310),INDEX(条幅4分の1!$I$11:$I$310,461-COUNTA(半紙!$B$11:$B$310)-COUNTA(条幅!$B$11:$B$310)),""))))</f>
        <v/>
      </c>
      <c r="J466" s="38" t="str">
        <f>IF(IF(461&lt;=COUNTA(半紙!$B$11:$B$310),INDEX(半紙!$J$11:$J$310,461),IF(461&lt;=COUNTA(半紙!$B$11:$B$310)+COUNTA(条幅!$B$11:$B$310),INDEX(条幅!$J$11:$J$310,461-COUNTA(半紙!$B$11:$B$310)),IF(461&lt;=COUNTA(半紙!$B$11:$B$310)+COUNTA(条幅!$B$11:$B$310)+COUNTA(条幅4分の1!$B$11:$B$310),INDEX(条幅4分の1!$J$11:$J$310,461-COUNTA(半紙!$B$11:$B$310)-COUNTA(条幅!$B$11:$B$310)),"")))=0,"",IF(461&lt;=COUNTA(半紙!$B$11:$B$310),INDEX(半紙!$J$11:$J$310,461),IF(461&lt;=COUNTA(半紙!$B$11:$B$310)+COUNTA(条幅!$B$11:$B$310),INDEX(条幅!$J$11:$J$310,461-COUNTA(半紙!$B$11:$B$310)),IF(461&lt;=COUNTA(半紙!$B$11:$B$310)+COUNTA(条幅!$B$11:$B$310)+COUNTA(条幅4分の1!$B$11:$B$310),INDEX(条幅4分の1!$J$11:$J$310,461-COUNTA(半紙!$B$11:$B$310)-COUNTA(条幅!$B$11:$B$310)),""))))</f>
        <v/>
      </c>
      <c r="K466" s="38" t="str">
        <f>IF(IF(461&lt;=COUNTA(半紙!$B$11:$B$310),INDEX(半紙!$K$11:$K$310,461),IF(461&lt;=COUNTA(半紙!$B$11:$B$310)+COUNTA(条幅!$B$11:$B$310),INDEX(条幅!$K$11:$K$310,461-COUNTA(半紙!$B$11:$B$310)),IF(461&lt;=COUNTA(半紙!$B$11:$B$310)+COUNTA(条幅!$B$11:$B$310)+COUNTA(条幅4分の1!$B$11:$B$310),INDEX(条幅4分の1!$K$11:$K$310,461-COUNTA(半紙!$B$11:$B$310)-COUNTA(条幅!$B$11:$B$310)),"")))=0,"",IF(461&lt;=COUNTA(半紙!$B$11:$B$310),INDEX(半紙!$K$11:$K$310,461),IF(461&lt;=COUNTA(半紙!$B$11:$B$310)+COUNTA(条幅!$B$11:$B$310),INDEX(条幅!$K$11:$K$310,461-COUNTA(半紙!$B$11:$B$310)),IF(461&lt;=COUNTA(半紙!$B$11:$B$310)+COUNTA(条幅!$B$11:$B$310)+COUNTA(条幅4分の1!$B$11:$B$310),INDEX(条幅4分の1!$K$11:$K$310,461-COUNTA(半紙!$B$11:$B$310)-COUNTA(条幅!$B$11:$B$310)),""))))</f>
        <v/>
      </c>
      <c r="L466" s="48" t="str">
        <f>IF($B466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461))</f>
        <v/>
      </c>
    </row>
    <row r="467" spans="1:12" ht="15" customHeight="1">
      <c r="A467" s="37" t="str">
        <f>IF(462&lt;=COUNTA(半紙!$B$11:$B$310),"半紙",IF(462&lt;=COUNTA(半紙!$B$11:$B$310)+COUNTA(条幅!$B$11:$B$310),"条幅(半切)",IF(462&lt;=COUNTA(半紙!$B$11:$B$310)+COUNTA(条幅!$B$11:$B$310)+COUNTA(条幅4分の1!$B$11:$B$310),"条幅(1/4)","")))</f>
        <v/>
      </c>
      <c r="B467" s="38" t="str">
        <f>IF(IF(462&lt;=COUNTA(半紙!$B$11:$B$310),INDEX(半紙!$B$11:$B$310,462),IF(462&lt;=COUNTA(半紙!$B$11:$B$310)+COUNTA(条幅!$B$11:$B$310),INDEX(条幅!$B$11:$B$310,462-COUNTA(半紙!$B$11:$B$310)),IF(462&lt;=COUNTA(半紙!$B$11:$B$310)+COUNTA(条幅!$B$11:$B$310)+COUNTA(条幅4分の1!$B$11:$B$310),INDEX(条幅4分の1!$B$11:$B$310,462-COUNTA(半紙!$B$11:$B$310)-COUNTA(条幅!$B$11:$B$310)),"")))=0,"",IF(462&lt;=COUNTA(半紙!$B$11:$B$310),INDEX(半紙!$B$11:$B$310,462),IF(462&lt;=COUNTA(半紙!$B$11:$B$310)+COUNTA(条幅!$B$11:$B$310),INDEX(条幅!$B$11:$B$310,462-COUNTA(半紙!$B$11:$B$310)),IF(462&lt;=COUNTA(半紙!$B$11:$B$310)+COUNTA(条幅!$B$11:$B$310)+COUNTA(条幅4分の1!$B$11:$B$310),INDEX(条幅4分の1!$B$11:$B$310,462-COUNTA(半紙!$B$11:$B$310)-COUNTA(条幅!$B$11:$B$310)),""))))</f>
        <v/>
      </c>
      <c r="C467" s="38" t="str">
        <f>IF(IF(462&lt;=COUNTA(半紙!$B$11:$B$310),INDEX(半紙!$C$11:$C$310,462),IF(462&lt;=COUNTA(半紙!$B$11:$B$310)+COUNTA(条幅!$B$11:$B$310),INDEX(条幅!$C$11:$C$310,462-COUNTA(半紙!$B$11:$B$310)),IF(462&lt;=COUNTA(半紙!$B$11:$B$310)+COUNTA(条幅!$B$11:$B$310)+COUNTA(条幅4分の1!$B$11:$B$310),INDEX(条幅4分の1!$C$11:$C$310,462-COUNTA(半紙!$B$11:$B$310)-COUNTA(条幅!$B$11:$B$310)),"")))=0,"",IF(462&lt;=COUNTA(半紙!$B$11:$B$310),INDEX(半紙!$C$11:$C$310,462),IF(462&lt;=COUNTA(半紙!$B$11:$B$310)+COUNTA(条幅!$B$11:$B$310),INDEX(条幅!$C$11:$C$310,462-COUNTA(半紙!$B$11:$B$310)),IF(462&lt;=COUNTA(半紙!$B$11:$B$310)+COUNTA(条幅!$B$11:$B$310)+COUNTA(条幅4分の1!$B$11:$B$310),INDEX(条幅4分の1!$C$11:$C$310,462-COUNTA(半紙!$B$11:$B$310)-COUNTA(条幅!$B$11:$B$310)),""))))</f>
        <v/>
      </c>
      <c r="D467" s="38" t="str">
        <f>IF(IF(462&lt;=COUNTA(半紙!$B$11:$B$310),INDEX(半紙!$D$11:$D$310,462),IF(462&lt;=COUNTA(半紙!$B$11:$B$310)+COUNTA(条幅!$B$11:$B$310),INDEX(条幅!$D$11:$D$310,462-COUNTA(半紙!$B$11:$B$310)),IF(462&lt;=COUNTA(半紙!$B$11:$B$310)+COUNTA(条幅!$B$11:$B$310)+COUNTA(条幅4分の1!$B$11:$B$310),INDEX(条幅4分の1!$D$11:$D$310,462-COUNTA(半紙!$B$11:$B$310)-COUNTA(条幅!$B$11:$B$310)),"")))=0,"",IF(462&lt;=COUNTA(半紙!$B$11:$B$310),INDEX(半紙!$D$11:$D$310,462),IF(462&lt;=COUNTA(半紙!$B$11:$B$310)+COUNTA(条幅!$B$11:$B$310),INDEX(条幅!$D$11:$D$310,462-COUNTA(半紙!$B$11:$B$310)),IF(462&lt;=COUNTA(半紙!$B$11:$B$310)+COUNTA(条幅!$B$11:$B$310)+COUNTA(条幅4分の1!$B$11:$B$310),INDEX(条幅4分の1!$D$11:$D$310,462-COUNTA(半紙!$B$11:$B$310)-COUNTA(条幅!$B$11:$B$310)),""))))</f>
        <v/>
      </c>
      <c r="E467" s="38" t="str">
        <f>IF(IF(462&lt;=COUNTA(半紙!$B$11:$B$310),INDEX(半紙!$E$11:$E$310,462),IF(462&lt;=COUNTA(半紙!$B$11:$B$310)+COUNTA(条幅!$B$11:$B$310),INDEX(条幅!$E$11:$E$310,462-COUNTA(半紙!$B$11:$B$310)),IF(462&lt;=COUNTA(半紙!$B$11:$B$310)+COUNTA(条幅!$B$11:$B$310)+COUNTA(条幅4分の1!$B$11:$B$310),INDEX(条幅4分の1!$E$11:$E$310,462-COUNTA(半紙!$B$11:$B$310)-COUNTA(条幅!$B$11:$B$310)),"")))=0,"",IF(462&lt;=COUNTA(半紙!$B$11:$B$310),INDEX(半紙!$E$11:$E$310,462),IF(462&lt;=COUNTA(半紙!$B$11:$B$310)+COUNTA(条幅!$B$11:$B$310),INDEX(条幅!$E$11:$E$310,462-COUNTA(半紙!$B$11:$B$310)),IF(462&lt;=COUNTA(半紙!$B$11:$B$310)+COUNTA(条幅!$B$11:$B$310)+COUNTA(条幅4分の1!$B$11:$B$310),INDEX(条幅4分の1!$E$11:$E$310,462-COUNTA(半紙!$B$11:$B$310)-COUNTA(条幅!$B$11:$B$310)),""))))</f>
        <v/>
      </c>
      <c r="F467" s="38" t="str">
        <f>IF(IF(462&lt;=COUNTA(半紙!$B$11:$B$310),INDEX(半紙!$F$11:$F$310,462),IF(462&lt;=COUNTA(半紙!$B$11:$B$310)+COUNTA(条幅!$B$11:$B$310),INDEX(条幅!$F$11:$F$310,462-COUNTA(半紙!$B$11:$B$310)),IF(462&lt;=COUNTA(半紙!$B$11:$B$310)+COUNTA(条幅!$B$11:$B$310)+COUNTA(条幅4分の1!$B$11:$B$310),INDEX(条幅4分の1!$F$11:$F$310,462-COUNTA(半紙!$B$11:$B$310)-COUNTA(条幅!$B$11:$B$310)),"")))=0,"",IF(462&lt;=COUNTA(半紙!$B$11:$B$310),INDEX(半紙!$F$11:$F$310,462),IF(462&lt;=COUNTA(半紙!$B$11:$B$310)+COUNTA(条幅!$B$11:$B$310),INDEX(条幅!$F$11:$F$310,462-COUNTA(半紙!$B$11:$B$310)),IF(462&lt;=COUNTA(半紙!$B$11:$B$310)+COUNTA(条幅!$B$11:$B$310)+COUNTA(条幅4分の1!$B$11:$B$310),INDEX(条幅4分の1!$F$11:$F$310,462-COUNTA(半紙!$B$11:$B$310)-COUNTA(条幅!$B$11:$B$310)),""))))</f>
        <v/>
      </c>
      <c r="G467" s="38" t="str">
        <f>IF(IF(462&lt;=COUNTA(半紙!$B$11:$B$310),INDEX(半紙!$G$11:$G$310,462),IF(462&lt;=COUNTA(半紙!$B$11:$B$310)+COUNTA(条幅!$B$11:$B$310),INDEX(条幅!$G$11:$G$310,462-COUNTA(半紙!$B$11:$B$310)),IF(462&lt;=COUNTA(半紙!$B$11:$B$310)+COUNTA(条幅!$B$11:$B$310)+COUNTA(条幅4分の1!$B$11:$B$310),INDEX(条幅4分の1!$G$11:$G$310,462-COUNTA(半紙!$B$11:$B$310)-COUNTA(条幅!$B$11:$B$310)),"")))=0,"",IF(462&lt;=COUNTA(半紙!$B$11:$B$310),INDEX(半紙!$G$11:$G$310,462),IF(462&lt;=COUNTA(半紙!$B$11:$B$310)+COUNTA(条幅!$B$11:$B$310),INDEX(条幅!$G$11:$G$310,462-COUNTA(半紙!$B$11:$B$310)),IF(462&lt;=COUNTA(半紙!$B$11:$B$310)+COUNTA(条幅!$B$11:$B$310)+COUNTA(条幅4分の1!$B$11:$B$310),INDEX(条幅4分の1!$G$11:$G$310,462-COUNTA(半紙!$B$11:$B$310)-COUNTA(条幅!$B$11:$B$310)),""))))</f>
        <v/>
      </c>
      <c r="H467" s="38" t="str">
        <f>IF(IF(462&lt;=COUNTA(半紙!$B$11:$B$310),INDEX(半紙!$H$11:$H$310,462),IF(462&lt;=COUNTA(半紙!$B$11:$B$310)+COUNTA(条幅!$B$11:$B$310),INDEX(条幅!$H$11:$H$310,462-COUNTA(半紙!$B$11:$B$310)),IF(462&lt;=COUNTA(半紙!$B$11:$B$310)+COUNTA(条幅!$B$11:$B$310)+COUNTA(条幅4分の1!$B$11:$B$310),INDEX(条幅4分の1!$H$11:$H$310,462-COUNTA(半紙!$B$11:$B$310)-COUNTA(条幅!$B$11:$B$310)),"")))=0,"",IF(462&lt;=COUNTA(半紙!$B$11:$B$310),INDEX(半紙!$H$11:$H$310,462),IF(462&lt;=COUNTA(半紙!$B$11:$B$310)+COUNTA(条幅!$B$11:$B$310),INDEX(条幅!$H$11:$H$310,462-COUNTA(半紙!$B$11:$B$310)),IF(462&lt;=COUNTA(半紙!$B$11:$B$310)+COUNTA(条幅!$B$11:$B$310)+COUNTA(条幅4分の1!$B$11:$B$310),INDEX(条幅4分の1!$H$11:$H$310,462-COUNTA(半紙!$B$11:$B$310)-COUNTA(条幅!$B$11:$B$310)),""))))</f>
        <v/>
      </c>
      <c r="I467" s="38" t="str">
        <f>IF(IF(462&lt;=COUNTA(半紙!$B$11:$B$310),INDEX(半紙!$I$11:$I$310,462),IF(462&lt;=COUNTA(半紙!$B$11:$B$310)+COUNTA(条幅!$B$11:$B$310),INDEX(条幅!$I$11:$I$310,462-COUNTA(半紙!$B$11:$B$310)),IF(462&lt;=COUNTA(半紙!$B$11:$B$310)+COUNTA(条幅!$B$11:$B$310)+COUNTA(条幅4分の1!$B$11:$B$310),INDEX(条幅4分の1!$I$11:$I$310,462-COUNTA(半紙!$B$11:$B$310)-COUNTA(条幅!$B$11:$B$310)),"")))=0,"",IF(462&lt;=COUNTA(半紙!$B$11:$B$310),INDEX(半紙!$I$11:$I$310,462),IF(462&lt;=COUNTA(半紙!$B$11:$B$310)+COUNTA(条幅!$B$11:$B$310),INDEX(条幅!$I$11:$I$310,462-COUNTA(半紙!$B$11:$B$310)),IF(462&lt;=COUNTA(半紙!$B$11:$B$310)+COUNTA(条幅!$B$11:$B$310)+COUNTA(条幅4分の1!$B$11:$B$310),INDEX(条幅4分の1!$I$11:$I$310,462-COUNTA(半紙!$B$11:$B$310)-COUNTA(条幅!$B$11:$B$310)),""))))</f>
        <v/>
      </c>
      <c r="J467" s="38" t="str">
        <f>IF(IF(462&lt;=COUNTA(半紙!$B$11:$B$310),INDEX(半紙!$J$11:$J$310,462),IF(462&lt;=COUNTA(半紙!$B$11:$B$310)+COUNTA(条幅!$B$11:$B$310),INDEX(条幅!$J$11:$J$310,462-COUNTA(半紙!$B$11:$B$310)),IF(462&lt;=COUNTA(半紙!$B$11:$B$310)+COUNTA(条幅!$B$11:$B$310)+COUNTA(条幅4分の1!$B$11:$B$310),INDEX(条幅4分の1!$J$11:$J$310,462-COUNTA(半紙!$B$11:$B$310)-COUNTA(条幅!$B$11:$B$310)),"")))=0,"",IF(462&lt;=COUNTA(半紙!$B$11:$B$310),INDEX(半紙!$J$11:$J$310,462),IF(462&lt;=COUNTA(半紙!$B$11:$B$310)+COUNTA(条幅!$B$11:$B$310),INDEX(条幅!$J$11:$J$310,462-COUNTA(半紙!$B$11:$B$310)),IF(462&lt;=COUNTA(半紙!$B$11:$B$310)+COUNTA(条幅!$B$11:$B$310)+COUNTA(条幅4分の1!$B$11:$B$310),INDEX(条幅4分の1!$J$11:$J$310,462-COUNTA(半紙!$B$11:$B$310)-COUNTA(条幅!$B$11:$B$310)),""))))</f>
        <v/>
      </c>
      <c r="K467" s="38" t="str">
        <f>IF(IF(462&lt;=COUNTA(半紙!$B$11:$B$310),INDEX(半紙!$K$11:$K$310,462),IF(462&lt;=COUNTA(半紙!$B$11:$B$310)+COUNTA(条幅!$B$11:$B$310),INDEX(条幅!$K$11:$K$310,462-COUNTA(半紙!$B$11:$B$310)),IF(462&lt;=COUNTA(半紙!$B$11:$B$310)+COUNTA(条幅!$B$11:$B$310)+COUNTA(条幅4分の1!$B$11:$B$310),INDEX(条幅4分の1!$K$11:$K$310,462-COUNTA(半紙!$B$11:$B$310)-COUNTA(条幅!$B$11:$B$310)),"")))=0,"",IF(462&lt;=COUNTA(半紙!$B$11:$B$310),INDEX(半紙!$K$11:$K$310,462),IF(462&lt;=COUNTA(半紙!$B$11:$B$310)+COUNTA(条幅!$B$11:$B$310),INDEX(条幅!$K$11:$K$310,462-COUNTA(半紙!$B$11:$B$310)),IF(462&lt;=COUNTA(半紙!$B$11:$B$310)+COUNTA(条幅!$B$11:$B$310)+COUNTA(条幅4分の1!$B$11:$B$310),INDEX(条幅4分の1!$K$11:$K$310,462-COUNTA(半紙!$B$11:$B$310)-COUNTA(条幅!$B$11:$B$310)),""))))</f>
        <v/>
      </c>
      <c r="L467" s="48" t="str">
        <f>IF($B467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462))</f>
        <v/>
      </c>
    </row>
    <row r="468" spans="1:12" ht="15" customHeight="1">
      <c r="A468" s="37" t="str">
        <f>IF(463&lt;=COUNTA(半紙!$B$11:$B$310),"半紙",IF(463&lt;=COUNTA(半紙!$B$11:$B$310)+COUNTA(条幅!$B$11:$B$310),"条幅(半切)",IF(463&lt;=COUNTA(半紙!$B$11:$B$310)+COUNTA(条幅!$B$11:$B$310)+COUNTA(条幅4分の1!$B$11:$B$310),"条幅(1/4)","")))</f>
        <v/>
      </c>
      <c r="B468" s="38" t="str">
        <f>IF(IF(463&lt;=COUNTA(半紙!$B$11:$B$310),INDEX(半紙!$B$11:$B$310,463),IF(463&lt;=COUNTA(半紙!$B$11:$B$310)+COUNTA(条幅!$B$11:$B$310),INDEX(条幅!$B$11:$B$310,463-COUNTA(半紙!$B$11:$B$310)),IF(463&lt;=COUNTA(半紙!$B$11:$B$310)+COUNTA(条幅!$B$11:$B$310)+COUNTA(条幅4分の1!$B$11:$B$310),INDEX(条幅4分の1!$B$11:$B$310,463-COUNTA(半紙!$B$11:$B$310)-COUNTA(条幅!$B$11:$B$310)),"")))=0,"",IF(463&lt;=COUNTA(半紙!$B$11:$B$310),INDEX(半紙!$B$11:$B$310,463),IF(463&lt;=COUNTA(半紙!$B$11:$B$310)+COUNTA(条幅!$B$11:$B$310),INDEX(条幅!$B$11:$B$310,463-COUNTA(半紙!$B$11:$B$310)),IF(463&lt;=COUNTA(半紙!$B$11:$B$310)+COUNTA(条幅!$B$11:$B$310)+COUNTA(条幅4分の1!$B$11:$B$310),INDEX(条幅4分の1!$B$11:$B$310,463-COUNTA(半紙!$B$11:$B$310)-COUNTA(条幅!$B$11:$B$310)),""))))</f>
        <v/>
      </c>
      <c r="C468" s="38" t="str">
        <f>IF(IF(463&lt;=COUNTA(半紙!$B$11:$B$310),INDEX(半紙!$C$11:$C$310,463),IF(463&lt;=COUNTA(半紙!$B$11:$B$310)+COUNTA(条幅!$B$11:$B$310),INDEX(条幅!$C$11:$C$310,463-COUNTA(半紙!$B$11:$B$310)),IF(463&lt;=COUNTA(半紙!$B$11:$B$310)+COUNTA(条幅!$B$11:$B$310)+COUNTA(条幅4分の1!$B$11:$B$310),INDEX(条幅4分の1!$C$11:$C$310,463-COUNTA(半紙!$B$11:$B$310)-COUNTA(条幅!$B$11:$B$310)),"")))=0,"",IF(463&lt;=COUNTA(半紙!$B$11:$B$310),INDEX(半紙!$C$11:$C$310,463),IF(463&lt;=COUNTA(半紙!$B$11:$B$310)+COUNTA(条幅!$B$11:$B$310),INDEX(条幅!$C$11:$C$310,463-COUNTA(半紙!$B$11:$B$310)),IF(463&lt;=COUNTA(半紙!$B$11:$B$310)+COUNTA(条幅!$B$11:$B$310)+COUNTA(条幅4分の1!$B$11:$B$310),INDEX(条幅4分の1!$C$11:$C$310,463-COUNTA(半紙!$B$11:$B$310)-COUNTA(条幅!$B$11:$B$310)),""))))</f>
        <v/>
      </c>
      <c r="D468" s="38" t="str">
        <f>IF(IF(463&lt;=COUNTA(半紙!$B$11:$B$310),INDEX(半紙!$D$11:$D$310,463),IF(463&lt;=COUNTA(半紙!$B$11:$B$310)+COUNTA(条幅!$B$11:$B$310),INDEX(条幅!$D$11:$D$310,463-COUNTA(半紙!$B$11:$B$310)),IF(463&lt;=COUNTA(半紙!$B$11:$B$310)+COUNTA(条幅!$B$11:$B$310)+COUNTA(条幅4分の1!$B$11:$B$310),INDEX(条幅4分の1!$D$11:$D$310,463-COUNTA(半紙!$B$11:$B$310)-COUNTA(条幅!$B$11:$B$310)),"")))=0,"",IF(463&lt;=COUNTA(半紙!$B$11:$B$310),INDEX(半紙!$D$11:$D$310,463),IF(463&lt;=COUNTA(半紙!$B$11:$B$310)+COUNTA(条幅!$B$11:$B$310),INDEX(条幅!$D$11:$D$310,463-COUNTA(半紙!$B$11:$B$310)),IF(463&lt;=COUNTA(半紙!$B$11:$B$310)+COUNTA(条幅!$B$11:$B$310)+COUNTA(条幅4分の1!$B$11:$B$310),INDEX(条幅4分の1!$D$11:$D$310,463-COUNTA(半紙!$B$11:$B$310)-COUNTA(条幅!$B$11:$B$310)),""))))</f>
        <v/>
      </c>
      <c r="E468" s="38" t="str">
        <f>IF(IF(463&lt;=COUNTA(半紙!$B$11:$B$310),INDEX(半紙!$E$11:$E$310,463),IF(463&lt;=COUNTA(半紙!$B$11:$B$310)+COUNTA(条幅!$B$11:$B$310),INDEX(条幅!$E$11:$E$310,463-COUNTA(半紙!$B$11:$B$310)),IF(463&lt;=COUNTA(半紙!$B$11:$B$310)+COUNTA(条幅!$B$11:$B$310)+COUNTA(条幅4分の1!$B$11:$B$310),INDEX(条幅4分の1!$E$11:$E$310,463-COUNTA(半紙!$B$11:$B$310)-COUNTA(条幅!$B$11:$B$310)),"")))=0,"",IF(463&lt;=COUNTA(半紙!$B$11:$B$310),INDEX(半紙!$E$11:$E$310,463),IF(463&lt;=COUNTA(半紙!$B$11:$B$310)+COUNTA(条幅!$B$11:$B$310),INDEX(条幅!$E$11:$E$310,463-COUNTA(半紙!$B$11:$B$310)),IF(463&lt;=COUNTA(半紙!$B$11:$B$310)+COUNTA(条幅!$B$11:$B$310)+COUNTA(条幅4分の1!$B$11:$B$310),INDEX(条幅4分の1!$E$11:$E$310,463-COUNTA(半紙!$B$11:$B$310)-COUNTA(条幅!$B$11:$B$310)),""))))</f>
        <v/>
      </c>
      <c r="F468" s="38" t="str">
        <f>IF(IF(463&lt;=COUNTA(半紙!$B$11:$B$310),INDEX(半紙!$F$11:$F$310,463),IF(463&lt;=COUNTA(半紙!$B$11:$B$310)+COUNTA(条幅!$B$11:$B$310),INDEX(条幅!$F$11:$F$310,463-COUNTA(半紙!$B$11:$B$310)),IF(463&lt;=COUNTA(半紙!$B$11:$B$310)+COUNTA(条幅!$B$11:$B$310)+COUNTA(条幅4分の1!$B$11:$B$310),INDEX(条幅4分の1!$F$11:$F$310,463-COUNTA(半紙!$B$11:$B$310)-COUNTA(条幅!$B$11:$B$310)),"")))=0,"",IF(463&lt;=COUNTA(半紙!$B$11:$B$310),INDEX(半紙!$F$11:$F$310,463),IF(463&lt;=COUNTA(半紙!$B$11:$B$310)+COUNTA(条幅!$B$11:$B$310),INDEX(条幅!$F$11:$F$310,463-COUNTA(半紙!$B$11:$B$310)),IF(463&lt;=COUNTA(半紙!$B$11:$B$310)+COUNTA(条幅!$B$11:$B$310)+COUNTA(条幅4分の1!$B$11:$B$310),INDEX(条幅4分の1!$F$11:$F$310,463-COUNTA(半紙!$B$11:$B$310)-COUNTA(条幅!$B$11:$B$310)),""))))</f>
        <v/>
      </c>
      <c r="G468" s="38" t="str">
        <f>IF(IF(463&lt;=COUNTA(半紙!$B$11:$B$310),INDEX(半紙!$G$11:$G$310,463),IF(463&lt;=COUNTA(半紙!$B$11:$B$310)+COUNTA(条幅!$B$11:$B$310),INDEX(条幅!$G$11:$G$310,463-COUNTA(半紙!$B$11:$B$310)),IF(463&lt;=COUNTA(半紙!$B$11:$B$310)+COUNTA(条幅!$B$11:$B$310)+COUNTA(条幅4分の1!$B$11:$B$310),INDEX(条幅4分の1!$G$11:$G$310,463-COUNTA(半紙!$B$11:$B$310)-COUNTA(条幅!$B$11:$B$310)),"")))=0,"",IF(463&lt;=COUNTA(半紙!$B$11:$B$310),INDEX(半紙!$G$11:$G$310,463),IF(463&lt;=COUNTA(半紙!$B$11:$B$310)+COUNTA(条幅!$B$11:$B$310),INDEX(条幅!$G$11:$G$310,463-COUNTA(半紙!$B$11:$B$310)),IF(463&lt;=COUNTA(半紙!$B$11:$B$310)+COUNTA(条幅!$B$11:$B$310)+COUNTA(条幅4分の1!$B$11:$B$310),INDEX(条幅4分の1!$G$11:$G$310,463-COUNTA(半紙!$B$11:$B$310)-COUNTA(条幅!$B$11:$B$310)),""))))</f>
        <v/>
      </c>
      <c r="H468" s="38" t="str">
        <f>IF(IF(463&lt;=COUNTA(半紙!$B$11:$B$310),INDEX(半紙!$H$11:$H$310,463),IF(463&lt;=COUNTA(半紙!$B$11:$B$310)+COUNTA(条幅!$B$11:$B$310),INDEX(条幅!$H$11:$H$310,463-COUNTA(半紙!$B$11:$B$310)),IF(463&lt;=COUNTA(半紙!$B$11:$B$310)+COUNTA(条幅!$B$11:$B$310)+COUNTA(条幅4分の1!$B$11:$B$310),INDEX(条幅4分の1!$H$11:$H$310,463-COUNTA(半紙!$B$11:$B$310)-COUNTA(条幅!$B$11:$B$310)),"")))=0,"",IF(463&lt;=COUNTA(半紙!$B$11:$B$310),INDEX(半紙!$H$11:$H$310,463),IF(463&lt;=COUNTA(半紙!$B$11:$B$310)+COUNTA(条幅!$B$11:$B$310),INDEX(条幅!$H$11:$H$310,463-COUNTA(半紙!$B$11:$B$310)),IF(463&lt;=COUNTA(半紙!$B$11:$B$310)+COUNTA(条幅!$B$11:$B$310)+COUNTA(条幅4分の1!$B$11:$B$310),INDEX(条幅4分の1!$H$11:$H$310,463-COUNTA(半紙!$B$11:$B$310)-COUNTA(条幅!$B$11:$B$310)),""))))</f>
        <v/>
      </c>
      <c r="I468" s="38" t="str">
        <f>IF(IF(463&lt;=COUNTA(半紙!$B$11:$B$310),INDEX(半紙!$I$11:$I$310,463),IF(463&lt;=COUNTA(半紙!$B$11:$B$310)+COUNTA(条幅!$B$11:$B$310),INDEX(条幅!$I$11:$I$310,463-COUNTA(半紙!$B$11:$B$310)),IF(463&lt;=COUNTA(半紙!$B$11:$B$310)+COUNTA(条幅!$B$11:$B$310)+COUNTA(条幅4分の1!$B$11:$B$310),INDEX(条幅4分の1!$I$11:$I$310,463-COUNTA(半紙!$B$11:$B$310)-COUNTA(条幅!$B$11:$B$310)),"")))=0,"",IF(463&lt;=COUNTA(半紙!$B$11:$B$310),INDEX(半紙!$I$11:$I$310,463),IF(463&lt;=COUNTA(半紙!$B$11:$B$310)+COUNTA(条幅!$B$11:$B$310),INDEX(条幅!$I$11:$I$310,463-COUNTA(半紙!$B$11:$B$310)),IF(463&lt;=COUNTA(半紙!$B$11:$B$310)+COUNTA(条幅!$B$11:$B$310)+COUNTA(条幅4分の1!$B$11:$B$310),INDEX(条幅4分の1!$I$11:$I$310,463-COUNTA(半紙!$B$11:$B$310)-COUNTA(条幅!$B$11:$B$310)),""))))</f>
        <v/>
      </c>
      <c r="J468" s="38" t="str">
        <f>IF(IF(463&lt;=COUNTA(半紙!$B$11:$B$310),INDEX(半紙!$J$11:$J$310,463),IF(463&lt;=COUNTA(半紙!$B$11:$B$310)+COUNTA(条幅!$B$11:$B$310),INDEX(条幅!$J$11:$J$310,463-COUNTA(半紙!$B$11:$B$310)),IF(463&lt;=COUNTA(半紙!$B$11:$B$310)+COUNTA(条幅!$B$11:$B$310)+COUNTA(条幅4分の1!$B$11:$B$310),INDEX(条幅4分の1!$J$11:$J$310,463-COUNTA(半紙!$B$11:$B$310)-COUNTA(条幅!$B$11:$B$310)),"")))=0,"",IF(463&lt;=COUNTA(半紙!$B$11:$B$310),INDEX(半紙!$J$11:$J$310,463),IF(463&lt;=COUNTA(半紙!$B$11:$B$310)+COUNTA(条幅!$B$11:$B$310),INDEX(条幅!$J$11:$J$310,463-COUNTA(半紙!$B$11:$B$310)),IF(463&lt;=COUNTA(半紙!$B$11:$B$310)+COUNTA(条幅!$B$11:$B$310)+COUNTA(条幅4分の1!$B$11:$B$310),INDEX(条幅4分の1!$J$11:$J$310,463-COUNTA(半紙!$B$11:$B$310)-COUNTA(条幅!$B$11:$B$310)),""))))</f>
        <v/>
      </c>
      <c r="K468" s="38" t="str">
        <f>IF(IF(463&lt;=COUNTA(半紙!$B$11:$B$310),INDEX(半紙!$K$11:$K$310,463),IF(463&lt;=COUNTA(半紙!$B$11:$B$310)+COUNTA(条幅!$B$11:$B$310),INDEX(条幅!$K$11:$K$310,463-COUNTA(半紙!$B$11:$B$310)),IF(463&lt;=COUNTA(半紙!$B$11:$B$310)+COUNTA(条幅!$B$11:$B$310)+COUNTA(条幅4分の1!$B$11:$B$310),INDEX(条幅4分の1!$K$11:$K$310,463-COUNTA(半紙!$B$11:$B$310)-COUNTA(条幅!$B$11:$B$310)),"")))=0,"",IF(463&lt;=COUNTA(半紙!$B$11:$B$310),INDEX(半紙!$K$11:$K$310,463),IF(463&lt;=COUNTA(半紙!$B$11:$B$310)+COUNTA(条幅!$B$11:$B$310),INDEX(条幅!$K$11:$K$310,463-COUNTA(半紙!$B$11:$B$310)),IF(463&lt;=COUNTA(半紙!$B$11:$B$310)+COUNTA(条幅!$B$11:$B$310)+COUNTA(条幅4分の1!$B$11:$B$310),INDEX(条幅4分の1!$K$11:$K$310,463-COUNTA(半紙!$B$11:$B$310)-COUNTA(条幅!$B$11:$B$310)),""))))</f>
        <v/>
      </c>
      <c r="L468" s="48" t="str">
        <f>IF($B468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463))</f>
        <v/>
      </c>
    </row>
    <row r="469" spans="1:12" ht="15" customHeight="1">
      <c r="A469" s="37" t="str">
        <f>IF(464&lt;=COUNTA(半紙!$B$11:$B$310),"半紙",IF(464&lt;=COUNTA(半紙!$B$11:$B$310)+COUNTA(条幅!$B$11:$B$310),"条幅(半切)",IF(464&lt;=COUNTA(半紙!$B$11:$B$310)+COUNTA(条幅!$B$11:$B$310)+COUNTA(条幅4分の1!$B$11:$B$310),"条幅(1/4)","")))</f>
        <v/>
      </c>
      <c r="B469" s="38" t="str">
        <f>IF(IF(464&lt;=COUNTA(半紙!$B$11:$B$310),INDEX(半紙!$B$11:$B$310,464),IF(464&lt;=COUNTA(半紙!$B$11:$B$310)+COUNTA(条幅!$B$11:$B$310),INDEX(条幅!$B$11:$B$310,464-COUNTA(半紙!$B$11:$B$310)),IF(464&lt;=COUNTA(半紙!$B$11:$B$310)+COUNTA(条幅!$B$11:$B$310)+COUNTA(条幅4分の1!$B$11:$B$310),INDEX(条幅4分の1!$B$11:$B$310,464-COUNTA(半紙!$B$11:$B$310)-COUNTA(条幅!$B$11:$B$310)),"")))=0,"",IF(464&lt;=COUNTA(半紙!$B$11:$B$310),INDEX(半紙!$B$11:$B$310,464),IF(464&lt;=COUNTA(半紙!$B$11:$B$310)+COUNTA(条幅!$B$11:$B$310),INDEX(条幅!$B$11:$B$310,464-COUNTA(半紙!$B$11:$B$310)),IF(464&lt;=COUNTA(半紙!$B$11:$B$310)+COUNTA(条幅!$B$11:$B$310)+COUNTA(条幅4分の1!$B$11:$B$310),INDEX(条幅4分の1!$B$11:$B$310,464-COUNTA(半紙!$B$11:$B$310)-COUNTA(条幅!$B$11:$B$310)),""))))</f>
        <v/>
      </c>
      <c r="C469" s="38" t="str">
        <f>IF(IF(464&lt;=COUNTA(半紙!$B$11:$B$310),INDEX(半紙!$C$11:$C$310,464),IF(464&lt;=COUNTA(半紙!$B$11:$B$310)+COUNTA(条幅!$B$11:$B$310),INDEX(条幅!$C$11:$C$310,464-COUNTA(半紙!$B$11:$B$310)),IF(464&lt;=COUNTA(半紙!$B$11:$B$310)+COUNTA(条幅!$B$11:$B$310)+COUNTA(条幅4分の1!$B$11:$B$310),INDEX(条幅4分の1!$C$11:$C$310,464-COUNTA(半紙!$B$11:$B$310)-COUNTA(条幅!$B$11:$B$310)),"")))=0,"",IF(464&lt;=COUNTA(半紙!$B$11:$B$310),INDEX(半紙!$C$11:$C$310,464),IF(464&lt;=COUNTA(半紙!$B$11:$B$310)+COUNTA(条幅!$B$11:$B$310),INDEX(条幅!$C$11:$C$310,464-COUNTA(半紙!$B$11:$B$310)),IF(464&lt;=COUNTA(半紙!$B$11:$B$310)+COUNTA(条幅!$B$11:$B$310)+COUNTA(条幅4分の1!$B$11:$B$310),INDEX(条幅4分の1!$C$11:$C$310,464-COUNTA(半紙!$B$11:$B$310)-COUNTA(条幅!$B$11:$B$310)),""))))</f>
        <v/>
      </c>
      <c r="D469" s="38" t="str">
        <f>IF(IF(464&lt;=COUNTA(半紙!$B$11:$B$310),INDEX(半紙!$D$11:$D$310,464),IF(464&lt;=COUNTA(半紙!$B$11:$B$310)+COUNTA(条幅!$B$11:$B$310),INDEX(条幅!$D$11:$D$310,464-COUNTA(半紙!$B$11:$B$310)),IF(464&lt;=COUNTA(半紙!$B$11:$B$310)+COUNTA(条幅!$B$11:$B$310)+COUNTA(条幅4分の1!$B$11:$B$310),INDEX(条幅4分の1!$D$11:$D$310,464-COUNTA(半紙!$B$11:$B$310)-COUNTA(条幅!$B$11:$B$310)),"")))=0,"",IF(464&lt;=COUNTA(半紙!$B$11:$B$310),INDEX(半紙!$D$11:$D$310,464),IF(464&lt;=COUNTA(半紙!$B$11:$B$310)+COUNTA(条幅!$B$11:$B$310),INDEX(条幅!$D$11:$D$310,464-COUNTA(半紙!$B$11:$B$310)),IF(464&lt;=COUNTA(半紙!$B$11:$B$310)+COUNTA(条幅!$B$11:$B$310)+COUNTA(条幅4分の1!$B$11:$B$310),INDEX(条幅4分の1!$D$11:$D$310,464-COUNTA(半紙!$B$11:$B$310)-COUNTA(条幅!$B$11:$B$310)),""))))</f>
        <v/>
      </c>
      <c r="E469" s="38" t="str">
        <f>IF(IF(464&lt;=COUNTA(半紙!$B$11:$B$310),INDEX(半紙!$E$11:$E$310,464),IF(464&lt;=COUNTA(半紙!$B$11:$B$310)+COUNTA(条幅!$B$11:$B$310),INDEX(条幅!$E$11:$E$310,464-COUNTA(半紙!$B$11:$B$310)),IF(464&lt;=COUNTA(半紙!$B$11:$B$310)+COUNTA(条幅!$B$11:$B$310)+COUNTA(条幅4分の1!$B$11:$B$310),INDEX(条幅4分の1!$E$11:$E$310,464-COUNTA(半紙!$B$11:$B$310)-COUNTA(条幅!$B$11:$B$310)),"")))=0,"",IF(464&lt;=COUNTA(半紙!$B$11:$B$310),INDEX(半紙!$E$11:$E$310,464),IF(464&lt;=COUNTA(半紙!$B$11:$B$310)+COUNTA(条幅!$B$11:$B$310),INDEX(条幅!$E$11:$E$310,464-COUNTA(半紙!$B$11:$B$310)),IF(464&lt;=COUNTA(半紙!$B$11:$B$310)+COUNTA(条幅!$B$11:$B$310)+COUNTA(条幅4分の1!$B$11:$B$310),INDEX(条幅4分の1!$E$11:$E$310,464-COUNTA(半紙!$B$11:$B$310)-COUNTA(条幅!$B$11:$B$310)),""))))</f>
        <v/>
      </c>
      <c r="F469" s="38" t="str">
        <f>IF(IF(464&lt;=COUNTA(半紙!$B$11:$B$310),INDEX(半紙!$F$11:$F$310,464),IF(464&lt;=COUNTA(半紙!$B$11:$B$310)+COUNTA(条幅!$B$11:$B$310),INDEX(条幅!$F$11:$F$310,464-COUNTA(半紙!$B$11:$B$310)),IF(464&lt;=COUNTA(半紙!$B$11:$B$310)+COUNTA(条幅!$B$11:$B$310)+COUNTA(条幅4分の1!$B$11:$B$310),INDEX(条幅4分の1!$F$11:$F$310,464-COUNTA(半紙!$B$11:$B$310)-COUNTA(条幅!$B$11:$B$310)),"")))=0,"",IF(464&lt;=COUNTA(半紙!$B$11:$B$310),INDEX(半紙!$F$11:$F$310,464),IF(464&lt;=COUNTA(半紙!$B$11:$B$310)+COUNTA(条幅!$B$11:$B$310),INDEX(条幅!$F$11:$F$310,464-COUNTA(半紙!$B$11:$B$310)),IF(464&lt;=COUNTA(半紙!$B$11:$B$310)+COUNTA(条幅!$B$11:$B$310)+COUNTA(条幅4分の1!$B$11:$B$310),INDEX(条幅4分の1!$F$11:$F$310,464-COUNTA(半紙!$B$11:$B$310)-COUNTA(条幅!$B$11:$B$310)),""))))</f>
        <v/>
      </c>
      <c r="G469" s="38" t="str">
        <f>IF(IF(464&lt;=COUNTA(半紙!$B$11:$B$310),INDEX(半紙!$G$11:$G$310,464),IF(464&lt;=COUNTA(半紙!$B$11:$B$310)+COUNTA(条幅!$B$11:$B$310),INDEX(条幅!$G$11:$G$310,464-COUNTA(半紙!$B$11:$B$310)),IF(464&lt;=COUNTA(半紙!$B$11:$B$310)+COUNTA(条幅!$B$11:$B$310)+COUNTA(条幅4分の1!$B$11:$B$310),INDEX(条幅4分の1!$G$11:$G$310,464-COUNTA(半紙!$B$11:$B$310)-COUNTA(条幅!$B$11:$B$310)),"")))=0,"",IF(464&lt;=COUNTA(半紙!$B$11:$B$310),INDEX(半紙!$G$11:$G$310,464),IF(464&lt;=COUNTA(半紙!$B$11:$B$310)+COUNTA(条幅!$B$11:$B$310),INDEX(条幅!$G$11:$G$310,464-COUNTA(半紙!$B$11:$B$310)),IF(464&lt;=COUNTA(半紙!$B$11:$B$310)+COUNTA(条幅!$B$11:$B$310)+COUNTA(条幅4分の1!$B$11:$B$310),INDEX(条幅4分の1!$G$11:$G$310,464-COUNTA(半紙!$B$11:$B$310)-COUNTA(条幅!$B$11:$B$310)),""))))</f>
        <v/>
      </c>
      <c r="H469" s="38" t="str">
        <f>IF(IF(464&lt;=COUNTA(半紙!$B$11:$B$310),INDEX(半紙!$H$11:$H$310,464),IF(464&lt;=COUNTA(半紙!$B$11:$B$310)+COUNTA(条幅!$B$11:$B$310),INDEX(条幅!$H$11:$H$310,464-COUNTA(半紙!$B$11:$B$310)),IF(464&lt;=COUNTA(半紙!$B$11:$B$310)+COUNTA(条幅!$B$11:$B$310)+COUNTA(条幅4分の1!$B$11:$B$310),INDEX(条幅4分の1!$H$11:$H$310,464-COUNTA(半紙!$B$11:$B$310)-COUNTA(条幅!$B$11:$B$310)),"")))=0,"",IF(464&lt;=COUNTA(半紙!$B$11:$B$310),INDEX(半紙!$H$11:$H$310,464),IF(464&lt;=COUNTA(半紙!$B$11:$B$310)+COUNTA(条幅!$B$11:$B$310),INDEX(条幅!$H$11:$H$310,464-COUNTA(半紙!$B$11:$B$310)),IF(464&lt;=COUNTA(半紙!$B$11:$B$310)+COUNTA(条幅!$B$11:$B$310)+COUNTA(条幅4分の1!$B$11:$B$310),INDEX(条幅4分の1!$H$11:$H$310,464-COUNTA(半紙!$B$11:$B$310)-COUNTA(条幅!$B$11:$B$310)),""))))</f>
        <v/>
      </c>
      <c r="I469" s="38" t="str">
        <f>IF(IF(464&lt;=COUNTA(半紙!$B$11:$B$310),INDEX(半紙!$I$11:$I$310,464),IF(464&lt;=COUNTA(半紙!$B$11:$B$310)+COUNTA(条幅!$B$11:$B$310),INDEX(条幅!$I$11:$I$310,464-COUNTA(半紙!$B$11:$B$310)),IF(464&lt;=COUNTA(半紙!$B$11:$B$310)+COUNTA(条幅!$B$11:$B$310)+COUNTA(条幅4分の1!$B$11:$B$310),INDEX(条幅4分の1!$I$11:$I$310,464-COUNTA(半紙!$B$11:$B$310)-COUNTA(条幅!$B$11:$B$310)),"")))=0,"",IF(464&lt;=COUNTA(半紙!$B$11:$B$310),INDEX(半紙!$I$11:$I$310,464),IF(464&lt;=COUNTA(半紙!$B$11:$B$310)+COUNTA(条幅!$B$11:$B$310),INDEX(条幅!$I$11:$I$310,464-COUNTA(半紙!$B$11:$B$310)),IF(464&lt;=COUNTA(半紙!$B$11:$B$310)+COUNTA(条幅!$B$11:$B$310)+COUNTA(条幅4分の1!$B$11:$B$310),INDEX(条幅4分の1!$I$11:$I$310,464-COUNTA(半紙!$B$11:$B$310)-COUNTA(条幅!$B$11:$B$310)),""))))</f>
        <v/>
      </c>
      <c r="J469" s="38" t="str">
        <f>IF(IF(464&lt;=COUNTA(半紙!$B$11:$B$310),INDEX(半紙!$J$11:$J$310,464),IF(464&lt;=COUNTA(半紙!$B$11:$B$310)+COUNTA(条幅!$B$11:$B$310),INDEX(条幅!$J$11:$J$310,464-COUNTA(半紙!$B$11:$B$310)),IF(464&lt;=COUNTA(半紙!$B$11:$B$310)+COUNTA(条幅!$B$11:$B$310)+COUNTA(条幅4分の1!$B$11:$B$310),INDEX(条幅4分の1!$J$11:$J$310,464-COUNTA(半紙!$B$11:$B$310)-COUNTA(条幅!$B$11:$B$310)),"")))=0,"",IF(464&lt;=COUNTA(半紙!$B$11:$B$310),INDEX(半紙!$J$11:$J$310,464),IF(464&lt;=COUNTA(半紙!$B$11:$B$310)+COUNTA(条幅!$B$11:$B$310),INDEX(条幅!$J$11:$J$310,464-COUNTA(半紙!$B$11:$B$310)),IF(464&lt;=COUNTA(半紙!$B$11:$B$310)+COUNTA(条幅!$B$11:$B$310)+COUNTA(条幅4分の1!$B$11:$B$310),INDEX(条幅4分の1!$J$11:$J$310,464-COUNTA(半紙!$B$11:$B$310)-COUNTA(条幅!$B$11:$B$310)),""))))</f>
        <v/>
      </c>
      <c r="K469" s="38" t="str">
        <f>IF(IF(464&lt;=COUNTA(半紙!$B$11:$B$310),INDEX(半紙!$K$11:$K$310,464),IF(464&lt;=COUNTA(半紙!$B$11:$B$310)+COUNTA(条幅!$B$11:$B$310),INDEX(条幅!$K$11:$K$310,464-COUNTA(半紙!$B$11:$B$310)),IF(464&lt;=COUNTA(半紙!$B$11:$B$310)+COUNTA(条幅!$B$11:$B$310)+COUNTA(条幅4分の1!$B$11:$B$310),INDEX(条幅4分の1!$K$11:$K$310,464-COUNTA(半紙!$B$11:$B$310)-COUNTA(条幅!$B$11:$B$310)),"")))=0,"",IF(464&lt;=COUNTA(半紙!$B$11:$B$310),INDEX(半紙!$K$11:$K$310,464),IF(464&lt;=COUNTA(半紙!$B$11:$B$310)+COUNTA(条幅!$B$11:$B$310),INDEX(条幅!$K$11:$K$310,464-COUNTA(半紙!$B$11:$B$310)),IF(464&lt;=COUNTA(半紙!$B$11:$B$310)+COUNTA(条幅!$B$11:$B$310)+COUNTA(条幅4分の1!$B$11:$B$310),INDEX(条幅4分の1!$K$11:$K$310,464-COUNTA(半紙!$B$11:$B$310)-COUNTA(条幅!$B$11:$B$310)),""))))</f>
        <v/>
      </c>
      <c r="L469" s="48" t="str">
        <f>IF($B469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464))</f>
        <v/>
      </c>
    </row>
    <row r="470" spans="1:12" ht="15" customHeight="1">
      <c r="A470" s="37" t="str">
        <f>IF(465&lt;=COUNTA(半紙!$B$11:$B$310),"半紙",IF(465&lt;=COUNTA(半紙!$B$11:$B$310)+COUNTA(条幅!$B$11:$B$310),"条幅(半切)",IF(465&lt;=COUNTA(半紙!$B$11:$B$310)+COUNTA(条幅!$B$11:$B$310)+COUNTA(条幅4分の1!$B$11:$B$310),"条幅(1/4)","")))</f>
        <v/>
      </c>
      <c r="B470" s="38" t="str">
        <f>IF(IF(465&lt;=COUNTA(半紙!$B$11:$B$310),INDEX(半紙!$B$11:$B$310,465),IF(465&lt;=COUNTA(半紙!$B$11:$B$310)+COUNTA(条幅!$B$11:$B$310),INDEX(条幅!$B$11:$B$310,465-COUNTA(半紙!$B$11:$B$310)),IF(465&lt;=COUNTA(半紙!$B$11:$B$310)+COUNTA(条幅!$B$11:$B$310)+COUNTA(条幅4分の1!$B$11:$B$310),INDEX(条幅4分の1!$B$11:$B$310,465-COUNTA(半紙!$B$11:$B$310)-COUNTA(条幅!$B$11:$B$310)),"")))=0,"",IF(465&lt;=COUNTA(半紙!$B$11:$B$310),INDEX(半紙!$B$11:$B$310,465),IF(465&lt;=COUNTA(半紙!$B$11:$B$310)+COUNTA(条幅!$B$11:$B$310),INDEX(条幅!$B$11:$B$310,465-COUNTA(半紙!$B$11:$B$310)),IF(465&lt;=COUNTA(半紙!$B$11:$B$310)+COUNTA(条幅!$B$11:$B$310)+COUNTA(条幅4分の1!$B$11:$B$310),INDEX(条幅4分の1!$B$11:$B$310,465-COUNTA(半紙!$B$11:$B$310)-COUNTA(条幅!$B$11:$B$310)),""))))</f>
        <v/>
      </c>
      <c r="C470" s="38" t="str">
        <f>IF(IF(465&lt;=COUNTA(半紙!$B$11:$B$310),INDEX(半紙!$C$11:$C$310,465),IF(465&lt;=COUNTA(半紙!$B$11:$B$310)+COUNTA(条幅!$B$11:$B$310),INDEX(条幅!$C$11:$C$310,465-COUNTA(半紙!$B$11:$B$310)),IF(465&lt;=COUNTA(半紙!$B$11:$B$310)+COUNTA(条幅!$B$11:$B$310)+COUNTA(条幅4分の1!$B$11:$B$310),INDEX(条幅4分の1!$C$11:$C$310,465-COUNTA(半紙!$B$11:$B$310)-COUNTA(条幅!$B$11:$B$310)),"")))=0,"",IF(465&lt;=COUNTA(半紙!$B$11:$B$310),INDEX(半紙!$C$11:$C$310,465),IF(465&lt;=COUNTA(半紙!$B$11:$B$310)+COUNTA(条幅!$B$11:$B$310),INDEX(条幅!$C$11:$C$310,465-COUNTA(半紙!$B$11:$B$310)),IF(465&lt;=COUNTA(半紙!$B$11:$B$310)+COUNTA(条幅!$B$11:$B$310)+COUNTA(条幅4分の1!$B$11:$B$310),INDEX(条幅4分の1!$C$11:$C$310,465-COUNTA(半紙!$B$11:$B$310)-COUNTA(条幅!$B$11:$B$310)),""))))</f>
        <v/>
      </c>
      <c r="D470" s="38" t="str">
        <f>IF(IF(465&lt;=COUNTA(半紙!$B$11:$B$310),INDEX(半紙!$D$11:$D$310,465),IF(465&lt;=COUNTA(半紙!$B$11:$B$310)+COUNTA(条幅!$B$11:$B$310),INDEX(条幅!$D$11:$D$310,465-COUNTA(半紙!$B$11:$B$310)),IF(465&lt;=COUNTA(半紙!$B$11:$B$310)+COUNTA(条幅!$B$11:$B$310)+COUNTA(条幅4分の1!$B$11:$B$310),INDEX(条幅4分の1!$D$11:$D$310,465-COUNTA(半紙!$B$11:$B$310)-COUNTA(条幅!$B$11:$B$310)),"")))=0,"",IF(465&lt;=COUNTA(半紙!$B$11:$B$310),INDEX(半紙!$D$11:$D$310,465),IF(465&lt;=COUNTA(半紙!$B$11:$B$310)+COUNTA(条幅!$B$11:$B$310),INDEX(条幅!$D$11:$D$310,465-COUNTA(半紙!$B$11:$B$310)),IF(465&lt;=COUNTA(半紙!$B$11:$B$310)+COUNTA(条幅!$B$11:$B$310)+COUNTA(条幅4分の1!$B$11:$B$310),INDEX(条幅4分の1!$D$11:$D$310,465-COUNTA(半紙!$B$11:$B$310)-COUNTA(条幅!$B$11:$B$310)),""))))</f>
        <v/>
      </c>
      <c r="E470" s="38" t="str">
        <f>IF(IF(465&lt;=COUNTA(半紙!$B$11:$B$310),INDEX(半紙!$E$11:$E$310,465),IF(465&lt;=COUNTA(半紙!$B$11:$B$310)+COUNTA(条幅!$B$11:$B$310),INDEX(条幅!$E$11:$E$310,465-COUNTA(半紙!$B$11:$B$310)),IF(465&lt;=COUNTA(半紙!$B$11:$B$310)+COUNTA(条幅!$B$11:$B$310)+COUNTA(条幅4分の1!$B$11:$B$310),INDEX(条幅4分の1!$E$11:$E$310,465-COUNTA(半紙!$B$11:$B$310)-COUNTA(条幅!$B$11:$B$310)),"")))=0,"",IF(465&lt;=COUNTA(半紙!$B$11:$B$310),INDEX(半紙!$E$11:$E$310,465),IF(465&lt;=COUNTA(半紙!$B$11:$B$310)+COUNTA(条幅!$B$11:$B$310),INDEX(条幅!$E$11:$E$310,465-COUNTA(半紙!$B$11:$B$310)),IF(465&lt;=COUNTA(半紙!$B$11:$B$310)+COUNTA(条幅!$B$11:$B$310)+COUNTA(条幅4分の1!$B$11:$B$310),INDEX(条幅4分の1!$E$11:$E$310,465-COUNTA(半紙!$B$11:$B$310)-COUNTA(条幅!$B$11:$B$310)),""))))</f>
        <v/>
      </c>
      <c r="F470" s="38" t="str">
        <f>IF(IF(465&lt;=COUNTA(半紙!$B$11:$B$310),INDEX(半紙!$F$11:$F$310,465),IF(465&lt;=COUNTA(半紙!$B$11:$B$310)+COUNTA(条幅!$B$11:$B$310),INDEX(条幅!$F$11:$F$310,465-COUNTA(半紙!$B$11:$B$310)),IF(465&lt;=COUNTA(半紙!$B$11:$B$310)+COUNTA(条幅!$B$11:$B$310)+COUNTA(条幅4分の1!$B$11:$B$310),INDEX(条幅4分の1!$F$11:$F$310,465-COUNTA(半紙!$B$11:$B$310)-COUNTA(条幅!$B$11:$B$310)),"")))=0,"",IF(465&lt;=COUNTA(半紙!$B$11:$B$310),INDEX(半紙!$F$11:$F$310,465),IF(465&lt;=COUNTA(半紙!$B$11:$B$310)+COUNTA(条幅!$B$11:$B$310),INDEX(条幅!$F$11:$F$310,465-COUNTA(半紙!$B$11:$B$310)),IF(465&lt;=COUNTA(半紙!$B$11:$B$310)+COUNTA(条幅!$B$11:$B$310)+COUNTA(条幅4分の1!$B$11:$B$310),INDEX(条幅4分の1!$F$11:$F$310,465-COUNTA(半紙!$B$11:$B$310)-COUNTA(条幅!$B$11:$B$310)),""))))</f>
        <v/>
      </c>
      <c r="G470" s="38" t="str">
        <f>IF(IF(465&lt;=COUNTA(半紙!$B$11:$B$310),INDEX(半紙!$G$11:$G$310,465),IF(465&lt;=COUNTA(半紙!$B$11:$B$310)+COUNTA(条幅!$B$11:$B$310),INDEX(条幅!$G$11:$G$310,465-COUNTA(半紙!$B$11:$B$310)),IF(465&lt;=COUNTA(半紙!$B$11:$B$310)+COUNTA(条幅!$B$11:$B$310)+COUNTA(条幅4分の1!$B$11:$B$310),INDEX(条幅4分の1!$G$11:$G$310,465-COUNTA(半紙!$B$11:$B$310)-COUNTA(条幅!$B$11:$B$310)),"")))=0,"",IF(465&lt;=COUNTA(半紙!$B$11:$B$310),INDEX(半紙!$G$11:$G$310,465),IF(465&lt;=COUNTA(半紙!$B$11:$B$310)+COUNTA(条幅!$B$11:$B$310),INDEX(条幅!$G$11:$G$310,465-COUNTA(半紙!$B$11:$B$310)),IF(465&lt;=COUNTA(半紙!$B$11:$B$310)+COUNTA(条幅!$B$11:$B$310)+COUNTA(条幅4分の1!$B$11:$B$310),INDEX(条幅4分の1!$G$11:$G$310,465-COUNTA(半紙!$B$11:$B$310)-COUNTA(条幅!$B$11:$B$310)),""))))</f>
        <v/>
      </c>
      <c r="H470" s="38" t="str">
        <f>IF(IF(465&lt;=COUNTA(半紙!$B$11:$B$310),INDEX(半紙!$H$11:$H$310,465),IF(465&lt;=COUNTA(半紙!$B$11:$B$310)+COUNTA(条幅!$B$11:$B$310),INDEX(条幅!$H$11:$H$310,465-COUNTA(半紙!$B$11:$B$310)),IF(465&lt;=COUNTA(半紙!$B$11:$B$310)+COUNTA(条幅!$B$11:$B$310)+COUNTA(条幅4分の1!$B$11:$B$310),INDEX(条幅4分の1!$H$11:$H$310,465-COUNTA(半紙!$B$11:$B$310)-COUNTA(条幅!$B$11:$B$310)),"")))=0,"",IF(465&lt;=COUNTA(半紙!$B$11:$B$310),INDEX(半紙!$H$11:$H$310,465),IF(465&lt;=COUNTA(半紙!$B$11:$B$310)+COUNTA(条幅!$B$11:$B$310),INDEX(条幅!$H$11:$H$310,465-COUNTA(半紙!$B$11:$B$310)),IF(465&lt;=COUNTA(半紙!$B$11:$B$310)+COUNTA(条幅!$B$11:$B$310)+COUNTA(条幅4分の1!$B$11:$B$310),INDEX(条幅4分の1!$H$11:$H$310,465-COUNTA(半紙!$B$11:$B$310)-COUNTA(条幅!$B$11:$B$310)),""))))</f>
        <v/>
      </c>
      <c r="I470" s="38" t="str">
        <f>IF(IF(465&lt;=COUNTA(半紙!$B$11:$B$310),INDEX(半紙!$I$11:$I$310,465),IF(465&lt;=COUNTA(半紙!$B$11:$B$310)+COUNTA(条幅!$B$11:$B$310),INDEX(条幅!$I$11:$I$310,465-COUNTA(半紙!$B$11:$B$310)),IF(465&lt;=COUNTA(半紙!$B$11:$B$310)+COUNTA(条幅!$B$11:$B$310)+COUNTA(条幅4分の1!$B$11:$B$310),INDEX(条幅4分の1!$I$11:$I$310,465-COUNTA(半紙!$B$11:$B$310)-COUNTA(条幅!$B$11:$B$310)),"")))=0,"",IF(465&lt;=COUNTA(半紙!$B$11:$B$310),INDEX(半紙!$I$11:$I$310,465),IF(465&lt;=COUNTA(半紙!$B$11:$B$310)+COUNTA(条幅!$B$11:$B$310),INDEX(条幅!$I$11:$I$310,465-COUNTA(半紙!$B$11:$B$310)),IF(465&lt;=COUNTA(半紙!$B$11:$B$310)+COUNTA(条幅!$B$11:$B$310)+COUNTA(条幅4分の1!$B$11:$B$310),INDEX(条幅4分の1!$I$11:$I$310,465-COUNTA(半紙!$B$11:$B$310)-COUNTA(条幅!$B$11:$B$310)),""))))</f>
        <v/>
      </c>
      <c r="J470" s="38" t="str">
        <f>IF(IF(465&lt;=COUNTA(半紙!$B$11:$B$310),INDEX(半紙!$J$11:$J$310,465),IF(465&lt;=COUNTA(半紙!$B$11:$B$310)+COUNTA(条幅!$B$11:$B$310),INDEX(条幅!$J$11:$J$310,465-COUNTA(半紙!$B$11:$B$310)),IF(465&lt;=COUNTA(半紙!$B$11:$B$310)+COUNTA(条幅!$B$11:$B$310)+COUNTA(条幅4分の1!$B$11:$B$310),INDEX(条幅4分の1!$J$11:$J$310,465-COUNTA(半紙!$B$11:$B$310)-COUNTA(条幅!$B$11:$B$310)),"")))=0,"",IF(465&lt;=COUNTA(半紙!$B$11:$B$310),INDEX(半紙!$J$11:$J$310,465),IF(465&lt;=COUNTA(半紙!$B$11:$B$310)+COUNTA(条幅!$B$11:$B$310),INDEX(条幅!$J$11:$J$310,465-COUNTA(半紙!$B$11:$B$310)),IF(465&lt;=COUNTA(半紙!$B$11:$B$310)+COUNTA(条幅!$B$11:$B$310)+COUNTA(条幅4分の1!$B$11:$B$310),INDEX(条幅4分の1!$J$11:$J$310,465-COUNTA(半紙!$B$11:$B$310)-COUNTA(条幅!$B$11:$B$310)),""))))</f>
        <v/>
      </c>
      <c r="K470" s="38" t="str">
        <f>IF(IF(465&lt;=COUNTA(半紙!$B$11:$B$310),INDEX(半紙!$K$11:$K$310,465),IF(465&lt;=COUNTA(半紙!$B$11:$B$310)+COUNTA(条幅!$B$11:$B$310),INDEX(条幅!$K$11:$K$310,465-COUNTA(半紙!$B$11:$B$310)),IF(465&lt;=COUNTA(半紙!$B$11:$B$310)+COUNTA(条幅!$B$11:$B$310)+COUNTA(条幅4分の1!$B$11:$B$310),INDEX(条幅4分の1!$K$11:$K$310,465-COUNTA(半紙!$B$11:$B$310)-COUNTA(条幅!$B$11:$B$310)),"")))=0,"",IF(465&lt;=COUNTA(半紙!$B$11:$B$310),INDEX(半紙!$K$11:$K$310,465),IF(465&lt;=COUNTA(半紙!$B$11:$B$310)+COUNTA(条幅!$B$11:$B$310),INDEX(条幅!$K$11:$K$310,465-COUNTA(半紙!$B$11:$B$310)),IF(465&lt;=COUNTA(半紙!$B$11:$B$310)+COUNTA(条幅!$B$11:$B$310)+COUNTA(条幅4分の1!$B$11:$B$310),INDEX(条幅4分の1!$K$11:$K$310,465-COUNTA(半紙!$B$11:$B$310)-COUNTA(条幅!$B$11:$B$310)),""))))</f>
        <v/>
      </c>
      <c r="L470" s="48" t="str">
        <f>IF($B470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465))</f>
        <v/>
      </c>
    </row>
    <row r="471" spans="1:12" ht="15" customHeight="1">
      <c r="A471" s="37" t="str">
        <f>IF(466&lt;=COUNTA(半紙!$B$11:$B$310),"半紙",IF(466&lt;=COUNTA(半紙!$B$11:$B$310)+COUNTA(条幅!$B$11:$B$310),"条幅(半切)",IF(466&lt;=COUNTA(半紙!$B$11:$B$310)+COUNTA(条幅!$B$11:$B$310)+COUNTA(条幅4分の1!$B$11:$B$310),"条幅(1/4)","")))</f>
        <v/>
      </c>
      <c r="B471" s="38" t="str">
        <f>IF(IF(466&lt;=COUNTA(半紙!$B$11:$B$310),INDEX(半紙!$B$11:$B$310,466),IF(466&lt;=COUNTA(半紙!$B$11:$B$310)+COUNTA(条幅!$B$11:$B$310),INDEX(条幅!$B$11:$B$310,466-COUNTA(半紙!$B$11:$B$310)),IF(466&lt;=COUNTA(半紙!$B$11:$B$310)+COUNTA(条幅!$B$11:$B$310)+COUNTA(条幅4分の1!$B$11:$B$310),INDEX(条幅4分の1!$B$11:$B$310,466-COUNTA(半紙!$B$11:$B$310)-COUNTA(条幅!$B$11:$B$310)),"")))=0,"",IF(466&lt;=COUNTA(半紙!$B$11:$B$310),INDEX(半紙!$B$11:$B$310,466),IF(466&lt;=COUNTA(半紙!$B$11:$B$310)+COUNTA(条幅!$B$11:$B$310),INDEX(条幅!$B$11:$B$310,466-COUNTA(半紙!$B$11:$B$310)),IF(466&lt;=COUNTA(半紙!$B$11:$B$310)+COUNTA(条幅!$B$11:$B$310)+COUNTA(条幅4分の1!$B$11:$B$310),INDEX(条幅4分の1!$B$11:$B$310,466-COUNTA(半紙!$B$11:$B$310)-COUNTA(条幅!$B$11:$B$310)),""))))</f>
        <v/>
      </c>
      <c r="C471" s="38" t="str">
        <f>IF(IF(466&lt;=COUNTA(半紙!$B$11:$B$310),INDEX(半紙!$C$11:$C$310,466),IF(466&lt;=COUNTA(半紙!$B$11:$B$310)+COUNTA(条幅!$B$11:$B$310),INDEX(条幅!$C$11:$C$310,466-COUNTA(半紙!$B$11:$B$310)),IF(466&lt;=COUNTA(半紙!$B$11:$B$310)+COUNTA(条幅!$B$11:$B$310)+COUNTA(条幅4分の1!$B$11:$B$310),INDEX(条幅4分の1!$C$11:$C$310,466-COUNTA(半紙!$B$11:$B$310)-COUNTA(条幅!$B$11:$B$310)),"")))=0,"",IF(466&lt;=COUNTA(半紙!$B$11:$B$310),INDEX(半紙!$C$11:$C$310,466),IF(466&lt;=COUNTA(半紙!$B$11:$B$310)+COUNTA(条幅!$B$11:$B$310),INDEX(条幅!$C$11:$C$310,466-COUNTA(半紙!$B$11:$B$310)),IF(466&lt;=COUNTA(半紙!$B$11:$B$310)+COUNTA(条幅!$B$11:$B$310)+COUNTA(条幅4分の1!$B$11:$B$310),INDEX(条幅4分の1!$C$11:$C$310,466-COUNTA(半紙!$B$11:$B$310)-COUNTA(条幅!$B$11:$B$310)),""))))</f>
        <v/>
      </c>
      <c r="D471" s="38" t="str">
        <f>IF(IF(466&lt;=COUNTA(半紙!$B$11:$B$310),INDEX(半紙!$D$11:$D$310,466),IF(466&lt;=COUNTA(半紙!$B$11:$B$310)+COUNTA(条幅!$B$11:$B$310),INDEX(条幅!$D$11:$D$310,466-COUNTA(半紙!$B$11:$B$310)),IF(466&lt;=COUNTA(半紙!$B$11:$B$310)+COUNTA(条幅!$B$11:$B$310)+COUNTA(条幅4分の1!$B$11:$B$310),INDEX(条幅4分の1!$D$11:$D$310,466-COUNTA(半紙!$B$11:$B$310)-COUNTA(条幅!$B$11:$B$310)),"")))=0,"",IF(466&lt;=COUNTA(半紙!$B$11:$B$310),INDEX(半紙!$D$11:$D$310,466),IF(466&lt;=COUNTA(半紙!$B$11:$B$310)+COUNTA(条幅!$B$11:$B$310),INDEX(条幅!$D$11:$D$310,466-COUNTA(半紙!$B$11:$B$310)),IF(466&lt;=COUNTA(半紙!$B$11:$B$310)+COUNTA(条幅!$B$11:$B$310)+COUNTA(条幅4分の1!$B$11:$B$310),INDEX(条幅4分の1!$D$11:$D$310,466-COUNTA(半紙!$B$11:$B$310)-COUNTA(条幅!$B$11:$B$310)),""))))</f>
        <v/>
      </c>
      <c r="E471" s="38" t="str">
        <f>IF(IF(466&lt;=COUNTA(半紙!$B$11:$B$310),INDEX(半紙!$E$11:$E$310,466),IF(466&lt;=COUNTA(半紙!$B$11:$B$310)+COUNTA(条幅!$B$11:$B$310),INDEX(条幅!$E$11:$E$310,466-COUNTA(半紙!$B$11:$B$310)),IF(466&lt;=COUNTA(半紙!$B$11:$B$310)+COUNTA(条幅!$B$11:$B$310)+COUNTA(条幅4分の1!$B$11:$B$310),INDEX(条幅4分の1!$E$11:$E$310,466-COUNTA(半紙!$B$11:$B$310)-COUNTA(条幅!$B$11:$B$310)),"")))=0,"",IF(466&lt;=COUNTA(半紙!$B$11:$B$310),INDEX(半紙!$E$11:$E$310,466),IF(466&lt;=COUNTA(半紙!$B$11:$B$310)+COUNTA(条幅!$B$11:$B$310),INDEX(条幅!$E$11:$E$310,466-COUNTA(半紙!$B$11:$B$310)),IF(466&lt;=COUNTA(半紙!$B$11:$B$310)+COUNTA(条幅!$B$11:$B$310)+COUNTA(条幅4分の1!$B$11:$B$310),INDEX(条幅4分の1!$E$11:$E$310,466-COUNTA(半紙!$B$11:$B$310)-COUNTA(条幅!$B$11:$B$310)),""))))</f>
        <v/>
      </c>
      <c r="F471" s="38" t="str">
        <f>IF(IF(466&lt;=COUNTA(半紙!$B$11:$B$310),INDEX(半紙!$F$11:$F$310,466),IF(466&lt;=COUNTA(半紙!$B$11:$B$310)+COUNTA(条幅!$B$11:$B$310),INDEX(条幅!$F$11:$F$310,466-COUNTA(半紙!$B$11:$B$310)),IF(466&lt;=COUNTA(半紙!$B$11:$B$310)+COUNTA(条幅!$B$11:$B$310)+COUNTA(条幅4分の1!$B$11:$B$310),INDEX(条幅4分の1!$F$11:$F$310,466-COUNTA(半紙!$B$11:$B$310)-COUNTA(条幅!$B$11:$B$310)),"")))=0,"",IF(466&lt;=COUNTA(半紙!$B$11:$B$310),INDEX(半紙!$F$11:$F$310,466),IF(466&lt;=COUNTA(半紙!$B$11:$B$310)+COUNTA(条幅!$B$11:$B$310),INDEX(条幅!$F$11:$F$310,466-COUNTA(半紙!$B$11:$B$310)),IF(466&lt;=COUNTA(半紙!$B$11:$B$310)+COUNTA(条幅!$B$11:$B$310)+COUNTA(条幅4分の1!$B$11:$B$310),INDEX(条幅4分の1!$F$11:$F$310,466-COUNTA(半紙!$B$11:$B$310)-COUNTA(条幅!$B$11:$B$310)),""))))</f>
        <v/>
      </c>
      <c r="G471" s="38" t="str">
        <f>IF(IF(466&lt;=COUNTA(半紙!$B$11:$B$310),INDEX(半紙!$G$11:$G$310,466),IF(466&lt;=COUNTA(半紙!$B$11:$B$310)+COUNTA(条幅!$B$11:$B$310),INDEX(条幅!$G$11:$G$310,466-COUNTA(半紙!$B$11:$B$310)),IF(466&lt;=COUNTA(半紙!$B$11:$B$310)+COUNTA(条幅!$B$11:$B$310)+COUNTA(条幅4分の1!$B$11:$B$310),INDEX(条幅4分の1!$G$11:$G$310,466-COUNTA(半紙!$B$11:$B$310)-COUNTA(条幅!$B$11:$B$310)),"")))=0,"",IF(466&lt;=COUNTA(半紙!$B$11:$B$310),INDEX(半紙!$G$11:$G$310,466),IF(466&lt;=COUNTA(半紙!$B$11:$B$310)+COUNTA(条幅!$B$11:$B$310),INDEX(条幅!$G$11:$G$310,466-COUNTA(半紙!$B$11:$B$310)),IF(466&lt;=COUNTA(半紙!$B$11:$B$310)+COUNTA(条幅!$B$11:$B$310)+COUNTA(条幅4分の1!$B$11:$B$310),INDEX(条幅4分の1!$G$11:$G$310,466-COUNTA(半紙!$B$11:$B$310)-COUNTA(条幅!$B$11:$B$310)),""))))</f>
        <v/>
      </c>
      <c r="H471" s="38" t="str">
        <f>IF(IF(466&lt;=COUNTA(半紙!$B$11:$B$310),INDEX(半紙!$H$11:$H$310,466),IF(466&lt;=COUNTA(半紙!$B$11:$B$310)+COUNTA(条幅!$B$11:$B$310),INDEX(条幅!$H$11:$H$310,466-COUNTA(半紙!$B$11:$B$310)),IF(466&lt;=COUNTA(半紙!$B$11:$B$310)+COUNTA(条幅!$B$11:$B$310)+COUNTA(条幅4分の1!$B$11:$B$310),INDEX(条幅4分の1!$H$11:$H$310,466-COUNTA(半紙!$B$11:$B$310)-COUNTA(条幅!$B$11:$B$310)),"")))=0,"",IF(466&lt;=COUNTA(半紙!$B$11:$B$310),INDEX(半紙!$H$11:$H$310,466),IF(466&lt;=COUNTA(半紙!$B$11:$B$310)+COUNTA(条幅!$B$11:$B$310),INDEX(条幅!$H$11:$H$310,466-COUNTA(半紙!$B$11:$B$310)),IF(466&lt;=COUNTA(半紙!$B$11:$B$310)+COUNTA(条幅!$B$11:$B$310)+COUNTA(条幅4分の1!$B$11:$B$310),INDEX(条幅4分の1!$H$11:$H$310,466-COUNTA(半紙!$B$11:$B$310)-COUNTA(条幅!$B$11:$B$310)),""))))</f>
        <v/>
      </c>
      <c r="I471" s="38" t="str">
        <f>IF(IF(466&lt;=COUNTA(半紙!$B$11:$B$310),INDEX(半紙!$I$11:$I$310,466),IF(466&lt;=COUNTA(半紙!$B$11:$B$310)+COUNTA(条幅!$B$11:$B$310),INDEX(条幅!$I$11:$I$310,466-COUNTA(半紙!$B$11:$B$310)),IF(466&lt;=COUNTA(半紙!$B$11:$B$310)+COUNTA(条幅!$B$11:$B$310)+COUNTA(条幅4分の1!$B$11:$B$310),INDEX(条幅4分の1!$I$11:$I$310,466-COUNTA(半紙!$B$11:$B$310)-COUNTA(条幅!$B$11:$B$310)),"")))=0,"",IF(466&lt;=COUNTA(半紙!$B$11:$B$310),INDEX(半紙!$I$11:$I$310,466),IF(466&lt;=COUNTA(半紙!$B$11:$B$310)+COUNTA(条幅!$B$11:$B$310),INDEX(条幅!$I$11:$I$310,466-COUNTA(半紙!$B$11:$B$310)),IF(466&lt;=COUNTA(半紙!$B$11:$B$310)+COUNTA(条幅!$B$11:$B$310)+COUNTA(条幅4分の1!$B$11:$B$310),INDEX(条幅4分の1!$I$11:$I$310,466-COUNTA(半紙!$B$11:$B$310)-COUNTA(条幅!$B$11:$B$310)),""))))</f>
        <v/>
      </c>
      <c r="J471" s="38" t="str">
        <f>IF(IF(466&lt;=COUNTA(半紙!$B$11:$B$310),INDEX(半紙!$J$11:$J$310,466),IF(466&lt;=COUNTA(半紙!$B$11:$B$310)+COUNTA(条幅!$B$11:$B$310),INDEX(条幅!$J$11:$J$310,466-COUNTA(半紙!$B$11:$B$310)),IF(466&lt;=COUNTA(半紙!$B$11:$B$310)+COUNTA(条幅!$B$11:$B$310)+COUNTA(条幅4分の1!$B$11:$B$310),INDEX(条幅4分の1!$J$11:$J$310,466-COUNTA(半紙!$B$11:$B$310)-COUNTA(条幅!$B$11:$B$310)),"")))=0,"",IF(466&lt;=COUNTA(半紙!$B$11:$B$310),INDEX(半紙!$J$11:$J$310,466),IF(466&lt;=COUNTA(半紙!$B$11:$B$310)+COUNTA(条幅!$B$11:$B$310),INDEX(条幅!$J$11:$J$310,466-COUNTA(半紙!$B$11:$B$310)),IF(466&lt;=COUNTA(半紙!$B$11:$B$310)+COUNTA(条幅!$B$11:$B$310)+COUNTA(条幅4分の1!$B$11:$B$310),INDEX(条幅4分の1!$J$11:$J$310,466-COUNTA(半紙!$B$11:$B$310)-COUNTA(条幅!$B$11:$B$310)),""))))</f>
        <v/>
      </c>
      <c r="K471" s="38" t="str">
        <f>IF(IF(466&lt;=COUNTA(半紙!$B$11:$B$310),INDEX(半紙!$K$11:$K$310,466),IF(466&lt;=COUNTA(半紙!$B$11:$B$310)+COUNTA(条幅!$B$11:$B$310),INDEX(条幅!$K$11:$K$310,466-COUNTA(半紙!$B$11:$B$310)),IF(466&lt;=COUNTA(半紙!$B$11:$B$310)+COUNTA(条幅!$B$11:$B$310)+COUNTA(条幅4分の1!$B$11:$B$310),INDEX(条幅4分の1!$K$11:$K$310,466-COUNTA(半紙!$B$11:$B$310)-COUNTA(条幅!$B$11:$B$310)),"")))=0,"",IF(466&lt;=COUNTA(半紙!$B$11:$B$310),INDEX(半紙!$K$11:$K$310,466),IF(466&lt;=COUNTA(半紙!$B$11:$B$310)+COUNTA(条幅!$B$11:$B$310),INDEX(条幅!$K$11:$K$310,466-COUNTA(半紙!$B$11:$B$310)),IF(466&lt;=COUNTA(半紙!$B$11:$B$310)+COUNTA(条幅!$B$11:$B$310)+COUNTA(条幅4分の1!$B$11:$B$310),INDEX(条幅4分の1!$K$11:$K$310,466-COUNTA(半紙!$B$11:$B$310)-COUNTA(条幅!$B$11:$B$310)),""))))</f>
        <v/>
      </c>
      <c r="L471" s="48" t="str">
        <f>IF($B471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466))</f>
        <v/>
      </c>
    </row>
    <row r="472" spans="1:12" ht="15" customHeight="1">
      <c r="A472" s="37" t="str">
        <f>IF(467&lt;=COUNTA(半紙!$B$11:$B$310),"半紙",IF(467&lt;=COUNTA(半紙!$B$11:$B$310)+COUNTA(条幅!$B$11:$B$310),"条幅(半切)",IF(467&lt;=COUNTA(半紙!$B$11:$B$310)+COUNTA(条幅!$B$11:$B$310)+COUNTA(条幅4分の1!$B$11:$B$310),"条幅(1/4)","")))</f>
        <v/>
      </c>
      <c r="B472" s="38" t="str">
        <f>IF(IF(467&lt;=COUNTA(半紙!$B$11:$B$310),INDEX(半紙!$B$11:$B$310,467),IF(467&lt;=COUNTA(半紙!$B$11:$B$310)+COUNTA(条幅!$B$11:$B$310),INDEX(条幅!$B$11:$B$310,467-COUNTA(半紙!$B$11:$B$310)),IF(467&lt;=COUNTA(半紙!$B$11:$B$310)+COUNTA(条幅!$B$11:$B$310)+COUNTA(条幅4分の1!$B$11:$B$310),INDEX(条幅4分の1!$B$11:$B$310,467-COUNTA(半紙!$B$11:$B$310)-COUNTA(条幅!$B$11:$B$310)),"")))=0,"",IF(467&lt;=COUNTA(半紙!$B$11:$B$310),INDEX(半紙!$B$11:$B$310,467),IF(467&lt;=COUNTA(半紙!$B$11:$B$310)+COUNTA(条幅!$B$11:$B$310),INDEX(条幅!$B$11:$B$310,467-COUNTA(半紙!$B$11:$B$310)),IF(467&lt;=COUNTA(半紙!$B$11:$B$310)+COUNTA(条幅!$B$11:$B$310)+COUNTA(条幅4分の1!$B$11:$B$310),INDEX(条幅4分の1!$B$11:$B$310,467-COUNTA(半紙!$B$11:$B$310)-COUNTA(条幅!$B$11:$B$310)),""))))</f>
        <v/>
      </c>
      <c r="C472" s="38" t="str">
        <f>IF(IF(467&lt;=COUNTA(半紙!$B$11:$B$310),INDEX(半紙!$C$11:$C$310,467),IF(467&lt;=COUNTA(半紙!$B$11:$B$310)+COUNTA(条幅!$B$11:$B$310),INDEX(条幅!$C$11:$C$310,467-COUNTA(半紙!$B$11:$B$310)),IF(467&lt;=COUNTA(半紙!$B$11:$B$310)+COUNTA(条幅!$B$11:$B$310)+COUNTA(条幅4分の1!$B$11:$B$310),INDEX(条幅4分の1!$C$11:$C$310,467-COUNTA(半紙!$B$11:$B$310)-COUNTA(条幅!$B$11:$B$310)),"")))=0,"",IF(467&lt;=COUNTA(半紙!$B$11:$B$310),INDEX(半紙!$C$11:$C$310,467),IF(467&lt;=COUNTA(半紙!$B$11:$B$310)+COUNTA(条幅!$B$11:$B$310),INDEX(条幅!$C$11:$C$310,467-COUNTA(半紙!$B$11:$B$310)),IF(467&lt;=COUNTA(半紙!$B$11:$B$310)+COUNTA(条幅!$B$11:$B$310)+COUNTA(条幅4分の1!$B$11:$B$310),INDEX(条幅4分の1!$C$11:$C$310,467-COUNTA(半紙!$B$11:$B$310)-COUNTA(条幅!$B$11:$B$310)),""))))</f>
        <v/>
      </c>
      <c r="D472" s="38" t="str">
        <f>IF(IF(467&lt;=COUNTA(半紙!$B$11:$B$310),INDEX(半紙!$D$11:$D$310,467),IF(467&lt;=COUNTA(半紙!$B$11:$B$310)+COUNTA(条幅!$B$11:$B$310),INDEX(条幅!$D$11:$D$310,467-COUNTA(半紙!$B$11:$B$310)),IF(467&lt;=COUNTA(半紙!$B$11:$B$310)+COUNTA(条幅!$B$11:$B$310)+COUNTA(条幅4分の1!$B$11:$B$310),INDEX(条幅4分の1!$D$11:$D$310,467-COUNTA(半紙!$B$11:$B$310)-COUNTA(条幅!$B$11:$B$310)),"")))=0,"",IF(467&lt;=COUNTA(半紙!$B$11:$B$310),INDEX(半紙!$D$11:$D$310,467),IF(467&lt;=COUNTA(半紙!$B$11:$B$310)+COUNTA(条幅!$B$11:$B$310),INDEX(条幅!$D$11:$D$310,467-COUNTA(半紙!$B$11:$B$310)),IF(467&lt;=COUNTA(半紙!$B$11:$B$310)+COUNTA(条幅!$B$11:$B$310)+COUNTA(条幅4分の1!$B$11:$B$310),INDEX(条幅4分の1!$D$11:$D$310,467-COUNTA(半紙!$B$11:$B$310)-COUNTA(条幅!$B$11:$B$310)),""))))</f>
        <v/>
      </c>
      <c r="E472" s="38" t="str">
        <f>IF(IF(467&lt;=COUNTA(半紙!$B$11:$B$310),INDEX(半紙!$E$11:$E$310,467),IF(467&lt;=COUNTA(半紙!$B$11:$B$310)+COUNTA(条幅!$B$11:$B$310),INDEX(条幅!$E$11:$E$310,467-COUNTA(半紙!$B$11:$B$310)),IF(467&lt;=COUNTA(半紙!$B$11:$B$310)+COUNTA(条幅!$B$11:$B$310)+COUNTA(条幅4分の1!$B$11:$B$310),INDEX(条幅4分の1!$E$11:$E$310,467-COUNTA(半紙!$B$11:$B$310)-COUNTA(条幅!$B$11:$B$310)),"")))=0,"",IF(467&lt;=COUNTA(半紙!$B$11:$B$310),INDEX(半紙!$E$11:$E$310,467),IF(467&lt;=COUNTA(半紙!$B$11:$B$310)+COUNTA(条幅!$B$11:$B$310),INDEX(条幅!$E$11:$E$310,467-COUNTA(半紙!$B$11:$B$310)),IF(467&lt;=COUNTA(半紙!$B$11:$B$310)+COUNTA(条幅!$B$11:$B$310)+COUNTA(条幅4分の1!$B$11:$B$310),INDEX(条幅4分の1!$E$11:$E$310,467-COUNTA(半紙!$B$11:$B$310)-COUNTA(条幅!$B$11:$B$310)),""))))</f>
        <v/>
      </c>
      <c r="F472" s="38" t="str">
        <f>IF(IF(467&lt;=COUNTA(半紙!$B$11:$B$310),INDEX(半紙!$F$11:$F$310,467),IF(467&lt;=COUNTA(半紙!$B$11:$B$310)+COUNTA(条幅!$B$11:$B$310),INDEX(条幅!$F$11:$F$310,467-COUNTA(半紙!$B$11:$B$310)),IF(467&lt;=COUNTA(半紙!$B$11:$B$310)+COUNTA(条幅!$B$11:$B$310)+COUNTA(条幅4分の1!$B$11:$B$310),INDEX(条幅4分の1!$F$11:$F$310,467-COUNTA(半紙!$B$11:$B$310)-COUNTA(条幅!$B$11:$B$310)),"")))=0,"",IF(467&lt;=COUNTA(半紙!$B$11:$B$310),INDEX(半紙!$F$11:$F$310,467),IF(467&lt;=COUNTA(半紙!$B$11:$B$310)+COUNTA(条幅!$B$11:$B$310),INDEX(条幅!$F$11:$F$310,467-COUNTA(半紙!$B$11:$B$310)),IF(467&lt;=COUNTA(半紙!$B$11:$B$310)+COUNTA(条幅!$B$11:$B$310)+COUNTA(条幅4分の1!$B$11:$B$310),INDEX(条幅4分の1!$F$11:$F$310,467-COUNTA(半紙!$B$11:$B$310)-COUNTA(条幅!$B$11:$B$310)),""))))</f>
        <v/>
      </c>
      <c r="G472" s="38" t="str">
        <f>IF(IF(467&lt;=COUNTA(半紙!$B$11:$B$310),INDEX(半紙!$G$11:$G$310,467),IF(467&lt;=COUNTA(半紙!$B$11:$B$310)+COUNTA(条幅!$B$11:$B$310),INDEX(条幅!$G$11:$G$310,467-COUNTA(半紙!$B$11:$B$310)),IF(467&lt;=COUNTA(半紙!$B$11:$B$310)+COUNTA(条幅!$B$11:$B$310)+COUNTA(条幅4分の1!$B$11:$B$310),INDEX(条幅4分の1!$G$11:$G$310,467-COUNTA(半紙!$B$11:$B$310)-COUNTA(条幅!$B$11:$B$310)),"")))=0,"",IF(467&lt;=COUNTA(半紙!$B$11:$B$310),INDEX(半紙!$G$11:$G$310,467),IF(467&lt;=COUNTA(半紙!$B$11:$B$310)+COUNTA(条幅!$B$11:$B$310),INDEX(条幅!$G$11:$G$310,467-COUNTA(半紙!$B$11:$B$310)),IF(467&lt;=COUNTA(半紙!$B$11:$B$310)+COUNTA(条幅!$B$11:$B$310)+COUNTA(条幅4分の1!$B$11:$B$310),INDEX(条幅4分の1!$G$11:$G$310,467-COUNTA(半紙!$B$11:$B$310)-COUNTA(条幅!$B$11:$B$310)),""))))</f>
        <v/>
      </c>
      <c r="H472" s="38" t="str">
        <f>IF(IF(467&lt;=COUNTA(半紙!$B$11:$B$310),INDEX(半紙!$H$11:$H$310,467),IF(467&lt;=COUNTA(半紙!$B$11:$B$310)+COUNTA(条幅!$B$11:$B$310),INDEX(条幅!$H$11:$H$310,467-COUNTA(半紙!$B$11:$B$310)),IF(467&lt;=COUNTA(半紙!$B$11:$B$310)+COUNTA(条幅!$B$11:$B$310)+COUNTA(条幅4分の1!$B$11:$B$310),INDEX(条幅4分の1!$H$11:$H$310,467-COUNTA(半紙!$B$11:$B$310)-COUNTA(条幅!$B$11:$B$310)),"")))=0,"",IF(467&lt;=COUNTA(半紙!$B$11:$B$310),INDEX(半紙!$H$11:$H$310,467),IF(467&lt;=COUNTA(半紙!$B$11:$B$310)+COUNTA(条幅!$B$11:$B$310),INDEX(条幅!$H$11:$H$310,467-COUNTA(半紙!$B$11:$B$310)),IF(467&lt;=COUNTA(半紙!$B$11:$B$310)+COUNTA(条幅!$B$11:$B$310)+COUNTA(条幅4分の1!$B$11:$B$310),INDEX(条幅4分の1!$H$11:$H$310,467-COUNTA(半紙!$B$11:$B$310)-COUNTA(条幅!$B$11:$B$310)),""))))</f>
        <v/>
      </c>
      <c r="I472" s="38" t="str">
        <f>IF(IF(467&lt;=COUNTA(半紙!$B$11:$B$310),INDEX(半紙!$I$11:$I$310,467),IF(467&lt;=COUNTA(半紙!$B$11:$B$310)+COUNTA(条幅!$B$11:$B$310),INDEX(条幅!$I$11:$I$310,467-COUNTA(半紙!$B$11:$B$310)),IF(467&lt;=COUNTA(半紙!$B$11:$B$310)+COUNTA(条幅!$B$11:$B$310)+COUNTA(条幅4分の1!$B$11:$B$310),INDEX(条幅4分の1!$I$11:$I$310,467-COUNTA(半紙!$B$11:$B$310)-COUNTA(条幅!$B$11:$B$310)),"")))=0,"",IF(467&lt;=COUNTA(半紙!$B$11:$B$310),INDEX(半紙!$I$11:$I$310,467),IF(467&lt;=COUNTA(半紙!$B$11:$B$310)+COUNTA(条幅!$B$11:$B$310),INDEX(条幅!$I$11:$I$310,467-COUNTA(半紙!$B$11:$B$310)),IF(467&lt;=COUNTA(半紙!$B$11:$B$310)+COUNTA(条幅!$B$11:$B$310)+COUNTA(条幅4分の1!$B$11:$B$310),INDEX(条幅4分の1!$I$11:$I$310,467-COUNTA(半紙!$B$11:$B$310)-COUNTA(条幅!$B$11:$B$310)),""))))</f>
        <v/>
      </c>
      <c r="J472" s="38" t="str">
        <f>IF(IF(467&lt;=COUNTA(半紙!$B$11:$B$310),INDEX(半紙!$J$11:$J$310,467),IF(467&lt;=COUNTA(半紙!$B$11:$B$310)+COUNTA(条幅!$B$11:$B$310),INDEX(条幅!$J$11:$J$310,467-COUNTA(半紙!$B$11:$B$310)),IF(467&lt;=COUNTA(半紙!$B$11:$B$310)+COUNTA(条幅!$B$11:$B$310)+COUNTA(条幅4分の1!$B$11:$B$310),INDEX(条幅4分の1!$J$11:$J$310,467-COUNTA(半紙!$B$11:$B$310)-COUNTA(条幅!$B$11:$B$310)),"")))=0,"",IF(467&lt;=COUNTA(半紙!$B$11:$B$310),INDEX(半紙!$J$11:$J$310,467),IF(467&lt;=COUNTA(半紙!$B$11:$B$310)+COUNTA(条幅!$B$11:$B$310),INDEX(条幅!$J$11:$J$310,467-COUNTA(半紙!$B$11:$B$310)),IF(467&lt;=COUNTA(半紙!$B$11:$B$310)+COUNTA(条幅!$B$11:$B$310)+COUNTA(条幅4分の1!$B$11:$B$310),INDEX(条幅4分の1!$J$11:$J$310,467-COUNTA(半紙!$B$11:$B$310)-COUNTA(条幅!$B$11:$B$310)),""))))</f>
        <v/>
      </c>
      <c r="K472" s="38" t="str">
        <f>IF(IF(467&lt;=COUNTA(半紙!$B$11:$B$310),INDEX(半紙!$K$11:$K$310,467),IF(467&lt;=COUNTA(半紙!$B$11:$B$310)+COUNTA(条幅!$B$11:$B$310),INDEX(条幅!$K$11:$K$310,467-COUNTA(半紙!$B$11:$B$310)),IF(467&lt;=COUNTA(半紙!$B$11:$B$310)+COUNTA(条幅!$B$11:$B$310)+COUNTA(条幅4分の1!$B$11:$B$310),INDEX(条幅4分の1!$K$11:$K$310,467-COUNTA(半紙!$B$11:$B$310)-COUNTA(条幅!$B$11:$B$310)),"")))=0,"",IF(467&lt;=COUNTA(半紙!$B$11:$B$310),INDEX(半紙!$K$11:$K$310,467),IF(467&lt;=COUNTA(半紙!$B$11:$B$310)+COUNTA(条幅!$B$11:$B$310),INDEX(条幅!$K$11:$K$310,467-COUNTA(半紙!$B$11:$B$310)),IF(467&lt;=COUNTA(半紙!$B$11:$B$310)+COUNTA(条幅!$B$11:$B$310)+COUNTA(条幅4分の1!$B$11:$B$310),INDEX(条幅4分の1!$K$11:$K$310,467-COUNTA(半紙!$B$11:$B$310)-COUNTA(条幅!$B$11:$B$310)),""))))</f>
        <v/>
      </c>
      <c r="L472" s="48" t="str">
        <f>IF($B472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467))</f>
        <v/>
      </c>
    </row>
    <row r="473" spans="1:12" ht="15" customHeight="1">
      <c r="A473" s="37" t="str">
        <f>IF(468&lt;=COUNTA(半紙!$B$11:$B$310),"半紙",IF(468&lt;=COUNTA(半紙!$B$11:$B$310)+COUNTA(条幅!$B$11:$B$310),"条幅(半切)",IF(468&lt;=COUNTA(半紙!$B$11:$B$310)+COUNTA(条幅!$B$11:$B$310)+COUNTA(条幅4分の1!$B$11:$B$310),"条幅(1/4)","")))</f>
        <v/>
      </c>
      <c r="B473" s="38" t="str">
        <f>IF(IF(468&lt;=COUNTA(半紙!$B$11:$B$310),INDEX(半紙!$B$11:$B$310,468),IF(468&lt;=COUNTA(半紙!$B$11:$B$310)+COUNTA(条幅!$B$11:$B$310),INDEX(条幅!$B$11:$B$310,468-COUNTA(半紙!$B$11:$B$310)),IF(468&lt;=COUNTA(半紙!$B$11:$B$310)+COUNTA(条幅!$B$11:$B$310)+COUNTA(条幅4分の1!$B$11:$B$310),INDEX(条幅4分の1!$B$11:$B$310,468-COUNTA(半紙!$B$11:$B$310)-COUNTA(条幅!$B$11:$B$310)),"")))=0,"",IF(468&lt;=COUNTA(半紙!$B$11:$B$310),INDEX(半紙!$B$11:$B$310,468),IF(468&lt;=COUNTA(半紙!$B$11:$B$310)+COUNTA(条幅!$B$11:$B$310),INDEX(条幅!$B$11:$B$310,468-COUNTA(半紙!$B$11:$B$310)),IF(468&lt;=COUNTA(半紙!$B$11:$B$310)+COUNTA(条幅!$B$11:$B$310)+COUNTA(条幅4分の1!$B$11:$B$310),INDEX(条幅4分の1!$B$11:$B$310,468-COUNTA(半紙!$B$11:$B$310)-COUNTA(条幅!$B$11:$B$310)),""))))</f>
        <v/>
      </c>
      <c r="C473" s="38" t="str">
        <f>IF(IF(468&lt;=COUNTA(半紙!$B$11:$B$310),INDEX(半紙!$C$11:$C$310,468),IF(468&lt;=COUNTA(半紙!$B$11:$B$310)+COUNTA(条幅!$B$11:$B$310),INDEX(条幅!$C$11:$C$310,468-COUNTA(半紙!$B$11:$B$310)),IF(468&lt;=COUNTA(半紙!$B$11:$B$310)+COUNTA(条幅!$B$11:$B$310)+COUNTA(条幅4分の1!$B$11:$B$310),INDEX(条幅4分の1!$C$11:$C$310,468-COUNTA(半紙!$B$11:$B$310)-COUNTA(条幅!$B$11:$B$310)),"")))=0,"",IF(468&lt;=COUNTA(半紙!$B$11:$B$310),INDEX(半紙!$C$11:$C$310,468),IF(468&lt;=COUNTA(半紙!$B$11:$B$310)+COUNTA(条幅!$B$11:$B$310),INDEX(条幅!$C$11:$C$310,468-COUNTA(半紙!$B$11:$B$310)),IF(468&lt;=COUNTA(半紙!$B$11:$B$310)+COUNTA(条幅!$B$11:$B$310)+COUNTA(条幅4分の1!$B$11:$B$310),INDEX(条幅4分の1!$C$11:$C$310,468-COUNTA(半紙!$B$11:$B$310)-COUNTA(条幅!$B$11:$B$310)),""))))</f>
        <v/>
      </c>
      <c r="D473" s="38" t="str">
        <f>IF(IF(468&lt;=COUNTA(半紙!$B$11:$B$310),INDEX(半紙!$D$11:$D$310,468),IF(468&lt;=COUNTA(半紙!$B$11:$B$310)+COUNTA(条幅!$B$11:$B$310),INDEX(条幅!$D$11:$D$310,468-COUNTA(半紙!$B$11:$B$310)),IF(468&lt;=COUNTA(半紙!$B$11:$B$310)+COUNTA(条幅!$B$11:$B$310)+COUNTA(条幅4分の1!$B$11:$B$310),INDEX(条幅4分の1!$D$11:$D$310,468-COUNTA(半紙!$B$11:$B$310)-COUNTA(条幅!$B$11:$B$310)),"")))=0,"",IF(468&lt;=COUNTA(半紙!$B$11:$B$310),INDEX(半紙!$D$11:$D$310,468),IF(468&lt;=COUNTA(半紙!$B$11:$B$310)+COUNTA(条幅!$B$11:$B$310),INDEX(条幅!$D$11:$D$310,468-COUNTA(半紙!$B$11:$B$310)),IF(468&lt;=COUNTA(半紙!$B$11:$B$310)+COUNTA(条幅!$B$11:$B$310)+COUNTA(条幅4分の1!$B$11:$B$310),INDEX(条幅4分の1!$D$11:$D$310,468-COUNTA(半紙!$B$11:$B$310)-COUNTA(条幅!$B$11:$B$310)),""))))</f>
        <v/>
      </c>
      <c r="E473" s="38" t="str">
        <f>IF(IF(468&lt;=COUNTA(半紙!$B$11:$B$310),INDEX(半紙!$E$11:$E$310,468),IF(468&lt;=COUNTA(半紙!$B$11:$B$310)+COUNTA(条幅!$B$11:$B$310),INDEX(条幅!$E$11:$E$310,468-COUNTA(半紙!$B$11:$B$310)),IF(468&lt;=COUNTA(半紙!$B$11:$B$310)+COUNTA(条幅!$B$11:$B$310)+COUNTA(条幅4分の1!$B$11:$B$310),INDEX(条幅4分の1!$E$11:$E$310,468-COUNTA(半紙!$B$11:$B$310)-COUNTA(条幅!$B$11:$B$310)),"")))=0,"",IF(468&lt;=COUNTA(半紙!$B$11:$B$310),INDEX(半紙!$E$11:$E$310,468),IF(468&lt;=COUNTA(半紙!$B$11:$B$310)+COUNTA(条幅!$B$11:$B$310),INDEX(条幅!$E$11:$E$310,468-COUNTA(半紙!$B$11:$B$310)),IF(468&lt;=COUNTA(半紙!$B$11:$B$310)+COUNTA(条幅!$B$11:$B$310)+COUNTA(条幅4分の1!$B$11:$B$310),INDEX(条幅4分の1!$E$11:$E$310,468-COUNTA(半紙!$B$11:$B$310)-COUNTA(条幅!$B$11:$B$310)),""))))</f>
        <v/>
      </c>
      <c r="F473" s="38" t="str">
        <f>IF(IF(468&lt;=COUNTA(半紙!$B$11:$B$310),INDEX(半紙!$F$11:$F$310,468),IF(468&lt;=COUNTA(半紙!$B$11:$B$310)+COUNTA(条幅!$B$11:$B$310),INDEX(条幅!$F$11:$F$310,468-COUNTA(半紙!$B$11:$B$310)),IF(468&lt;=COUNTA(半紙!$B$11:$B$310)+COUNTA(条幅!$B$11:$B$310)+COUNTA(条幅4分の1!$B$11:$B$310),INDEX(条幅4分の1!$F$11:$F$310,468-COUNTA(半紙!$B$11:$B$310)-COUNTA(条幅!$B$11:$B$310)),"")))=0,"",IF(468&lt;=COUNTA(半紙!$B$11:$B$310),INDEX(半紙!$F$11:$F$310,468),IF(468&lt;=COUNTA(半紙!$B$11:$B$310)+COUNTA(条幅!$B$11:$B$310),INDEX(条幅!$F$11:$F$310,468-COUNTA(半紙!$B$11:$B$310)),IF(468&lt;=COUNTA(半紙!$B$11:$B$310)+COUNTA(条幅!$B$11:$B$310)+COUNTA(条幅4分の1!$B$11:$B$310),INDEX(条幅4分の1!$F$11:$F$310,468-COUNTA(半紙!$B$11:$B$310)-COUNTA(条幅!$B$11:$B$310)),""))))</f>
        <v/>
      </c>
      <c r="G473" s="38" t="str">
        <f>IF(IF(468&lt;=COUNTA(半紙!$B$11:$B$310),INDEX(半紙!$G$11:$G$310,468),IF(468&lt;=COUNTA(半紙!$B$11:$B$310)+COUNTA(条幅!$B$11:$B$310),INDEX(条幅!$G$11:$G$310,468-COUNTA(半紙!$B$11:$B$310)),IF(468&lt;=COUNTA(半紙!$B$11:$B$310)+COUNTA(条幅!$B$11:$B$310)+COUNTA(条幅4分の1!$B$11:$B$310),INDEX(条幅4分の1!$G$11:$G$310,468-COUNTA(半紙!$B$11:$B$310)-COUNTA(条幅!$B$11:$B$310)),"")))=0,"",IF(468&lt;=COUNTA(半紙!$B$11:$B$310),INDEX(半紙!$G$11:$G$310,468),IF(468&lt;=COUNTA(半紙!$B$11:$B$310)+COUNTA(条幅!$B$11:$B$310),INDEX(条幅!$G$11:$G$310,468-COUNTA(半紙!$B$11:$B$310)),IF(468&lt;=COUNTA(半紙!$B$11:$B$310)+COUNTA(条幅!$B$11:$B$310)+COUNTA(条幅4分の1!$B$11:$B$310),INDEX(条幅4分の1!$G$11:$G$310,468-COUNTA(半紙!$B$11:$B$310)-COUNTA(条幅!$B$11:$B$310)),""))))</f>
        <v/>
      </c>
      <c r="H473" s="38" t="str">
        <f>IF(IF(468&lt;=COUNTA(半紙!$B$11:$B$310),INDEX(半紙!$H$11:$H$310,468),IF(468&lt;=COUNTA(半紙!$B$11:$B$310)+COUNTA(条幅!$B$11:$B$310),INDEX(条幅!$H$11:$H$310,468-COUNTA(半紙!$B$11:$B$310)),IF(468&lt;=COUNTA(半紙!$B$11:$B$310)+COUNTA(条幅!$B$11:$B$310)+COUNTA(条幅4分の1!$B$11:$B$310),INDEX(条幅4分の1!$H$11:$H$310,468-COUNTA(半紙!$B$11:$B$310)-COUNTA(条幅!$B$11:$B$310)),"")))=0,"",IF(468&lt;=COUNTA(半紙!$B$11:$B$310),INDEX(半紙!$H$11:$H$310,468),IF(468&lt;=COUNTA(半紙!$B$11:$B$310)+COUNTA(条幅!$B$11:$B$310),INDEX(条幅!$H$11:$H$310,468-COUNTA(半紙!$B$11:$B$310)),IF(468&lt;=COUNTA(半紙!$B$11:$B$310)+COUNTA(条幅!$B$11:$B$310)+COUNTA(条幅4分の1!$B$11:$B$310),INDEX(条幅4分の1!$H$11:$H$310,468-COUNTA(半紙!$B$11:$B$310)-COUNTA(条幅!$B$11:$B$310)),""))))</f>
        <v/>
      </c>
      <c r="I473" s="38" t="str">
        <f>IF(IF(468&lt;=COUNTA(半紙!$B$11:$B$310),INDEX(半紙!$I$11:$I$310,468),IF(468&lt;=COUNTA(半紙!$B$11:$B$310)+COUNTA(条幅!$B$11:$B$310),INDEX(条幅!$I$11:$I$310,468-COUNTA(半紙!$B$11:$B$310)),IF(468&lt;=COUNTA(半紙!$B$11:$B$310)+COUNTA(条幅!$B$11:$B$310)+COUNTA(条幅4分の1!$B$11:$B$310),INDEX(条幅4分の1!$I$11:$I$310,468-COUNTA(半紙!$B$11:$B$310)-COUNTA(条幅!$B$11:$B$310)),"")))=0,"",IF(468&lt;=COUNTA(半紙!$B$11:$B$310),INDEX(半紙!$I$11:$I$310,468),IF(468&lt;=COUNTA(半紙!$B$11:$B$310)+COUNTA(条幅!$B$11:$B$310),INDEX(条幅!$I$11:$I$310,468-COUNTA(半紙!$B$11:$B$310)),IF(468&lt;=COUNTA(半紙!$B$11:$B$310)+COUNTA(条幅!$B$11:$B$310)+COUNTA(条幅4分の1!$B$11:$B$310),INDEX(条幅4分の1!$I$11:$I$310,468-COUNTA(半紙!$B$11:$B$310)-COUNTA(条幅!$B$11:$B$310)),""))))</f>
        <v/>
      </c>
      <c r="J473" s="38" t="str">
        <f>IF(IF(468&lt;=COUNTA(半紙!$B$11:$B$310),INDEX(半紙!$J$11:$J$310,468),IF(468&lt;=COUNTA(半紙!$B$11:$B$310)+COUNTA(条幅!$B$11:$B$310),INDEX(条幅!$J$11:$J$310,468-COUNTA(半紙!$B$11:$B$310)),IF(468&lt;=COUNTA(半紙!$B$11:$B$310)+COUNTA(条幅!$B$11:$B$310)+COUNTA(条幅4分の1!$B$11:$B$310),INDEX(条幅4分の1!$J$11:$J$310,468-COUNTA(半紙!$B$11:$B$310)-COUNTA(条幅!$B$11:$B$310)),"")))=0,"",IF(468&lt;=COUNTA(半紙!$B$11:$B$310),INDEX(半紙!$J$11:$J$310,468),IF(468&lt;=COUNTA(半紙!$B$11:$B$310)+COUNTA(条幅!$B$11:$B$310),INDEX(条幅!$J$11:$J$310,468-COUNTA(半紙!$B$11:$B$310)),IF(468&lt;=COUNTA(半紙!$B$11:$B$310)+COUNTA(条幅!$B$11:$B$310)+COUNTA(条幅4分の1!$B$11:$B$310),INDEX(条幅4分の1!$J$11:$J$310,468-COUNTA(半紙!$B$11:$B$310)-COUNTA(条幅!$B$11:$B$310)),""))))</f>
        <v/>
      </c>
      <c r="K473" s="38" t="str">
        <f>IF(IF(468&lt;=COUNTA(半紙!$B$11:$B$310),INDEX(半紙!$K$11:$K$310,468),IF(468&lt;=COUNTA(半紙!$B$11:$B$310)+COUNTA(条幅!$B$11:$B$310),INDEX(条幅!$K$11:$K$310,468-COUNTA(半紙!$B$11:$B$310)),IF(468&lt;=COUNTA(半紙!$B$11:$B$310)+COUNTA(条幅!$B$11:$B$310)+COUNTA(条幅4分の1!$B$11:$B$310),INDEX(条幅4分の1!$K$11:$K$310,468-COUNTA(半紙!$B$11:$B$310)-COUNTA(条幅!$B$11:$B$310)),"")))=0,"",IF(468&lt;=COUNTA(半紙!$B$11:$B$310),INDEX(半紙!$K$11:$K$310,468),IF(468&lt;=COUNTA(半紙!$B$11:$B$310)+COUNTA(条幅!$B$11:$B$310),INDEX(条幅!$K$11:$K$310,468-COUNTA(半紙!$B$11:$B$310)),IF(468&lt;=COUNTA(半紙!$B$11:$B$310)+COUNTA(条幅!$B$11:$B$310)+COUNTA(条幅4分の1!$B$11:$B$310),INDEX(条幅4分の1!$K$11:$K$310,468-COUNTA(半紙!$B$11:$B$310)-COUNTA(条幅!$B$11:$B$310)),""))))</f>
        <v/>
      </c>
      <c r="L473" s="48" t="str">
        <f>IF($B473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468))</f>
        <v/>
      </c>
    </row>
    <row r="474" spans="1:12" ht="15" customHeight="1">
      <c r="A474" s="37" t="str">
        <f>IF(469&lt;=COUNTA(半紙!$B$11:$B$310),"半紙",IF(469&lt;=COUNTA(半紙!$B$11:$B$310)+COUNTA(条幅!$B$11:$B$310),"条幅(半切)",IF(469&lt;=COUNTA(半紙!$B$11:$B$310)+COUNTA(条幅!$B$11:$B$310)+COUNTA(条幅4分の1!$B$11:$B$310),"条幅(1/4)","")))</f>
        <v/>
      </c>
      <c r="B474" s="38" t="str">
        <f>IF(IF(469&lt;=COUNTA(半紙!$B$11:$B$310),INDEX(半紙!$B$11:$B$310,469),IF(469&lt;=COUNTA(半紙!$B$11:$B$310)+COUNTA(条幅!$B$11:$B$310),INDEX(条幅!$B$11:$B$310,469-COUNTA(半紙!$B$11:$B$310)),IF(469&lt;=COUNTA(半紙!$B$11:$B$310)+COUNTA(条幅!$B$11:$B$310)+COUNTA(条幅4分の1!$B$11:$B$310),INDEX(条幅4分の1!$B$11:$B$310,469-COUNTA(半紙!$B$11:$B$310)-COUNTA(条幅!$B$11:$B$310)),"")))=0,"",IF(469&lt;=COUNTA(半紙!$B$11:$B$310),INDEX(半紙!$B$11:$B$310,469),IF(469&lt;=COUNTA(半紙!$B$11:$B$310)+COUNTA(条幅!$B$11:$B$310),INDEX(条幅!$B$11:$B$310,469-COUNTA(半紙!$B$11:$B$310)),IF(469&lt;=COUNTA(半紙!$B$11:$B$310)+COUNTA(条幅!$B$11:$B$310)+COUNTA(条幅4分の1!$B$11:$B$310),INDEX(条幅4分の1!$B$11:$B$310,469-COUNTA(半紙!$B$11:$B$310)-COUNTA(条幅!$B$11:$B$310)),""))))</f>
        <v/>
      </c>
      <c r="C474" s="38" t="str">
        <f>IF(IF(469&lt;=COUNTA(半紙!$B$11:$B$310),INDEX(半紙!$C$11:$C$310,469),IF(469&lt;=COUNTA(半紙!$B$11:$B$310)+COUNTA(条幅!$B$11:$B$310),INDEX(条幅!$C$11:$C$310,469-COUNTA(半紙!$B$11:$B$310)),IF(469&lt;=COUNTA(半紙!$B$11:$B$310)+COUNTA(条幅!$B$11:$B$310)+COUNTA(条幅4分の1!$B$11:$B$310),INDEX(条幅4分の1!$C$11:$C$310,469-COUNTA(半紙!$B$11:$B$310)-COUNTA(条幅!$B$11:$B$310)),"")))=0,"",IF(469&lt;=COUNTA(半紙!$B$11:$B$310),INDEX(半紙!$C$11:$C$310,469),IF(469&lt;=COUNTA(半紙!$B$11:$B$310)+COUNTA(条幅!$B$11:$B$310),INDEX(条幅!$C$11:$C$310,469-COUNTA(半紙!$B$11:$B$310)),IF(469&lt;=COUNTA(半紙!$B$11:$B$310)+COUNTA(条幅!$B$11:$B$310)+COUNTA(条幅4分の1!$B$11:$B$310),INDEX(条幅4分の1!$C$11:$C$310,469-COUNTA(半紙!$B$11:$B$310)-COUNTA(条幅!$B$11:$B$310)),""))))</f>
        <v/>
      </c>
      <c r="D474" s="38" t="str">
        <f>IF(IF(469&lt;=COUNTA(半紙!$B$11:$B$310),INDEX(半紙!$D$11:$D$310,469),IF(469&lt;=COUNTA(半紙!$B$11:$B$310)+COUNTA(条幅!$B$11:$B$310),INDEX(条幅!$D$11:$D$310,469-COUNTA(半紙!$B$11:$B$310)),IF(469&lt;=COUNTA(半紙!$B$11:$B$310)+COUNTA(条幅!$B$11:$B$310)+COUNTA(条幅4分の1!$B$11:$B$310),INDEX(条幅4分の1!$D$11:$D$310,469-COUNTA(半紙!$B$11:$B$310)-COUNTA(条幅!$B$11:$B$310)),"")))=0,"",IF(469&lt;=COUNTA(半紙!$B$11:$B$310),INDEX(半紙!$D$11:$D$310,469),IF(469&lt;=COUNTA(半紙!$B$11:$B$310)+COUNTA(条幅!$B$11:$B$310),INDEX(条幅!$D$11:$D$310,469-COUNTA(半紙!$B$11:$B$310)),IF(469&lt;=COUNTA(半紙!$B$11:$B$310)+COUNTA(条幅!$B$11:$B$310)+COUNTA(条幅4分の1!$B$11:$B$310),INDEX(条幅4分の1!$D$11:$D$310,469-COUNTA(半紙!$B$11:$B$310)-COUNTA(条幅!$B$11:$B$310)),""))))</f>
        <v/>
      </c>
      <c r="E474" s="38" t="str">
        <f>IF(IF(469&lt;=COUNTA(半紙!$B$11:$B$310),INDEX(半紙!$E$11:$E$310,469),IF(469&lt;=COUNTA(半紙!$B$11:$B$310)+COUNTA(条幅!$B$11:$B$310),INDEX(条幅!$E$11:$E$310,469-COUNTA(半紙!$B$11:$B$310)),IF(469&lt;=COUNTA(半紙!$B$11:$B$310)+COUNTA(条幅!$B$11:$B$310)+COUNTA(条幅4分の1!$B$11:$B$310),INDEX(条幅4分の1!$E$11:$E$310,469-COUNTA(半紙!$B$11:$B$310)-COUNTA(条幅!$B$11:$B$310)),"")))=0,"",IF(469&lt;=COUNTA(半紙!$B$11:$B$310),INDEX(半紙!$E$11:$E$310,469),IF(469&lt;=COUNTA(半紙!$B$11:$B$310)+COUNTA(条幅!$B$11:$B$310),INDEX(条幅!$E$11:$E$310,469-COUNTA(半紙!$B$11:$B$310)),IF(469&lt;=COUNTA(半紙!$B$11:$B$310)+COUNTA(条幅!$B$11:$B$310)+COUNTA(条幅4分の1!$B$11:$B$310),INDEX(条幅4分の1!$E$11:$E$310,469-COUNTA(半紙!$B$11:$B$310)-COUNTA(条幅!$B$11:$B$310)),""))))</f>
        <v/>
      </c>
      <c r="F474" s="38" t="str">
        <f>IF(IF(469&lt;=COUNTA(半紙!$B$11:$B$310),INDEX(半紙!$F$11:$F$310,469),IF(469&lt;=COUNTA(半紙!$B$11:$B$310)+COUNTA(条幅!$B$11:$B$310),INDEX(条幅!$F$11:$F$310,469-COUNTA(半紙!$B$11:$B$310)),IF(469&lt;=COUNTA(半紙!$B$11:$B$310)+COUNTA(条幅!$B$11:$B$310)+COUNTA(条幅4分の1!$B$11:$B$310),INDEX(条幅4分の1!$F$11:$F$310,469-COUNTA(半紙!$B$11:$B$310)-COUNTA(条幅!$B$11:$B$310)),"")))=0,"",IF(469&lt;=COUNTA(半紙!$B$11:$B$310),INDEX(半紙!$F$11:$F$310,469),IF(469&lt;=COUNTA(半紙!$B$11:$B$310)+COUNTA(条幅!$B$11:$B$310),INDEX(条幅!$F$11:$F$310,469-COUNTA(半紙!$B$11:$B$310)),IF(469&lt;=COUNTA(半紙!$B$11:$B$310)+COUNTA(条幅!$B$11:$B$310)+COUNTA(条幅4分の1!$B$11:$B$310),INDEX(条幅4分の1!$F$11:$F$310,469-COUNTA(半紙!$B$11:$B$310)-COUNTA(条幅!$B$11:$B$310)),""))))</f>
        <v/>
      </c>
      <c r="G474" s="38" t="str">
        <f>IF(IF(469&lt;=COUNTA(半紙!$B$11:$B$310),INDEX(半紙!$G$11:$G$310,469),IF(469&lt;=COUNTA(半紙!$B$11:$B$310)+COUNTA(条幅!$B$11:$B$310),INDEX(条幅!$G$11:$G$310,469-COUNTA(半紙!$B$11:$B$310)),IF(469&lt;=COUNTA(半紙!$B$11:$B$310)+COUNTA(条幅!$B$11:$B$310)+COUNTA(条幅4分の1!$B$11:$B$310),INDEX(条幅4分の1!$G$11:$G$310,469-COUNTA(半紙!$B$11:$B$310)-COUNTA(条幅!$B$11:$B$310)),"")))=0,"",IF(469&lt;=COUNTA(半紙!$B$11:$B$310),INDEX(半紙!$G$11:$G$310,469),IF(469&lt;=COUNTA(半紙!$B$11:$B$310)+COUNTA(条幅!$B$11:$B$310),INDEX(条幅!$G$11:$G$310,469-COUNTA(半紙!$B$11:$B$310)),IF(469&lt;=COUNTA(半紙!$B$11:$B$310)+COUNTA(条幅!$B$11:$B$310)+COUNTA(条幅4分の1!$B$11:$B$310),INDEX(条幅4分の1!$G$11:$G$310,469-COUNTA(半紙!$B$11:$B$310)-COUNTA(条幅!$B$11:$B$310)),""))))</f>
        <v/>
      </c>
      <c r="H474" s="38" t="str">
        <f>IF(IF(469&lt;=COUNTA(半紙!$B$11:$B$310),INDEX(半紙!$H$11:$H$310,469),IF(469&lt;=COUNTA(半紙!$B$11:$B$310)+COUNTA(条幅!$B$11:$B$310),INDEX(条幅!$H$11:$H$310,469-COUNTA(半紙!$B$11:$B$310)),IF(469&lt;=COUNTA(半紙!$B$11:$B$310)+COUNTA(条幅!$B$11:$B$310)+COUNTA(条幅4分の1!$B$11:$B$310),INDEX(条幅4分の1!$H$11:$H$310,469-COUNTA(半紙!$B$11:$B$310)-COUNTA(条幅!$B$11:$B$310)),"")))=0,"",IF(469&lt;=COUNTA(半紙!$B$11:$B$310),INDEX(半紙!$H$11:$H$310,469),IF(469&lt;=COUNTA(半紙!$B$11:$B$310)+COUNTA(条幅!$B$11:$B$310),INDEX(条幅!$H$11:$H$310,469-COUNTA(半紙!$B$11:$B$310)),IF(469&lt;=COUNTA(半紙!$B$11:$B$310)+COUNTA(条幅!$B$11:$B$310)+COUNTA(条幅4分の1!$B$11:$B$310),INDEX(条幅4分の1!$H$11:$H$310,469-COUNTA(半紙!$B$11:$B$310)-COUNTA(条幅!$B$11:$B$310)),""))))</f>
        <v/>
      </c>
      <c r="I474" s="38" t="str">
        <f>IF(IF(469&lt;=COUNTA(半紙!$B$11:$B$310),INDEX(半紙!$I$11:$I$310,469),IF(469&lt;=COUNTA(半紙!$B$11:$B$310)+COUNTA(条幅!$B$11:$B$310),INDEX(条幅!$I$11:$I$310,469-COUNTA(半紙!$B$11:$B$310)),IF(469&lt;=COUNTA(半紙!$B$11:$B$310)+COUNTA(条幅!$B$11:$B$310)+COUNTA(条幅4分の1!$B$11:$B$310),INDEX(条幅4分の1!$I$11:$I$310,469-COUNTA(半紙!$B$11:$B$310)-COUNTA(条幅!$B$11:$B$310)),"")))=0,"",IF(469&lt;=COUNTA(半紙!$B$11:$B$310),INDEX(半紙!$I$11:$I$310,469),IF(469&lt;=COUNTA(半紙!$B$11:$B$310)+COUNTA(条幅!$B$11:$B$310),INDEX(条幅!$I$11:$I$310,469-COUNTA(半紙!$B$11:$B$310)),IF(469&lt;=COUNTA(半紙!$B$11:$B$310)+COUNTA(条幅!$B$11:$B$310)+COUNTA(条幅4分の1!$B$11:$B$310),INDEX(条幅4分の1!$I$11:$I$310,469-COUNTA(半紙!$B$11:$B$310)-COUNTA(条幅!$B$11:$B$310)),""))))</f>
        <v/>
      </c>
      <c r="J474" s="38" t="str">
        <f>IF(IF(469&lt;=COUNTA(半紙!$B$11:$B$310),INDEX(半紙!$J$11:$J$310,469),IF(469&lt;=COUNTA(半紙!$B$11:$B$310)+COUNTA(条幅!$B$11:$B$310),INDEX(条幅!$J$11:$J$310,469-COUNTA(半紙!$B$11:$B$310)),IF(469&lt;=COUNTA(半紙!$B$11:$B$310)+COUNTA(条幅!$B$11:$B$310)+COUNTA(条幅4分の1!$B$11:$B$310),INDEX(条幅4分の1!$J$11:$J$310,469-COUNTA(半紙!$B$11:$B$310)-COUNTA(条幅!$B$11:$B$310)),"")))=0,"",IF(469&lt;=COUNTA(半紙!$B$11:$B$310),INDEX(半紙!$J$11:$J$310,469),IF(469&lt;=COUNTA(半紙!$B$11:$B$310)+COUNTA(条幅!$B$11:$B$310),INDEX(条幅!$J$11:$J$310,469-COUNTA(半紙!$B$11:$B$310)),IF(469&lt;=COUNTA(半紙!$B$11:$B$310)+COUNTA(条幅!$B$11:$B$310)+COUNTA(条幅4分の1!$B$11:$B$310),INDEX(条幅4分の1!$J$11:$J$310,469-COUNTA(半紙!$B$11:$B$310)-COUNTA(条幅!$B$11:$B$310)),""))))</f>
        <v/>
      </c>
      <c r="K474" s="38" t="str">
        <f>IF(IF(469&lt;=COUNTA(半紙!$B$11:$B$310),INDEX(半紙!$K$11:$K$310,469),IF(469&lt;=COUNTA(半紙!$B$11:$B$310)+COUNTA(条幅!$B$11:$B$310),INDEX(条幅!$K$11:$K$310,469-COUNTA(半紙!$B$11:$B$310)),IF(469&lt;=COUNTA(半紙!$B$11:$B$310)+COUNTA(条幅!$B$11:$B$310)+COUNTA(条幅4分の1!$B$11:$B$310),INDEX(条幅4分の1!$K$11:$K$310,469-COUNTA(半紙!$B$11:$B$310)-COUNTA(条幅!$B$11:$B$310)),"")))=0,"",IF(469&lt;=COUNTA(半紙!$B$11:$B$310),INDEX(半紙!$K$11:$K$310,469),IF(469&lt;=COUNTA(半紙!$B$11:$B$310)+COUNTA(条幅!$B$11:$B$310),INDEX(条幅!$K$11:$K$310,469-COUNTA(半紙!$B$11:$B$310)),IF(469&lt;=COUNTA(半紙!$B$11:$B$310)+COUNTA(条幅!$B$11:$B$310)+COUNTA(条幅4分の1!$B$11:$B$310),INDEX(条幅4分の1!$K$11:$K$310,469-COUNTA(半紙!$B$11:$B$310)-COUNTA(条幅!$B$11:$B$310)),""))))</f>
        <v/>
      </c>
      <c r="L474" s="48" t="str">
        <f>IF($B474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469))</f>
        <v/>
      </c>
    </row>
    <row r="475" spans="1:12" ht="15" customHeight="1">
      <c r="A475" s="37" t="str">
        <f>IF(470&lt;=COUNTA(半紙!$B$11:$B$310),"半紙",IF(470&lt;=COUNTA(半紙!$B$11:$B$310)+COUNTA(条幅!$B$11:$B$310),"条幅(半切)",IF(470&lt;=COUNTA(半紙!$B$11:$B$310)+COUNTA(条幅!$B$11:$B$310)+COUNTA(条幅4分の1!$B$11:$B$310),"条幅(1/4)","")))</f>
        <v/>
      </c>
      <c r="B475" s="38" t="str">
        <f>IF(IF(470&lt;=COUNTA(半紙!$B$11:$B$310),INDEX(半紙!$B$11:$B$310,470),IF(470&lt;=COUNTA(半紙!$B$11:$B$310)+COUNTA(条幅!$B$11:$B$310),INDEX(条幅!$B$11:$B$310,470-COUNTA(半紙!$B$11:$B$310)),IF(470&lt;=COUNTA(半紙!$B$11:$B$310)+COUNTA(条幅!$B$11:$B$310)+COUNTA(条幅4分の1!$B$11:$B$310),INDEX(条幅4分の1!$B$11:$B$310,470-COUNTA(半紙!$B$11:$B$310)-COUNTA(条幅!$B$11:$B$310)),"")))=0,"",IF(470&lt;=COUNTA(半紙!$B$11:$B$310),INDEX(半紙!$B$11:$B$310,470),IF(470&lt;=COUNTA(半紙!$B$11:$B$310)+COUNTA(条幅!$B$11:$B$310),INDEX(条幅!$B$11:$B$310,470-COUNTA(半紙!$B$11:$B$310)),IF(470&lt;=COUNTA(半紙!$B$11:$B$310)+COUNTA(条幅!$B$11:$B$310)+COUNTA(条幅4分の1!$B$11:$B$310),INDEX(条幅4分の1!$B$11:$B$310,470-COUNTA(半紙!$B$11:$B$310)-COUNTA(条幅!$B$11:$B$310)),""))))</f>
        <v/>
      </c>
      <c r="C475" s="38" t="str">
        <f>IF(IF(470&lt;=COUNTA(半紙!$B$11:$B$310),INDEX(半紙!$C$11:$C$310,470),IF(470&lt;=COUNTA(半紙!$B$11:$B$310)+COUNTA(条幅!$B$11:$B$310),INDEX(条幅!$C$11:$C$310,470-COUNTA(半紙!$B$11:$B$310)),IF(470&lt;=COUNTA(半紙!$B$11:$B$310)+COUNTA(条幅!$B$11:$B$310)+COUNTA(条幅4分の1!$B$11:$B$310),INDEX(条幅4分の1!$C$11:$C$310,470-COUNTA(半紙!$B$11:$B$310)-COUNTA(条幅!$B$11:$B$310)),"")))=0,"",IF(470&lt;=COUNTA(半紙!$B$11:$B$310),INDEX(半紙!$C$11:$C$310,470),IF(470&lt;=COUNTA(半紙!$B$11:$B$310)+COUNTA(条幅!$B$11:$B$310),INDEX(条幅!$C$11:$C$310,470-COUNTA(半紙!$B$11:$B$310)),IF(470&lt;=COUNTA(半紙!$B$11:$B$310)+COUNTA(条幅!$B$11:$B$310)+COUNTA(条幅4分の1!$B$11:$B$310),INDEX(条幅4分の1!$C$11:$C$310,470-COUNTA(半紙!$B$11:$B$310)-COUNTA(条幅!$B$11:$B$310)),""))))</f>
        <v/>
      </c>
      <c r="D475" s="38" t="str">
        <f>IF(IF(470&lt;=COUNTA(半紙!$B$11:$B$310),INDEX(半紙!$D$11:$D$310,470),IF(470&lt;=COUNTA(半紙!$B$11:$B$310)+COUNTA(条幅!$B$11:$B$310),INDEX(条幅!$D$11:$D$310,470-COUNTA(半紙!$B$11:$B$310)),IF(470&lt;=COUNTA(半紙!$B$11:$B$310)+COUNTA(条幅!$B$11:$B$310)+COUNTA(条幅4分の1!$B$11:$B$310),INDEX(条幅4分の1!$D$11:$D$310,470-COUNTA(半紙!$B$11:$B$310)-COUNTA(条幅!$B$11:$B$310)),"")))=0,"",IF(470&lt;=COUNTA(半紙!$B$11:$B$310),INDEX(半紙!$D$11:$D$310,470),IF(470&lt;=COUNTA(半紙!$B$11:$B$310)+COUNTA(条幅!$B$11:$B$310),INDEX(条幅!$D$11:$D$310,470-COUNTA(半紙!$B$11:$B$310)),IF(470&lt;=COUNTA(半紙!$B$11:$B$310)+COUNTA(条幅!$B$11:$B$310)+COUNTA(条幅4分の1!$B$11:$B$310),INDEX(条幅4分の1!$D$11:$D$310,470-COUNTA(半紙!$B$11:$B$310)-COUNTA(条幅!$B$11:$B$310)),""))))</f>
        <v/>
      </c>
      <c r="E475" s="38" t="str">
        <f>IF(IF(470&lt;=COUNTA(半紙!$B$11:$B$310),INDEX(半紙!$E$11:$E$310,470),IF(470&lt;=COUNTA(半紙!$B$11:$B$310)+COUNTA(条幅!$B$11:$B$310),INDEX(条幅!$E$11:$E$310,470-COUNTA(半紙!$B$11:$B$310)),IF(470&lt;=COUNTA(半紙!$B$11:$B$310)+COUNTA(条幅!$B$11:$B$310)+COUNTA(条幅4分の1!$B$11:$B$310),INDEX(条幅4分の1!$E$11:$E$310,470-COUNTA(半紙!$B$11:$B$310)-COUNTA(条幅!$B$11:$B$310)),"")))=0,"",IF(470&lt;=COUNTA(半紙!$B$11:$B$310),INDEX(半紙!$E$11:$E$310,470),IF(470&lt;=COUNTA(半紙!$B$11:$B$310)+COUNTA(条幅!$B$11:$B$310),INDEX(条幅!$E$11:$E$310,470-COUNTA(半紙!$B$11:$B$310)),IF(470&lt;=COUNTA(半紙!$B$11:$B$310)+COUNTA(条幅!$B$11:$B$310)+COUNTA(条幅4分の1!$B$11:$B$310),INDEX(条幅4分の1!$E$11:$E$310,470-COUNTA(半紙!$B$11:$B$310)-COUNTA(条幅!$B$11:$B$310)),""))))</f>
        <v/>
      </c>
      <c r="F475" s="38" t="str">
        <f>IF(IF(470&lt;=COUNTA(半紙!$B$11:$B$310),INDEX(半紙!$F$11:$F$310,470),IF(470&lt;=COUNTA(半紙!$B$11:$B$310)+COUNTA(条幅!$B$11:$B$310),INDEX(条幅!$F$11:$F$310,470-COUNTA(半紙!$B$11:$B$310)),IF(470&lt;=COUNTA(半紙!$B$11:$B$310)+COUNTA(条幅!$B$11:$B$310)+COUNTA(条幅4分の1!$B$11:$B$310),INDEX(条幅4分の1!$F$11:$F$310,470-COUNTA(半紙!$B$11:$B$310)-COUNTA(条幅!$B$11:$B$310)),"")))=0,"",IF(470&lt;=COUNTA(半紙!$B$11:$B$310),INDEX(半紙!$F$11:$F$310,470),IF(470&lt;=COUNTA(半紙!$B$11:$B$310)+COUNTA(条幅!$B$11:$B$310),INDEX(条幅!$F$11:$F$310,470-COUNTA(半紙!$B$11:$B$310)),IF(470&lt;=COUNTA(半紙!$B$11:$B$310)+COUNTA(条幅!$B$11:$B$310)+COUNTA(条幅4分の1!$B$11:$B$310),INDEX(条幅4分の1!$F$11:$F$310,470-COUNTA(半紙!$B$11:$B$310)-COUNTA(条幅!$B$11:$B$310)),""))))</f>
        <v/>
      </c>
      <c r="G475" s="38" t="str">
        <f>IF(IF(470&lt;=COUNTA(半紙!$B$11:$B$310),INDEX(半紙!$G$11:$G$310,470),IF(470&lt;=COUNTA(半紙!$B$11:$B$310)+COUNTA(条幅!$B$11:$B$310),INDEX(条幅!$G$11:$G$310,470-COUNTA(半紙!$B$11:$B$310)),IF(470&lt;=COUNTA(半紙!$B$11:$B$310)+COUNTA(条幅!$B$11:$B$310)+COUNTA(条幅4分の1!$B$11:$B$310),INDEX(条幅4分の1!$G$11:$G$310,470-COUNTA(半紙!$B$11:$B$310)-COUNTA(条幅!$B$11:$B$310)),"")))=0,"",IF(470&lt;=COUNTA(半紙!$B$11:$B$310),INDEX(半紙!$G$11:$G$310,470),IF(470&lt;=COUNTA(半紙!$B$11:$B$310)+COUNTA(条幅!$B$11:$B$310),INDEX(条幅!$G$11:$G$310,470-COUNTA(半紙!$B$11:$B$310)),IF(470&lt;=COUNTA(半紙!$B$11:$B$310)+COUNTA(条幅!$B$11:$B$310)+COUNTA(条幅4分の1!$B$11:$B$310),INDEX(条幅4分の1!$G$11:$G$310,470-COUNTA(半紙!$B$11:$B$310)-COUNTA(条幅!$B$11:$B$310)),""))))</f>
        <v/>
      </c>
      <c r="H475" s="38" t="str">
        <f>IF(IF(470&lt;=COUNTA(半紙!$B$11:$B$310),INDEX(半紙!$H$11:$H$310,470),IF(470&lt;=COUNTA(半紙!$B$11:$B$310)+COUNTA(条幅!$B$11:$B$310),INDEX(条幅!$H$11:$H$310,470-COUNTA(半紙!$B$11:$B$310)),IF(470&lt;=COUNTA(半紙!$B$11:$B$310)+COUNTA(条幅!$B$11:$B$310)+COUNTA(条幅4分の1!$B$11:$B$310),INDEX(条幅4分の1!$H$11:$H$310,470-COUNTA(半紙!$B$11:$B$310)-COUNTA(条幅!$B$11:$B$310)),"")))=0,"",IF(470&lt;=COUNTA(半紙!$B$11:$B$310),INDEX(半紙!$H$11:$H$310,470),IF(470&lt;=COUNTA(半紙!$B$11:$B$310)+COUNTA(条幅!$B$11:$B$310),INDEX(条幅!$H$11:$H$310,470-COUNTA(半紙!$B$11:$B$310)),IF(470&lt;=COUNTA(半紙!$B$11:$B$310)+COUNTA(条幅!$B$11:$B$310)+COUNTA(条幅4分の1!$B$11:$B$310),INDEX(条幅4分の1!$H$11:$H$310,470-COUNTA(半紙!$B$11:$B$310)-COUNTA(条幅!$B$11:$B$310)),""))))</f>
        <v/>
      </c>
      <c r="I475" s="38" t="str">
        <f>IF(IF(470&lt;=COUNTA(半紙!$B$11:$B$310),INDEX(半紙!$I$11:$I$310,470),IF(470&lt;=COUNTA(半紙!$B$11:$B$310)+COUNTA(条幅!$B$11:$B$310),INDEX(条幅!$I$11:$I$310,470-COUNTA(半紙!$B$11:$B$310)),IF(470&lt;=COUNTA(半紙!$B$11:$B$310)+COUNTA(条幅!$B$11:$B$310)+COUNTA(条幅4分の1!$B$11:$B$310),INDEX(条幅4分の1!$I$11:$I$310,470-COUNTA(半紙!$B$11:$B$310)-COUNTA(条幅!$B$11:$B$310)),"")))=0,"",IF(470&lt;=COUNTA(半紙!$B$11:$B$310),INDEX(半紙!$I$11:$I$310,470),IF(470&lt;=COUNTA(半紙!$B$11:$B$310)+COUNTA(条幅!$B$11:$B$310),INDEX(条幅!$I$11:$I$310,470-COUNTA(半紙!$B$11:$B$310)),IF(470&lt;=COUNTA(半紙!$B$11:$B$310)+COUNTA(条幅!$B$11:$B$310)+COUNTA(条幅4分の1!$B$11:$B$310),INDEX(条幅4分の1!$I$11:$I$310,470-COUNTA(半紙!$B$11:$B$310)-COUNTA(条幅!$B$11:$B$310)),""))))</f>
        <v/>
      </c>
      <c r="J475" s="38" t="str">
        <f>IF(IF(470&lt;=COUNTA(半紙!$B$11:$B$310),INDEX(半紙!$J$11:$J$310,470),IF(470&lt;=COUNTA(半紙!$B$11:$B$310)+COUNTA(条幅!$B$11:$B$310),INDEX(条幅!$J$11:$J$310,470-COUNTA(半紙!$B$11:$B$310)),IF(470&lt;=COUNTA(半紙!$B$11:$B$310)+COUNTA(条幅!$B$11:$B$310)+COUNTA(条幅4分の1!$B$11:$B$310),INDEX(条幅4分の1!$J$11:$J$310,470-COUNTA(半紙!$B$11:$B$310)-COUNTA(条幅!$B$11:$B$310)),"")))=0,"",IF(470&lt;=COUNTA(半紙!$B$11:$B$310),INDEX(半紙!$J$11:$J$310,470),IF(470&lt;=COUNTA(半紙!$B$11:$B$310)+COUNTA(条幅!$B$11:$B$310),INDEX(条幅!$J$11:$J$310,470-COUNTA(半紙!$B$11:$B$310)),IF(470&lt;=COUNTA(半紙!$B$11:$B$310)+COUNTA(条幅!$B$11:$B$310)+COUNTA(条幅4分の1!$B$11:$B$310),INDEX(条幅4分の1!$J$11:$J$310,470-COUNTA(半紙!$B$11:$B$310)-COUNTA(条幅!$B$11:$B$310)),""))))</f>
        <v/>
      </c>
      <c r="K475" s="38" t="str">
        <f>IF(IF(470&lt;=COUNTA(半紙!$B$11:$B$310),INDEX(半紙!$K$11:$K$310,470),IF(470&lt;=COUNTA(半紙!$B$11:$B$310)+COUNTA(条幅!$B$11:$B$310),INDEX(条幅!$K$11:$K$310,470-COUNTA(半紙!$B$11:$B$310)),IF(470&lt;=COUNTA(半紙!$B$11:$B$310)+COUNTA(条幅!$B$11:$B$310)+COUNTA(条幅4分の1!$B$11:$B$310),INDEX(条幅4分の1!$K$11:$K$310,470-COUNTA(半紙!$B$11:$B$310)-COUNTA(条幅!$B$11:$B$310)),"")))=0,"",IF(470&lt;=COUNTA(半紙!$B$11:$B$310),INDEX(半紙!$K$11:$K$310,470),IF(470&lt;=COUNTA(半紙!$B$11:$B$310)+COUNTA(条幅!$B$11:$B$310),INDEX(条幅!$K$11:$K$310,470-COUNTA(半紙!$B$11:$B$310)),IF(470&lt;=COUNTA(半紙!$B$11:$B$310)+COUNTA(条幅!$B$11:$B$310)+COUNTA(条幅4分の1!$B$11:$B$310),INDEX(条幅4分の1!$K$11:$K$310,470-COUNTA(半紙!$B$11:$B$310)-COUNTA(条幅!$B$11:$B$310)),""))))</f>
        <v/>
      </c>
      <c r="L475" s="48" t="str">
        <f>IF($B475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470))</f>
        <v/>
      </c>
    </row>
    <row r="476" spans="1:12" ht="15" customHeight="1">
      <c r="A476" s="37" t="str">
        <f>IF(471&lt;=COUNTA(半紙!$B$11:$B$310),"半紙",IF(471&lt;=COUNTA(半紙!$B$11:$B$310)+COUNTA(条幅!$B$11:$B$310),"条幅(半切)",IF(471&lt;=COUNTA(半紙!$B$11:$B$310)+COUNTA(条幅!$B$11:$B$310)+COUNTA(条幅4分の1!$B$11:$B$310),"条幅(1/4)","")))</f>
        <v/>
      </c>
      <c r="B476" s="38" t="str">
        <f>IF(IF(471&lt;=COUNTA(半紙!$B$11:$B$310),INDEX(半紙!$B$11:$B$310,471),IF(471&lt;=COUNTA(半紙!$B$11:$B$310)+COUNTA(条幅!$B$11:$B$310),INDEX(条幅!$B$11:$B$310,471-COUNTA(半紙!$B$11:$B$310)),IF(471&lt;=COUNTA(半紙!$B$11:$B$310)+COUNTA(条幅!$B$11:$B$310)+COUNTA(条幅4分の1!$B$11:$B$310),INDEX(条幅4分の1!$B$11:$B$310,471-COUNTA(半紙!$B$11:$B$310)-COUNTA(条幅!$B$11:$B$310)),"")))=0,"",IF(471&lt;=COUNTA(半紙!$B$11:$B$310),INDEX(半紙!$B$11:$B$310,471),IF(471&lt;=COUNTA(半紙!$B$11:$B$310)+COUNTA(条幅!$B$11:$B$310),INDEX(条幅!$B$11:$B$310,471-COUNTA(半紙!$B$11:$B$310)),IF(471&lt;=COUNTA(半紙!$B$11:$B$310)+COUNTA(条幅!$B$11:$B$310)+COUNTA(条幅4分の1!$B$11:$B$310),INDEX(条幅4分の1!$B$11:$B$310,471-COUNTA(半紙!$B$11:$B$310)-COUNTA(条幅!$B$11:$B$310)),""))))</f>
        <v/>
      </c>
      <c r="C476" s="38" t="str">
        <f>IF(IF(471&lt;=COUNTA(半紙!$B$11:$B$310),INDEX(半紙!$C$11:$C$310,471),IF(471&lt;=COUNTA(半紙!$B$11:$B$310)+COUNTA(条幅!$B$11:$B$310),INDEX(条幅!$C$11:$C$310,471-COUNTA(半紙!$B$11:$B$310)),IF(471&lt;=COUNTA(半紙!$B$11:$B$310)+COUNTA(条幅!$B$11:$B$310)+COUNTA(条幅4分の1!$B$11:$B$310),INDEX(条幅4分の1!$C$11:$C$310,471-COUNTA(半紙!$B$11:$B$310)-COUNTA(条幅!$B$11:$B$310)),"")))=0,"",IF(471&lt;=COUNTA(半紙!$B$11:$B$310),INDEX(半紙!$C$11:$C$310,471),IF(471&lt;=COUNTA(半紙!$B$11:$B$310)+COUNTA(条幅!$B$11:$B$310),INDEX(条幅!$C$11:$C$310,471-COUNTA(半紙!$B$11:$B$310)),IF(471&lt;=COUNTA(半紙!$B$11:$B$310)+COUNTA(条幅!$B$11:$B$310)+COUNTA(条幅4分の1!$B$11:$B$310),INDEX(条幅4分の1!$C$11:$C$310,471-COUNTA(半紙!$B$11:$B$310)-COUNTA(条幅!$B$11:$B$310)),""))))</f>
        <v/>
      </c>
      <c r="D476" s="38" t="str">
        <f>IF(IF(471&lt;=COUNTA(半紙!$B$11:$B$310),INDEX(半紙!$D$11:$D$310,471),IF(471&lt;=COUNTA(半紙!$B$11:$B$310)+COUNTA(条幅!$B$11:$B$310),INDEX(条幅!$D$11:$D$310,471-COUNTA(半紙!$B$11:$B$310)),IF(471&lt;=COUNTA(半紙!$B$11:$B$310)+COUNTA(条幅!$B$11:$B$310)+COUNTA(条幅4分の1!$B$11:$B$310),INDEX(条幅4分の1!$D$11:$D$310,471-COUNTA(半紙!$B$11:$B$310)-COUNTA(条幅!$B$11:$B$310)),"")))=0,"",IF(471&lt;=COUNTA(半紙!$B$11:$B$310),INDEX(半紙!$D$11:$D$310,471),IF(471&lt;=COUNTA(半紙!$B$11:$B$310)+COUNTA(条幅!$B$11:$B$310),INDEX(条幅!$D$11:$D$310,471-COUNTA(半紙!$B$11:$B$310)),IF(471&lt;=COUNTA(半紙!$B$11:$B$310)+COUNTA(条幅!$B$11:$B$310)+COUNTA(条幅4分の1!$B$11:$B$310),INDEX(条幅4分の1!$D$11:$D$310,471-COUNTA(半紙!$B$11:$B$310)-COUNTA(条幅!$B$11:$B$310)),""))))</f>
        <v/>
      </c>
      <c r="E476" s="38" t="str">
        <f>IF(IF(471&lt;=COUNTA(半紙!$B$11:$B$310),INDEX(半紙!$E$11:$E$310,471),IF(471&lt;=COUNTA(半紙!$B$11:$B$310)+COUNTA(条幅!$B$11:$B$310),INDEX(条幅!$E$11:$E$310,471-COUNTA(半紙!$B$11:$B$310)),IF(471&lt;=COUNTA(半紙!$B$11:$B$310)+COUNTA(条幅!$B$11:$B$310)+COUNTA(条幅4分の1!$B$11:$B$310),INDEX(条幅4分の1!$E$11:$E$310,471-COUNTA(半紙!$B$11:$B$310)-COUNTA(条幅!$B$11:$B$310)),"")))=0,"",IF(471&lt;=COUNTA(半紙!$B$11:$B$310),INDEX(半紙!$E$11:$E$310,471),IF(471&lt;=COUNTA(半紙!$B$11:$B$310)+COUNTA(条幅!$B$11:$B$310),INDEX(条幅!$E$11:$E$310,471-COUNTA(半紙!$B$11:$B$310)),IF(471&lt;=COUNTA(半紙!$B$11:$B$310)+COUNTA(条幅!$B$11:$B$310)+COUNTA(条幅4分の1!$B$11:$B$310),INDEX(条幅4分の1!$E$11:$E$310,471-COUNTA(半紙!$B$11:$B$310)-COUNTA(条幅!$B$11:$B$310)),""))))</f>
        <v/>
      </c>
      <c r="F476" s="38" t="str">
        <f>IF(IF(471&lt;=COUNTA(半紙!$B$11:$B$310),INDEX(半紙!$F$11:$F$310,471),IF(471&lt;=COUNTA(半紙!$B$11:$B$310)+COUNTA(条幅!$B$11:$B$310),INDEX(条幅!$F$11:$F$310,471-COUNTA(半紙!$B$11:$B$310)),IF(471&lt;=COUNTA(半紙!$B$11:$B$310)+COUNTA(条幅!$B$11:$B$310)+COUNTA(条幅4分の1!$B$11:$B$310),INDEX(条幅4分の1!$F$11:$F$310,471-COUNTA(半紙!$B$11:$B$310)-COUNTA(条幅!$B$11:$B$310)),"")))=0,"",IF(471&lt;=COUNTA(半紙!$B$11:$B$310),INDEX(半紙!$F$11:$F$310,471),IF(471&lt;=COUNTA(半紙!$B$11:$B$310)+COUNTA(条幅!$B$11:$B$310),INDEX(条幅!$F$11:$F$310,471-COUNTA(半紙!$B$11:$B$310)),IF(471&lt;=COUNTA(半紙!$B$11:$B$310)+COUNTA(条幅!$B$11:$B$310)+COUNTA(条幅4分の1!$B$11:$B$310),INDEX(条幅4分の1!$F$11:$F$310,471-COUNTA(半紙!$B$11:$B$310)-COUNTA(条幅!$B$11:$B$310)),""))))</f>
        <v/>
      </c>
      <c r="G476" s="38" t="str">
        <f>IF(IF(471&lt;=COUNTA(半紙!$B$11:$B$310),INDEX(半紙!$G$11:$G$310,471),IF(471&lt;=COUNTA(半紙!$B$11:$B$310)+COUNTA(条幅!$B$11:$B$310),INDEX(条幅!$G$11:$G$310,471-COUNTA(半紙!$B$11:$B$310)),IF(471&lt;=COUNTA(半紙!$B$11:$B$310)+COUNTA(条幅!$B$11:$B$310)+COUNTA(条幅4分の1!$B$11:$B$310),INDEX(条幅4分の1!$G$11:$G$310,471-COUNTA(半紙!$B$11:$B$310)-COUNTA(条幅!$B$11:$B$310)),"")))=0,"",IF(471&lt;=COUNTA(半紙!$B$11:$B$310),INDEX(半紙!$G$11:$G$310,471),IF(471&lt;=COUNTA(半紙!$B$11:$B$310)+COUNTA(条幅!$B$11:$B$310),INDEX(条幅!$G$11:$G$310,471-COUNTA(半紙!$B$11:$B$310)),IF(471&lt;=COUNTA(半紙!$B$11:$B$310)+COUNTA(条幅!$B$11:$B$310)+COUNTA(条幅4分の1!$B$11:$B$310),INDEX(条幅4分の1!$G$11:$G$310,471-COUNTA(半紙!$B$11:$B$310)-COUNTA(条幅!$B$11:$B$310)),""))))</f>
        <v/>
      </c>
      <c r="H476" s="38" t="str">
        <f>IF(IF(471&lt;=COUNTA(半紙!$B$11:$B$310),INDEX(半紙!$H$11:$H$310,471),IF(471&lt;=COUNTA(半紙!$B$11:$B$310)+COUNTA(条幅!$B$11:$B$310),INDEX(条幅!$H$11:$H$310,471-COUNTA(半紙!$B$11:$B$310)),IF(471&lt;=COUNTA(半紙!$B$11:$B$310)+COUNTA(条幅!$B$11:$B$310)+COUNTA(条幅4分の1!$B$11:$B$310),INDEX(条幅4分の1!$H$11:$H$310,471-COUNTA(半紙!$B$11:$B$310)-COUNTA(条幅!$B$11:$B$310)),"")))=0,"",IF(471&lt;=COUNTA(半紙!$B$11:$B$310),INDEX(半紙!$H$11:$H$310,471),IF(471&lt;=COUNTA(半紙!$B$11:$B$310)+COUNTA(条幅!$B$11:$B$310),INDEX(条幅!$H$11:$H$310,471-COUNTA(半紙!$B$11:$B$310)),IF(471&lt;=COUNTA(半紙!$B$11:$B$310)+COUNTA(条幅!$B$11:$B$310)+COUNTA(条幅4分の1!$B$11:$B$310),INDEX(条幅4分の1!$H$11:$H$310,471-COUNTA(半紙!$B$11:$B$310)-COUNTA(条幅!$B$11:$B$310)),""))))</f>
        <v/>
      </c>
      <c r="I476" s="38" t="str">
        <f>IF(IF(471&lt;=COUNTA(半紙!$B$11:$B$310),INDEX(半紙!$I$11:$I$310,471),IF(471&lt;=COUNTA(半紙!$B$11:$B$310)+COUNTA(条幅!$B$11:$B$310),INDEX(条幅!$I$11:$I$310,471-COUNTA(半紙!$B$11:$B$310)),IF(471&lt;=COUNTA(半紙!$B$11:$B$310)+COUNTA(条幅!$B$11:$B$310)+COUNTA(条幅4分の1!$B$11:$B$310),INDEX(条幅4分の1!$I$11:$I$310,471-COUNTA(半紙!$B$11:$B$310)-COUNTA(条幅!$B$11:$B$310)),"")))=0,"",IF(471&lt;=COUNTA(半紙!$B$11:$B$310),INDEX(半紙!$I$11:$I$310,471),IF(471&lt;=COUNTA(半紙!$B$11:$B$310)+COUNTA(条幅!$B$11:$B$310),INDEX(条幅!$I$11:$I$310,471-COUNTA(半紙!$B$11:$B$310)),IF(471&lt;=COUNTA(半紙!$B$11:$B$310)+COUNTA(条幅!$B$11:$B$310)+COUNTA(条幅4分の1!$B$11:$B$310),INDEX(条幅4分の1!$I$11:$I$310,471-COUNTA(半紙!$B$11:$B$310)-COUNTA(条幅!$B$11:$B$310)),""))))</f>
        <v/>
      </c>
      <c r="J476" s="38" t="str">
        <f>IF(IF(471&lt;=COUNTA(半紙!$B$11:$B$310),INDEX(半紙!$J$11:$J$310,471),IF(471&lt;=COUNTA(半紙!$B$11:$B$310)+COUNTA(条幅!$B$11:$B$310),INDEX(条幅!$J$11:$J$310,471-COUNTA(半紙!$B$11:$B$310)),IF(471&lt;=COUNTA(半紙!$B$11:$B$310)+COUNTA(条幅!$B$11:$B$310)+COUNTA(条幅4分の1!$B$11:$B$310),INDEX(条幅4分の1!$J$11:$J$310,471-COUNTA(半紙!$B$11:$B$310)-COUNTA(条幅!$B$11:$B$310)),"")))=0,"",IF(471&lt;=COUNTA(半紙!$B$11:$B$310),INDEX(半紙!$J$11:$J$310,471),IF(471&lt;=COUNTA(半紙!$B$11:$B$310)+COUNTA(条幅!$B$11:$B$310),INDEX(条幅!$J$11:$J$310,471-COUNTA(半紙!$B$11:$B$310)),IF(471&lt;=COUNTA(半紙!$B$11:$B$310)+COUNTA(条幅!$B$11:$B$310)+COUNTA(条幅4分の1!$B$11:$B$310),INDEX(条幅4分の1!$J$11:$J$310,471-COUNTA(半紙!$B$11:$B$310)-COUNTA(条幅!$B$11:$B$310)),""))))</f>
        <v/>
      </c>
      <c r="K476" s="38" t="str">
        <f>IF(IF(471&lt;=COUNTA(半紙!$B$11:$B$310),INDEX(半紙!$K$11:$K$310,471),IF(471&lt;=COUNTA(半紙!$B$11:$B$310)+COUNTA(条幅!$B$11:$B$310),INDEX(条幅!$K$11:$K$310,471-COUNTA(半紙!$B$11:$B$310)),IF(471&lt;=COUNTA(半紙!$B$11:$B$310)+COUNTA(条幅!$B$11:$B$310)+COUNTA(条幅4分の1!$B$11:$B$310),INDEX(条幅4分の1!$K$11:$K$310,471-COUNTA(半紙!$B$11:$B$310)-COUNTA(条幅!$B$11:$B$310)),"")))=0,"",IF(471&lt;=COUNTA(半紙!$B$11:$B$310),INDEX(半紙!$K$11:$K$310,471),IF(471&lt;=COUNTA(半紙!$B$11:$B$310)+COUNTA(条幅!$B$11:$B$310),INDEX(条幅!$K$11:$K$310,471-COUNTA(半紙!$B$11:$B$310)),IF(471&lt;=COUNTA(半紙!$B$11:$B$310)+COUNTA(条幅!$B$11:$B$310)+COUNTA(条幅4分の1!$B$11:$B$310),INDEX(条幅4分の1!$K$11:$K$310,471-COUNTA(半紙!$B$11:$B$310)-COUNTA(条幅!$B$11:$B$310)),""))))</f>
        <v/>
      </c>
      <c r="L476" s="48" t="str">
        <f>IF($B476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471))</f>
        <v/>
      </c>
    </row>
    <row r="477" spans="1:12" ht="15" customHeight="1">
      <c r="A477" s="37" t="str">
        <f>IF(472&lt;=COUNTA(半紙!$B$11:$B$310),"半紙",IF(472&lt;=COUNTA(半紙!$B$11:$B$310)+COUNTA(条幅!$B$11:$B$310),"条幅(半切)",IF(472&lt;=COUNTA(半紙!$B$11:$B$310)+COUNTA(条幅!$B$11:$B$310)+COUNTA(条幅4分の1!$B$11:$B$310),"条幅(1/4)","")))</f>
        <v/>
      </c>
      <c r="B477" s="38" t="str">
        <f>IF(IF(472&lt;=COUNTA(半紙!$B$11:$B$310),INDEX(半紙!$B$11:$B$310,472),IF(472&lt;=COUNTA(半紙!$B$11:$B$310)+COUNTA(条幅!$B$11:$B$310),INDEX(条幅!$B$11:$B$310,472-COUNTA(半紙!$B$11:$B$310)),IF(472&lt;=COUNTA(半紙!$B$11:$B$310)+COUNTA(条幅!$B$11:$B$310)+COUNTA(条幅4分の1!$B$11:$B$310),INDEX(条幅4分の1!$B$11:$B$310,472-COUNTA(半紙!$B$11:$B$310)-COUNTA(条幅!$B$11:$B$310)),"")))=0,"",IF(472&lt;=COUNTA(半紙!$B$11:$B$310),INDEX(半紙!$B$11:$B$310,472),IF(472&lt;=COUNTA(半紙!$B$11:$B$310)+COUNTA(条幅!$B$11:$B$310),INDEX(条幅!$B$11:$B$310,472-COUNTA(半紙!$B$11:$B$310)),IF(472&lt;=COUNTA(半紙!$B$11:$B$310)+COUNTA(条幅!$B$11:$B$310)+COUNTA(条幅4分の1!$B$11:$B$310),INDEX(条幅4分の1!$B$11:$B$310,472-COUNTA(半紙!$B$11:$B$310)-COUNTA(条幅!$B$11:$B$310)),""))))</f>
        <v/>
      </c>
      <c r="C477" s="38" t="str">
        <f>IF(IF(472&lt;=COUNTA(半紙!$B$11:$B$310),INDEX(半紙!$C$11:$C$310,472),IF(472&lt;=COUNTA(半紙!$B$11:$B$310)+COUNTA(条幅!$B$11:$B$310),INDEX(条幅!$C$11:$C$310,472-COUNTA(半紙!$B$11:$B$310)),IF(472&lt;=COUNTA(半紙!$B$11:$B$310)+COUNTA(条幅!$B$11:$B$310)+COUNTA(条幅4分の1!$B$11:$B$310),INDEX(条幅4分の1!$C$11:$C$310,472-COUNTA(半紙!$B$11:$B$310)-COUNTA(条幅!$B$11:$B$310)),"")))=0,"",IF(472&lt;=COUNTA(半紙!$B$11:$B$310),INDEX(半紙!$C$11:$C$310,472),IF(472&lt;=COUNTA(半紙!$B$11:$B$310)+COUNTA(条幅!$B$11:$B$310),INDEX(条幅!$C$11:$C$310,472-COUNTA(半紙!$B$11:$B$310)),IF(472&lt;=COUNTA(半紙!$B$11:$B$310)+COUNTA(条幅!$B$11:$B$310)+COUNTA(条幅4分の1!$B$11:$B$310),INDEX(条幅4分の1!$C$11:$C$310,472-COUNTA(半紙!$B$11:$B$310)-COUNTA(条幅!$B$11:$B$310)),""))))</f>
        <v/>
      </c>
      <c r="D477" s="38" t="str">
        <f>IF(IF(472&lt;=COUNTA(半紙!$B$11:$B$310),INDEX(半紙!$D$11:$D$310,472),IF(472&lt;=COUNTA(半紙!$B$11:$B$310)+COUNTA(条幅!$B$11:$B$310),INDEX(条幅!$D$11:$D$310,472-COUNTA(半紙!$B$11:$B$310)),IF(472&lt;=COUNTA(半紙!$B$11:$B$310)+COUNTA(条幅!$B$11:$B$310)+COUNTA(条幅4分の1!$B$11:$B$310),INDEX(条幅4分の1!$D$11:$D$310,472-COUNTA(半紙!$B$11:$B$310)-COUNTA(条幅!$B$11:$B$310)),"")))=0,"",IF(472&lt;=COUNTA(半紙!$B$11:$B$310),INDEX(半紙!$D$11:$D$310,472),IF(472&lt;=COUNTA(半紙!$B$11:$B$310)+COUNTA(条幅!$B$11:$B$310),INDEX(条幅!$D$11:$D$310,472-COUNTA(半紙!$B$11:$B$310)),IF(472&lt;=COUNTA(半紙!$B$11:$B$310)+COUNTA(条幅!$B$11:$B$310)+COUNTA(条幅4分の1!$B$11:$B$310),INDEX(条幅4分の1!$D$11:$D$310,472-COUNTA(半紙!$B$11:$B$310)-COUNTA(条幅!$B$11:$B$310)),""))))</f>
        <v/>
      </c>
      <c r="E477" s="38" t="str">
        <f>IF(IF(472&lt;=COUNTA(半紙!$B$11:$B$310),INDEX(半紙!$E$11:$E$310,472),IF(472&lt;=COUNTA(半紙!$B$11:$B$310)+COUNTA(条幅!$B$11:$B$310),INDEX(条幅!$E$11:$E$310,472-COUNTA(半紙!$B$11:$B$310)),IF(472&lt;=COUNTA(半紙!$B$11:$B$310)+COUNTA(条幅!$B$11:$B$310)+COUNTA(条幅4分の1!$B$11:$B$310),INDEX(条幅4分の1!$E$11:$E$310,472-COUNTA(半紙!$B$11:$B$310)-COUNTA(条幅!$B$11:$B$310)),"")))=0,"",IF(472&lt;=COUNTA(半紙!$B$11:$B$310),INDEX(半紙!$E$11:$E$310,472),IF(472&lt;=COUNTA(半紙!$B$11:$B$310)+COUNTA(条幅!$B$11:$B$310),INDEX(条幅!$E$11:$E$310,472-COUNTA(半紙!$B$11:$B$310)),IF(472&lt;=COUNTA(半紙!$B$11:$B$310)+COUNTA(条幅!$B$11:$B$310)+COUNTA(条幅4分の1!$B$11:$B$310),INDEX(条幅4分の1!$E$11:$E$310,472-COUNTA(半紙!$B$11:$B$310)-COUNTA(条幅!$B$11:$B$310)),""))))</f>
        <v/>
      </c>
      <c r="F477" s="38" t="str">
        <f>IF(IF(472&lt;=COUNTA(半紙!$B$11:$B$310),INDEX(半紙!$F$11:$F$310,472),IF(472&lt;=COUNTA(半紙!$B$11:$B$310)+COUNTA(条幅!$B$11:$B$310),INDEX(条幅!$F$11:$F$310,472-COUNTA(半紙!$B$11:$B$310)),IF(472&lt;=COUNTA(半紙!$B$11:$B$310)+COUNTA(条幅!$B$11:$B$310)+COUNTA(条幅4分の1!$B$11:$B$310),INDEX(条幅4分の1!$F$11:$F$310,472-COUNTA(半紙!$B$11:$B$310)-COUNTA(条幅!$B$11:$B$310)),"")))=0,"",IF(472&lt;=COUNTA(半紙!$B$11:$B$310),INDEX(半紙!$F$11:$F$310,472),IF(472&lt;=COUNTA(半紙!$B$11:$B$310)+COUNTA(条幅!$B$11:$B$310),INDEX(条幅!$F$11:$F$310,472-COUNTA(半紙!$B$11:$B$310)),IF(472&lt;=COUNTA(半紙!$B$11:$B$310)+COUNTA(条幅!$B$11:$B$310)+COUNTA(条幅4分の1!$B$11:$B$310),INDEX(条幅4分の1!$F$11:$F$310,472-COUNTA(半紙!$B$11:$B$310)-COUNTA(条幅!$B$11:$B$310)),""))))</f>
        <v/>
      </c>
      <c r="G477" s="38" t="str">
        <f>IF(IF(472&lt;=COUNTA(半紙!$B$11:$B$310),INDEX(半紙!$G$11:$G$310,472),IF(472&lt;=COUNTA(半紙!$B$11:$B$310)+COUNTA(条幅!$B$11:$B$310),INDEX(条幅!$G$11:$G$310,472-COUNTA(半紙!$B$11:$B$310)),IF(472&lt;=COUNTA(半紙!$B$11:$B$310)+COUNTA(条幅!$B$11:$B$310)+COUNTA(条幅4分の1!$B$11:$B$310),INDEX(条幅4分の1!$G$11:$G$310,472-COUNTA(半紙!$B$11:$B$310)-COUNTA(条幅!$B$11:$B$310)),"")))=0,"",IF(472&lt;=COUNTA(半紙!$B$11:$B$310),INDEX(半紙!$G$11:$G$310,472),IF(472&lt;=COUNTA(半紙!$B$11:$B$310)+COUNTA(条幅!$B$11:$B$310),INDEX(条幅!$G$11:$G$310,472-COUNTA(半紙!$B$11:$B$310)),IF(472&lt;=COUNTA(半紙!$B$11:$B$310)+COUNTA(条幅!$B$11:$B$310)+COUNTA(条幅4分の1!$B$11:$B$310),INDEX(条幅4分の1!$G$11:$G$310,472-COUNTA(半紙!$B$11:$B$310)-COUNTA(条幅!$B$11:$B$310)),""))))</f>
        <v/>
      </c>
      <c r="H477" s="38" t="str">
        <f>IF(IF(472&lt;=COUNTA(半紙!$B$11:$B$310),INDEX(半紙!$H$11:$H$310,472),IF(472&lt;=COUNTA(半紙!$B$11:$B$310)+COUNTA(条幅!$B$11:$B$310),INDEX(条幅!$H$11:$H$310,472-COUNTA(半紙!$B$11:$B$310)),IF(472&lt;=COUNTA(半紙!$B$11:$B$310)+COUNTA(条幅!$B$11:$B$310)+COUNTA(条幅4分の1!$B$11:$B$310),INDEX(条幅4分の1!$H$11:$H$310,472-COUNTA(半紙!$B$11:$B$310)-COUNTA(条幅!$B$11:$B$310)),"")))=0,"",IF(472&lt;=COUNTA(半紙!$B$11:$B$310),INDEX(半紙!$H$11:$H$310,472),IF(472&lt;=COUNTA(半紙!$B$11:$B$310)+COUNTA(条幅!$B$11:$B$310),INDEX(条幅!$H$11:$H$310,472-COUNTA(半紙!$B$11:$B$310)),IF(472&lt;=COUNTA(半紙!$B$11:$B$310)+COUNTA(条幅!$B$11:$B$310)+COUNTA(条幅4分の1!$B$11:$B$310),INDEX(条幅4分の1!$H$11:$H$310,472-COUNTA(半紙!$B$11:$B$310)-COUNTA(条幅!$B$11:$B$310)),""))))</f>
        <v/>
      </c>
      <c r="I477" s="38" t="str">
        <f>IF(IF(472&lt;=COUNTA(半紙!$B$11:$B$310),INDEX(半紙!$I$11:$I$310,472),IF(472&lt;=COUNTA(半紙!$B$11:$B$310)+COUNTA(条幅!$B$11:$B$310),INDEX(条幅!$I$11:$I$310,472-COUNTA(半紙!$B$11:$B$310)),IF(472&lt;=COUNTA(半紙!$B$11:$B$310)+COUNTA(条幅!$B$11:$B$310)+COUNTA(条幅4分の1!$B$11:$B$310),INDEX(条幅4分の1!$I$11:$I$310,472-COUNTA(半紙!$B$11:$B$310)-COUNTA(条幅!$B$11:$B$310)),"")))=0,"",IF(472&lt;=COUNTA(半紙!$B$11:$B$310),INDEX(半紙!$I$11:$I$310,472),IF(472&lt;=COUNTA(半紙!$B$11:$B$310)+COUNTA(条幅!$B$11:$B$310),INDEX(条幅!$I$11:$I$310,472-COUNTA(半紙!$B$11:$B$310)),IF(472&lt;=COUNTA(半紙!$B$11:$B$310)+COUNTA(条幅!$B$11:$B$310)+COUNTA(条幅4分の1!$B$11:$B$310),INDEX(条幅4分の1!$I$11:$I$310,472-COUNTA(半紙!$B$11:$B$310)-COUNTA(条幅!$B$11:$B$310)),""))))</f>
        <v/>
      </c>
      <c r="J477" s="38" t="str">
        <f>IF(IF(472&lt;=COUNTA(半紙!$B$11:$B$310),INDEX(半紙!$J$11:$J$310,472),IF(472&lt;=COUNTA(半紙!$B$11:$B$310)+COUNTA(条幅!$B$11:$B$310),INDEX(条幅!$J$11:$J$310,472-COUNTA(半紙!$B$11:$B$310)),IF(472&lt;=COUNTA(半紙!$B$11:$B$310)+COUNTA(条幅!$B$11:$B$310)+COUNTA(条幅4分の1!$B$11:$B$310),INDEX(条幅4分の1!$J$11:$J$310,472-COUNTA(半紙!$B$11:$B$310)-COUNTA(条幅!$B$11:$B$310)),"")))=0,"",IF(472&lt;=COUNTA(半紙!$B$11:$B$310),INDEX(半紙!$J$11:$J$310,472),IF(472&lt;=COUNTA(半紙!$B$11:$B$310)+COUNTA(条幅!$B$11:$B$310),INDEX(条幅!$J$11:$J$310,472-COUNTA(半紙!$B$11:$B$310)),IF(472&lt;=COUNTA(半紙!$B$11:$B$310)+COUNTA(条幅!$B$11:$B$310)+COUNTA(条幅4分の1!$B$11:$B$310),INDEX(条幅4分の1!$J$11:$J$310,472-COUNTA(半紙!$B$11:$B$310)-COUNTA(条幅!$B$11:$B$310)),""))))</f>
        <v/>
      </c>
      <c r="K477" s="38" t="str">
        <f>IF(IF(472&lt;=COUNTA(半紙!$B$11:$B$310),INDEX(半紙!$K$11:$K$310,472),IF(472&lt;=COUNTA(半紙!$B$11:$B$310)+COUNTA(条幅!$B$11:$B$310),INDEX(条幅!$K$11:$K$310,472-COUNTA(半紙!$B$11:$B$310)),IF(472&lt;=COUNTA(半紙!$B$11:$B$310)+COUNTA(条幅!$B$11:$B$310)+COUNTA(条幅4分の1!$B$11:$B$310),INDEX(条幅4分の1!$K$11:$K$310,472-COUNTA(半紙!$B$11:$B$310)-COUNTA(条幅!$B$11:$B$310)),"")))=0,"",IF(472&lt;=COUNTA(半紙!$B$11:$B$310),INDEX(半紙!$K$11:$K$310,472),IF(472&lt;=COUNTA(半紙!$B$11:$B$310)+COUNTA(条幅!$B$11:$B$310),INDEX(条幅!$K$11:$K$310,472-COUNTA(半紙!$B$11:$B$310)),IF(472&lt;=COUNTA(半紙!$B$11:$B$310)+COUNTA(条幅!$B$11:$B$310)+COUNTA(条幅4分の1!$B$11:$B$310),INDEX(条幅4分の1!$K$11:$K$310,472-COUNTA(半紙!$B$11:$B$310)-COUNTA(条幅!$B$11:$B$310)),""))))</f>
        <v/>
      </c>
      <c r="L477" s="48" t="str">
        <f>IF($B477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472))</f>
        <v/>
      </c>
    </row>
    <row r="478" spans="1:12" ht="15" customHeight="1">
      <c r="A478" s="37" t="str">
        <f>IF(473&lt;=COUNTA(半紙!$B$11:$B$310),"半紙",IF(473&lt;=COUNTA(半紙!$B$11:$B$310)+COUNTA(条幅!$B$11:$B$310),"条幅(半切)",IF(473&lt;=COUNTA(半紙!$B$11:$B$310)+COUNTA(条幅!$B$11:$B$310)+COUNTA(条幅4分の1!$B$11:$B$310),"条幅(1/4)","")))</f>
        <v/>
      </c>
      <c r="B478" s="38" t="str">
        <f>IF(IF(473&lt;=COUNTA(半紙!$B$11:$B$310),INDEX(半紙!$B$11:$B$310,473),IF(473&lt;=COUNTA(半紙!$B$11:$B$310)+COUNTA(条幅!$B$11:$B$310),INDEX(条幅!$B$11:$B$310,473-COUNTA(半紙!$B$11:$B$310)),IF(473&lt;=COUNTA(半紙!$B$11:$B$310)+COUNTA(条幅!$B$11:$B$310)+COUNTA(条幅4分の1!$B$11:$B$310),INDEX(条幅4分の1!$B$11:$B$310,473-COUNTA(半紙!$B$11:$B$310)-COUNTA(条幅!$B$11:$B$310)),"")))=0,"",IF(473&lt;=COUNTA(半紙!$B$11:$B$310),INDEX(半紙!$B$11:$B$310,473),IF(473&lt;=COUNTA(半紙!$B$11:$B$310)+COUNTA(条幅!$B$11:$B$310),INDEX(条幅!$B$11:$B$310,473-COUNTA(半紙!$B$11:$B$310)),IF(473&lt;=COUNTA(半紙!$B$11:$B$310)+COUNTA(条幅!$B$11:$B$310)+COUNTA(条幅4分の1!$B$11:$B$310),INDEX(条幅4分の1!$B$11:$B$310,473-COUNTA(半紙!$B$11:$B$310)-COUNTA(条幅!$B$11:$B$310)),""))))</f>
        <v/>
      </c>
      <c r="C478" s="38" t="str">
        <f>IF(IF(473&lt;=COUNTA(半紙!$B$11:$B$310),INDEX(半紙!$C$11:$C$310,473),IF(473&lt;=COUNTA(半紙!$B$11:$B$310)+COUNTA(条幅!$B$11:$B$310),INDEX(条幅!$C$11:$C$310,473-COUNTA(半紙!$B$11:$B$310)),IF(473&lt;=COUNTA(半紙!$B$11:$B$310)+COUNTA(条幅!$B$11:$B$310)+COUNTA(条幅4分の1!$B$11:$B$310),INDEX(条幅4分の1!$C$11:$C$310,473-COUNTA(半紙!$B$11:$B$310)-COUNTA(条幅!$B$11:$B$310)),"")))=0,"",IF(473&lt;=COUNTA(半紙!$B$11:$B$310),INDEX(半紙!$C$11:$C$310,473),IF(473&lt;=COUNTA(半紙!$B$11:$B$310)+COUNTA(条幅!$B$11:$B$310),INDEX(条幅!$C$11:$C$310,473-COUNTA(半紙!$B$11:$B$310)),IF(473&lt;=COUNTA(半紙!$B$11:$B$310)+COUNTA(条幅!$B$11:$B$310)+COUNTA(条幅4分の1!$B$11:$B$310),INDEX(条幅4分の1!$C$11:$C$310,473-COUNTA(半紙!$B$11:$B$310)-COUNTA(条幅!$B$11:$B$310)),""))))</f>
        <v/>
      </c>
      <c r="D478" s="38" t="str">
        <f>IF(IF(473&lt;=COUNTA(半紙!$B$11:$B$310),INDEX(半紙!$D$11:$D$310,473),IF(473&lt;=COUNTA(半紙!$B$11:$B$310)+COUNTA(条幅!$B$11:$B$310),INDEX(条幅!$D$11:$D$310,473-COUNTA(半紙!$B$11:$B$310)),IF(473&lt;=COUNTA(半紙!$B$11:$B$310)+COUNTA(条幅!$B$11:$B$310)+COUNTA(条幅4分の1!$B$11:$B$310),INDEX(条幅4分の1!$D$11:$D$310,473-COUNTA(半紙!$B$11:$B$310)-COUNTA(条幅!$B$11:$B$310)),"")))=0,"",IF(473&lt;=COUNTA(半紙!$B$11:$B$310),INDEX(半紙!$D$11:$D$310,473),IF(473&lt;=COUNTA(半紙!$B$11:$B$310)+COUNTA(条幅!$B$11:$B$310),INDEX(条幅!$D$11:$D$310,473-COUNTA(半紙!$B$11:$B$310)),IF(473&lt;=COUNTA(半紙!$B$11:$B$310)+COUNTA(条幅!$B$11:$B$310)+COUNTA(条幅4分の1!$B$11:$B$310),INDEX(条幅4分の1!$D$11:$D$310,473-COUNTA(半紙!$B$11:$B$310)-COUNTA(条幅!$B$11:$B$310)),""))))</f>
        <v/>
      </c>
      <c r="E478" s="38" t="str">
        <f>IF(IF(473&lt;=COUNTA(半紙!$B$11:$B$310),INDEX(半紙!$E$11:$E$310,473),IF(473&lt;=COUNTA(半紙!$B$11:$B$310)+COUNTA(条幅!$B$11:$B$310),INDEX(条幅!$E$11:$E$310,473-COUNTA(半紙!$B$11:$B$310)),IF(473&lt;=COUNTA(半紙!$B$11:$B$310)+COUNTA(条幅!$B$11:$B$310)+COUNTA(条幅4分の1!$B$11:$B$310),INDEX(条幅4分の1!$E$11:$E$310,473-COUNTA(半紙!$B$11:$B$310)-COUNTA(条幅!$B$11:$B$310)),"")))=0,"",IF(473&lt;=COUNTA(半紙!$B$11:$B$310),INDEX(半紙!$E$11:$E$310,473),IF(473&lt;=COUNTA(半紙!$B$11:$B$310)+COUNTA(条幅!$B$11:$B$310),INDEX(条幅!$E$11:$E$310,473-COUNTA(半紙!$B$11:$B$310)),IF(473&lt;=COUNTA(半紙!$B$11:$B$310)+COUNTA(条幅!$B$11:$B$310)+COUNTA(条幅4分の1!$B$11:$B$310),INDEX(条幅4分の1!$E$11:$E$310,473-COUNTA(半紙!$B$11:$B$310)-COUNTA(条幅!$B$11:$B$310)),""))))</f>
        <v/>
      </c>
      <c r="F478" s="38" t="str">
        <f>IF(IF(473&lt;=COUNTA(半紙!$B$11:$B$310),INDEX(半紙!$F$11:$F$310,473),IF(473&lt;=COUNTA(半紙!$B$11:$B$310)+COUNTA(条幅!$B$11:$B$310),INDEX(条幅!$F$11:$F$310,473-COUNTA(半紙!$B$11:$B$310)),IF(473&lt;=COUNTA(半紙!$B$11:$B$310)+COUNTA(条幅!$B$11:$B$310)+COUNTA(条幅4分の1!$B$11:$B$310),INDEX(条幅4分の1!$F$11:$F$310,473-COUNTA(半紙!$B$11:$B$310)-COUNTA(条幅!$B$11:$B$310)),"")))=0,"",IF(473&lt;=COUNTA(半紙!$B$11:$B$310),INDEX(半紙!$F$11:$F$310,473),IF(473&lt;=COUNTA(半紙!$B$11:$B$310)+COUNTA(条幅!$B$11:$B$310),INDEX(条幅!$F$11:$F$310,473-COUNTA(半紙!$B$11:$B$310)),IF(473&lt;=COUNTA(半紙!$B$11:$B$310)+COUNTA(条幅!$B$11:$B$310)+COUNTA(条幅4分の1!$B$11:$B$310),INDEX(条幅4分の1!$F$11:$F$310,473-COUNTA(半紙!$B$11:$B$310)-COUNTA(条幅!$B$11:$B$310)),""))))</f>
        <v/>
      </c>
      <c r="G478" s="38" t="str">
        <f>IF(IF(473&lt;=COUNTA(半紙!$B$11:$B$310),INDEX(半紙!$G$11:$G$310,473),IF(473&lt;=COUNTA(半紙!$B$11:$B$310)+COUNTA(条幅!$B$11:$B$310),INDEX(条幅!$G$11:$G$310,473-COUNTA(半紙!$B$11:$B$310)),IF(473&lt;=COUNTA(半紙!$B$11:$B$310)+COUNTA(条幅!$B$11:$B$310)+COUNTA(条幅4分の1!$B$11:$B$310),INDEX(条幅4分の1!$G$11:$G$310,473-COUNTA(半紙!$B$11:$B$310)-COUNTA(条幅!$B$11:$B$310)),"")))=0,"",IF(473&lt;=COUNTA(半紙!$B$11:$B$310),INDEX(半紙!$G$11:$G$310,473),IF(473&lt;=COUNTA(半紙!$B$11:$B$310)+COUNTA(条幅!$B$11:$B$310),INDEX(条幅!$G$11:$G$310,473-COUNTA(半紙!$B$11:$B$310)),IF(473&lt;=COUNTA(半紙!$B$11:$B$310)+COUNTA(条幅!$B$11:$B$310)+COUNTA(条幅4分の1!$B$11:$B$310),INDEX(条幅4分の1!$G$11:$G$310,473-COUNTA(半紙!$B$11:$B$310)-COUNTA(条幅!$B$11:$B$310)),""))))</f>
        <v/>
      </c>
      <c r="H478" s="38" t="str">
        <f>IF(IF(473&lt;=COUNTA(半紙!$B$11:$B$310),INDEX(半紙!$H$11:$H$310,473),IF(473&lt;=COUNTA(半紙!$B$11:$B$310)+COUNTA(条幅!$B$11:$B$310),INDEX(条幅!$H$11:$H$310,473-COUNTA(半紙!$B$11:$B$310)),IF(473&lt;=COUNTA(半紙!$B$11:$B$310)+COUNTA(条幅!$B$11:$B$310)+COUNTA(条幅4分の1!$B$11:$B$310),INDEX(条幅4分の1!$H$11:$H$310,473-COUNTA(半紙!$B$11:$B$310)-COUNTA(条幅!$B$11:$B$310)),"")))=0,"",IF(473&lt;=COUNTA(半紙!$B$11:$B$310),INDEX(半紙!$H$11:$H$310,473),IF(473&lt;=COUNTA(半紙!$B$11:$B$310)+COUNTA(条幅!$B$11:$B$310),INDEX(条幅!$H$11:$H$310,473-COUNTA(半紙!$B$11:$B$310)),IF(473&lt;=COUNTA(半紙!$B$11:$B$310)+COUNTA(条幅!$B$11:$B$310)+COUNTA(条幅4分の1!$B$11:$B$310),INDEX(条幅4分の1!$H$11:$H$310,473-COUNTA(半紙!$B$11:$B$310)-COUNTA(条幅!$B$11:$B$310)),""))))</f>
        <v/>
      </c>
      <c r="I478" s="38" t="str">
        <f>IF(IF(473&lt;=COUNTA(半紙!$B$11:$B$310),INDEX(半紙!$I$11:$I$310,473),IF(473&lt;=COUNTA(半紙!$B$11:$B$310)+COUNTA(条幅!$B$11:$B$310),INDEX(条幅!$I$11:$I$310,473-COUNTA(半紙!$B$11:$B$310)),IF(473&lt;=COUNTA(半紙!$B$11:$B$310)+COUNTA(条幅!$B$11:$B$310)+COUNTA(条幅4分の1!$B$11:$B$310),INDEX(条幅4分の1!$I$11:$I$310,473-COUNTA(半紙!$B$11:$B$310)-COUNTA(条幅!$B$11:$B$310)),"")))=0,"",IF(473&lt;=COUNTA(半紙!$B$11:$B$310),INDEX(半紙!$I$11:$I$310,473),IF(473&lt;=COUNTA(半紙!$B$11:$B$310)+COUNTA(条幅!$B$11:$B$310),INDEX(条幅!$I$11:$I$310,473-COUNTA(半紙!$B$11:$B$310)),IF(473&lt;=COUNTA(半紙!$B$11:$B$310)+COUNTA(条幅!$B$11:$B$310)+COUNTA(条幅4分の1!$B$11:$B$310),INDEX(条幅4分の1!$I$11:$I$310,473-COUNTA(半紙!$B$11:$B$310)-COUNTA(条幅!$B$11:$B$310)),""))))</f>
        <v/>
      </c>
      <c r="J478" s="38" t="str">
        <f>IF(IF(473&lt;=COUNTA(半紙!$B$11:$B$310),INDEX(半紙!$J$11:$J$310,473),IF(473&lt;=COUNTA(半紙!$B$11:$B$310)+COUNTA(条幅!$B$11:$B$310),INDEX(条幅!$J$11:$J$310,473-COUNTA(半紙!$B$11:$B$310)),IF(473&lt;=COUNTA(半紙!$B$11:$B$310)+COUNTA(条幅!$B$11:$B$310)+COUNTA(条幅4分の1!$B$11:$B$310),INDEX(条幅4分の1!$J$11:$J$310,473-COUNTA(半紙!$B$11:$B$310)-COUNTA(条幅!$B$11:$B$310)),"")))=0,"",IF(473&lt;=COUNTA(半紙!$B$11:$B$310),INDEX(半紙!$J$11:$J$310,473),IF(473&lt;=COUNTA(半紙!$B$11:$B$310)+COUNTA(条幅!$B$11:$B$310),INDEX(条幅!$J$11:$J$310,473-COUNTA(半紙!$B$11:$B$310)),IF(473&lt;=COUNTA(半紙!$B$11:$B$310)+COUNTA(条幅!$B$11:$B$310)+COUNTA(条幅4分の1!$B$11:$B$310),INDEX(条幅4分の1!$J$11:$J$310,473-COUNTA(半紙!$B$11:$B$310)-COUNTA(条幅!$B$11:$B$310)),""))))</f>
        <v/>
      </c>
      <c r="K478" s="38" t="str">
        <f>IF(IF(473&lt;=COUNTA(半紙!$B$11:$B$310),INDEX(半紙!$K$11:$K$310,473),IF(473&lt;=COUNTA(半紙!$B$11:$B$310)+COUNTA(条幅!$B$11:$B$310),INDEX(条幅!$K$11:$K$310,473-COUNTA(半紙!$B$11:$B$310)),IF(473&lt;=COUNTA(半紙!$B$11:$B$310)+COUNTA(条幅!$B$11:$B$310)+COUNTA(条幅4分の1!$B$11:$B$310),INDEX(条幅4分の1!$K$11:$K$310,473-COUNTA(半紙!$B$11:$B$310)-COUNTA(条幅!$B$11:$B$310)),"")))=0,"",IF(473&lt;=COUNTA(半紙!$B$11:$B$310),INDEX(半紙!$K$11:$K$310,473),IF(473&lt;=COUNTA(半紙!$B$11:$B$310)+COUNTA(条幅!$B$11:$B$310),INDEX(条幅!$K$11:$K$310,473-COUNTA(半紙!$B$11:$B$310)),IF(473&lt;=COUNTA(半紙!$B$11:$B$310)+COUNTA(条幅!$B$11:$B$310)+COUNTA(条幅4分の1!$B$11:$B$310),INDEX(条幅4分の1!$K$11:$K$310,473-COUNTA(半紙!$B$11:$B$310)-COUNTA(条幅!$B$11:$B$310)),""))))</f>
        <v/>
      </c>
      <c r="L478" s="48" t="str">
        <f>IF($B478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473))</f>
        <v/>
      </c>
    </row>
    <row r="479" spans="1:12" ht="15" customHeight="1">
      <c r="A479" s="37" t="str">
        <f>IF(474&lt;=COUNTA(半紙!$B$11:$B$310),"半紙",IF(474&lt;=COUNTA(半紙!$B$11:$B$310)+COUNTA(条幅!$B$11:$B$310),"条幅(半切)",IF(474&lt;=COUNTA(半紙!$B$11:$B$310)+COUNTA(条幅!$B$11:$B$310)+COUNTA(条幅4分の1!$B$11:$B$310),"条幅(1/4)","")))</f>
        <v/>
      </c>
      <c r="B479" s="38" t="str">
        <f>IF(IF(474&lt;=COUNTA(半紙!$B$11:$B$310),INDEX(半紙!$B$11:$B$310,474),IF(474&lt;=COUNTA(半紙!$B$11:$B$310)+COUNTA(条幅!$B$11:$B$310),INDEX(条幅!$B$11:$B$310,474-COUNTA(半紙!$B$11:$B$310)),IF(474&lt;=COUNTA(半紙!$B$11:$B$310)+COUNTA(条幅!$B$11:$B$310)+COUNTA(条幅4分の1!$B$11:$B$310),INDEX(条幅4分の1!$B$11:$B$310,474-COUNTA(半紙!$B$11:$B$310)-COUNTA(条幅!$B$11:$B$310)),"")))=0,"",IF(474&lt;=COUNTA(半紙!$B$11:$B$310),INDEX(半紙!$B$11:$B$310,474),IF(474&lt;=COUNTA(半紙!$B$11:$B$310)+COUNTA(条幅!$B$11:$B$310),INDEX(条幅!$B$11:$B$310,474-COUNTA(半紙!$B$11:$B$310)),IF(474&lt;=COUNTA(半紙!$B$11:$B$310)+COUNTA(条幅!$B$11:$B$310)+COUNTA(条幅4分の1!$B$11:$B$310),INDEX(条幅4分の1!$B$11:$B$310,474-COUNTA(半紙!$B$11:$B$310)-COUNTA(条幅!$B$11:$B$310)),""))))</f>
        <v/>
      </c>
      <c r="C479" s="38" t="str">
        <f>IF(IF(474&lt;=COUNTA(半紙!$B$11:$B$310),INDEX(半紙!$C$11:$C$310,474),IF(474&lt;=COUNTA(半紙!$B$11:$B$310)+COUNTA(条幅!$B$11:$B$310),INDEX(条幅!$C$11:$C$310,474-COUNTA(半紙!$B$11:$B$310)),IF(474&lt;=COUNTA(半紙!$B$11:$B$310)+COUNTA(条幅!$B$11:$B$310)+COUNTA(条幅4分の1!$B$11:$B$310),INDEX(条幅4分の1!$C$11:$C$310,474-COUNTA(半紙!$B$11:$B$310)-COUNTA(条幅!$B$11:$B$310)),"")))=0,"",IF(474&lt;=COUNTA(半紙!$B$11:$B$310),INDEX(半紙!$C$11:$C$310,474),IF(474&lt;=COUNTA(半紙!$B$11:$B$310)+COUNTA(条幅!$B$11:$B$310),INDEX(条幅!$C$11:$C$310,474-COUNTA(半紙!$B$11:$B$310)),IF(474&lt;=COUNTA(半紙!$B$11:$B$310)+COUNTA(条幅!$B$11:$B$310)+COUNTA(条幅4分の1!$B$11:$B$310),INDEX(条幅4分の1!$C$11:$C$310,474-COUNTA(半紙!$B$11:$B$310)-COUNTA(条幅!$B$11:$B$310)),""))))</f>
        <v/>
      </c>
      <c r="D479" s="38" t="str">
        <f>IF(IF(474&lt;=COUNTA(半紙!$B$11:$B$310),INDEX(半紙!$D$11:$D$310,474),IF(474&lt;=COUNTA(半紙!$B$11:$B$310)+COUNTA(条幅!$B$11:$B$310),INDEX(条幅!$D$11:$D$310,474-COUNTA(半紙!$B$11:$B$310)),IF(474&lt;=COUNTA(半紙!$B$11:$B$310)+COUNTA(条幅!$B$11:$B$310)+COUNTA(条幅4分の1!$B$11:$B$310),INDEX(条幅4分の1!$D$11:$D$310,474-COUNTA(半紙!$B$11:$B$310)-COUNTA(条幅!$B$11:$B$310)),"")))=0,"",IF(474&lt;=COUNTA(半紙!$B$11:$B$310),INDEX(半紙!$D$11:$D$310,474),IF(474&lt;=COUNTA(半紙!$B$11:$B$310)+COUNTA(条幅!$B$11:$B$310),INDEX(条幅!$D$11:$D$310,474-COUNTA(半紙!$B$11:$B$310)),IF(474&lt;=COUNTA(半紙!$B$11:$B$310)+COUNTA(条幅!$B$11:$B$310)+COUNTA(条幅4分の1!$B$11:$B$310),INDEX(条幅4分の1!$D$11:$D$310,474-COUNTA(半紙!$B$11:$B$310)-COUNTA(条幅!$B$11:$B$310)),""))))</f>
        <v/>
      </c>
      <c r="E479" s="38" t="str">
        <f>IF(IF(474&lt;=COUNTA(半紙!$B$11:$B$310),INDEX(半紙!$E$11:$E$310,474),IF(474&lt;=COUNTA(半紙!$B$11:$B$310)+COUNTA(条幅!$B$11:$B$310),INDEX(条幅!$E$11:$E$310,474-COUNTA(半紙!$B$11:$B$310)),IF(474&lt;=COUNTA(半紙!$B$11:$B$310)+COUNTA(条幅!$B$11:$B$310)+COUNTA(条幅4分の1!$B$11:$B$310),INDEX(条幅4分の1!$E$11:$E$310,474-COUNTA(半紙!$B$11:$B$310)-COUNTA(条幅!$B$11:$B$310)),"")))=0,"",IF(474&lt;=COUNTA(半紙!$B$11:$B$310),INDEX(半紙!$E$11:$E$310,474),IF(474&lt;=COUNTA(半紙!$B$11:$B$310)+COUNTA(条幅!$B$11:$B$310),INDEX(条幅!$E$11:$E$310,474-COUNTA(半紙!$B$11:$B$310)),IF(474&lt;=COUNTA(半紙!$B$11:$B$310)+COUNTA(条幅!$B$11:$B$310)+COUNTA(条幅4分の1!$B$11:$B$310),INDEX(条幅4分の1!$E$11:$E$310,474-COUNTA(半紙!$B$11:$B$310)-COUNTA(条幅!$B$11:$B$310)),""))))</f>
        <v/>
      </c>
      <c r="F479" s="38" t="str">
        <f>IF(IF(474&lt;=COUNTA(半紙!$B$11:$B$310),INDEX(半紙!$F$11:$F$310,474),IF(474&lt;=COUNTA(半紙!$B$11:$B$310)+COUNTA(条幅!$B$11:$B$310),INDEX(条幅!$F$11:$F$310,474-COUNTA(半紙!$B$11:$B$310)),IF(474&lt;=COUNTA(半紙!$B$11:$B$310)+COUNTA(条幅!$B$11:$B$310)+COUNTA(条幅4分の1!$B$11:$B$310),INDEX(条幅4分の1!$F$11:$F$310,474-COUNTA(半紙!$B$11:$B$310)-COUNTA(条幅!$B$11:$B$310)),"")))=0,"",IF(474&lt;=COUNTA(半紙!$B$11:$B$310),INDEX(半紙!$F$11:$F$310,474),IF(474&lt;=COUNTA(半紙!$B$11:$B$310)+COUNTA(条幅!$B$11:$B$310),INDEX(条幅!$F$11:$F$310,474-COUNTA(半紙!$B$11:$B$310)),IF(474&lt;=COUNTA(半紙!$B$11:$B$310)+COUNTA(条幅!$B$11:$B$310)+COUNTA(条幅4分の1!$B$11:$B$310),INDEX(条幅4分の1!$F$11:$F$310,474-COUNTA(半紙!$B$11:$B$310)-COUNTA(条幅!$B$11:$B$310)),""))))</f>
        <v/>
      </c>
      <c r="G479" s="38" t="str">
        <f>IF(IF(474&lt;=COUNTA(半紙!$B$11:$B$310),INDEX(半紙!$G$11:$G$310,474),IF(474&lt;=COUNTA(半紙!$B$11:$B$310)+COUNTA(条幅!$B$11:$B$310),INDEX(条幅!$G$11:$G$310,474-COUNTA(半紙!$B$11:$B$310)),IF(474&lt;=COUNTA(半紙!$B$11:$B$310)+COUNTA(条幅!$B$11:$B$310)+COUNTA(条幅4分の1!$B$11:$B$310),INDEX(条幅4分の1!$G$11:$G$310,474-COUNTA(半紙!$B$11:$B$310)-COUNTA(条幅!$B$11:$B$310)),"")))=0,"",IF(474&lt;=COUNTA(半紙!$B$11:$B$310),INDEX(半紙!$G$11:$G$310,474),IF(474&lt;=COUNTA(半紙!$B$11:$B$310)+COUNTA(条幅!$B$11:$B$310),INDEX(条幅!$G$11:$G$310,474-COUNTA(半紙!$B$11:$B$310)),IF(474&lt;=COUNTA(半紙!$B$11:$B$310)+COUNTA(条幅!$B$11:$B$310)+COUNTA(条幅4分の1!$B$11:$B$310),INDEX(条幅4分の1!$G$11:$G$310,474-COUNTA(半紙!$B$11:$B$310)-COUNTA(条幅!$B$11:$B$310)),""))))</f>
        <v/>
      </c>
      <c r="H479" s="38" t="str">
        <f>IF(IF(474&lt;=COUNTA(半紙!$B$11:$B$310),INDEX(半紙!$H$11:$H$310,474),IF(474&lt;=COUNTA(半紙!$B$11:$B$310)+COUNTA(条幅!$B$11:$B$310),INDEX(条幅!$H$11:$H$310,474-COUNTA(半紙!$B$11:$B$310)),IF(474&lt;=COUNTA(半紙!$B$11:$B$310)+COUNTA(条幅!$B$11:$B$310)+COUNTA(条幅4分の1!$B$11:$B$310),INDEX(条幅4分の1!$H$11:$H$310,474-COUNTA(半紙!$B$11:$B$310)-COUNTA(条幅!$B$11:$B$310)),"")))=0,"",IF(474&lt;=COUNTA(半紙!$B$11:$B$310),INDEX(半紙!$H$11:$H$310,474),IF(474&lt;=COUNTA(半紙!$B$11:$B$310)+COUNTA(条幅!$B$11:$B$310),INDEX(条幅!$H$11:$H$310,474-COUNTA(半紙!$B$11:$B$310)),IF(474&lt;=COUNTA(半紙!$B$11:$B$310)+COUNTA(条幅!$B$11:$B$310)+COUNTA(条幅4分の1!$B$11:$B$310),INDEX(条幅4分の1!$H$11:$H$310,474-COUNTA(半紙!$B$11:$B$310)-COUNTA(条幅!$B$11:$B$310)),""))))</f>
        <v/>
      </c>
      <c r="I479" s="38" t="str">
        <f>IF(IF(474&lt;=COUNTA(半紙!$B$11:$B$310),INDEX(半紙!$I$11:$I$310,474),IF(474&lt;=COUNTA(半紙!$B$11:$B$310)+COUNTA(条幅!$B$11:$B$310),INDEX(条幅!$I$11:$I$310,474-COUNTA(半紙!$B$11:$B$310)),IF(474&lt;=COUNTA(半紙!$B$11:$B$310)+COUNTA(条幅!$B$11:$B$310)+COUNTA(条幅4分の1!$B$11:$B$310),INDEX(条幅4分の1!$I$11:$I$310,474-COUNTA(半紙!$B$11:$B$310)-COUNTA(条幅!$B$11:$B$310)),"")))=0,"",IF(474&lt;=COUNTA(半紙!$B$11:$B$310),INDEX(半紙!$I$11:$I$310,474),IF(474&lt;=COUNTA(半紙!$B$11:$B$310)+COUNTA(条幅!$B$11:$B$310),INDEX(条幅!$I$11:$I$310,474-COUNTA(半紙!$B$11:$B$310)),IF(474&lt;=COUNTA(半紙!$B$11:$B$310)+COUNTA(条幅!$B$11:$B$310)+COUNTA(条幅4分の1!$B$11:$B$310),INDEX(条幅4分の1!$I$11:$I$310,474-COUNTA(半紙!$B$11:$B$310)-COUNTA(条幅!$B$11:$B$310)),""))))</f>
        <v/>
      </c>
      <c r="J479" s="38" t="str">
        <f>IF(IF(474&lt;=COUNTA(半紙!$B$11:$B$310),INDEX(半紙!$J$11:$J$310,474),IF(474&lt;=COUNTA(半紙!$B$11:$B$310)+COUNTA(条幅!$B$11:$B$310),INDEX(条幅!$J$11:$J$310,474-COUNTA(半紙!$B$11:$B$310)),IF(474&lt;=COUNTA(半紙!$B$11:$B$310)+COUNTA(条幅!$B$11:$B$310)+COUNTA(条幅4分の1!$B$11:$B$310),INDEX(条幅4分の1!$J$11:$J$310,474-COUNTA(半紙!$B$11:$B$310)-COUNTA(条幅!$B$11:$B$310)),"")))=0,"",IF(474&lt;=COUNTA(半紙!$B$11:$B$310),INDEX(半紙!$J$11:$J$310,474),IF(474&lt;=COUNTA(半紙!$B$11:$B$310)+COUNTA(条幅!$B$11:$B$310),INDEX(条幅!$J$11:$J$310,474-COUNTA(半紙!$B$11:$B$310)),IF(474&lt;=COUNTA(半紙!$B$11:$B$310)+COUNTA(条幅!$B$11:$B$310)+COUNTA(条幅4分の1!$B$11:$B$310),INDEX(条幅4分の1!$J$11:$J$310,474-COUNTA(半紙!$B$11:$B$310)-COUNTA(条幅!$B$11:$B$310)),""))))</f>
        <v/>
      </c>
      <c r="K479" s="38" t="str">
        <f>IF(IF(474&lt;=COUNTA(半紙!$B$11:$B$310),INDEX(半紙!$K$11:$K$310,474),IF(474&lt;=COUNTA(半紙!$B$11:$B$310)+COUNTA(条幅!$B$11:$B$310),INDEX(条幅!$K$11:$K$310,474-COUNTA(半紙!$B$11:$B$310)),IF(474&lt;=COUNTA(半紙!$B$11:$B$310)+COUNTA(条幅!$B$11:$B$310)+COUNTA(条幅4分の1!$B$11:$B$310),INDEX(条幅4分の1!$K$11:$K$310,474-COUNTA(半紙!$B$11:$B$310)-COUNTA(条幅!$B$11:$B$310)),"")))=0,"",IF(474&lt;=COUNTA(半紙!$B$11:$B$310),INDEX(半紙!$K$11:$K$310,474),IF(474&lt;=COUNTA(半紙!$B$11:$B$310)+COUNTA(条幅!$B$11:$B$310),INDEX(条幅!$K$11:$K$310,474-COUNTA(半紙!$B$11:$B$310)),IF(474&lt;=COUNTA(半紙!$B$11:$B$310)+COUNTA(条幅!$B$11:$B$310)+COUNTA(条幅4分の1!$B$11:$B$310),INDEX(条幅4分の1!$K$11:$K$310,474-COUNTA(半紙!$B$11:$B$310)-COUNTA(条幅!$B$11:$B$310)),""))))</f>
        <v/>
      </c>
      <c r="L479" s="48" t="str">
        <f>IF($B479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474))</f>
        <v/>
      </c>
    </row>
    <row r="480" spans="1:12" ht="15" customHeight="1">
      <c r="A480" s="37" t="str">
        <f>IF(475&lt;=COUNTA(半紙!$B$11:$B$310),"半紙",IF(475&lt;=COUNTA(半紙!$B$11:$B$310)+COUNTA(条幅!$B$11:$B$310),"条幅(半切)",IF(475&lt;=COUNTA(半紙!$B$11:$B$310)+COUNTA(条幅!$B$11:$B$310)+COUNTA(条幅4分の1!$B$11:$B$310),"条幅(1/4)","")))</f>
        <v/>
      </c>
      <c r="B480" s="38" t="str">
        <f>IF(IF(475&lt;=COUNTA(半紙!$B$11:$B$310),INDEX(半紙!$B$11:$B$310,475),IF(475&lt;=COUNTA(半紙!$B$11:$B$310)+COUNTA(条幅!$B$11:$B$310),INDEX(条幅!$B$11:$B$310,475-COUNTA(半紙!$B$11:$B$310)),IF(475&lt;=COUNTA(半紙!$B$11:$B$310)+COUNTA(条幅!$B$11:$B$310)+COUNTA(条幅4分の1!$B$11:$B$310),INDEX(条幅4分の1!$B$11:$B$310,475-COUNTA(半紙!$B$11:$B$310)-COUNTA(条幅!$B$11:$B$310)),"")))=0,"",IF(475&lt;=COUNTA(半紙!$B$11:$B$310),INDEX(半紙!$B$11:$B$310,475),IF(475&lt;=COUNTA(半紙!$B$11:$B$310)+COUNTA(条幅!$B$11:$B$310),INDEX(条幅!$B$11:$B$310,475-COUNTA(半紙!$B$11:$B$310)),IF(475&lt;=COUNTA(半紙!$B$11:$B$310)+COUNTA(条幅!$B$11:$B$310)+COUNTA(条幅4分の1!$B$11:$B$310),INDEX(条幅4分の1!$B$11:$B$310,475-COUNTA(半紙!$B$11:$B$310)-COUNTA(条幅!$B$11:$B$310)),""))))</f>
        <v/>
      </c>
      <c r="C480" s="38" t="str">
        <f>IF(IF(475&lt;=COUNTA(半紙!$B$11:$B$310),INDEX(半紙!$C$11:$C$310,475),IF(475&lt;=COUNTA(半紙!$B$11:$B$310)+COUNTA(条幅!$B$11:$B$310),INDEX(条幅!$C$11:$C$310,475-COUNTA(半紙!$B$11:$B$310)),IF(475&lt;=COUNTA(半紙!$B$11:$B$310)+COUNTA(条幅!$B$11:$B$310)+COUNTA(条幅4分の1!$B$11:$B$310),INDEX(条幅4分の1!$C$11:$C$310,475-COUNTA(半紙!$B$11:$B$310)-COUNTA(条幅!$B$11:$B$310)),"")))=0,"",IF(475&lt;=COUNTA(半紙!$B$11:$B$310),INDEX(半紙!$C$11:$C$310,475),IF(475&lt;=COUNTA(半紙!$B$11:$B$310)+COUNTA(条幅!$B$11:$B$310),INDEX(条幅!$C$11:$C$310,475-COUNTA(半紙!$B$11:$B$310)),IF(475&lt;=COUNTA(半紙!$B$11:$B$310)+COUNTA(条幅!$B$11:$B$310)+COUNTA(条幅4分の1!$B$11:$B$310),INDEX(条幅4分の1!$C$11:$C$310,475-COUNTA(半紙!$B$11:$B$310)-COUNTA(条幅!$B$11:$B$310)),""))))</f>
        <v/>
      </c>
      <c r="D480" s="38" t="str">
        <f>IF(IF(475&lt;=COUNTA(半紙!$B$11:$B$310),INDEX(半紙!$D$11:$D$310,475),IF(475&lt;=COUNTA(半紙!$B$11:$B$310)+COUNTA(条幅!$B$11:$B$310),INDEX(条幅!$D$11:$D$310,475-COUNTA(半紙!$B$11:$B$310)),IF(475&lt;=COUNTA(半紙!$B$11:$B$310)+COUNTA(条幅!$B$11:$B$310)+COUNTA(条幅4分の1!$B$11:$B$310),INDEX(条幅4分の1!$D$11:$D$310,475-COUNTA(半紙!$B$11:$B$310)-COUNTA(条幅!$B$11:$B$310)),"")))=0,"",IF(475&lt;=COUNTA(半紙!$B$11:$B$310),INDEX(半紙!$D$11:$D$310,475),IF(475&lt;=COUNTA(半紙!$B$11:$B$310)+COUNTA(条幅!$B$11:$B$310),INDEX(条幅!$D$11:$D$310,475-COUNTA(半紙!$B$11:$B$310)),IF(475&lt;=COUNTA(半紙!$B$11:$B$310)+COUNTA(条幅!$B$11:$B$310)+COUNTA(条幅4分の1!$B$11:$B$310),INDEX(条幅4分の1!$D$11:$D$310,475-COUNTA(半紙!$B$11:$B$310)-COUNTA(条幅!$B$11:$B$310)),""))))</f>
        <v/>
      </c>
      <c r="E480" s="38" t="str">
        <f>IF(IF(475&lt;=COUNTA(半紙!$B$11:$B$310),INDEX(半紙!$E$11:$E$310,475),IF(475&lt;=COUNTA(半紙!$B$11:$B$310)+COUNTA(条幅!$B$11:$B$310),INDEX(条幅!$E$11:$E$310,475-COUNTA(半紙!$B$11:$B$310)),IF(475&lt;=COUNTA(半紙!$B$11:$B$310)+COUNTA(条幅!$B$11:$B$310)+COUNTA(条幅4分の1!$B$11:$B$310),INDEX(条幅4分の1!$E$11:$E$310,475-COUNTA(半紙!$B$11:$B$310)-COUNTA(条幅!$B$11:$B$310)),"")))=0,"",IF(475&lt;=COUNTA(半紙!$B$11:$B$310),INDEX(半紙!$E$11:$E$310,475),IF(475&lt;=COUNTA(半紙!$B$11:$B$310)+COUNTA(条幅!$B$11:$B$310),INDEX(条幅!$E$11:$E$310,475-COUNTA(半紙!$B$11:$B$310)),IF(475&lt;=COUNTA(半紙!$B$11:$B$310)+COUNTA(条幅!$B$11:$B$310)+COUNTA(条幅4分の1!$B$11:$B$310),INDEX(条幅4分の1!$E$11:$E$310,475-COUNTA(半紙!$B$11:$B$310)-COUNTA(条幅!$B$11:$B$310)),""))))</f>
        <v/>
      </c>
      <c r="F480" s="38" t="str">
        <f>IF(IF(475&lt;=COUNTA(半紙!$B$11:$B$310),INDEX(半紙!$F$11:$F$310,475),IF(475&lt;=COUNTA(半紙!$B$11:$B$310)+COUNTA(条幅!$B$11:$B$310),INDEX(条幅!$F$11:$F$310,475-COUNTA(半紙!$B$11:$B$310)),IF(475&lt;=COUNTA(半紙!$B$11:$B$310)+COUNTA(条幅!$B$11:$B$310)+COUNTA(条幅4分の1!$B$11:$B$310),INDEX(条幅4分の1!$F$11:$F$310,475-COUNTA(半紙!$B$11:$B$310)-COUNTA(条幅!$B$11:$B$310)),"")))=0,"",IF(475&lt;=COUNTA(半紙!$B$11:$B$310),INDEX(半紙!$F$11:$F$310,475),IF(475&lt;=COUNTA(半紙!$B$11:$B$310)+COUNTA(条幅!$B$11:$B$310),INDEX(条幅!$F$11:$F$310,475-COUNTA(半紙!$B$11:$B$310)),IF(475&lt;=COUNTA(半紙!$B$11:$B$310)+COUNTA(条幅!$B$11:$B$310)+COUNTA(条幅4分の1!$B$11:$B$310),INDEX(条幅4分の1!$F$11:$F$310,475-COUNTA(半紙!$B$11:$B$310)-COUNTA(条幅!$B$11:$B$310)),""))))</f>
        <v/>
      </c>
      <c r="G480" s="38" t="str">
        <f>IF(IF(475&lt;=COUNTA(半紙!$B$11:$B$310),INDEX(半紙!$G$11:$G$310,475),IF(475&lt;=COUNTA(半紙!$B$11:$B$310)+COUNTA(条幅!$B$11:$B$310),INDEX(条幅!$G$11:$G$310,475-COUNTA(半紙!$B$11:$B$310)),IF(475&lt;=COUNTA(半紙!$B$11:$B$310)+COUNTA(条幅!$B$11:$B$310)+COUNTA(条幅4分の1!$B$11:$B$310),INDEX(条幅4分の1!$G$11:$G$310,475-COUNTA(半紙!$B$11:$B$310)-COUNTA(条幅!$B$11:$B$310)),"")))=0,"",IF(475&lt;=COUNTA(半紙!$B$11:$B$310),INDEX(半紙!$G$11:$G$310,475),IF(475&lt;=COUNTA(半紙!$B$11:$B$310)+COUNTA(条幅!$B$11:$B$310),INDEX(条幅!$G$11:$G$310,475-COUNTA(半紙!$B$11:$B$310)),IF(475&lt;=COUNTA(半紙!$B$11:$B$310)+COUNTA(条幅!$B$11:$B$310)+COUNTA(条幅4分の1!$B$11:$B$310),INDEX(条幅4分の1!$G$11:$G$310,475-COUNTA(半紙!$B$11:$B$310)-COUNTA(条幅!$B$11:$B$310)),""))))</f>
        <v/>
      </c>
      <c r="H480" s="38" t="str">
        <f>IF(IF(475&lt;=COUNTA(半紙!$B$11:$B$310),INDEX(半紙!$H$11:$H$310,475),IF(475&lt;=COUNTA(半紙!$B$11:$B$310)+COUNTA(条幅!$B$11:$B$310),INDEX(条幅!$H$11:$H$310,475-COUNTA(半紙!$B$11:$B$310)),IF(475&lt;=COUNTA(半紙!$B$11:$B$310)+COUNTA(条幅!$B$11:$B$310)+COUNTA(条幅4分の1!$B$11:$B$310),INDEX(条幅4分の1!$H$11:$H$310,475-COUNTA(半紙!$B$11:$B$310)-COUNTA(条幅!$B$11:$B$310)),"")))=0,"",IF(475&lt;=COUNTA(半紙!$B$11:$B$310),INDEX(半紙!$H$11:$H$310,475),IF(475&lt;=COUNTA(半紙!$B$11:$B$310)+COUNTA(条幅!$B$11:$B$310),INDEX(条幅!$H$11:$H$310,475-COUNTA(半紙!$B$11:$B$310)),IF(475&lt;=COUNTA(半紙!$B$11:$B$310)+COUNTA(条幅!$B$11:$B$310)+COUNTA(条幅4分の1!$B$11:$B$310),INDEX(条幅4分の1!$H$11:$H$310,475-COUNTA(半紙!$B$11:$B$310)-COUNTA(条幅!$B$11:$B$310)),""))))</f>
        <v/>
      </c>
      <c r="I480" s="38" t="str">
        <f>IF(IF(475&lt;=COUNTA(半紙!$B$11:$B$310),INDEX(半紙!$I$11:$I$310,475),IF(475&lt;=COUNTA(半紙!$B$11:$B$310)+COUNTA(条幅!$B$11:$B$310),INDEX(条幅!$I$11:$I$310,475-COUNTA(半紙!$B$11:$B$310)),IF(475&lt;=COUNTA(半紙!$B$11:$B$310)+COUNTA(条幅!$B$11:$B$310)+COUNTA(条幅4分の1!$B$11:$B$310),INDEX(条幅4分の1!$I$11:$I$310,475-COUNTA(半紙!$B$11:$B$310)-COUNTA(条幅!$B$11:$B$310)),"")))=0,"",IF(475&lt;=COUNTA(半紙!$B$11:$B$310),INDEX(半紙!$I$11:$I$310,475),IF(475&lt;=COUNTA(半紙!$B$11:$B$310)+COUNTA(条幅!$B$11:$B$310),INDEX(条幅!$I$11:$I$310,475-COUNTA(半紙!$B$11:$B$310)),IF(475&lt;=COUNTA(半紙!$B$11:$B$310)+COUNTA(条幅!$B$11:$B$310)+COUNTA(条幅4分の1!$B$11:$B$310),INDEX(条幅4分の1!$I$11:$I$310,475-COUNTA(半紙!$B$11:$B$310)-COUNTA(条幅!$B$11:$B$310)),""))))</f>
        <v/>
      </c>
      <c r="J480" s="38" t="str">
        <f>IF(IF(475&lt;=COUNTA(半紙!$B$11:$B$310),INDEX(半紙!$J$11:$J$310,475),IF(475&lt;=COUNTA(半紙!$B$11:$B$310)+COUNTA(条幅!$B$11:$B$310),INDEX(条幅!$J$11:$J$310,475-COUNTA(半紙!$B$11:$B$310)),IF(475&lt;=COUNTA(半紙!$B$11:$B$310)+COUNTA(条幅!$B$11:$B$310)+COUNTA(条幅4分の1!$B$11:$B$310),INDEX(条幅4分の1!$J$11:$J$310,475-COUNTA(半紙!$B$11:$B$310)-COUNTA(条幅!$B$11:$B$310)),"")))=0,"",IF(475&lt;=COUNTA(半紙!$B$11:$B$310),INDEX(半紙!$J$11:$J$310,475),IF(475&lt;=COUNTA(半紙!$B$11:$B$310)+COUNTA(条幅!$B$11:$B$310),INDEX(条幅!$J$11:$J$310,475-COUNTA(半紙!$B$11:$B$310)),IF(475&lt;=COUNTA(半紙!$B$11:$B$310)+COUNTA(条幅!$B$11:$B$310)+COUNTA(条幅4分の1!$B$11:$B$310),INDEX(条幅4分の1!$J$11:$J$310,475-COUNTA(半紙!$B$11:$B$310)-COUNTA(条幅!$B$11:$B$310)),""))))</f>
        <v/>
      </c>
      <c r="K480" s="38" t="str">
        <f>IF(IF(475&lt;=COUNTA(半紙!$B$11:$B$310),INDEX(半紙!$K$11:$K$310,475),IF(475&lt;=COUNTA(半紙!$B$11:$B$310)+COUNTA(条幅!$B$11:$B$310),INDEX(条幅!$K$11:$K$310,475-COUNTA(半紙!$B$11:$B$310)),IF(475&lt;=COUNTA(半紙!$B$11:$B$310)+COUNTA(条幅!$B$11:$B$310)+COUNTA(条幅4分の1!$B$11:$B$310),INDEX(条幅4分の1!$K$11:$K$310,475-COUNTA(半紙!$B$11:$B$310)-COUNTA(条幅!$B$11:$B$310)),"")))=0,"",IF(475&lt;=COUNTA(半紙!$B$11:$B$310),INDEX(半紙!$K$11:$K$310,475),IF(475&lt;=COUNTA(半紙!$B$11:$B$310)+COUNTA(条幅!$B$11:$B$310),INDEX(条幅!$K$11:$K$310,475-COUNTA(半紙!$B$11:$B$310)),IF(475&lt;=COUNTA(半紙!$B$11:$B$310)+COUNTA(条幅!$B$11:$B$310)+COUNTA(条幅4分の1!$B$11:$B$310),INDEX(条幅4分の1!$K$11:$K$310,475-COUNTA(半紙!$B$11:$B$310)-COUNTA(条幅!$B$11:$B$310)),""))))</f>
        <v/>
      </c>
      <c r="L480" s="48" t="str">
        <f>IF($B480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475))</f>
        <v/>
      </c>
    </row>
    <row r="481" spans="1:12" ht="15" customHeight="1">
      <c r="A481" s="37" t="str">
        <f>IF(476&lt;=COUNTA(半紙!$B$11:$B$310),"半紙",IF(476&lt;=COUNTA(半紙!$B$11:$B$310)+COUNTA(条幅!$B$11:$B$310),"条幅(半切)",IF(476&lt;=COUNTA(半紙!$B$11:$B$310)+COUNTA(条幅!$B$11:$B$310)+COUNTA(条幅4分の1!$B$11:$B$310),"条幅(1/4)","")))</f>
        <v/>
      </c>
      <c r="B481" s="38" t="str">
        <f>IF(IF(476&lt;=COUNTA(半紙!$B$11:$B$310),INDEX(半紙!$B$11:$B$310,476),IF(476&lt;=COUNTA(半紙!$B$11:$B$310)+COUNTA(条幅!$B$11:$B$310),INDEX(条幅!$B$11:$B$310,476-COUNTA(半紙!$B$11:$B$310)),IF(476&lt;=COUNTA(半紙!$B$11:$B$310)+COUNTA(条幅!$B$11:$B$310)+COUNTA(条幅4分の1!$B$11:$B$310),INDEX(条幅4分の1!$B$11:$B$310,476-COUNTA(半紙!$B$11:$B$310)-COUNTA(条幅!$B$11:$B$310)),"")))=0,"",IF(476&lt;=COUNTA(半紙!$B$11:$B$310),INDEX(半紙!$B$11:$B$310,476),IF(476&lt;=COUNTA(半紙!$B$11:$B$310)+COUNTA(条幅!$B$11:$B$310),INDEX(条幅!$B$11:$B$310,476-COUNTA(半紙!$B$11:$B$310)),IF(476&lt;=COUNTA(半紙!$B$11:$B$310)+COUNTA(条幅!$B$11:$B$310)+COUNTA(条幅4分の1!$B$11:$B$310),INDEX(条幅4分の1!$B$11:$B$310,476-COUNTA(半紙!$B$11:$B$310)-COUNTA(条幅!$B$11:$B$310)),""))))</f>
        <v/>
      </c>
      <c r="C481" s="38" t="str">
        <f>IF(IF(476&lt;=COUNTA(半紙!$B$11:$B$310),INDEX(半紙!$C$11:$C$310,476),IF(476&lt;=COUNTA(半紙!$B$11:$B$310)+COUNTA(条幅!$B$11:$B$310),INDEX(条幅!$C$11:$C$310,476-COUNTA(半紙!$B$11:$B$310)),IF(476&lt;=COUNTA(半紙!$B$11:$B$310)+COUNTA(条幅!$B$11:$B$310)+COUNTA(条幅4分の1!$B$11:$B$310),INDEX(条幅4分の1!$C$11:$C$310,476-COUNTA(半紙!$B$11:$B$310)-COUNTA(条幅!$B$11:$B$310)),"")))=0,"",IF(476&lt;=COUNTA(半紙!$B$11:$B$310),INDEX(半紙!$C$11:$C$310,476),IF(476&lt;=COUNTA(半紙!$B$11:$B$310)+COUNTA(条幅!$B$11:$B$310),INDEX(条幅!$C$11:$C$310,476-COUNTA(半紙!$B$11:$B$310)),IF(476&lt;=COUNTA(半紙!$B$11:$B$310)+COUNTA(条幅!$B$11:$B$310)+COUNTA(条幅4分の1!$B$11:$B$310),INDEX(条幅4分の1!$C$11:$C$310,476-COUNTA(半紙!$B$11:$B$310)-COUNTA(条幅!$B$11:$B$310)),""))))</f>
        <v/>
      </c>
      <c r="D481" s="38" t="str">
        <f>IF(IF(476&lt;=COUNTA(半紙!$B$11:$B$310),INDEX(半紙!$D$11:$D$310,476),IF(476&lt;=COUNTA(半紙!$B$11:$B$310)+COUNTA(条幅!$B$11:$B$310),INDEX(条幅!$D$11:$D$310,476-COUNTA(半紙!$B$11:$B$310)),IF(476&lt;=COUNTA(半紙!$B$11:$B$310)+COUNTA(条幅!$B$11:$B$310)+COUNTA(条幅4分の1!$B$11:$B$310),INDEX(条幅4分の1!$D$11:$D$310,476-COUNTA(半紙!$B$11:$B$310)-COUNTA(条幅!$B$11:$B$310)),"")))=0,"",IF(476&lt;=COUNTA(半紙!$B$11:$B$310),INDEX(半紙!$D$11:$D$310,476),IF(476&lt;=COUNTA(半紙!$B$11:$B$310)+COUNTA(条幅!$B$11:$B$310),INDEX(条幅!$D$11:$D$310,476-COUNTA(半紙!$B$11:$B$310)),IF(476&lt;=COUNTA(半紙!$B$11:$B$310)+COUNTA(条幅!$B$11:$B$310)+COUNTA(条幅4分の1!$B$11:$B$310),INDEX(条幅4分の1!$D$11:$D$310,476-COUNTA(半紙!$B$11:$B$310)-COUNTA(条幅!$B$11:$B$310)),""))))</f>
        <v/>
      </c>
      <c r="E481" s="38" t="str">
        <f>IF(IF(476&lt;=COUNTA(半紙!$B$11:$B$310),INDEX(半紙!$E$11:$E$310,476),IF(476&lt;=COUNTA(半紙!$B$11:$B$310)+COUNTA(条幅!$B$11:$B$310),INDEX(条幅!$E$11:$E$310,476-COUNTA(半紙!$B$11:$B$310)),IF(476&lt;=COUNTA(半紙!$B$11:$B$310)+COUNTA(条幅!$B$11:$B$310)+COUNTA(条幅4分の1!$B$11:$B$310),INDEX(条幅4分の1!$E$11:$E$310,476-COUNTA(半紙!$B$11:$B$310)-COUNTA(条幅!$B$11:$B$310)),"")))=0,"",IF(476&lt;=COUNTA(半紙!$B$11:$B$310),INDEX(半紙!$E$11:$E$310,476),IF(476&lt;=COUNTA(半紙!$B$11:$B$310)+COUNTA(条幅!$B$11:$B$310),INDEX(条幅!$E$11:$E$310,476-COUNTA(半紙!$B$11:$B$310)),IF(476&lt;=COUNTA(半紙!$B$11:$B$310)+COUNTA(条幅!$B$11:$B$310)+COUNTA(条幅4分の1!$B$11:$B$310),INDEX(条幅4分の1!$E$11:$E$310,476-COUNTA(半紙!$B$11:$B$310)-COUNTA(条幅!$B$11:$B$310)),""))))</f>
        <v/>
      </c>
      <c r="F481" s="38" t="str">
        <f>IF(IF(476&lt;=COUNTA(半紙!$B$11:$B$310),INDEX(半紙!$F$11:$F$310,476),IF(476&lt;=COUNTA(半紙!$B$11:$B$310)+COUNTA(条幅!$B$11:$B$310),INDEX(条幅!$F$11:$F$310,476-COUNTA(半紙!$B$11:$B$310)),IF(476&lt;=COUNTA(半紙!$B$11:$B$310)+COUNTA(条幅!$B$11:$B$310)+COUNTA(条幅4分の1!$B$11:$B$310),INDEX(条幅4分の1!$F$11:$F$310,476-COUNTA(半紙!$B$11:$B$310)-COUNTA(条幅!$B$11:$B$310)),"")))=0,"",IF(476&lt;=COUNTA(半紙!$B$11:$B$310),INDEX(半紙!$F$11:$F$310,476),IF(476&lt;=COUNTA(半紙!$B$11:$B$310)+COUNTA(条幅!$B$11:$B$310),INDEX(条幅!$F$11:$F$310,476-COUNTA(半紙!$B$11:$B$310)),IF(476&lt;=COUNTA(半紙!$B$11:$B$310)+COUNTA(条幅!$B$11:$B$310)+COUNTA(条幅4分の1!$B$11:$B$310),INDEX(条幅4分の1!$F$11:$F$310,476-COUNTA(半紙!$B$11:$B$310)-COUNTA(条幅!$B$11:$B$310)),""))))</f>
        <v/>
      </c>
      <c r="G481" s="38" t="str">
        <f>IF(IF(476&lt;=COUNTA(半紙!$B$11:$B$310),INDEX(半紙!$G$11:$G$310,476),IF(476&lt;=COUNTA(半紙!$B$11:$B$310)+COUNTA(条幅!$B$11:$B$310),INDEX(条幅!$G$11:$G$310,476-COUNTA(半紙!$B$11:$B$310)),IF(476&lt;=COUNTA(半紙!$B$11:$B$310)+COUNTA(条幅!$B$11:$B$310)+COUNTA(条幅4分の1!$B$11:$B$310),INDEX(条幅4分の1!$G$11:$G$310,476-COUNTA(半紙!$B$11:$B$310)-COUNTA(条幅!$B$11:$B$310)),"")))=0,"",IF(476&lt;=COUNTA(半紙!$B$11:$B$310),INDEX(半紙!$G$11:$G$310,476),IF(476&lt;=COUNTA(半紙!$B$11:$B$310)+COUNTA(条幅!$B$11:$B$310),INDEX(条幅!$G$11:$G$310,476-COUNTA(半紙!$B$11:$B$310)),IF(476&lt;=COUNTA(半紙!$B$11:$B$310)+COUNTA(条幅!$B$11:$B$310)+COUNTA(条幅4分の1!$B$11:$B$310),INDEX(条幅4分の1!$G$11:$G$310,476-COUNTA(半紙!$B$11:$B$310)-COUNTA(条幅!$B$11:$B$310)),""))))</f>
        <v/>
      </c>
      <c r="H481" s="38" t="str">
        <f>IF(IF(476&lt;=COUNTA(半紙!$B$11:$B$310),INDEX(半紙!$H$11:$H$310,476),IF(476&lt;=COUNTA(半紙!$B$11:$B$310)+COUNTA(条幅!$B$11:$B$310),INDEX(条幅!$H$11:$H$310,476-COUNTA(半紙!$B$11:$B$310)),IF(476&lt;=COUNTA(半紙!$B$11:$B$310)+COUNTA(条幅!$B$11:$B$310)+COUNTA(条幅4分の1!$B$11:$B$310),INDEX(条幅4分の1!$H$11:$H$310,476-COUNTA(半紙!$B$11:$B$310)-COUNTA(条幅!$B$11:$B$310)),"")))=0,"",IF(476&lt;=COUNTA(半紙!$B$11:$B$310),INDEX(半紙!$H$11:$H$310,476),IF(476&lt;=COUNTA(半紙!$B$11:$B$310)+COUNTA(条幅!$B$11:$B$310),INDEX(条幅!$H$11:$H$310,476-COUNTA(半紙!$B$11:$B$310)),IF(476&lt;=COUNTA(半紙!$B$11:$B$310)+COUNTA(条幅!$B$11:$B$310)+COUNTA(条幅4分の1!$B$11:$B$310),INDEX(条幅4分の1!$H$11:$H$310,476-COUNTA(半紙!$B$11:$B$310)-COUNTA(条幅!$B$11:$B$310)),""))))</f>
        <v/>
      </c>
      <c r="I481" s="38" t="str">
        <f>IF(IF(476&lt;=COUNTA(半紙!$B$11:$B$310),INDEX(半紙!$I$11:$I$310,476),IF(476&lt;=COUNTA(半紙!$B$11:$B$310)+COUNTA(条幅!$B$11:$B$310),INDEX(条幅!$I$11:$I$310,476-COUNTA(半紙!$B$11:$B$310)),IF(476&lt;=COUNTA(半紙!$B$11:$B$310)+COUNTA(条幅!$B$11:$B$310)+COUNTA(条幅4分の1!$B$11:$B$310),INDEX(条幅4分の1!$I$11:$I$310,476-COUNTA(半紙!$B$11:$B$310)-COUNTA(条幅!$B$11:$B$310)),"")))=0,"",IF(476&lt;=COUNTA(半紙!$B$11:$B$310),INDEX(半紙!$I$11:$I$310,476),IF(476&lt;=COUNTA(半紙!$B$11:$B$310)+COUNTA(条幅!$B$11:$B$310),INDEX(条幅!$I$11:$I$310,476-COUNTA(半紙!$B$11:$B$310)),IF(476&lt;=COUNTA(半紙!$B$11:$B$310)+COUNTA(条幅!$B$11:$B$310)+COUNTA(条幅4分の1!$B$11:$B$310),INDEX(条幅4分の1!$I$11:$I$310,476-COUNTA(半紙!$B$11:$B$310)-COUNTA(条幅!$B$11:$B$310)),""))))</f>
        <v/>
      </c>
      <c r="J481" s="38" t="str">
        <f>IF(IF(476&lt;=COUNTA(半紙!$B$11:$B$310),INDEX(半紙!$J$11:$J$310,476),IF(476&lt;=COUNTA(半紙!$B$11:$B$310)+COUNTA(条幅!$B$11:$B$310),INDEX(条幅!$J$11:$J$310,476-COUNTA(半紙!$B$11:$B$310)),IF(476&lt;=COUNTA(半紙!$B$11:$B$310)+COUNTA(条幅!$B$11:$B$310)+COUNTA(条幅4分の1!$B$11:$B$310),INDEX(条幅4分の1!$J$11:$J$310,476-COUNTA(半紙!$B$11:$B$310)-COUNTA(条幅!$B$11:$B$310)),"")))=0,"",IF(476&lt;=COUNTA(半紙!$B$11:$B$310),INDEX(半紙!$J$11:$J$310,476),IF(476&lt;=COUNTA(半紙!$B$11:$B$310)+COUNTA(条幅!$B$11:$B$310),INDEX(条幅!$J$11:$J$310,476-COUNTA(半紙!$B$11:$B$310)),IF(476&lt;=COUNTA(半紙!$B$11:$B$310)+COUNTA(条幅!$B$11:$B$310)+COUNTA(条幅4分の1!$B$11:$B$310),INDEX(条幅4分の1!$J$11:$J$310,476-COUNTA(半紙!$B$11:$B$310)-COUNTA(条幅!$B$11:$B$310)),""))))</f>
        <v/>
      </c>
      <c r="K481" s="38" t="str">
        <f>IF(IF(476&lt;=COUNTA(半紙!$B$11:$B$310),INDEX(半紙!$K$11:$K$310,476),IF(476&lt;=COUNTA(半紙!$B$11:$B$310)+COUNTA(条幅!$B$11:$B$310),INDEX(条幅!$K$11:$K$310,476-COUNTA(半紙!$B$11:$B$310)),IF(476&lt;=COUNTA(半紙!$B$11:$B$310)+COUNTA(条幅!$B$11:$B$310)+COUNTA(条幅4分の1!$B$11:$B$310),INDEX(条幅4分の1!$K$11:$K$310,476-COUNTA(半紙!$B$11:$B$310)-COUNTA(条幅!$B$11:$B$310)),"")))=0,"",IF(476&lt;=COUNTA(半紙!$B$11:$B$310),INDEX(半紙!$K$11:$K$310,476),IF(476&lt;=COUNTA(半紙!$B$11:$B$310)+COUNTA(条幅!$B$11:$B$310),INDEX(条幅!$K$11:$K$310,476-COUNTA(半紙!$B$11:$B$310)),IF(476&lt;=COUNTA(半紙!$B$11:$B$310)+COUNTA(条幅!$B$11:$B$310)+COUNTA(条幅4分の1!$B$11:$B$310),INDEX(条幅4分の1!$K$11:$K$310,476-COUNTA(半紙!$B$11:$B$310)-COUNTA(条幅!$B$11:$B$310)),""))))</f>
        <v/>
      </c>
      <c r="L481" s="48" t="str">
        <f>IF($B481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476))</f>
        <v/>
      </c>
    </row>
    <row r="482" spans="1:12" ht="15" customHeight="1">
      <c r="A482" s="37" t="str">
        <f>IF(477&lt;=COUNTA(半紙!$B$11:$B$310),"半紙",IF(477&lt;=COUNTA(半紙!$B$11:$B$310)+COUNTA(条幅!$B$11:$B$310),"条幅(半切)",IF(477&lt;=COUNTA(半紙!$B$11:$B$310)+COUNTA(条幅!$B$11:$B$310)+COUNTA(条幅4分の1!$B$11:$B$310),"条幅(1/4)","")))</f>
        <v/>
      </c>
      <c r="B482" s="38" t="str">
        <f>IF(IF(477&lt;=COUNTA(半紙!$B$11:$B$310),INDEX(半紙!$B$11:$B$310,477),IF(477&lt;=COUNTA(半紙!$B$11:$B$310)+COUNTA(条幅!$B$11:$B$310),INDEX(条幅!$B$11:$B$310,477-COUNTA(半紙!$B$11:$B$310)),IF(477&lt;=COUNTA(半紙!$B$11:$B$310)+COUNTA(条幅!$B$11:$B$310)+COUNTA(条幅4分の1!$B$11:$B$310),INDEX(条幅4分の1!$B$11:$B$310,477-COUNTA(半紙!$B$11:$B$310)-COUNTA(条幅!$B$11:$B$310)),"")))=0,"",IF(477&lt;=COUNTA(半紙!$B$11:$B$310),INDEX(半紙!$B$11:$B$310,477),IF(477&lt;=COUNTA(半紙!$B$11:$B$310)+COUNTA(条幅!$B$11:$B$310),INDEX(条幅!$B$11:$B$310,477-COUNTA(半紙!$B$11:$B$310)),IF(477&lt;=COUNTA(半紙!$B$11:$B$310)+COUNTA(条幅!$B$11:$B$310)+COUNTA(条幅4分の1!$B$11:$B$310),INDEX(条幅4分の1!$B$11:$B$310,477-COUNTA(半紙!$B$11:$B$310)-COUNTA(条幅!$B$11:$B$310)),""))))</f>
        <v/>
      </c>
      <c r="C482" s="38" t="str">
        <f>IF(IF(477&lt;=COUNTA(半紙!$B$11:$B$310),INDEX(半紙!$C$11:$C$310,477),IF(477&lt;=COUNTA(半紙!$B$11:$B$310)+COUNTA(条幅!$B$11:$B$310),INDEX(条幅!$C$11:$C$310,477-COUNTA(半紙!$B$11:$B$310)),IF(477&lt;=COUNTA(半紙!$B$11:$B$310)+COUNTA(条幅!$B$11:$B$310)+COUNTA(条幅4分の1!$B$11:$B$310),INDEX(条幅4分の1!$C$11:$C$310,477-COUNTA(半紙!$B$11:$B$310)-COUNTA(条幅!$B$11:$B$310)),"")))=0,"",IF(477&lt;=COUNTA(半紙!$B$11:$B$310),INDEX(半紙!$C$11:$C$310,477),IF(477&lt;=COUNTA(半紙!$B$11:$B$310)+COUNTA(条幅!$B$11:$B$310),INDEX(条幅!$C$11:$C$310,477-COUNTA(半紙!$B$11:$B$310)),IF(477&lt;=COUNTA(半紙!$B$11:$B$310)+COUNTA(条幅!$B$11:$B$310)+COUNTA(条幅4分の1!$B$11:$B$310),INDEX(条幅4分の1!$C$11:$C$310,477-COUNTA(半紙!$B$11:$B$310)-COUNTA(条幅!$B$11:$B$310)),""))))</f>
        <v/>
      </c>
      <c r="D482" s="38" t="str">
        <f>IF(IF(477&lt;=COUNTA(半紙!$B$11:$B$310),INDEX(半紙!$D$11:$D$310,477),IF(477&lt;=COUNTA(半紙!$B$11:$B$310)+COUNTA(条幅!$B$11:$B$310),INDEX(条幅!$D$11:$D$310,477-COUNTA(半紙!$B$11:$B$310)),IF(477&lt;=COUNTA(半紙!$B$11:$B$310)+COUNTA(条幅!$B$11:$B$310)+COUNTA(条幅4分の1!$B$11:$B$310),INDEX(条幅4分の1!$D$11:$D$310,477-COUNTA(半紙!$B$11:$B$310)-COUNTA(条幅!$B$11:$B$310)),"")))=0,"",IF(477&lt;=COUNTA(半紙!$B$11:$B$310),INDEX(半紙!$D$11:$D$310,477),IF(477&lt;=COUNTA(半紙!$B$11:$B$310)+COUNTA(条幅!$B$11:$B$310),INDEX(条幅!$D$11:$D$310,477-COUNTA(半紙!$B$11:$B$310)),IF(477&lt;=COUNTA(半紙!$B$11:$B$310)+COUNTA(条幅!$B$11:$B$310)+COUNTA(条幅4分の1!$B$11:$B$310),INDEX(条幅4分の1!$D$11:$D$310,477-COUNTA(半紙!$B$11:$B$310)-COUNTA(条幅!$B$11:$B$310)),""))))</f>
        <v/>
      </c>
      <c r="E482" s="38" t="str">
        <f>IF(IF(477&lt;=COUNTA(半紙!$B$11:$B$310),INDEX(半紙!$E$11:$E$310,477),IF(477&lt;=COUNTA(半紙!$B$11:$B$310)+COUNTA(条幅!$B$11:$B$310),INDEX(条幅!$E$11:$E$310,477-COUNTA(半紙!$B$11:$B$310)),IF(477&lt;=COUNTA(半紙!$B$11:$B$310)+COUNTA(条幅!$B$11:$B$310)+COUNTA(条幅4分の1!$B$11:$B$310),INDEX(条幅4分の1!$E$11:$E$310,477-COUNTA(半紙!$B$11:$B$310)-COUNTA(条幅!$B$11:$B$310)),"")))=0,"",IF(477&lt;=COUNTA(半紙!$B$11:$B$310),INDEX(半紙!$E$11:$E$310,477),IF(477&lt;=COUNTA(半紙!$B$11:$B$310)+COUNTA(条幅!$B$11:$B$310),INDEX(条幅!$E$11:$E$310,477-COUNTA(半紙!$B$11:$B$310)),IF(477&lt;=COUNTA(半紙!$B$11:$B$310)+COUNTA(条幅!$B$11:$B$310)+COUNTA(条幅4分の1!$B$11:$B$310),INDEX(条幅4分の1!$E$11:$E$310,477-COUNTA(半紙!$B$11:$B$310)-COUNTA(条幅!$B$11:$B$310)),""))))</f>
        <v/>
      </c>
      <c r="F482" s="38" t="str">
        <f>IF(IF(477&lt;=COUNTA(半紙!$B$11:$B$310),INDEX(半紙!$F$11:$F$310,477),IF(477&lt;=COUNTA(半紙!$B$11:$B$310)+COUNTA(条幅!$B$11:$B$310),INDEX(条幅!$F$11:$F$310,477-COUNTA(半紙!$B$11:$B$310)),IF(477&lt;=COUNTA(半紙!$B$11:$B$310)+COUNTA(条幅!$B$11:$B$310)+COUNTA(条幅4分の1!$B$11:$B$310),INDEX(条幅4分の1!$F$11:$F$310,477-COUNTA(半紙!$B$11:$B$310)-COUNTA(条幅!$B$11:$B$310)),"")))=0,"",IF(477&lt;=COUNTA(半紙!$B$11:$B$310),INDEX(半紙!$F$11:$F$310,477),IF(477&lt;=COUNTA(半紙!$B$11:$B$310)+COUNTA(条幅!$B$11:$B$310),INDEX(条幅!$F$11:$F$310,477-COUNTA(半紙!$B$11:$B$310)),IF(477&lt;=COUNTA(半紙!$B$11:$B$310)+COUNTA(条幅!$B$11:$B$310)+COUNTA(条幅4分の1!$B$11:$B$310),INDEX(条幅4分の1!$F$11:$F$310,477-COUNTA(半紙!$B$11:$B$310)-COUNTA(条幅!$B$11:$B$310)),""))))</f>
        <v/>
      </c>
      <c r="G482" s="38" t="str">
        <f>IF(IF(477&lt;=COUNTA(半紙!$B$11:$B$310),INDEX(半紙!$G$11:$G$310,477),IF(477&lt;=COUNTA(半紙!$B$11:$B$310)+COUNTA(条幅!$B$11:$B$310),INDEX(条幅!$G$11:$G$310,477-COUNTA(半紙!$B$11:$B$310)),IF(477&lt;=COUNTA(半紙!$B$11:$B$310)+COUNTA(条幅!$B$11:$B$310)+COUNTA(条幅4分の1!$B$11:$B$310),INDEX(条幅4分の1!$G$11:$G$310,477-COUNTA(半紙!$B$11:$B$310)-COUNTA(条幅!$B$11:$B$310)),"")))=0,"",IF(477&lt;=COUNTA(半紙!$B$11:$B$310),INDEX(半紙!$G$11:$G$310,477),IF(477&lt;=COUNTA(半紙!$B$11:$B$310)+COUNTA(条幅!$B$11:$B$310),INDEX(条幅!$G$11:$G$310,477-COUNTA(半紙!$B$11:$B$310)),IF(477&lt;=COUNTA(半紙!$B$11:$B$310)+COUNTA(条幅!$B$11:$B$310)+COUNTA(条幅4分の1!$B$11:$B$310),INDEX(条幅4分の1!$G$11:$G$310,477-COUNTA(半紙!$B$11:$B$310)-COUNTA(条幅!$B$11:$B$310)),""))))</f>
        <v/>
      </c>
      <c r="H482" s="38" t="str">
        <f>IF(IF(477&lt;=COUNTA(半紙!$B$11:$B$310),INDEX(半紙!$H$11:$H$310,477),IF(477&lt;=COUNTA(半紙!$B$11:$B$310)+COUNTA(条幅!$B$11:$B$310),INDEX(条幅!$H$11:$H$310,477-COUNTA(半紙!$B$11:$B$310)),IF(477&lt;=COUNTA(半紙!$B$11:$B$310)+COUNTA(条幅!$B$11:$B$310)+COUNTA(条幅4分の1!$B$11:$B$310),INDEX(条幅4分の1!$H$11:$H$310,477-COUNTA(半紙!$B$11:$B$310)-COUNTA(条幅!$B$11:$B$310)),"")))=0,"",IF(477&lt;=COUNTA(半紙!$B$11:$B$310),INDEX(半紙!$H$11:$H$310,477),IF(477&lt;=COUNTA(半紙!$B$11:$B$310)+COUNTA(条幅!$B$11:$B$310),INDEX(条幅!$H$11:$H$310,477-COUNTA(半紙!$B$11:$B$310)),IF(477&lt;=COUNTA(半紙!$B$11:$B$310)+COUNTA(条幅!$B$11:$B$310)+COUNTA(条幅4分の1!$B$11:$B$310),INDEX(条幅4分の1!$H$11:$H$310,477-COUNTA(半紙!$B$11:$B$310)-COUNTA(条幅!$B$11:$B$310)),""))))</f>
        <v/>
      </c>
      <c r="I482" s="38" t="str">
        <f>IF(IF(477&lt;=COUNTA(半紙!$B$11:$B$310),INDEX(半紙!$I$11:$I$310,477),IF(477&lt;=COUNTA(半紙!$B$11:$B$310)+COUNTA(条幅!$B$11:$B$310),INDEX(条幅!$I$11:$I$310,477-COUNTA(半紙!$B$11:$B$310)),IF(477&lt;=COUNTA(半紙!$B$11:$B$310)+COUNTA(条幅!$B$11:$B$310)+COUNTA(条幅4分の1!$B$11:$B$310),INDEX(条幅4分の1!$I$11:$I$310,477-COUNTA(半紙!$B$11:$B$310)-COUNTA(条幅!$B$11:$B$310)),"")))=0,"",IF(477&lt;=COUNTA(半紙!$B$11:$B$310),INDEX(半紙!$I$11:$I$310,477),IF(477&lt;=COUNTA(半紙!$B$11:$B$310)+COUNTA(条幅!$B$11:$B$310),INDEX(条幅!$I$11:$I$310,477-COUNTA(半紙!$B$11:$B$310)),IF(477&lt;=COUNTA(半紙!$B$11:$B$310)+COUNTA(条幅!$B$11:$B$310)+COUNTA(条幅4分の1!$B$11:$B$310),INDEX(条幅4分の1!$I$11:$I$310,477-COUNTA(半紙!$B$11:$B$310)-COUNTA(条幅!$B$11:$B$310)),""))))</f>
        <v/>
      </c>
      <c r="J482" s="38" t="str">
        <f>IF(IF(477&lt;=COUNTA(半紙!$B$11:$B$310),INDEX(半紙!$J$11:$J$310,477),IF(477&lt;=COUNTA(半紙!$B$11:$B$310)+COUNTA(条幅!$B$11:$B$310),INDEX(条幅!$J$11:$J$310,477-COUNTA(半紙!$B$11:$B$310)),IF(477&lt;=COUNTA(半紙!$B$11:$B$310)+COUNTA(条幅!$B$11:$B$310)+COUNTA(条幅4分の1!$B$11:$B$310),INDEX(条幅4分の1!$J$11:$J$310,477-COUNTA(半紙!$B$11:$B$310)-COUNTA(条幅!$B$11:$B$310)),"")))=0,"",IF(477&lt;=COUNTA(半紙!$B$11:$B$310),INDEX(半紙!$J$11:$J$310,477),IF(477&lt;=COUNTA(半紙!$B$11:$B$310)+COUNTA(条幅!$B$11:$B$310),INDEX(条幅!$J$11:$J$310,477-COUNTA(半紙!$B$11:$B$310)),IF(477&lt;=COUNTA(半紙!$B$11:$B$310)+COUNTA(条幅!$B$11:$B$310)+COUNTA(条幅4分の1!$B$11:$B$310),INDEX(条幅4分の1!$J$11:$J$310,477-COUNTA(半紙!$B$11:$B$310)-COUNTA(条幅!$B$11:$B$310)),""))))</f>
        <v/>
      </c>
      <c r="K482" s="38" t="str">
        <f>IF(IF(477&lt;=COUNTA(半紙!$B$11:$B$310),INDEX(半紙!$K$11:$K$310,477),IF(477&lt;=COUNTA(半紙!$B$11:$B$310)+COUNTA(条幅!$B$11:$B$310),INDEX(条幅!$K$11:$K$310,477-COUNTA(半紙!$B$11:$B$310)),IF(477&lt;=COUNTA(半紙!$B$11:$B$310)+COUNTA(条幅!$B$11:$B$310)+COUNTA(条幅4分の1!$B$11:$B$310),INDEX(条幅4分の1!$K$11:$K$310,477-COUNTA(半紙!$B$11:$B$310)-COUNTA(条幅!$B$11:$B$310)),"")))=0,"",IF(477&lt;=COUNTA(半紙!$B$11:$B$310),INDEX(半紙!$K$11:$K$310,477),IF(477&lt;=COUNTA(半紙!$B$11:$B$310)+COUNTA(条幅!$B$11:$B$310),INDEX(条幅!$K$11:$K$310,477-COUNTA(半紙!$B$11:$B$310)),IF(477&lt;=COUNTA(半紙!$B$11:$B$310)+COUNTA(条幅!$B$11:$B$310)+COUNTA(条幅4分の1!$B$11:$B$310),INDEX(条幅4分の1!$K$11:$K$310,477-COUNTA(半紙!$B$11:$B$310)-COUNTA(条幅!$B$11:$B$310)),""))))</f>
        <v/>
      </c>
      <c r="L482" s="48" t="str">
        <f>IF($B482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477))</f>
        <v/>
      </c>
    </row>
    <row r="483" spans="1:12" ht="15" customHeight="1">
      <c r="A483" s="37" t="str">
        <f>IF(478&lt;=COUNTA(半紙!$B$11:$B$310),"半紙",IF(478&lt;=COUNTA(半紙!$B$11:$B$310)+COUNTA(条幅!$B$11:$B$310),"条幅(半切)",IF(478&lt;=COUNTA(半紙!$B$11:$B$310)+COUNTA(条幅!$B$11:$B$310)+COUNTA(条幅4分の1!$B$11:$B$310),"条幅(1/4)","")))</f>
        <v/>
      </c>
      <c r="B483" s="38" t="str">
        <f>IF(IF(478&lt;=COUNTA(半紙!$B$11:$B$310),INDEX(半紙!$B$11:$B$310,478),IF(478&lt;=COUNTA(半紙!$B$11:$B$310)+COUNTA(条幅!$B$11:$B$310),INDEX(条幅!$B$11:$B$310,478-COUNTA(半紙!$B$11:$B$310)),IF(478&lt;=COUNTA(半紙!$B$11:$B$310)+COUNTA(条幅!$B$11:$B$310)+COUNTA(条幅4分の1!$B$11:$B$310),INDEX(条幅4分の1!$B$11:$B$310,478-COUNTA(半紙!$B$11:$B$310)-COUNTA(条幅!$B$11:$B$310)),"")))=0,"",IF(478&lt;=COUNTA(半紙!$B$11:$B$310),INDEX(半紙!$B$11:$B$310,478),IF(478&lt;=COUNTA(半紙!$B$11:$B$310)+COUNTA(条幅!$B$11:$B$310),INDEX(条幅!$B$11:$B$310,478-COUNTA(半紙!$B$11:$B$310)),IF(478&lt;=COUNTA(半紙!$B$11:$B$310)+COUNTA(条幅!$B$11:$B$310)+COUNTA(条幅4分の1!$B$11:$B$310),INDEX(条幅4分の1!$B$11:$B$310,478-COUNTA(半紙!$B$11:$B$310)-COUNTA(条幅!$B$11:$B$310)),""))))</f>
        <v/>
      </c>
      <c r="C483" s="38" t="str">
        <f>IF(IF(478&lt;=COUNTA(半紙!$B$11:$B$310),INDEX(半紙!$C$11:$C$310,478),IF(478&lt;=COUNTA(半紙!$B$11:$B$310)+COUNTA(条幅!$B$11:$B$310),INDEX(条幅!$C$11:$C$310,478-COUNTA(半紙!$B$11:$B$310)),IF(478&lt;=COUNTA(半紙!$B$11:$B$310)+COUNTA(条幅!$B$11:$B$310)+COUNTA(条幅4分の1!$B$11:$B$310),INDEX(条幅4分の1!$C$11:$C$310,478-COUNTA(半紙!$B$11:$B$310)-COUNTA(条幅!$B$11:$B$310)),"")))=0,"",IF(478&lt;=COUNTA(半紙!$B$11:$B$310),INDEX(半紙!$C$11:$C$310,478),IF(478&lt;=COUNTA(半紙!$B$11:$B$310)+COUNTA(条幅!$B$11:$B$310),INDEX(条幅!$C$11:$C$310,478-COUNTA(半紙!$B$11:$B$310)),IF(478&lt;=COUNTA(半紙!$B$11:$B$310)+COUNTA(条幅!$B$11:$B$310)+COUNTA(条幅4分の1!$B$11:$B$310),INDEX(条幅4分の1!$C$11:$C$310,478-COUNTA(半紙!$B$11:$B$310)-COUNTA(条幅!$B$11:$B$310)),""))))</f>
        <v/>
      </c>
      <c r="D483" s="38" t="str">
        <f>IF(IF(478&lt;=COUNTA(半紙!$B$11:$B$310),INDEX(半紙!$D$11:$D$310,478),IF(478&lt;=COUNTA(半紙!$B$11:$B$310)+COUNTA(条幅!$B$11:$B$310),INDEX(条幅!$D$11:$D$310,478-COUNTA(半紙!$B$11:$B$310)),IF(478&lt;=COUNTA(半紙!$B$11:$B$310)+COUNTA(条幅!$B$11:$B$310)+COUNTA(条幅4分の1!$B$11:$B$310),INDEX(条幅4分の1!$D$11:$D$310,478-COUNTA(半紙!$B$11:$B$310)-COUNTA(条幅!$B$11:$B$310)),"")))=0,"",IF(478&lt;=COUNTA(半紙!$B$11:$B$310),INDEX(半紙!$D$11:$D$310,478),IF(478&lt;=COUNTA(半紙!$B$11:$B$310)+COUNTA(条幅!$B$11:$B$310),INDEX(条幅!$D$11:$D$310,478-COUNTA(半紙!$B$11:$B$310)),IF(478&lt;=COUNTA(半紙!$B$11:$B$310)+COUNTA(条幅!$B$11:$B$310)+COUNTA(条幅4分の1!$B$11:$B$310),INDEX(条幅4分の1!$D$11:$D$310,478-COUNTA(半紙!$B$11:$B$310)-COUNTA(条幅!$B$11:$B$310)),""))))</f>
        <v/>
      </c>
      <c r="E483" s="38" t="str">
        <f>IF(IF(478&lt;=COUNTA(半紙!$B$11:$B$310),INDEX(半紙!$E$11:$E$310,478),IF(478&lt;=COUNTA(半紙!$B$11:$B$310)+COUNTA(条幅!$B$11:$B$310),INDEX(条幅!$E$11:$E$310,478-COUNTA(半紙!$B$11:$B$310)),IF(478&lt;=COUNTA(半紙!$B$11:$B$310)+COUNTA(条幅!$B$11:$B$310)+COUNTA(条幅4分の1!$B$11:$B$310),INDEX(条幅4分の1!$E$11:$E$310,478-COUNTA(半紙!$B$11:$B$310)-COUNTA(条幅!$B$11:$B$310)),"")))=0,"",IF(478&lt;=COUNTA(半紙!$B$11:$B$310),INDEX(半紙!$E$11:$E$310,478),IF(478&lt;=COUNTA(半紙!$B$11:$B$310)+COUNTA(条幅!$B$11:$B$310),INDEX(条幅!$E$11:$E$310,478-COUNTA(半紙!$B$11:$B$310)),IF(478&lt;=COUNTA(半紙!$B$11:$B$310)+COUNTA(条幅!$B$11:$B$310)+COUNTA(条幅4分の1!$B$11:$B$310),INDEX(条幅4分の1!$E$11:$E$310,478-COUNTA(半紙!$B$11:$B$310)-COUNTA(条幅!$B$11:$B$310)),""))))</f>
        <v/>
      </c>
      <c r="F483" s="38" t="str">
        <f>IF(IF(478&lt;=COUNTA(半紙!$B$11:$B$310),INDEX(半紙!$F$11:$F$310,478),IF(478&lt;=COUNTA(半紙!$B$11:$B$310)+COUNTA(条幅!$B$11:$B$310),INDEX(条幅!$F$11:$F$310,478-COUNTA(半紙!$B$11:$B$310)),IF(478&lt;=COUNTA(半紙!$B$11:$B$310)+COUNTA(条幅!$B$11:$B$310)+COUNTA(条幅4分の1!$B$11:$B$310),INDEX(条幅4分の1!$F$11:$F$310,478-COUNTA(半紙!$B$11:$B$310)-COUNTA(条幅!$B$11:$B$310)),"")))=0,"",IF(478&lt;=COUNTA(半紙!$B$11:$B$310),INDEX(半紙!$F$11:$F$310,478),IF(478&lt;=COUNTA(半紙!$B$11:$B$310)+COUNTA(条幅!$B$11:$B$310),INDEX(条幅!$F$11:$F$310,478-COUNTA(半紙!$B$11:$B$310)),IF(478&lt;=COUNTA(半紙!$B$11:$B$310)+COUNTA(条幅!$B$11:$B$310)+COUNTA(条幅4分の1!$B$11:$B$310),INDEX(条幅4分の1!$F$11:$F$310,478-COUNTA(半紙!$B$11:$B$310)-COUNTA(条幅!$B$11:$B$310)),""))))</f>
        <v/>
      </c>
      <c r="G483" s="38" t="str">
        <f>IF(IF(478&lt;=COUNTA(半紙!$B$11:$B$310),INDEX(半紙!$G$11:$G$310,478),IF(478&lt;=COUNTA(半紙!$B$11:$B$310)+COUNTA(条幅!$B$11:$B$310),INDEX(条幅!$G$11:$G$310,478-COUNTA(半紙!$B$11:$B$310)),IF(478&lt;=COUNTA(半紙!$B$11:$B$310)+COUNTA(条幅!$B$11:$B$310)+COUNTA(条幅4分の1!$B$11:$B$310),INDEX(条幅4分の1!$G$11:$G$310,478-COUNTA(半紙!$B$11:$B$310)-COUNTA(条幅!$B$11:$B$310)),"")))=0,"",IF(478&lt;=COUNTA(半紙!$B$11:$B$310),INDEX(半紙!$G$11:$G$310,478),IF(478&lt;=COUNTA(半紙!$B$11:$B$310)+COUNTA(条幅!$B$11:$B$310),INDEX(条幅!$G$11:$G$310,478-COUNTA(半紙!$B$11:$B$310)),IF(478&lt;=COUNTA(半紙!$B$11:$B$310)+COUNTA(条幅!$B$11:$B$310)+COUNTA(条幅4分の1!$B$11:$B$310),INDEX(条幅4分の1!$G$11:$G$310,478-COUNTA(半紙!$B$11:$B$310)-COUNTA(条幅!$B$11:$B$310)),""))))</f>
        <v/>
      </c>
      <c r="H483" s="38" t="str">
        <f>IF(IF(478&lt;=COUNTA(半紙!$B$11:$B$310),INDEX(半紙!$H$11:$H$310,478),IF(478&lt;=COUNTA(半紙!$B$11:$B$310)+COUNTA(条幅!$B$11:$B$310),INDEX(条幅!$H$11:$H$310,478-COUNTA(半紙!$B$11:$B$310)),IF(478&lt;=COUNTA(半紙!$B$11:$B$310)+COUNTA(条幅!$B$11:$B$310)+COUNTA(条幅4分の1!$B$11:$B$310),INDEX(条幅4分の1!$H$11:$H$310,478-COUNTA(半紙!$B$11:$B$310)-COUNTA(条幅!$B$11:$B$310)),"")))=0,"",IF(478&lt;=COUNTA(半紙!$B$11:$B$310),INDEX(半紙!$H$11:$H$310,478),IF(478&lt;=COUNTA(半紙!$B$11:$B$310)+COUNTA(条幅!$B$11:$B$310),INDEX(条幅!$H$11:$H$310,478-COUNTA(半紙!$B$11:$B$310)),IF(478&lt;=COUNTA(半紙!$B$11:$B$310)+COUNTA(条幅!$B$11:$B$310)+COUNTA(条幅4分の1!$B$11:$B$310),INDEX(条幅4分の1!$H$11:$H$310,478-COUNTA(半紙!$B$11:$B$310)-COUNTA(条幅!$B$11:$B$310)),""))))</f>
        <v/>
      </c>
      <c r="I483" s="38" t="str">
        <f>IF(IF(478&lt;=COUNTA(半紙!$B$11:$B$310),INDEX(半紙!$I$11:$I$310,478),IF(478&lt;=COUNTA(半紙!$B$11:$B$310)+COUNTA(条幅!$B$11:$B$310),INDEX(条幅!$I$11:$I$310,478-COUNTA(半紙!$B$11:$B$310)),IF(478&lt;=COUNTA(半紙!$B$11:$B$310)+COUNTA(条幅!$B$11:$B$310)+COUNTA(条幅4分の1!$B$11:$B$310),INDEX(条幅4分の1!$I$11:$I$310,478-COUNTA(半紙!$B$11:$B$310)-COUNTA(条幅!$B$11:$B$310)),"")))=0,"",IF(478&lt;=COUNTA(半紙!$B$11:$B$310),INDEX(半紙!$I$11:$I$310,478),IF(478&lt;=COUNTA(半紙!$B$11:$B$310)+COUNTA(条幅!$B$11:$B$310),INDEX(条幅!$I$11:$I$310,478-COUNTA(半紙!$B$11:$B$310)),IF(478&lt;=COUNTA(半紙!$B$11:$B$310)+COUNTA(条幅!$B$11:$B$310)+COUNTA(条幅4分の1!$B$11:$B$310),INDEX(条幅4分の1!$I$11:$I$310,478-COUNTA(半紙!$B$11:$B$310)-COUNTA(条幅!$B$11:$B$310)),""))))</f>
        <v/>
      </c>
      <c r="J483" s="38" t="str">
        <f>IF(IF(478&lt;=COUNTA(半紙!$B$11:$B$310),INDEX(半紙!$J$11:$J$310,478),IF(478&lt;=COUNTA(半紙!$B$11:$B$310)+COUNTA(条幅!$B$11:$B$310),INDEX(条幅!$J$11:$J$310,478-COUNTA(半紙!$B$11:$B$310)),IF(478&lt;=COUNTA(半紙!$B$11:$B$310)+COUNTA(条幅!$B$11:$B$310)+COUNTA(条幅4分の1!$B$11:$B$310),INDEX(条幅4分の1!$J$11:$J$310,478-COUNTA(半紙!$B$11:$B$310)-COUNTA(条幅!$B$11:$B$310)),"")))=0,"",IF(478&lt;=COUNTA(半紙!$B$11:$B$310),INDEX(半紙!$J$11:$J$310,478),IF(478&lt;=COUNTA(半紙!$B$11:$B$310)+COUNTA(条幅!$B$11:$B$310),INDEX(条幅!$J$11:$J$310,478-COUNTA(半紙!$B$11:$B$310)),IF(478&lt;=COUNTA(半紙!$B$11:$B$310)+COUNTA(条幅!$B$11:$B$310)+COUNTA(条幅4分の1!$B$11:$B$310),INDEX(条幅4分の1!$J$11:$J$310,478-COUNTA(半紙!$B$11:$B$310)-COUNTA(条幅!$B$11:$B$310)),""))))</f>
        <v/>
      </c>
      <c r="K483" s="38" t="str">
        <f>IF(IF(478&lt;=COUNTA(半紙!$B$11:$B$310),INDEX(半紙!$K$11:$K$310,478),IF(478&lt;=COUNTA(半紙!$B$11:$B$310)+COUNTA(条幅!$B$11:$B$310),INDEX(条幅!$K$11:$K$310,478-COUNTA(半紙!$B$11:$B$310)),IF(478&lt;=COUNTA(半紙!$B$11:$B$310)+COUNTA(条幅!$B$11:$B$310)+COUNTA(条幅4分の1!$B$11:$B$310),INDEX(条幅4分の1!$K$11:$K$310,478-COUNTA(半紙!$B$11:$B$310)-COUNTA(条幅!$B$11:$B$310)),"")))=0,"",IF(478&lt;=COUNTA(半紙!$B$11:$B$310),INDEX(半紙!$K$11:$K$310,478),IF(478&lt;=COUNTA(半紙!$B$11:$B$310)+COUNTA(条幅!$B$11:$B$310),INDEX(条幅!$K$11:$K$310,478-COUNTA(半紙!$B$11:$B$310)),IF(478&lt;=COUNTA(半紙!$B$11:$B$310)+COUNTA(条幅!$B$11:$B$310)+COUNTA(条幅4分の1!$B$11:$B$310),INDEX(条幅4分の1!$K$11:$K$310,478-COUNTA(半紙!$B$11:$B$310)-COUNTA(条幅!$B$11:$B$310)),""))))</f>
        <v/>
      </c>
      <c r="L483" s="48" t="str">
        <f>IF($B483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478))</f>
        <v/>
      </c>
    </row>
    <row r="484" spans="1:12" ht="15" customHeight="1">
      <c r="A484" s="37" t="str">
        <f>IF(479&lt;=COUNTA(半紙!$B$11:$B$310),"半紙",IF(479&lt;=COUNTA(半紙!$B$11:$B$310)+COUNTA(条幅!$B$11:$B$310),"条幅(半切)",IF(479&lt;=COUNTA(半紙!$B$11:$B$310)+COUNTA(条幅!$B$11:$B$310)+COUNTA(条幅4分の1!$B$11:$B$310),"条幅(1/4)","")))</f>
        <v/>
      </c>
      <c r="B484" s="38" t="str">
        <f>IF(IF(479&lt;=COUNTA(半紙!$B$11:$B$310),INDEX(半紙!$B$11:$B$310,479),IF(479&lt;=COUNTA(半紙!$B$11:$B$310)+COUNTA(条幅!$B$11:$B$310),INDEX(条幅!$B$11:$B$310,479-COUNTA(半紙!$B$11:$B$310)),IF(479&lt;=COUNTA(半紙!$B$11:$B$310)+COUNTA(条幅!$B$11:$B$310)+COUNTA(条幅4分の1!$B$11:$B$310),INDEX(条幅4分の1!$B$11:$B$310,479-COUNTA(半紙!$B$11:$B$310)-COUNTA(条幅!$B$11:$B$310)),"")))=0,"",IF(479&lt;=COUNTA(半紙!$B$11:$B$310),INDEX(半紙!$B$11:$B$310,479),IF(479&lt;=COUNTA(半紙!$B$11:$B$310)+COUNTA(条幅!$B$11:$B$310),INDEX(条幅!$B$11:$B$310,479-COUNTA(半紙!$B$11:$B$310)),IF(479&lt;=COUNTA(半紙!$B$11:$B$310)+COUNTA(条幅!$B$11:$B$310)+COUNTA(条幅4分の1!$B$11:$B$310),INDEX(条幅4分の1!$B$11:$B$310,479-COUNTA(半紙!$B$11:$B$310)-COUNTA(条幅!$B$11:$B$310)),""))))</f>
        <v/>
      </c>
      <c r="C484" s="38" t="str">
        <f>IF(IF(479&lt;=COUNTA(半紙!$B$11:$B$310),INDEX(半紙!$C$11:$C$310,479),IF(479&lt;=COUNTA(半紙!$B$11:$B$310)+COUNTA(条幅!$B$11:$B$310),INDEX(条幅!$C$11:$C$310,479-COUNTA(半紙!$B$11:$B$310)),IF(479&lt;=COUNTA(半紙!$B$11:$B$310)+COUNTA(条幅!$B$11:$B$310)+COUNTA(条幅4分の1!$B$11:$B$310),INDEX(条幅4分の1!$C$11:$C$310,479-COUNTA(半紙!$B$11:$B$310)-COUNTA(条幅!$B$11:$B$310)),"")))=0,"",IF(479&lt;=COUNTA(半紙!$B$11:$B$310),INDEX(半紙!$C$11:$C$310,479),IF(479&lt;=COUNTA(半紙!$B$11:$B$310)+COUNTA(条幅!$B$11:$B$310),INDEX(条幅!$C$11:$C$310,479-COUNTA(半紙!$B$11:$B$310)),IF(479&lt;=COUNTA(半紙!$B$11:$B$310)+COUNTA(条幅!$B$11:$B$310)+COUNTA(条幅4分の1!$B$11:$B$310),INDEX(条幅4分の1!$C$11:$C$310,479-COUNTA(半紙!$B$11:$B$310)-COUNTA(条幅!$B$11:$B$310)),""))))</f>
        <v/>
      </c>
      <c r="D484" s="38" t="str">
        <f>IF(IF(479&lt;=COUNTA(半紙!$B$11:$B$310),INDEX(半紙!$D$11:$D$310,479),IF(479&lt;=COUNTA(半紙!$B$11:$B$310)+COUNTA(条幅!$B$11:$B$310),INDEX(条幅!$D$11:$D$310,479-COUNTA(半紙!$B$11:$B$310)),IF(479&lt;=COUNTA(半紙!$B$11:$B$310)+COUNTA(条幅!$B$11:$B$310)+COUNTA(条幅4分の1!$B$11:$B$310),INDEX(条幅4分の1!$D$11:$D$310,479-COUNTA(半紙!$B$11:$B$310)-COUNTA(条幅!$B$11:$B$310)),"")))=0,"",IF(479&lt;=COUNTA(半紙!$B$11:$B$310),INDEX(半紙!$D$11:$D$310,479),IF(479&lt;=COUNTA(半紙!$B$11:$B$310)+COUNTA(条幅!$B$11:$B$310),INDEX(条幅!$D$11:$D$310,479-COUNTA(半紙!$B$11:$B$310)),IF(479&lt;=COUNTA(半紙!$B$11:$B$310)+COUNTA(条幅!$B$11:$B$310)+COUNTA(条幅4分の1!$B$11:$B$310),INDEX(条幅4分の1!$D$11:$D$310,479-COUNTA(半紙!$B$11:$B$310)-COUNTA(条幅!$B$11:$B$310)),""))))</f>
        <v/>
      </c>
      <c r="E484" s="38" t="str">
        <f>IF(IF(479&lt;=COUNTA(半紙!$B$11:$B$310),INDEX(半紙!$E$11:$E$310,479),IF(479&lt;=COUNTA(半紙!$B$11:$B$310)+COUNTA(条幅!$B$11:$B$310),INDEX(条幅!$E$11:$E$310,479-COUNTA(半紙!$B$11:$B$310)),IF(479&lt;=COUNTA(半紙!$B$11:$B$310)+COUNTA(条幅!$B$11:$B$310)+COUNTA(条幅4分の1!$B$11:$B$310),INDEX(条幅4分の1!$E$11:$E$310,479-COUNTA(半紙!$B$11:$B$310)-COUNTA(条幅!$B$11:$B$310)),"")))=0,"",IF(479&lt;=COUNTA(半紙!$B$11:$B$310),INDEX(半紙!$E$11:$E$310,479),IF(479&lt;=COUNTA(半紙!$B$11:$B$310)+COUNTA(条幅!$B$11:$B$310),INDEX(条幅!$E$11:$E$310,479-COUNTA(半紙!$B$11:$B$310)),IF(479&lt;=COUNTA(半紙!$B$11:$B$310)+COUNTA(条幅!$B$11:$B$310)+COUNTA(条幅4分の1!$B$11:$B$310),INDEX(条幅4分の1!$E$11:$E$310,479-COUNTA(半紙!$B$11:$B$310)-COUNTA(条幅!$B$11:$B$310)),""))))</f>
        <v/>
      </c>
      <c r="F484" s="38" t="str">
        <f>IF(IF(479&lt;=COUNTA(半紙!$B$11:$B$310),INDEX(半紙!$F$11:$F$310,479),IF(479&lt;=COUNTA(半紙!$B$11:$B$310)+COUNTA(条幅!$B$11:$B$310),INDEX(条幅!$F$11:$F$310,479-COUNTA(半紙!$B$11:$B$310)),IF(479&lt;=COUNTA(半紙!$B$11:$B$310)+COUNTA(条幅!$B$11:$B$310)+COUNTA(条幅4分の1!$B$11:$B$310),INDEX(条幅4分の1!$F$11:$F$310,479-COUNTA(半紙!$B$11:$B$310)-COUNTA(条幅!$B$11:$B$310)),"")))=0,"",IF(479&lt;=COUNTA(半紙!$B$11:$B$310),INDEX(半紙!$F$11:$F$310,479),IF(479&lt;=COUNTA(半紙!$B$11:$B$310)+COUNTA(条幅!$B$11:$B$310),INDEX(条幅!$F$11:$F$310,479-COUNTA(半紙!$B$11:$B$310)),IF(479&lt;=COUNTA(半紙!$B$11:$B$310)+COUNTA(条幅!$B$11:$B$310)+COUNTA(条幅4分の1!$B$11:$B$310),INDEX(条幅4分の1!$F$11:$F$310,479-COUNTA(半紙!$B$11:$B$310)-COUNTA(条幅!$B$11:$B$310)),""))))</f>
        <v/>
      </c>
      <c r="G484" s="38" t="str">
        <f>IF(IF(479&lt;=COUNTA(半紙!$B$11:$B$310),INDEX(半紙!$G$11:$G$310,479),IF(479&lt;=COUNTA(半紙!$B$11:$B$310)+COUNTA(条幅!$B$11:$B$310),INDEX(条幅!$G$11:$G$310,479-COUNTA(半紙!$B$11:$B$310)),IF(479&lt;=COUNTA(半紙!$B$11:$B$310)+COUNTA(条幅!$B$11:$B$310)+COUNTA(条幅4分の1!$B$11:$B$310),INDEX(条幅4分の1!$G$11:$G$310,479-COUNTA(半紙!$B$11:$B$310)-COUNTA(条幅!$B$11:$B$310)),"")))=0,"",IF(479&lt;=COUNTA(半紙!$B$11:$B$310),INDEX(半紙!$G$11:$G$310,479),IF(479&lt;=COUNTA(半紙!$B$11:$B$310)+COUNTA(条幅!$B$11:$B$310),INDEX(条幅!$G$11:$G$310,479-COUNTA(半紙!$B$11:$B$310)),IF(479&lt;=COUNTA(半紙!$B$11:$B$310)+COUNTA(条幅!$B$11:$B$310)+COUNTA(条幅4分の1!$B$11:$B$310),INDEX(条幅4分の1!$G$11:$G$310,479-COUNTA(半紙!$B$11:$B$310)-COUNTA(条幅!$B$11:$B$310)),""))))</f>
        <v/>
      </c>
      <c r="H484" s="38" t="str">
        <f>IF(IF(479&lt;=COUNTA(半紙!$B$11:$B$310),INDEX(半紙!$H$11:$H$310,479),IF(479&lt;=COUNTA(半紙!$B$11:$B$310)+COUNTA(条幅!$B$11:$B$310),INDEX(条幅!$H$11:$H$310,479-COUNTA(半紙!$B$11:$B$310)),IF(479&lt;=COUNTA(半紙!$B$11:$B$310)+COUNTA(条幅!$B$11:$B$310)+COUNTA(条幅4分の1!$B$11:$B$310),INDEX(条幅4分の1!$H$11:$H$310,479-COUNTA(半紙!$B$11:$B$310)-COUNTA(条幅!$B$11:$B$310)),"")))=0,"",IF(479&lt;=COUNTA(半紙!$B$11:$B$310),INDEX(半紙!$H$11:$H$310,479),IF(479&lt;=COUNTA(半紙!$B$11:$B$310)+COUNTA(条幅!$B$11:$B$310),INDEX(条幅!$H$11:$H$310,479-COUNTA(半紙!$B$11:$B$310)),IF(479&lt;=COUNTA(半紙!$B$11:$B$310)+COUNTA(条幅!$B$11:$B$310)+COUNTA(条幅4分の1!$B$11:$B$310),INDEX(条幅4分の1!$H$11:$H$310,479-COUNTA(半紙!$B$11:$B$310)-COUNTA(条幅!$B$11:$B$310)),""))))</f>
        <v/>
      </c>
      <c r="I484" s="38" t="str">
        <f>IF(IF(479&lt;=COUNTA(半紙!$B$11:$B$310),INDEX(半紙!$I$11:$I$310,479),IF(479&lt;=COUNTA(半紙!$B$11:$B$310)+COUNTA(条幅!$B$11:$B$310),INDEX(条幅!$I$11:$I$310,479-COUNTA(半紙!$B$11:$B$310)),IF(479&lt;=COUNTA(半紙!$B$11:$B$310)+COUNTA(条幅!$B$11:$B$310)+COUNTA(条幅4分の1!$B$11:$B$310),INDEX(条幅4分の1!$I$11:$I$310,479-COUNTA(半紙!$B$11:$B$310)-COUNTA(条幅!$B$11:$B$310)),"")))=0,"",IF(479&lt;=COUNTA(半紙!$B$11:$B$310),INDEX(半紙!$I$11:$I$310,479),IF(479&lt;=COUNTA(半紙!$B$11:$B$310)+COUNTA(条幅!$B$11:$B$310),INDEX(条幅!$I$11:$I$310,479-COUNTA(半紙!$B$11:$B$310)),IF(479&lt;=COUNTA(半紙!$B$11:$B$310)+COUNTA(条幅!$B$11:$B$310)+COUNTA(条幅4分の1!$B$11:$B$310),INDEX(条幅4分の1!$I$11:$I$310,479-COUNTA(半紙!$B$11:$B$310)-COUNTA(条幅!$B$11:$B$310)),""))))</f>
        <v/>
      </c>
      <c r="J484" s="38" t="str">
        <f>IF(IF(479&lt;=COUNTA(半紙!$B$11:$B$310),INDEX(半紙!$J$11:$J$310,479),IF(479&lt;=COUNTA(半紙!$B$11:$B$310)+COUNTA(条幅!$B$11:$B$310),INDEX(条幅!$J$11:$J$310,479-COUNTA(半紙!$B$11:$B$310)),IF(479&lt;=COUNTA(半紙!$B$11:$B$310)+COUNTA(条幅!$B$11:$B$310)+COUNTA(条幅4分の1!$B$11:$B$310),INDEX(条幅4分の1!$J$11:$J$310,479-COUNTA(半紙!$B$11:$B$310)-COUNTA(条幅!$B$11:$B$310)),"")))=0,"",IF(479&lt;=COUNTA(半紙!$B$11:$B$310),INDEX(半紙!$J$11:$J$310,479),IF(479&lt;=COUNTA(半紙!$B$11:$B$310)+COUNTA(条幅!$B$11:$B$310),INDEX(条幅!$J$11:$J$310,479-COUNTA(半紙!$B$11:$B$310)),IF(479&lt;=COUNTA(半紙!$B$11:$B$310)+COUNTA(条幅!$B$11:$B$310)+COUNTA(条幅4分の1!$B$11:$B$310),INDEX(条幅4分の1!$J$11:$J$310,479-COUNTA(半紙!$B$11:$B$310)-COUNTA(条幅!$B$11:$B$310)),""))))</f>
        <v/>
      </c>
      <c r="K484" s="38" t="str">
        <f>IF(IF(479&lt;=COUNTA(半紙!$B$11:$B$310),INDEX(半紙!$K$11:$K$310,479),IF(479&lt;=COUNTA(半紙!$B$11:$B$310)+COUNTA(条幅!$B$11:$B$310),INDEX(条幅!$K$11:$K$310,479-COUNTA(半紙!$B$11:$B$310)),IF(479&lt;=COUNTA(半紙!$B$11:$B$310)+COUNTA(条幅!$B$11:$B$310)+COUNTA(条幅4分の1!$B$11:$B$310),INDEX(条幅4分の1!$K$11:$K$310,479-COUNTA(半紙!$B$11:$B$310)-COUNTA(条幅!$B$11:$B$310)),"")))=0,"",IF(479&lt;=COUNTA(半紙!$B$11:$B$310),INDEX(半紙!$K$11:$K$310,479),IF(479&lt;=COUNTA(半紙!$B$11:$B$310)+COUNTA(条幅!$B$11:$B$310),INDEX(条幅!$K$11:$K$310,479-COUNTA(半紙!$B$11:$B$310)),IF(479&lt;=COUNTA(半紙!$B$11:$B$310)+COUNTA(条幅!$B$11:$B$310)+COUNTA(条幅4分の1!$B$11:$B$310),INDEX(条幅4分の1!$K$11:$K$310,479-COUNTA(半紙!$B$11:$B$310)-COUNTA(条幅!$B$11:$B$310)),""))))</f>
        <v/>
      </c>
      <c r="L484" s="48" t="str">
        <f>IF($B484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479))</f>
        <v/>
      </c>
    </row>
    <row r="485" spans="1:12" ht="15" customHeight="1">
      <c r="A485" s="37" t="str">
        <f>IF(480&lt;=COUNTA(半紙!$B$11:$B$310),"半紙",IF(480&lt;=COUNTA(半紙!$B$11:$B$310)+COUNTA(条幅!$B$11:$B$310),"条幅(半切)",IF(480&lt;=COUNTA(半紙!$B$11:$B$310)+COUNTA(条幅!$B$11:$B$310)+COUNTA(条幅4分の1!$B$11:$B$310),"条幅(1/4)","")))</f>
        <v/>
      </c>
      <c r="B485" s="38" t="str">
        <f>IF(IF(480&lt;=COUNTA(半紙!$B$11:$B$310),INDEX(半紙!$B$11:$B$310,480),IF(480&lt;=COUNTA(半紙!$B$11:$B$310)+COUNTA(条幅!$B$11:$B$310),INDEX(条幅!$B$11:$B$310,480-COUNTA(半紙!$B$11:$B$310)),IF(480&lt;=COUNTA(半紙!$B$11:$B$310)+COUNTA(条幅!$B$11:$B$310)+COUNTA(条幅4分の1!$B$11:$B$310),INDEX(条幅4分の1!$B$11:$B$310,480-COUNTA(半紙!$B$11:$B$310)-COUNTA(条幅!$B$11:$B$310)),"")))=0,"",IF(480&lt;=COUNTA(半紙!$B$11:$B$310),INDEX(半紙!$B$11:$B$310,480),IF(480&lt;=COUNTA(半紙!$B$11:$B$310)+COUNTA(条幅!$B$11:$B$310),INDEX(条幅!$B$11:$B$310,480-COUNTA(半紙!$B$11:$B$310)),IF(480&lt;=COUNTA(半紙!$B$11:$B$310)+COUNTA(条幅!$B$11:$B$310)+COUNTA(条幅4分の1!$B$11:$B$310),INDEX(条幅4分の1!$B$11:$B$310,480-COUNTA(半紙!$B$11:$B$310)-COUNTA(条幅!$B$11:$B$310)),""))))</f>
        <v/>
      </c>
      <c r="C485" s="38" t="str">
        <f>IF(IF(480&lt;=COUNTA(半紙!$B$11:$B$310),INDEX(半紙!$C$11:$C$310,480),IF(480&lt;=COUNTA(半紙!$B$11:$B$310)+COUNTA(条幅!$B$11:$B$310),INDEX(条幅!$C$11:$C$310,480-COUNTA(半紙!$B$11:$B$310)),IF(480&lt;=COUNTA(半紙!$B$11:$B$310)+COUNTA(条幅!$B$11:$B$310)+COUNTA(条幅4分の1!$B$11:$B$310),INDEX(条幅4分の1!$C$11:$C$310,480-COUNTA(半紙!$B$11:$B$310)-COUNTA(条幅!$B$11:$B$310)),"")))=0,"",IF(480&lt;=COUNTA(半紙!$B$11:$B$310),INDEX(半紙!$C$11:$C$310,480),IF(480&lt;=COUNTA(半紙!$B$11:$B$310)+COUNTA(条幅!$B$11:$B$310),INDEX(条幅!$C$11:$C$310,480-COUNTA(半紙!$B$11:$B$310)),IF(480&lt;=COUNTA(半紙!$B$11:$B$310)+COUNTA(条幅!$B$11:$B$310)+COUNTA(条幅4分の1!$B$11:$B$310),INDEX(条幅4分の1!$C$11:$C$310,480-COUNTA(半紙!$B$11:$B$310)-COUNTA(条幅!$B$11:$B$310)),""))))</f>
        <v/>
      </c>
      <c r="D485" s="38" t="str">
        <f>IF(IF(480&lt;=COUNTA(半紙!$B$11:$B$310),INDEX(半紙!$D$11:$D$310,480),IF(480&lt;=COUNTA(半紙!$B$11:$B$310)+COUNTA(条幅!$B$11:$B$310),INDEX(条幅!$D$11:$D$310,480-COUNTA(半紙!$B$11:$B$310)),IF(480&lt;=COUNTA(半紙!$B$11:$B$310)+COUNTA(条幅!$B$11:$B$310)+COUNTA(条幅4分の1!$B$11:$B$310),INDEX(条幅4分の1!$D$11:$D$310,480-COUNTA(半紙!$B$11:$B$310)-COUNTA(条幅!$B$11:$B$310)),"")))=0,"",IF(480&lt;=COUNTA(半紙!$B$11:$B$310),INDEX(半紙!$D$11:$D$310,480),IF(480&lt;=COUNTA(半紙!$B$11:$B$310)+COUNTA(条幅!$B$11:$B$310),INDEX(条幅!$D$11:$D$310,480-COUNTA(半紙!$B$11:$B$310)),IF(480&lt;=COUNTA(半紙!$B$11:$B$310)+COUNTA(条幅!$B$11:$B$310)+COUNTA(条幅4分の1!$B$11:$B$310),INDEX(条幅4分の1!$D$11:$D$310,480-COUNTA(半紙!$B$11:$B$310)-COUNTA(条幅!$B$11:$B$310)),""))))</f>
        <v/>
      </c>
      <c r="E485" s="38" t="str">
        <f>IF(IF(480&lt;=COUNTA(半紙!$B$11:$B$310),INDEX(半紙!$E$11:$E$310,480),IF(480&lt;=COUNTA(半紙!$B$11:$B$310)+COUNTA(条幅!$B$11:$B$310),INDEX(条幅!$E$11:$E$310,480-COUNTA(半紙!$B$11:$B$310)),IF(480&lt;=COUNTA(半紙!$B$11:$B$310)+COUNTA(条幅!$B$11:$B$310)+COUNTA(条幅4分の1!$B$11:$B$310),INDEX(条幅4分の1!$E$11:$E$310,480-COUNTA(半紙!$B$11:$B$310)-COUNTA(条幅!$B$11:$B$310)),"")))=0,"",IF(480&lt;=COUNTA(半紙!$B$11:$B$310),INDEX(半紙!$E$11:$E$310,480),IF(480&lt;=COUNTA(半紙!$B$11:$B$310)+COUNTA(条幅!$B$11:$B$310),INDEX(条幅!$E$11:$E$310,480-COUNTA(半紙!$B$11:$B$310)),IF(480&lt;=COUNTA(半紙!$B$11:$B$310)+COUNTA(条幅!$B$11:$B$310)+COUNTA(条幅4分の1!$B$11:$B$310),INDEX(条幅4分の1!$E$11:$E$310,480-COUNTA(半紙!$B$11:$B$310)-COUNTA(条幅!$B$11:$B$310)),""))))</f>
        <v/>
      </c>
      <c r="F485" s="38" t="str">
        <f>IF(IF(480&lt;=COUNTA(半紙!$B$11:$B$310),INDEX(半紙!$F$11:$F$310,480),IF(480&lt;=COUNTA(半紙!$B$11:$B$310)+COUNTA(条幅!$B$11:$B$310),INDEX(条幅!$F$11:$F$310,480-COUNTA(半紙!$B$11:$B$310)),IF(480&lt;=COUNTA(半紙!$B$11:$B$310)+COUNTA(条幅!$B$11:$B$310)+COUNTA(条幅4分の1!$B$11:$B$310),INDEX(条幅4分の1!$F$11:$F$310,480-COUNTA(半紙!$B$11:$B$310)-COUNTA(条幅!$B$11:$B$310)),"")))=0,"",IF(480&lt;=COUNTA(半紙!$B$11:$B$310),INDEX(半紙!$F$11:$F$310,480),IF(480&lt;=COUNTA(半紙!$B$11:$B$310)+COUNTA(条幅!$B$11:$B$310),INDEX(条幅!$F$11:$F$310,480-COUNTA(半紙!$B$11:$B$310)),IF(480&lt;=COUNTA(半紙!$B$11:$B$310)+COUNTA(条幅!$B$11:$B$310)+COUNTA(条幅4分の1!$B$11:$B$310),INDEX(条幅4分の1!$F$11:$F$310,480-COUNTA(半紙!$B$11:$B$310)-COUNTA(条幅!$B$11:$B$310)),""))))</f>
        <v/>
      </c>
      <c r="G485" s="38" t="str">
        <f>IF(IF(480&lt;=COUNTA(半紙!$B$11:$B$310),INDEX(半紙!$G$11:$G$310,480),IF(480&lt;=COUNTA(半紙!$B$11:$B$310)+COUNTA(条幅!$B$11:$B$310),INDEX(条幅!$G$11:$G$310,480-COUNTA(半紙!$B$11:$B$310)),IF(480&lt;=COUNTA(半紙!$B$11:$B$310)+COUNTA(条幅!$B$11:$B$310)+COUNTA(条幅4分の1!$B$11:$B$310),INDEX(条幅4分の1!$G$11:$G$310,480-COUNTA(半紙!$B$11:$B$310)-COUNTA(条幅!$B$11:$B$310)),"")))=0,"",IF(480&lt;=COUNTA(半紙!$B$11:$B$310),INDEX(半紙!$G$11:$G$310,480),IF(480&lt;=COUNTA(半紙!$B$11:$B$310)+COUNTA(条幅!$B$11:$B$310),INDEX(条幅!$G$11:$G$310,480-COUNTA(半紙!$B$11:$B$310)),IF(480&lt;=COUNTA(半紙!$B$11:$B$310)+COUNTA(条幅!$B$11:$B$310)+COUNTA(条幅4分の1!$B$11:$B$310),INDEX(条幅4分の1!$G$11:$G$310,480-COUNTA(半紙!$B$11:$B$310)-COUNTA(条幅!$B$11:$B$310)),""))))</f>
        <v/>
      </c>
      <c r="H485" s="38" t="str">
        <f>IF(IF(480&lt;=COUNTA(半紙!$B$11:$B$310),INDEX(半紙!$H$11:$H$310,480),IF(480&lt;=COUNTA(半紙!$B$11:$B$310)+COUNTA(条幅!$B$11:$B$310),INDEX(条幅!$H$11:$H$310,480-COUNTA(半紙!$B$11:$B$310)),IF(480&lt;=COUNTA(半紙!$B$11:$B$310)+COUNTA(条幅!$B$11:$B$310)+COUNTA(条幅4分の1!$B$11:$B$310),INDEX(条幅4分の1!$H$11:$H$310,480-COUNTA(半紙!$B$11:$B$310)-COUNTA(条幅!$B$11:$B$310)),"")))=0,"",IF(480&lt;=COUNTA(半紙!$B$11:$B$310),INDEX(半紙!$H$11:$H$310,480),IF(480&lt;=COUNTA(半紙!$B$11:$B$310)+COUNTA(条幅!$B$11:$B$310),INDEX(条幅!$H$11:$H$310,480-COUNTA(半紙!$B$11:$B$310)),IF(480&lt;=COUNTA(半紙!$B$11:$B$310)+COUNTA(条幅!$B$11:$B$310)+COUNTA(条幅4分の1!$B$11:$B$310),INDEX(条幅4分の1!$H$11:$H$310,480-COUNTA(半紙!$B$11:$B$310)-COUNTA(条幅!$B$11:$B$310)),""))))</f>
        <v/>
      </c>
      <c r="I485" s="38" t="str">
        <f>IF(IF(480&lt;=COUNTA(半紙!$B$11:$B$310),INDEX(半紙!$I$11:$I$310,480),IF(480&lt;=COUNTA(半紙!$B$11:$B$310)+COUNTA(条幅!$B$11:$B$310),INDEX(条幅!$I$11:$I$310,480-COUNTA(半紙!$B$11:$B$310)),IF(480&lt;=COUNTA(半紙!$B$11:$B$310)+COUNTA(条幅!$B$11:$B$310)+COUNTA(条幅4分の1!$B$11:$B$310),INDEX(条幅4分の1!$I$11:$I$310,480-COUNTA(半紙!$B$11:$B$310)-COUNTA(条幅!$B$11:$B$310)),"")))=0,"",IF(480&lt;=COUNTA(半紙!$B$11:$B$310),INDEX(半紙!$I$11:$I$310,480),IF(480&lt;=COUNTA(半紙!$B$11:$B$310)+COUNTA(条幅!$B$11:$B$310),INDEX(条幅!$I$11:$I$310,480-COUNTA(半紙!$B$11:$B$310)),IF(480&lt;=COUNTA(半紙!$B$11:$B$310)+COUNTA(条幅!$B$11:$B$310)+COUNTA(条幅4分の1!$B$11:$B$310),INDEX(条幅4分の1!$I$11:$I$310,480-COUNTA(半紙!$B$11:$B$310)-COUNTA(条幅!$B$11:$B$310)),""))))</f>
        <v/>
      </c>
      <c r="J485" s="38" t="str">
        <f>IF(IF(480&lt;=COUNTA(半紙!$B$11:$B$310),INDEX(半紙!$J$11:$J$310,480),IF(480&lt;=COUNTA(半紙!$B$11:$B$310)+COUNTA(条幅!$B$11:$B$310),INDEX(条幅!$J$11:$J$310,480-COUNTA(半紙!$B$11:$B$310)),IF(480&lt;=COUNTA(半紙!$B$11:$B$310)+COUNTA(条幅!$B$11:$B$310)+COUNTA(条幅4分の1!$B$11:$B$310),INDEX(条幅4分の1!$J$11:$J$310,480-COUNTA(半紙!$B$11:$B$310)-COUNTA(条幅!$B$11:$B$310)),"")))=0,"",IF(480&lt;=COUNTA(半紙!$B$11:$B$310),INDEX(半紙!$J$11:$J$310,480),IF(480&lt;=COUNTA(半紙!$B$11:$B$310)+COUNTA(条幅!$B$11:$B$310),INDEX(条幅!$J$11:$J$310,480-COUNTA(半紙!$B$11:$B$310)),IF(480&lt;=COUNTA(半紙!$B$11:$B$310)+COUNTA(条幅!$B$11:$B$310)+COUNTA(条幅4分の1!$B$11:$B$310),INDEX(条幅4分の1!$J$11:$J$310,480-COUNTA(半紙!$B$11:$B$310)-COUNTA(条幅!$B$11:$B$310)),""))))</f>
        <v/>
      </c>
      <c r="K485" s="38" t="str">
        <f>IF(IF(480&lt;=COUNTA(半紙!$B$11:$B$310),INDEX(半紙!$K$11:$K$310,480),IF(480&lt;=COUNTA(半紙!$B$11:$B$310)+COUNTA(条幅!$B$11:$B$310),INDEX(条幅!$K$11:$K$310,480-COUNTA(半紙!$B$11:$B$310)),IF(480&lt;=COUNTA(半紙!$B$11:$B$310)+COUNTA(条幅!$B$11:$B$310)+COUNTA(条幅4分の1!$B$11:$B$310),INDEX(条幅4分の1!$K$11:$K$310,480-COUNTA(半紙!$B$11:$B$310)-COUNTA(条幅!$B$11:$B$310)),"")))=0,"",IF(480&lt;=COUNTA(半紙!$B$11:$B$310),INDEX(半紙!$K$11:$K$310,480),IF(480&lt;=COUNTA(半紙!$B$11:$B$310)+COUNTA(条幅!$B$11:$B$310),INDEX(条幅!$K$11:$K$310,480-COUNTA(半紙!$B$11:$B$310)),IF(480&lt;=COUNTA(半紙!$B$11:$B$310)+COUNTA(条幅!$B$11:$B$310)+COUNTA(条幅4分の1!$B$11:$B$310),INDEX(条幅4分の1!$K$11:$K$310,480-COUNTA(半紙!$B$11:$B$310)-COUNTA(条幅!$B$11:$B$310)),""))))</f>
        <v/>
      </c>
      <c r="L485" s="48" t="str">
        <f>IF($B485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480))</f>
        <v/>
      </c>
    </row>
    <row r="486" spans="1:12" ht="15" customHeight="1">
      <c r="A486" s="37" t="str">
        <f>IF(481&lt;=COUNTA(半紙!$B$11:$B$310),"半紙",IF(481&lt;=COUNTA(半紙!$B$11:$B$310)+COUNTA(条幅!$B$11:$B$310),"条幅(半切)",IF(481&lt;=COUNTA(半紙!$B$11:$B$310)+COUNTA(条幅!$B$11:$B$310)+COUNTA(条幅4分の1!$B$11:$B$310),"条幅(1/4)","")))</f>
        <v/>
      </c>
      <c r="B486" s="38" t="str">
        <f>IF(IF(481&lt;=COUNTA(半紙!$B$11:$B$310),INDEX(半紙!$B$11:$B$310,481),IF(481&lt;=COUNTA(半紙!$B$11:$B$310)+COUNTA(条幅!$B$11:$B$310),INDEX(条幅!$B$11:$B$310,481-COUNTA(半紙!$B$11:$B$310)),IF(481&lt;=COUNTA(半紙!$B$11:$B$310)+COUNTA(条幅!$B$11:$B$310)+COUNTA(条幅4分の1!$B$11:$B$310),INDEX(条幅4分の1!$B$11:$B$310,481-COUNTA(半紙!$B$11:$B$310)-COUNTA(条幅!$B$11:$B$310)),"")))=0,"",IF(481&lt;=COUNTA(半紙!$B$11:$B$310),INDEX(半紙!$B$11:$B$310,481),IF(481&lt;=COUNTA(半紙!$B$11:$B$310)+COUNTA(条幅!$B$11:$B$310),INDEX(条幅!$B$11:$B$310,481-COUNTA(半紙!$B$11:$B$310)),IF(481&lt;=COUNTA(半紙!$B$11:$B$310)+COUNTA(条幅!$B$11:$B$310)+COUNTA(条幅4分の1!$B$11:$B$310),INDEX(条幅4分の1!$B$11:$B$310,481-COUNTA(半紙!$B$11:$B$310)-COUNTA(条幅!$B$11:$B$310)),""))))</f>
        <v/>
      </c>
      <c r="C486" s="38" t="str">
        <f>IF(IF(481&lt;=COUNTA(半紙!$B$11:$B$310),INDEX(半紙!$C$11:$C$310,481),IF(481&lt;=COUNTA(半紙!$B$11:$B$310)+COUNTA(条幅!$B$11:$B$310),INDEX(条幅!$C$11:$C$310,481-COUNTA(半紙!$B$11:$B$310)),IF(481&lt;=COUNTA(半紙!$B$11:$B$310)+COUNTA(条幅!$B$11:$B$310)+COUNTA(条幅4分の1!$B$11:$B$310),INDEX(条幅4分の1!$C$11:$C$310,481-COUNTA(半紙!$B$11:$B$310)-COUNTA(条幅!$B$11:$B$310)),"")))=0,"",IF(481&lt;=COUNTA(半紙!$B$11:$B$310),INDEX(半紙!$C$11:$C$310,481),IF(481&lt;=COUNTA(半紙!$B$11:$B$310)+COUNTA(条幅!$B$11:$B$310),INDEX(条幅!$C$11:$C$310,481-COUNTA(半紙!$B$11:$B$310)),IF(481&lt;=COUNTA(半紙!$B$11:$B$310)+COUNTA(条幅!$B$11:$B$310)+COUNTA(条幅4分の1!$B$11:$B$310),INDEX(条幅4分の1!$C$11:$C$310,481-COUNTA(半紙!$B$11:$B$310)-COUNTA(条幅!$B$11:$B$310)),""))))</f>
        <v/>
      </c>
      <c r="D486" s="38" t="str">
        <f>IF(IF(481&lt;=COUNTA(半紙!$B$11:$B$310),INDEX(半紙!$D$11:$D$310,481),IF(481&lt;=COUNTA(半紙!$B$11:$B$310)+COUNTA(条幅!$B$11:$B$310),INDEX(条幅!$D$11:$D$310,481-COUNTA(半紙!$B$11:$B$310)),IF(481&lt;=COUNTA(半紙!$B$11:$B$310)+COUNTA(条幅!$B$11:$B$310)+COUNTA(条幅4分の1!$B$11:$B$310),INDEX(条幅4分の1!$D$11:$D$310,481-COUNTA(半紙!$B$11:$B$310)-COUNTA(条幅!$B$11:$B$310)),"")))=0,"",IF(481&lt;=COUNTA(半紙!$B$11:$B$310),INDEX(半紙!$D$11:$D$310,481),IF(481&lt;=COUNTA(半紙!$B$11:$B$310)+COUNTA(条幅!$B$11:$B$310),INDEX(条幅!$D$11:$D$310,481-COUNTA(半紙!$B$11:$B$310)),IF(481&lt;=COUNTA(半紙!$B$11:$B$310)+COUNTA(条幅!$B$11:$B$310)+COUNTA(条幅4分の1!$B$11:$B$310),INDEX(条幅4分の1!$D$11:$D$310,481-COUNTA(半紙!$B$11:$B$310)-COUNTA(条幅!$B$11:$B$310)),""))))</f>
        <v/>
      </c>
      <c r="E486" s="38" t="str">
        <f>IF(IF(481&lt;=COUNTA(半紙!$B$11:$B$310),INDEX(半紙!$E$11:$E$310,481),IF(481&lt;=COUNTA(半紙!$B$11:$B$310)+COUNTA(条幅!$B$11:$B$310),INDEX(条幅!$E$11:$E$310,481-COUNTA(半紙!$B$11:$B$310)),IF(481&lt;=COUNTA(半紙!$B$11:$B$310)+COUNTA(条幅!$B$11:$B$310)+COUNTA(条幅4分の1!$B$11:$B$310),INDEX(条幅4分の1!$E$11:$E$310,481-COUNTA(半紙!$B$11:$B$310)-COUNTA(条幅!$B$11:$B$310)),"")))=0,"",IF(481&lt;=COUNTA(半紙!$B$11:$B$310),INDEX(半紙!$E$11:$E$310,481),IF(481&lt;=COUNTA(半紙!$B$11:$B$310)+COUNTA(条幅!$B$11:$B$310),INDEX(条幅!$E$11:$E$310,481-COUNTA(半紙!$B$11:$B$310)),IF(481&lt;=COUNTA(半紙!$B$11:$B$310)+COUNTA(条幅!$B$11:$B$310)+COUNTA(条幅4分の1!$B$11:$B$310),INDEX(条幅4分の1!$E$11:$E$310,481-COUNTA(半紙!$B$11:$B$310)-COUNTA(条幅!$B$11:$B$310)),""))))</f>
        <v/>
      </c>
      <c r="F486" s="38" t="str">
        <f>IF(IF(481&lt;=COUNTA(半紙!$B$11:$B$310),INDEX(半紙!$F$11:$F$310,481),IF(481&lt;=COUNTA(半紙!$B$11:$B$310)+COUNTA(条幅!$B$11:$B$310),INDEX(条幅!$F$11:$F$310,481-COUNTA(半紙!$B$11:$B$310)),IF(481&lt;=COUNTA(半紙!$B$11:$B$310)+COUNTA(条幅!$B$11:$B$310)+COUNTA(条幅4分の1!$B$11:$B$310),INDEX(条幅4分の1!$F$11:$F$310,481-COUNTA(半紙!$B$11:$B$310)-COUNTA(条幅!$B$11:$B$310)),"")))=0,"",IF(481&lt;=COUNTA(半紙!$B$11:$B$310),INDEX(半紙!$F$11:$F$310,481),IF(481&lt;=COUNTA(半紙!$B$11:$B$310)+COUNTA(条幅!$B$11:$B$310),INDEX(条幅!$F$11:$F$310,481-COUNTA(半紙!$B$11:$B$310)),IF(481&lt;=COUNTA(半紙!$B$11:$B$310)+COUNTA(条幅!$B$11:$B$310)+COUNTA(条幅4分の1!$B$11:$B$310),INDEX(条幅4分の1!$F$11:$F$310,481-COUNTA(半紙!$B$11:$B$310)-COUNTA(条幅!$B$11:$B$310)),""))))</f>
        <v/>
      </c>
      <c r="G486" s="38" t="str">
        <f>IF(IF(481&lt;=COUNTA(半紙!$B$11:$B$310),INDEX(半紙!$G$11:$G$310,481),IF(481&lt;=COUNTA(半紙!$B$11:$B$310)+COUNTA(条幅!$B$11:$B$310),INDEX(条幅!$G$11:$G$310,481-COUNTA(半紙!$B$11:$B$310)),IF(481&lt;=COUNTA(半紙!$B$11:$B$310)+COUNTA(条幅!$B$11:$B$310)+COUNTA(条幅4分の1!$B$11:$B$310),INDEX(条幅4分の1!$G$11:$G$310,481-COUNTA(半紙!$B$11:$B$310)-COUNTA(条幅!$B$11:$B$310)),"")))=0,"",IF(481&lt;=COUNTA(半紙!$B$11:$B$310),INDEX(半紙!$G$11:$G$310,481),IF(481&lt;=COUNTA(半紙!$B$11:$B$310)+COUNTA(条幅!$B$11:$B$310),INDEX(条幅!$G$11:$G$310,481-COUNTA(半紙!$B$11:$B$310)),IF(481&lt;=COUNTA(半紙!$B$11:$B$310)+COUNTA(条幅!$B$11:$B$310)+COUNTA(条幅4分の1!$B$11:$B$310),INDEX(条幅4分の1!$G$11:$G$310,481-COUNTA(半紙!$B$11:$B$310)-COUNTA(条幅!$B$11:$B$310)),""))))</f>
        <v/>
      </c>
      <c r="H486" s="38" t="str">
        <f>IF(IF(481&lt;=COUNTA(半紙!$B$11:$B$310),INDEX(半紙!$H$11:$H$310,481),IF(481&lt;=COUNTA(半紙!$B$11:$B$310)+COUNTA(条幅!$B$11:$B$310),INDEX(条幅!$H$11:$H$310,481-COUNTA(半紙!$B$11:$B$310)),IF(481&lt;=COUNTA(半紙!$B$11:$B$310)+COUNTA(条幅!$B$11:$B$310)+COUNTA(条幅4分の1!$B$11:$B$310),INDEX(条幅4分の1!$H$11:$H$310,481-COUNTA(半紙!$B$11:$B$310)-COUNTA(条幅!$B$11:$B$310)),"")))=0,"",IF(481&lt;=COUNTA(半紙!$B$11:$B$310),INDEX(半紙!$H$11:$H$310,481),IF(481&lt;=COUNTA(半紙!$B$11:$B$310)+COUNTA(条幅!$B$11:$B$310),INDEX(条幅!$H$11:$H$310,481-COUNTA(半紙!$B$11:$B$310)),IF(481&lt;=COUNTA(半紙!$B$11:$B$310)+COUNTA(条幅!$B$11:$B$310)+COUNTA(条幅4分の1!$B$11:$B$310),INDEX(条幅4分の1!$H$11:$H$310,481-COUNTA(半紙!$B$11:$B$310)-COUNTA(条幅!$B$11:$B$310)),""))))</f>
        <v/>
      </c>
      <c r="I486" s="38" t="str">
        <f>IF(IF(481&lt;=COUNTA(半紙!$B$11:$B$310),INDEX(半紙!$I$11:$I$310,481),IF(481&lt;=COUNTA(半紙!$B$11:$B$310)+COUNTA(条幅!$B$11:$B$310),INDEX(条幅!$I$11:$I$310,481-COUNTA(半紙!$B$11:$B$310)),IF(481&lt;=COUNTA(半紙!$B$11:$B$310)+COUNTA(条幅!$B$11:$B$310)+COUNTA(条幅4分の1!$B$11:$B$310),INDEX(条幅4分の1!$I$11:$I$310,481-COUNTA(半紙!$B$11:$B$310)-COUNTA(条幅!$B$11:$B$310)),"")))=0,"",IF(481&lt;=COUNTA(半紙!$B$11:$B$310),INDEX(半紙!$I$11:$I$310,481),IF(481&lt;=COUNTA(半紙!$B$11:$B$310)+COUNTA(条幅!$B$11:$B$310),INDEX(条幅!$I$11:$I$310,481-COUNTA(半紙!$B$11:$B$310)),IF(481&lt;=COUNTA(半紙!$B$11:$B$310)+COUNTA(条幅!$B$11:$B$310)+COUNTA(条幅4分の1!$B$11:$B$310),INDEX(条幅4分の1!$I$11:$I$310,481-COUNTA(半紙!$B$11:$B$310)-COUNTA(条幅!$B$11:$B$310)),""))))</f>
        <v/>
      </c>
      <c r="J486" s="38" t="str">
        <f>IF(IF(481&lt;=COUNTA(半紙!$B$11:$B$310),INDEX(半紙!$J$11:$J$310,481),IF(481&lt;=COUNTA(半紙!$B$11:$B$310)+COUNTA(条幅!$B$11:$B$310),INDEX(条幅!$J$11:$J$310,481-COUNTA(半紙!$B$11:$B$310)),IF(481&lt;=COUNTA(半紙!$B$11:$B$310)+COUNTA(条幅!$B$11:$B$310)+COUNTA(条幅4分の1!$B$11:$B$310),INDEX(条幅4分の1!$J$11:$J$310,481-COUNTA(半紙!$B$11:$B$310)-COUNTA(条幅!$B$11:$B$310)),"")))=0,"",IF(481&lt;=COUNTA(半紙!$B$11:$B$310),INDEX(半紙!$J$11:$J$310,481),IF(481&lt;=COUNTA(半紙!$B$11:$B$310)+COUNTA(条幅!$B$11:$B$310),INDEX(条幅!$J$11:$J$310,481-COUNTA(半紙!$B$11:$B$310)),IF(481&lt;=COUNTA(半紙!$B$11:$B$310)+COUNTA(条幅!$B$11:$B$310)+COUNTA(条幅4分の1!$B$11:$B$310),INDEX(条幅4分の1!$J$11:$J$310,481-COUNTA(半紙!$B$11:$B$310)-COUNTA(条幅!$B$11:$B$310)),""))))</f>
        <v/>
      </c>
      <c r="K486" s="38" t="str">
        <f>IF(IF(481&lt;=COUNTA(半紙!$B$11:$B$310),INDEX(半紙!$K$11:$K$310,481),IF(481&lt;=COUNTA(半紙!$B$11:$B$310)+COUNTA(条幅!$B$11:$B$310),INDEX(条幅!$K$11:$K$310,481-COUNTA(半紙!$B$11:$B$310)),IF(481&lt;=COUNTA(半紙!$B$11:$B$310)+COUNTA(条幅!$B$11:$B$310)+COUNTA(条幅4分の1!$B$11:$B$310),INDEX(条幅4分の1!$K$11:$K$310,481-COUNTA(半紙!$B$11:$B$310)-COUNTA(条幅!$B$11:$B$310)),"")))=0,"",IF(481&lt;=COUNTA(半紙!$B$11:$B$310),INDEX(半紙!$K$11:$K$310,481),IF(481&lt;=COUNTA(半紙!$B$11:$B$310)+COUNTA(条幅!$B$11:$B$310),INDEX(条幅!$K$11:$K$310,481-COUNTA(半紙!$B$11:$B$310)),IF(481&lt;=COUNTA(半紙!$B$11:$B$310)+COUNTA(条幅!$B$11:$B$310)+COUNTA(条幅4分の1!$B$11:$B$310),INDEX(条幅4分の1!$K$11:$K$310,481-COUNTA(半紙!$B$11:$B$310)-COUNTA(条幅!$B$11:$B$310)),""))))</f>
        <v/>
      </c>
      <c r="L486" s="48" t="str">
        <f>IF($B486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481))</f>
        <v/>
      </c>
    </row>
    <row r="487" spans="1:12" ht="15" customHeight="1">
      <c r="A487" s="37" t="str">
        <f>IF(482&lt;=COUNTA(半紙!$B$11:$B$310),"半紙",IF(482&lt;=COUNTA(半紙!$B$11:$B$310)+COUNTA(条幅!$B$11:$B$310),"条幅(半切)",IF(482&lt;=COUNTA(半紙!$B$11:$B$310)+COUNTA(条幅!$B$11:$B$310)+COUNTA(条幅4分の1!$B$11:$B$310),"条幅(1/4)","")))</f>
        <v/>
      </c>
      <c r="B487" s="38" t="str">
        <f>IF(IF(482&lt;=COUNTA(半紙!$B$11:$B$310),INDEX(半紙!$B$11:$B$310,482),IF(482&lt;=COUNTA(半紙!$B$11:$B$310)+COUNTA(条幅!$B$11:$B$310),INDEX(条幅!$B$11:$B$310,482-COUNTA(半紙!$B$11:$B$310)),IF(482&lt;=COUNTA(半紙!$B$11:$B$310)+COUNTA(条幅!$B$11:$B$310)+COUNTA(条幅4分の1!$B$11:$B$310),INDEX(条幅4分の1!$B$11:$B$310,482-COUNTA(半紙!$B$11:$B$310)-COUNTA(条幅!$B$11:$B$310)),"")))=0,"",IF(482&lt;=COUNTA(半紙!$B$11:$B$310),INDEX(半紙!$B$11:$B$310,482),IF(482&lt;=COUNTA(半紙!$B$11:$B$310)+COUNTA(条幅!$B$11:$B$310),INDEX(条幅!$B$11:$B$310,482-COUNTA(半紙!$B$11:$B$310)),IF(482&lt;=COUNTA(半紙!$B$11:$B$310)+COUNTA(条幅!$B$11:$B$310)+COUNTA(条幅4分の1!$B$11:$B$310),INDEX(条幅4分の1!$B$11:$B$310,482-COUNTA(半紙!$B$11:$B$310)-COUNTA(条幅!$B$11:$B$310)),""))))</f>
        <v/>
      </c>
      <c r="C487" s="38" t="str">
        <f>IF(IF(482&lt;=COUNTA(半紙!$B$11:$B$310),INDEX(半紙!$C$11:$C$310,482),IF(482&lt;=COUNTA(半紙!$B$11:$B$310)+COUNTA(条幅!$B$11:$B$310),INDEX(条幅!$C$11:$C$310,482-COUNTA(半紙!$B$11:$B$310)),IF(482&lt;=COUNTA(半紙!$B$11:$B$310)+COUNTA(条幅!$B$11:$B$310)+COUNTA(条幅4分の1!$B$11:$B$310),INDEX(条幅4分の1!$C$11:$C$310,482-COUNTA(半紙!$B$11:$B$310)-COUNTA(条幅!$B$11:$B$310)),"")))=0,"",IF(482&lt;=COUNTA(半紙!$B$11:$B$310),INDEX(半紙!$C$11:$C$310,482),IF(482&lt;=COUNTA(半紙!$B$11:$B$310)+COUNTA(条幅!$B$11:$B$310),INDEX(条幅!$C$11:$C$310,482-COUNTA(半紙!$B$11:$B$310)),IF(482&lt;=COUNTA(半紙!$B$11:$B$310)+COUNTA(条幅!$B$11:$B$310)+COUNTA(条幅4分の1!$B$11:$B$310),INDEX(条幅4分の1!$C$11:$C$310,482-COUNTA(半紙!$B$11:$B$310)-COUNTA(条幅!$B$11:$B$310)),""))))</f>
        <v/>
      </c>
      <c r="D487" s="38" t="str">
        <f>IF(IF(482&lt;=COUNTA(半紙!$B$11:$B$310),INDEX(半紙!$D$11:$D$310,482),IF(482&lt;=COUNTA(半紙!$B$11:$B$310)+COUNTA(条幅!$B$11:$B$310),INDEX(条幅!$D$11:$D$310,482-COUNTA(半紙!$B$11:$B$310)),IF(482&lt;=COUNTA(半紙!$B$11:$B$310)+COUNTA(条幅!$B$11:$B$310)+COUNTA(条幅4分の1!$B$11:$B$310),INDEX(条幅4分の1!$D$11:$D$310,482-COUNTA(半紙!$B$11:$B$310)-COUNTA(条幅!$B$11:$B$310)),"")))=0,"",IF(482&lt;=COUNTA(半紙!$B$11:$B$310),INDEX(半紙!$D$11:$D$310,482),IF(482&lt;=COUNTA(半紙!$B$11:$B$310)+COUNTA(条幅!$B$11:$B$310),INDEX(条幅!$D$11:$D$310,482-COUNTA(半紙!$B$11:$B$310)),IF(482&lt;=COUNTA(半紙!$B$11:$B$310)+COUNTA(条幅!$B$11:$B$310)+COUNTA(条幅4分の1!$B$11:$B$310),INDEX(条幅4分の1!$D$11:$D$310,482-COUNTA(半紙!$B$11:$B$310)-COUNTA(条幅!$B$11:$B$310)),""))))</f>
        <v/>
      </c>
      <c r="E487" s="38" t="str">
        <f>IF(IF(482&lt;=COUNTA(半紙!$B$11:$B$310),INDEX(半紙!$E$11:$E$310,482),IF(482&lt;=COUNTA(半紙!$B$11:$B$310)+COUNTA(条幅!$B$11:$B$310),INDEX(条幅!$E$11:$E$310,482-COUNTA(半紙!$B$11:$B$310)),IF(482&lt;=COUNTA(半紙!$B$11:$B$310)+COUNTA(条幅!$B$11:$B$310)+COUNTA(条幅4分の1!$B$11:$B$310),INDEX(条幅4分の1!$E$11:$E$310,482-COUNTA(半紙!$B$11:$B$310)-COUNTA(条幅!$B$11:$B$310)),"")))=0,"",IF(482&lt;=COUNTA(半紙!$B$11:$B$310),INDEX(半紙!$E$11:$E$310,482),IF(482&lt;=COUNTA(半紙!$B$11:$B$310)+COUNTA(条幅!$B$11:$B$310),INDEX(条幅!$E$11:$E$310,482-COUNTA(半紙!$B$11:$B$310)),IF(482&lt;=COUNTA(半紙!$B$11:$B$310)+COUNTA(条幅!$B$11:$B$310)+COUNTA(条幅4分の1!$B$11:$B$310),INDEX(条幅4分の1!$E$11:$E$310,482-COUNTA(半紙!$B$11:$B$310)-COUNTA(条幅!$B$11:$B$310)),""))))</f>
        <v/>
      </c>
      <c r="F487" s="38" t="str">
        <f>IF(IF(482&lt;=COUNTA(半紙!$B$11:$B$310),INDEX(半紙!$F$11:$F$310,482),IF(482&lt;=COUNTA(半紙!$B$11:$B$310)+COUNTA(条幅!$B$11:$B$310),INDEX(条幅!$F$11:$F$310,482-COUNTA(半紙!$B$11:$B$310)),IF(482&lt;=COUNTA(半紙!$B$11:$B$310)+COUNTA(条幅!$B$11:$B$310)+COUNTA(条幅4分の1!$B$11:$B$310),INDEX(条幅4分の1!$F$11:$F$310,482-COUNTA(半紙!$B$11:$B$310)-COUNTA(条幅!$B$11:$B$310)),"")))=0,"",IF(482&lt;=COUNTA(半紙!$B$11:$B$310),INDEX(半紙!$F$11:$F$310,482),IF(482&lt;=COUNTA(半紙!$B$11:$B$310)+COUNTA(条幅!$B$11:$B$310),INDEX(条幅!$F$11:$F$310,482-COUNTA(半紙!$B$11:$B$310)),IF(482&lt;=COUNTA(半紙!$B$11:$B$310)+COUNTA(条幅!$B$11:$B$310)+COUNTA(条幅4分の1!$B$11:$B$310),INDEX(条幅4分の1!$F$11:$F$310,482-COUNTA(半紙!$B$11:$B$310)-COUNTA(条幅!$B$11:$B$310)),""))))</f>
        <v/>
      </c>
      <c r="G487" s="38" t="str">
        <f>IF(IF(482&lt;=COUNTA(半紙!$B$11:$B$310),INDEX(半紙!$G$11:$G$310,482),IF(482&lt;=COUNTA(半紙!$B$11:$B$310)+COUNTA(条幅!$B$11:$B$310),INDEX(条幅!$G$11:$G$310,482-COUNTA(半紙!$B$11:$B$310)),IF(482&lt;=COUNTA(半紙!$B$11:$B$310)+COUNTA(条幅!$B$11:$B$310)+COUNTA(条幅4分の1!$B$11:$B$310),INDEX(条幅4分の1!$G$11:$G$310,482-COUNTA(半紙!$B$11:$B$310)-COUNTA(条幅!$B$11:$B$310)),"")))=0,"",IF(482&lt;=COUNTA(半紙!$B$11:$B$310),INDEX(半紙!$G$11:$G$310,482),IF(482&lt;=COUNTA(半紙!$B$11:$B$310)+COUNTA(条幅!$B$11:$B$310),INDEX(条幅!$G$11:$G$310,482-COUNTA(半紙!$B$11:$B$310)),IF(482&lt;=COUNTA(半紙!$B$11:$B$310)+COUNTA(条幅!$B$11:$B$310)+COUNTA(条幅4分の1!$B$11:$B$310),INDEX(条幅4分の1!$G$11:$G$310,482-COUNTA(半紙!$B$11:$B$310)-COUNTA(条幅!$B$11:$B$310)),""))))</f>
        <v/>
      </c>
      <c r="H487" s="38" t="str">
        <f>IF(IF(482&lt;=COUNTA(半紙!$B$11:$B$310),INDEX(半紙!$H$11:$H$310,482),IF(482&lt;=COUNTA(半紙!$B$11:$B$310)+COUNTA(条幅!$B$11:$B$310),INDEX(条幅!$H$11:$H$310,482-COUNTA(半紙!$B$11:$B$310)),IF(482&lt;=COUNTA(半紙!$B$11:$B$310)+COUNTA(条幅!$B$11:$B$310)+COUNTA(条幅4分の1!$B$11:$B$310),INDEX(条幅4分の1!$H$11:$H$310,482-COUNTA(半紙!$B$11:$B$310)-COUNTA(条幅!$B$11:$B$310)),"")))=0,"",IF(482&lt;=COUNTA(半紙!$B$11:$B$310),INDEX(半紙!$H$11:$H$310,482),IF(482&lt;=COUNTA(半紙!$B$11:$B$310)+COUNTA(条幅!$B$11:$B$310),INDEX(条幅!$H$11:$H$310,482-COUNTA(半紙!$B$11:$B$310)),IF(482&lt;=COUNTA(半紙!$B$11:$B$310)+COUNTA(条幅!$B$11:$B$310)+COUNTA(条幅4分の1!$B$11:$B$310),INDEX(条幅4分の1!$H$11:$H$310,482-COUNTA(半紙!$B$11:$B$310)-COUNTA(条幅!$B$11:$B$310)),""))))</f>
        <v/>
      </c>
      <c r="I487" s="38" t="str">
        <f>IF(IF(482&lt;=COUNTA(半紙!$B$11:$B$310),INDEX(半紙!$I$11:$I$310,482),IF(482&lt;=COUNTA(半紙!$B$11:$B$310)+COUNTA(条幅!$B$11:$B$310),INDEX(条幅!$I$11:$I$310,482-COUNTA(半紙!$B$11:$B$310)),IF(482&lt;=COUNTA(半紙!$B$11:$B$310)+COUNTA(条幅!$B$11:$B$310)+COUNTA(条幅4分の1!$B$11:$B$310),INDEX(条幅4分の1!$I$11:$I$310,482-COUNTA(半紙!$B$11:$B$310)-COUNTA(条幅!$B$11:$B$310)),"")))=0,"",IF(482&lt;=COUNTA(半紙!$B$11:$B$310),INDEX(半紙!$I$11:$I$310,482),IF(482&lt;=COUNTA(半紙!$B$11:$B$310)+COUNTA(条幅!$B$11:$B$310),INDEX(条幅!$I$11:$I$310,482-COUNTA(半紙!$B$11:$B$310)),IF(482&lt;=COUNTA(半紙!$B$11:$B$310)+COUNTA(条幅!$B$11:$B$310)+COUNTA(条幅4分の1!$B$11:$B$310),INDEX(条幅4分の1!$I$11:$I$310,482-COUNTA(半紙!$B$11:$B$310)-COUNTA(条幅!$B$11:$B$310)),""))))</f>
        <v/>
      </c>
      <c r="J487" s="38" t="str">
        <f>IF(IF(482&lt;=COUNTA(半紙!$B$11:$B$310),INDEX(半紙!$J$11:$J$310,482),IF(482&lt;=COUNTA(半紙!$B$11:$B$310)+COUNTA(条幅!$B$11:$B$310),INDEX(条幅!$J$11:$J$310,482-COUNTA(半紙!$B$11:$B$310)),IF(482&lt;=COUNTA(半紙!$B$11:$B$310)+COUNTA(条幅!$B$11:$B$310)+COUNTA(条幅4分の1!$B$11:$B$310),INDEX(条幅4分の1!$J$11:$J$310,482-COUNTA(半紙!$B$11:$B$310)-COUNTA(条幅!$B$11:$B$310)),"")))=0,"",IF(482&lt;=COUNTA(半紙!$B$11:$B$310),INDEX(半紙!$J$11:$J$310,482),IF(482&lt;=COUNTA(半紙!$B$11:$B$310)+COUNTA(条幅!$B$11:$B$310),INDEX(条幅!$J$11:$J$310,482-COUNTA(半紙!$B$11:$B$310)),IF(482&lt;=COUNTA(半紙!$B$11:$B$310)+COUNTA(条幅!$B$11:$B$310)+COUNTA(条幅4分の1!$B$11:$B$310),INDEX(条幅4分の1!$J$11:$J$310,482-COUNTA(半紙!$B$11:$B$310)-COUNTA(条幅!$B$11:$B$310)),""))))</f>
        <v/>
      </c>
      <c r="K487" s="38" t="str">
        <f>IF(IF(482&lt;=COUNTA(半紙!$B$11:$B$310),INDEX(半紙!$K$11:$K$310,482),IF(482&lt;=COUNTA(半紙!$B$11:$B$310)+COUNTA(条幅!$B$11:$B$310),INDEX(条幅!$K$11:$K$310,482-COUNTA(半紙!$B$11:$B$310)),IF(482&lt;=COUNTA(半紙!$B$11:$B$310)+COUNTA(条幅!$B$11:$B$310)+COUNTA(条幅4分の1!$B$11:$B$310),INDEX(条幅4分の1!$K$11:$K$310,482-COUNTA(半紙!$B$11:$B$310)-COUNTA(条幅!$B$11:$B$310)),"")))=0,"",IF(482&lt;=COUNTA(半紙!$B$11:$B$310),INDEX(半紙!$K$11:$K$310,482),IF(482&lt;=COUNTA(半紙!$B$11:$B$310)+COUNTA(条幅!$B$11:$B$310),INDEX(条幅!$K$11:$K$310,482-COUNTA(半紙!$B$11:$B$310)),IF(482&lt;=COUNTA(半紙!$B$11:$B$310)+COUNTA(条幅!$B$11:$B$310)+COUNTA(条幅4分の1!$B$11:$B$310),INDEX(条幅4分の1!$K$11:$K$310,482-COUNTA(半紙!$B$11:$B$310)-COUNTA(条幅!$B$11:$B$310)),""))))</f>
        <v/>
      </c>
      <c r="L487" s="48" t="str">
        <f>IF($B487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482))</f>
        <v/>
      </c>
    </row>
    <row r="488" spans="1:12" ht="15" customHeight="1">
      <c r="A488" s="37" t="str">
        <f>IF(483&lt;=COUNTA(半紙!$B$11:$B$310),"半紙",IF(483&lt;=COUNTA(半紙!$B$11:$B$310)+COUNTA(条幅!$B$11:$B$310),"条幅(半切)",IF(483&lt;=COUNTA(半紙!$B$11:$B$310)+COUNTA(条幅!$B$11:$B$310)+COUNTA(条幅4分の1!$B$11:$B$310),"条幅(1/4)","")))</f>
        <v/>
      </c>
      <c r="B488" s="38" t="str">
        <f>IF(IF(483&lt;=COUNTA(半紙!$B$11:$B$310),INDEX(半紙!$B$11:$B$310,483),IF(483&lt;=COUNTA(半紙!$B$11:$B$310)+COUNTA(条幅!$B$11:$B$310),INDEX(条幅!$B$11:$B$310,483-COUNTA(半紙!$B$11:$B$310)),IF(483&lt;=COUNTA(半紙!$B$11:$B$310)+COUNTA(条幅!$B$11:$B$310)+COUNTA(条幅4分の1!$B$11:$B$310),INDEX(条幅4分の1!$B$11:$B$310,483-COUNTA(半紙!$B$11:$B$310)-COUNTA(条幅!$B$11:$B$310)),"")))=0,"",IF(483&lt;=COUNTA(半紙!$B$11:$B$310),INDEX(半紙!$B$11:$B$310,483),IF(483&lt;=COUNTA(半紙!$B$11:$B$310)+COUNTA(条幅!$B$11:$B$310),INDEX(条幅!$B$11:$B$310,483-COUNTA(半紙!$B$11:$B$310)),IF(483&lt;=COUNTA(半紙!$B$11:$B$310)+COUNTA(条幅!$B$11:$B$310)+COUNTA(条幅4分の1!$B$11:$B$310),INDEX(条幅4分の1!$B$11:$B$310,483-COUNTA(半紙!$B$11:$B$310)-COUNTA(条幅!$B$11:$B$310)),""))))</f>
        <v/>
      </c>
      <c r="C488" s="38" t="str">
        <f>IF(IF(483&lt;=COUNTA(半紙!$B$11:$B$310),INDEX(半紙!$C$11:$C$310,483),IF(483&lt;=COUNTA(半紙!$B$11:$B$310)+COUNTA(条幅!$B$11:$B$310),INDEX(条幅!$C$11:$C$310,483-COUNTA(半紙!$B$11:$B$310)),IF(483&lt;=COUNTA(半紙!$B$11:$B$310)+COUNTA(条幅!$B$11:$B$310)+COUNTA(条幅4分の1!$B$11:$B$310),INDEX(条幅4分の1!$C$11:$C$310,483-COUNTA(半紙!$B$11:$B$310)-COUNTA(条幅!$B$11:$B$310)),"")))=0,"",IF(483&lt;=COUNTA(半紙!$B$11:$B$310),INDEX(半紙!$C$11:$C$310,483),IF(483&lt;=COUNTA(半紙!$B$11:$B$310)+COUNTA(条幅!$B$11:$B$310),INDEX(条幅!$C$11:$C$310,483-COUNTA(半紙!$B$11:$B$310)),IF(483&lt;=COUNTA(半紙!$B$11:$B$310)+COUNTA(条幅!$B$11:$B$310)+COUNTA(条幅4分の1!$B$11:$B$310),INDEX(条幅4分の1!$C$11:$C$310,483-COUNTA(半紙!$B$11:$B$310)-COUNTA(条幅!$B$11:$B$310)),""))))</f>
        <v/>
      </c>
      <c r="D488" s="38" t="str">
        <f>IF(IF(483&lt;=COUNTA(半紙!$B$11:$B$310),INDEX(半紙!$D$11:$D$310,483),IF(483&lt;=COUNTA(半紙!$B$11:$B$310)+COUNTA(条幅!$B$11:$B$310),INDEX(条幅!$D$11:$D$310,483-COUNTA(半紙!$B$11:$B$310)),IF(483&lt;=COUNTA(半紙!$B$11:$B$310)+COUNTA(条幅!$B$11:$B$310)+COUNTA(条幅4分の1!$B$11:$B$310),INDEX(条幅4分の1!$D$11:$D$310,483-COUNTA(半紙!$B$11:$B$310)-COUNTA(条幅!$B$11:$B$310)),"")))=0,"",IF(483&lt;=COUNTA(半紙!$B$11:$B$310),INDEX(半紙!$D$11:$D$310,483),IF(483&lt;=COUNTA(半紙!$B$11:$B$310)+COUNTA(条幅!$B$11:$B$310),INDEX(条幅!$D$11:$D$310,483-COUNTA(半紙!$B$11:$B$310)),IF(483&lt;=COUNTA(半紙!$B$11:$B$310)+COUNTA(条幅!$B$11:$B$310)+COUNTA(条幅4分の1!$B$11:$B$310),INDEX(条幅4分の1!$D$11:$D$310,483-COUNTA(半紙!$B$11:$B$310)-COUNTA(条幅!$B$11:$B$310)),""))))</f>
        <v/>
      </c>
      <c r="E488" s="38" t="str">
        <f>IF(IF(483&lt;=COUNTA(半紙!$B$11:$B$310),INDEX(半紙!$E$11:$E$310,483),IF(483&lt;=COUNTA(半紙!$B$11:$B$310)+COUNTA(条幅!$B$11:$B$310),INDEX(条幅!$E$11:$E$310,483-COUNTA(半紙!$B$11:$B$310)),IF(483&lt;=COUNTA(半紙!$B$11:$B$310)+COUNTA(条幅!$B$11:$B$310)+COUNTA(条幅4分の1!$B$11:$B$310),INDEX(条幅4分の1!$E$11:$E$310,483-COUNTA(半紙!$B$11:$B$310)-COUNTA(条幅!$B$11:$B$310)),"")))=0,"",IF(483&lt;=COUNTA(半紙!$B$11:$B$310),INDEX(半紙!$E$11:$E$310,483),IF(483&lt;=COUNTA(半紙!$B$11:$B$310)+COUNTA(条幅!$B$11:$B$310),INDEX(条幅!$E$11:$E$310,483-COUNTA(半紙!$B$11:$B$310)),IF(483&lt;=COUNTA(半紙!$B$11:$B$310)+COUNTA(条幅!$B$11:$B$310)+COUNTA(条幅4分の1!$B$11:$B$310),INDEX(条幅4分の1!$E$11:$E$310,483-COUNTA(半紙!$B$11:$B$310)-COUNTA(条幅!$B$11:$B$310)),""))))</f>
        <v/>
      </c>
      <c r="F488" s="38" t="str">
        <f>IF(IF(483&lt;=COUNTA(半紙!$B$11:$B$310),INDEX(半紙!$F$11:$F$310,483),IF(483&lt;=COUNTA(半紙!$B$11:$B$310)+COUNTA(条幅!$B$11:$B$310),INDEX(条幅!$F$11:$F$310,483-COUNTA(半紙!$B$11:$B$310)),IF(483&lt;=COUNTA(半紙!$B$11:$B$310)+COUNTA(条幅!$B$11:$B$310)+COUNTA(条幅4分の1!$B$11:$B$310),INDEX(条幅4分の1!$F$11:$F$310,483-COUNTA(半紙!$B$11:$B$310)-COUNTA(条幅!$B$11:$B$310)),"")))=0,"",IF(483&lt;=COUNTA(半紙!$B$11:$B$310),INDEX(半紙!$F$11:$F$310,483),IF(483&lt;=COUNTA(半紙!$B$11:$B$310)+COUNTA(条幅!$B$11:$B$310),INDEX(条幅!$F$11:$F$310,483-COUNTA(半紙!$B$11:$B$310)),IF(483&lt;=COUNTA(半紙!$B$11:$B$310)+COUNTA(条幅!$B$11:$B$310)+COUNTA(条幅4分の1!$B$11:$B$310),INDEX(条幅4分の1!$F$11:$F$310,483-COUNTA(半紙!$B$11:$B$310)-COUNTA(条幅!$B$11:$B$310)),""))))</f>
        <v/>
      </c>
      <c r="G488" s="38" t="str">
        <f>IF(IF(483&lt;=COUNTA(半紙!$B$11:$B$310),INDEX(半紙!$G$11:$G$310,483),IF(483&lt;=COUNTA(半紙!$B$11:$B$310)+COUNTA(条幅!$B$11:$B$310),INDEX(条幅!$G$11:$G$310,483-COUNTA(半紙!$B$11:$B$310)),IF(483&lt;=COUNTA(半紙!$B$11:$B$310)+COUNTA(条幅!$B$11:$B$310)+COUNTA(条幅4分の1!$B$11:$B$310),INDEX(条幅4分の1!$G$11:$G$310,483-COUNTA(半紙!$B$11:$B$310)-COUNTA(条幅!$B$11:$B$310)),"")))=0,"",IF(483&lt;=COUNTA(半紙!$B$11:$B$310),INDEX(半紙!$G$11:$G$310,483),IF(483&lt;=COUNTA(半紙!$B$11:$B$310)+COUNTA(条幅!$B$11:$B$310),INDEX(条幅!$G$11:$G$310,483-COUNTA(半紙!$B$11:$B$310)),IF(483&lt;=COUNTA(半紙!$B$11:$B$310)+COUNTA(条幅!$B$11:$B$310)+COUNTA(条幅4分の1!$B$11:$B$310),INDEX(条幅4分の1!$G$11:$G$310,483-COUNTA(半紙!$B$11:$B$310)-COUNTA(条幅!$B$11:$B$310)),""))))</f>
        <v/>
      </c>
      <c r="H488" s="38" t="str">
        <f>IF(IF(483&lt;=COUNTA(半紙!$B$11:$B$310),INDEX(半紙!$H$11:$H$310,483),IF(483&lt;=COUNTA(半紙!$B$11:$B$310)+COUNTA(条幅!$B$11:$B$310),INDEX(条幅!$H$11:$H$310,483-COUNTA(半紙!$B$11:$B$310)),IF(483&lt;=COUNTA(半紙!$B$11:$B$310)+COUNTA(条幅!$B$11:$B$310)+COUNTA(条幅4分の1!$B$11:$B$310),INDEX(条幅4分の1!$H$11:$H$310,483-COUNTA(半紙!$B$11:$B$310)-COUNTA(条幅!$B$11:$B$310)),"")))=0,"",IF(483&lt;=COUNTA(半紙!$B$11:$B$310),INDEX(半紙!$H$11:$H$310,483),IF(483&lt;=COUNTA(半紙!$B$11:$B$310)+COUNTA(条幅!$B$11:$B$310),INDEX(条幅!$H$11:$H$310,483-COUNTA(半紙!$B$11:$B$310)),IF(483&lt;=COUNTA(半紙!$B$11:$B$310)+COUNTA(条幅!$B$11:$B$310)+COUNTA(条幅4分の1!$B$11:$B$310),INDEX(条幅4分の1!$H$11:$H$310,483-COUNTA(半紙!$B$11:$B$310)-COUNTA(条幅!$B$11:$B$310)),""))))</f>
        <v/>
      </c>
      <c r="I488" s="38" t="str">
        <f>IF(IF(483&lt;=COUNTA(半紙!$B$11:$B$310),INDEX(半紙!$I$11:$I$310,483),IF(483&lt;=COUNTA(半紙!$B$11:$B$310)+COUNTA(条幅!$B$11:$B$310),INDEX(条幅!$I$11:$I$310,483-COUNTA(半紙!$B$11:$B$310)),IF(483&lt;=COUNTA(半紙!$B$11:$B$310)+COUNTA(条幅!$B$11:$B$310)+COUNTA(条幅4分の1!$B$11:$B$310),INDEX(条幅4分の1!$I$11:$I$310,483-COUNTA(半紙!$B$11:$B$310)-COUNTA(条幅!$B$11:$B$310)),"")))=0,"",IF(483&lt;=COUNTA(半紙!$B$11:$B$310),INDEX(半紙!$I$11:$I$310,483),IF(483&lt;=COUNTA(半紙!$B$11:$B$310)+COUNTA(条幅!$B$11:$B$310),INDEX(条幅!$I$11:$I$310,483-COUNTA(半紙!$B$11:$B$310)),IF(483&lt;=COUNTA(半紙!$B$11:$B$310)+COUNTA(条幅!$B$11:$B$310)+COUNTA(条幅4分の1!$B$11:$B$310),INDEX(条幅4分の1!$I$11:$I$310,483-COUNTA(半紙!$B$11:$B$310)-COUNTA(条幅!$B$11:$B$310)),""))))</f>
        <v/>
      </c>
      <c r="J488" s="38" t="str">
        <f>IF(IF(483&lt;=COUNTA(半紙!$B$11:$B$310),INDEX(半紙!$J$11:$J$310,483),IF(483&lt;=COUNTA(半紙!$B$11:$B$310)+COUNTA(条幅!$B$11:$B$310),INDEX(条幅!$J$11:$J$310,483-COUNTA(半紙!$B$11:$B$310)),IF(483&lt;=COUNTA(半紙!$B$11:$B$310)+COUNTA(条幅!$B$11:$B$310)+COUNTA(条幅4分の1!$B$11:$B$310),INDEX(条幅4分の1!$J$11:$J$310,483-COUNTA(半紙!$B$11:$B$310)-COUNTA(条幅!$B$11:$B$310)),"")))=0,"",IF(483&lt;=COUNTA(半紙!$B$11:$B$310),INDEX(半紙!$J$11:$J$310,483),IF(483&lt;=COUNTA(半紙!$B$11:$B$310)+COUNTA(条幅!$B$11:$B$310),INDEX(条幅!$J$11:$J$310,483-COUNTA(半紙!$B$11:$B$310)),IF(483&lt;=COUNTA(半紙!$B$11:$B$310)+COUNTA(条幅!$B$11:$B$310)+COUNTA(条幅4分の1!$B$11:$B$310),INDEX(条幅4分の1!$J$11:$J$310,483-COUNTA(半紙!$B$11:$B$310)-COUNTA(条幅!$B$11:$B$310)),""))))</f>
        <v/>
      </c>
      <c r="K488" s="38" t="str">
        <f>IF(IF(483&lt;=COUNTA(半紙!$B$11:$B$310),INDEX(半紙!$K$11:$K$310,483),IF(483&lt;=COUNTA(半紙!$B$11:$B$310)+COUNTA(条幅!$B$11:$B$310),INDEX(条幅!$K$11:$K$310,483-COUNTA(半紙!$B$11:$B$310)),IF(483&lt;=COUNTA(半紙!$B$11:$B$310)+COUNTA(条幅!$B$11:$B$310)+COUNTA(条幅4分の1!$B$11:$B$310),INDEX(条幅4分の1!$K$11:$K$310,483-COUNTA(半紙!$B$11:$B$310)-COUNTA(条幅!$B$11:$B$310)),"")))=0,"",IF(483&lt;=COUNTA(半紙!$B$11:$B$310),INDEX(半紙!$K$11:$K$310,483),IF(483&lt;=COUNTA(半紙!$B$11:$B$310)+COUNTA(条幅!$B$11:$B$310),INDEX(条幅!$K$11:$K$310,483-COUNTA(半紙!$B$11:$B$310)),IF(483&lt;=COUNTA(半紙!$B$11:$B$310)+COUNTA(条幅!$B$11:$B$310)+COUNTA(条幅4分の1!$B$11:$B$310),INDEX(条幅4分の1!$K$11:$K$310,483-COUNTA(半紙!$B$11:$B$310)-COUNTA(条幅!$B$11:$B$310)),""))))</f>
        <v/>
      </c>
      <c r="L488" s="48" t="str">
        <f>IF($B488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483))</f>
        <v/>
      </c>
    </row>
    <row r="489" spans="1:12" ht="15" customHeight="1">
      <c r="A489" s="37" t="str">
        <f>IF(484&lt;=COUNTA(半紙!$B$11:$B$310),"半紙",IF(484&lt;=COUNTA(半紙!$B$11:$B$310)+COUNTA(条幅!$B$11:$B$310),"条幅(半切)",IF(484&lt;=COUNTA(半紙!$B$11:$B$310)+COUNTA(条幅!$B$11:$B$310)+COUNTA(条幅4分の1!$B$11:$B$310),"条幅(1/4)","")))</f>
        <v/>
      </c>
      <c r="B489" s="38" t="str">
        <f>IF(IF(484&lt;=COUNTA(半紙!$B$11:$B$310),INDEX(半紙!$B$11:$B$310,484),IF(484&lt;=COUNTA(半紙!$B$11:$B$310)+COUNTA(条幅!$B$11:$B$310),INDEX(条幅!$B$11:$B$310,484-COUNTA(半紙!$B$11:$B$310)),IF(484&lt;=COUNTA(半紙!$B$11:$B$310)+COUNTA(条幅!$B$11:$B$310)+COUNTA(条幅4分の1!$B$11:$B$310),INDEX(条幅4分の1!$B$11:$B$310,484-COUNTA(半紙!$B$11:$B$310)-COUNTA(条幅!$B$11:$B$310)),"")))=0,"",IF(484&lt;=COUNTA(半紙!$B$11:$B$310),INDEX(半紙!$B$11:$B$310,484),IF(484&lt;=COUNTA(半紙!$B$11:$B$310)+COUNTA(条幅!$B$11:$B$310),INDEX(条幅!$B$11:$B$310,484-COUNTA(半紙!$B$11:$B$310)),IF(484&lt;=COUNTA(半紙!$B$11:$B$310)+COUNTA(条幅!$B$11:$B$310)+COUNTA(条幅4分の1!$B$11:$B$310),INDEX(条幅4分の1!$B$11:$B$310,484-COUNTA(半紙!$B$11:$B$310)-COUNTA(条幅!$B$11:$B$310)),""))))</f>
        <v/>
      </c>
      <c r="C489" s="38" t="str">
        <f>IF(IF(484&lt;=COUNTA(半紙!$B$11:$B$310),INDEX(半紙!$C$11:$C$310,484),IF(484&lt;=COUNTA(半紙!$B$11:$B$310)+COUNTA(条幅!$B$11:$B$310),INDEX(条幅!$C$11:$C$310,484-COUNTA(半紙!$B$11:$B$310)),IF(484&lt;=COUNTA(半紙!$B$11:$B$310)+COUNTA(条幅!$B$11:$B$310)+COUNTA(条幅4分の1!$B$11:$B$310),INDEX(条幅4分の1!$C$11:$C$310,484-COUNTA(半紙!$B$11:$B$310)-COUNTA(条幅!$B$11:$B$310)),"")))=0,"",IF(484&lt;=COUNTA(半紙!$B$11:$B$310),INDEX(半紙!$C$11:$C$310,484),IF(484&lt;=COUNTA(半紙!$B$11:$B$310)+COUNTA(条幅!$B$11:$B$310),INDEX(条幅!$C$11:$C$310,484-COUNTA(半紙!$B$11:$B$310)),IF(484&lt;=COUNTA(半紙!$B$11:$B$310)+COUNTA(条幅!$B$11:$B$310)+COUNTA(条幅4分の1!$B$11:$B$310),INDEX(条幅4分の1!$C$11:$C$310,484-COUNTA(半紙!$B$11:$B$310)-COUNTA(条幅!$B$11:$B$310)),""))))</f>
        <v/>
      </c>
      <c r="D489" s="38" t="str">
        <f>IF(IF(484&lt;=COUNTA(半紙!$B$11:$B$310),INDEX(半紙!$D$11:$D$310,484),IF(484&lt;=COUNTA(半紙!$B$11:$B$310)+COUNTA(条幅!$B$11:$B$310),INDEX(条幅!$D$11:$D$310,484-COUNTA(半紙!$B$11:$B$310)),IF(484&lt;=COUNTA(半紙!$B$11:$B$310)+COUNTA(条幅!$B$11:$B$310)+COUNTA(条幅4分の1!$B$11:$B$310),INDEX(条幅4分の1!$D$11:$D$310,484-COUNTA(半紙!$B$11:$B$310)-COUNTA(条幅!$B$11:$B$310)),"")))=0,"",IF(484&lt;=COUNTA(半紙!$B$11:$B$310),INDEX(半紙!$D$11:$D$310,484),IF(484&lt;=COUNTA(半紙!$B$11:$B$310)+COUNTA(条幅!$B$11:$B$310),INDEX(条幅!$D$11:$D$310,484-COUNTA(半紙!$B$11:$B$310)),IF(484&lt;=COUNTA(半紙!$B$11:$B$310)+COUNTA(条幅!$B$11:$B$310)+COUNTA(条幅4分の1!$B$11:$B$310),INDEX(条幅4分の1!$D$11:$D$310,484-COUNTA(半紙!$B$11:$B$310)-COUNTA(条幅!$B$11:$B$310)),""))))</f>
        <v/>
      </c>
      <c r="E489" s="38" t="str">
        <f>IF(IF(484&lt;=COUNTA(半紙!$B$11:$B$310),INDEX(半紙!$E$11:$E$310,484),IF(484&lt;=COUNTA(半紙!$B$11:$B$310)+COUNTA(条幅!$B$11:$B$310),INDEX(条幅!$E$11:$E$310,484-COUNTA(半紙!$B$11:$B$310)),IF(484&lt;=COUNTA(半紙!$B$11:$B$310)+COUNTA(条幅!$B$11:$B$310)+COUNTA(条幅4分の1!$B$11:$B$310),INDEX(条幅4分の1!$E$11:$E$310,484-COUNTA(半紙!$B$11:$B$310)-COUNTA(条幅!$B$11:$B$310)),"")))=0,"",IF(484&lt;=COUNTA(半紙!$B$11:$B$310),INDEX(半紙!$E$11:$E$310,484),IF(484&lt;=COUNTA(半紙!$B$11:$B$310)+COUNTA(条幅!$B$11:$B$310),INDEX(条幅!$E$11:$E$310,484-COUNTA(半紙!$B$11:$B$310)),IF(484&lt;=COUNTA(半紙!$B$11:$B$310)+COUNTA(条幅!$B$11:$B$310)+COUNTA(条幅4分の1!$B$11:$B$310),INDEX(条幅4分の1!$E$11:$E$310,484-COUNTA(半紙!$B$11:$B$310)-COUNTA(条幅!$B$11:$B$310)),""))))</f>
        <v/>
      </c>
      <c r="F489" s="38" t="str">
        <f>IF(IF(484&lt;=COUNTA(半紙!$B$11:$B$310),INDEX(半紙!$F$11:$F$310,484),IF(484&lt;=COUNTA(半紙!$B$11:$B$310)+COUNTA(条幅!$B$11:$B$310),INDEX(条幅!$F$11:$F$310,484-COUNTA(半紙!$B$11:$B$310)),IF(484&lt;=COUNTA(半紙!$B$11:$B$310)+COUNTA(条幅!$B$11:$B$310)+COUNTA(条幅4分の1!$B$11:$B$310),INDEX(条幅4分の1!$F$11:$F$310,484-COUNTA(半紙!$B$11:$B$310)-COUNTA(条幅!$B$11:$B$310)),"")))=0,"",IF(484&lt;=COUNTA(半紙!$B$11:$B$310),INDEX(半紙!$F$11:$F$310,484),IF(484&lt;=COUNTA(半紙!$B$11:$B$310)+COUNTA(条幅!$B$11:$B$310),INDEX(条幅!$F$11:$F$310,484-COUNTA(半紙!$B$11:$B$310)),IF(484&lt;=COUNTA(半紙!$B$11:$B$310)+COUNTA(条幅!$B$11:$B$310)+COUNTA(条幅4分の1!$B$11:$B$310),INDEX(条幅4分の1!$F$11:$F$310,484-COUNTA(半紙!$B$11:$B$310)-COUNTA(条幅!$B$11:$B$310)),""))))</f>
        <v/>
      </c>
      <c r="G489" s="38" t="str">
        <f>IF(IF(484&lt;=COUNTA(半紙!$B$11:$B$310),INDEX(半紙!$G$11:$G$310,484),IF(484&lt;=COUNTA(半紙!$B$11:$B$310)+COUNTA(条幅!$B$11:$B$310),INDEX(条幅!$G$11:$G$310,484-COUNTA(半紙!$B$11:$B$310)),IF(484&lt;=COUNTA(半紙!$B$11:$B$310)+COUNTA(条幅!$B$11:$B$310)+COUNTA(条幅4分の1!$B$11:$B$310),INDEX(条幅4分の1!$G$11:$G$310,484-COUNTA(半紙!$B$11:$B$310)-COUNTA(条幅!$B$11:$B$310)),"")))=0,"",IF(484&lt;=COUNTA(半紙!$B$11:$B$310),INDEX(半紙!$G$11:$G$310,484),IF(484&lt;=COUNTA(半紙!$B$11:$B$310)+COUNTA(条幅!$B$11:$B$310),INDEX(条幅!$G$11:$G$310,484-COUNTA(半紙!$B$11:$B$310)),IF(484&lt;=COUNTA(半紙!$B$11:$B$310)+COUNTA(条幅!$B$11:$B$310)+COUNTA(条幅4分の1!$B$11:$B$310),INDEX(条幅4分の1!$G$11:$G$310,484-COUNTA(半紙!$B$11:$B$310)-COUNTA(条幅!$B$11:$B$310)),""))))</f>
        <v/>
      </c>
      <c r="H489" s="38" t="str">
        <f>IF(IF(484&lt;=COUNTA(半紙!$B$11:$B$310),INDEX(半紙!$H$11:$H$310,484),IF(484&lt;=COUNTA(半紙!$B$11:$B$310)+COUNTA(条幅!$B$11:$B$310),INDEX(条幅!$H$11:$H$310,484-COUNTA(半紙!$B$11:$B$310)),IF(484&lt;=COUNTA(半紙!$B$11:$B$310)+COUNTA(条幅!$B$11:$B$310)+COUNTA(条幅4分の1!$B$11:$B$310),INDEX(条幅4分の1!$H$11:$H$310,484-COUNTA(半紙!$B$11:$B$310)-COUNTA(条幅!$B$11:$B$310)),"")))=0,"",IF(484&lt;=COUNTA(半紙!$B$11:$B$310),INDEX(半紙!$H$11:$H$310,484),IF(484&lt;=COUNTA(半紙!$B$11:$B$310)+COUNTA(条幅!$B$11:$B$310),INDEX(条幅!$H$11:$H$310,484-COUNTA(半紙!$B$11:$B$310)),IF(484&lt;=COUNTA(半紙!$B$11:$B$310)+COUNTA(条幅!$B$11:$B$310)+COUNTA(条幅4分の1!$B$11:$B$310),INDEX(条幅4分の1!$H$11:$H$310,484-COUNTA(半紙!$B$11:$B$310)-COUNTA(条幅!$B$11:$B$310)),""))))</f>
        <v/>
      </c>
      <c r="I489" s="38" t="str">
        <f>IF(IF(484&lt;=COUNTA(半紙!$B$11:$B$310),INDEX(半紙!$I$11:$I$310,484),IF(484&lt;=COUNTA(半紙!$B$11:$B$310)+COUNTA(条幅!$B$11:$B$310),INDEX(条幅!$I$11:$I$310,484-COUNTA(半紙!$B$11:$B$310)),IF(484&lt;=COUNTA(半紙!$B$11:$B$310)+COUNTA(条幅!$B$11:$B$310)+COUNTA(条幅4分の1!$B$11:$B$310),INDEX(条幅4分の1!$I$11:$I$310,484-COUNTA(半紙!$B$11:$B$310)-COUNTA(条幅!$B$11:$B$310)),"")))=0,"",IF(484&lt;=COUNTA(半紙!$B$11:$B$310),INDEX(半紙!$I$11:$I$310,484),IF(484&lt;=COUNTA(半紙!$B$11:$B$310)+COUNTA(条幅!$B$11:$B$310),INDEX(条幅!$I$11:$I$310,484-COUNTA(半紙!$B$11:$B$310)),IF(484&lt;=COUNTA(半紙!$B$11:$B$310)+COUNTA(条幅!$B$11:$B$310)+COUNTA(条幅4分の1!$B$11:$B$310),INDEX(条幅4分の1!$I$11:$I$310,484-COUNTA(半紙!$B$11:$B$310)-COUNTA(条幅!$B$11:$B$310)),""))))</f>
        <v/>
      </c>
      <c r="J489" s="38" t="str">
        <f>IF(IF(484&lt;=COUNTA(半紙!$B$11:$B$310),INDEX(半紙!$J$11:$J$310,484),IF(484&lt;=COUNTA(半紙!$B$11:$B$310)+COUNTA(条幅!$B$11:$B$310),INDEX(条幅!$J$11:$J$310,484-COUNTA(半紙!$B$11:$B$310)),IF(484&lt;=COUNTA(半紙!$B$11:$B$310)+COUNTA(条幅!$B$11:$B$310)+COUNTA(条幅4分の1!$B$11:$B$310),INDEX(条幅4分の1!$J$11:$J$310,484-COUNTA(半紙!$B$11:$B$310)-COUNTA(条幅!$B$11:$B$310)),"")))=0,"",IF(484&lt;=COUNTA(半紙!$B$11:$B$310),INDEX(半紙!$J$11:$J$310,484),IF(484&lt;=COUNTA(半紙!$B$11:$B$310)+COUNTA(条幅!$B$11:$B$310),INDEX(条幅!$J$11:$J$310,484-COUNTA(半紙!$B$11:$B$310)),IF(484&lt;=COUNTA(半紙!$B$11:$B$310)+COUNTA(条幅!$B$11:$B$310)+COUNTA(条幅4分の1!$B$11:$B$310),INDEX(条幅4分の1!$J$11:$J$310,484-COUNTA(半紙!$B$11:$B$310)-COUNTA(条幅!$B$11:$B$310)),""))))</f>
        <v/>
      </c>
      <c r="K489" s="38" t="str">
        <f>IF(IF(484&lt;=COUNTA(半紙!$B$11:$B$310),INDEX(半紙!$K$11:$K$310,484),IF(484&lt;=COUNTA(半紙!$B$11:$B$310)+COUNTA(条幅!$B$11:$B$310),INDEX(条幅!$K$11:$K$310,484-COUNTA(半紙!$B$11:$B$310)),IF(484&lt;=COUNTA(半紙!$B$11:$B$310)+COUNTA(条幅!$B$11:$B$310)+COUNTA(条幅4分の1!$B$11:$B$310),INDEX(条幅4分の1!$K$11:$K$310,484-COUNTA(半紙!$B$11:$B$310)-COUNTA(条幅!$B$11:$B$310)),"")))=0,"",IF(484&lt;=COUNTA(半紙!$B$11:$B$310),INDEX(半紙!$K$11:$K$310,484),IF(484&lt;=COUNTA(半紙!$B$11:$B$310)+COUNTA(条幅!$B$11:$B$310),INDEX(条幅!$K$11:$K$310,484-COUNTA(半紙!$B$11:$B$310)),IF(484&lt;=COUNTA(半紙!$B$11:$B$310)+COUNTA(条幅!$B$11:$B$310)+COUNTA(条幅4分の1!$B$11:$B$310),INDEX(条幅4分の1!$K$11:$K$310,484-COUNTA(半紙!$B$11:$B$310)-COUNTA(条幅!$B$11:$B$310)),""))))</f>
        <v/>
      </c>
      <c r="L489" s="48" t="str">
        <f>IF($B489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484))</f>
        <v/>
      </c>
    </row>
    <row r="490" spans="1:12" ht="15" customHeight="1">
      <c r="A490" s="37" t="str">
        <f>IF(485&lt;=COUNTA(半紙!$B$11:$B$310),"半紙",IF(485&lt;=COUNTA(半紙!$B$11:$B$310)+COUNTA(条幅!$B$11:$B$310),"条幅(半切)",IF(485&lt;=COUNTA(半紙!$B$11:$B$310)+COUNTA(条幅!$B$11:$B$310)+COUNTA(条幅4分の1!$B$11:$B$310),"条幅(1/4)","")))</f>
        <v/>
      </c>
      <c r="B490" s="38" t="str">
        <f>IF(IF(485&lt;=COUNTA(半紙!$B$11:$B$310),INDEX(半紙!$B$11:$B$310,485),IF(485&lt;=COUNTA(半紙!$B$11:$B$310)+COUNTA(条幅!$B$11:$B$310),INDEX(条幅!$B$11:$B$310,485-COUNTA(半紙!$B$11:$B$310)),IF(485&lt;=COUNTA(半紙!$B$11:$B$310)+COUNTA(条幅!$B$11:$B$310)+COUNTA(条幅4分の1!$B$11:$B$310),INDEX(条幅4分の1!$B$11:$B$310,485-COUNTA(半紙!$B$11:$B$310)-COUNTA(条幅!$B$11:$B$310)),"")))=0,"",IF(485&lt;=COUNTA(半紙!$B$11:$B$310),INDEX(半紙!$B$11:$B$310,485),IF(485&lt;=COUNTA(半紙!$B$11:$B$310)+COUNTA(条幅!$B$11:$B$310),INDEX(条幅!$B$11:$B$310,485-COUNTA(半紙!$B$11:$B$310)),IF(485&lt;=COUNTA(半紙!$B$11:$B$310)+COUNTA(条幅!$B$11:$B$310)+COUNTA(条幅4分の1!$B$11:$B$310),INDEX(条幅4分の1!$B$11:$B$310,485-COUNTA(半紙!$B$11:$B$310)-COUNTA(条幅!$B$11:$B$310)),""))))</f>
        <v/>
      </c>
      <c r="C490" s="38" t="str">
        <f>IF(IF(485&lt;=COUNTA(半紙!$B$11:$B$310),INDEX(半紙!$C$11:$C$310,485),IF(485&lt;=COUNTA(半紙!$B$11:$B$310)+COUNTA(条幅!$B$11:$B$310),INDEX(条幅!$C$11:$C$310,485-COUNTA(半紙!$B$11:$B$310)),IF(485&lt;=COUNTA(半紙!$B$11:$B$310)+COUNTA(条幅!$B$11:$B$310)+COUNTA(条幅4分の1!$B$11:$B$310),INDEX(条幅4分の1!$C$11:$C$310,485-COUNTA(半紙!$B$11:$B$310)-COUNTA(条幅!$B$11:$B$310)),"")))=0,"",IF(485&lt;=COUNTA(半紙!$B$11:$B$310),INDEX(半紙!$C$11:$C$310,485),IF(485&lt;=COUNTA(半紙!$B$11:$B$310)+COUNTA(条幅!$B$11:$B$310),INDEX(条幅!$C$11:$C$310,485-COUNTA(半紙!$B$11:$B$310)),IF(485&lt;=COUNTA(半紙!$B$11:$B$310)+COUNTA(条幅!$B$11:$B$310)+COUNTA(条幅4分の1!$B$11:$B$310),INDEX(条幅4分の1!$C$11:$C$310,485-COUNTA(半紙!$B$11:$B$310)-COUNTA(条幅!$B$11:$B$310)),""))))</f>
        <v/>
      </c>
      <c r="D490" s="38" t="str">
        <f>IF(IF(485&lt;=COUNTA(半紙!$B$11:$B$310),INDEX(半紙!$D$11:$D$310,485),IF(485&lt;=COUNTA(半紙!$B$11:$B$310)+COUNTA(条幅!$B$11:$B$310),INDEX(条幅!$D$11:$D$310,485-COUNTA(半紙!$B$11:$B$310)),IF(485&lt;=COUNTA(半紙!$B$11:$B$310)+COUNTA(条幅!$B$11:$B$310)+COUNTA(条幅4分の1!$B$11:$B$310),INDEX(条幅4分の1!$D$11:$D$310,485-COUNTA(半紙!$B$11:$B$310)-COUNTA(条幅!$B$11:$B$310)),"")))=0,"",IF(485&lt;=COUNTA(半紙!$B$11:$B$310),INDEX(半紙!$D$11:$D$310,485),IF(485&lt;=COUNTA(半紙!$B$11:$B$310)+COUNTA(条幅!$B$11:$B$310),INDEX(条幅!$D$11:$D$310,485-COUNTA(半紙!$B$11:$B$310)),IF(485&lt;=COUNTA(半紙!$B$11:$B$310)+COUNTA(条幅!$B$11:$B$310)+COUNTA(条幅4分の1!$B$11:$B$310),INDEX(条幅4分の1!$D$11:$D$310,485-COUNTA(半紙!$B$11:$B$310)-COUNTA(条幅!$B$11:$B$310)),""))))</f>
        <v/>
      </c>
      <c r="E490" s="38" t="str">
        <f>IF(IF(485&lt;=COUNTA(半紙!$B$11:$B$310),INDEX(半紙!$E$11:$E$310,485),IF(485&lt;=COUNTA(半紙!$B$11:$B$310)+COUNTA(条幅!$B$11:$B$310),INDEX(条幅!$E$11:$E$310,485-COUNTA(半紙!$B$11:$B$310)),IF(485&lt;=COUNTA(半紙!$B$11:$B$310)+COUNTA(条幅!$B$11:$B$310)+COUNTA(条幅4分の1!$B$11:$B$310),INDEX(条幅4分の1!$E$11:$E$310,485-COUNTA(半紙!$B$11:$B$310)-COUNTA(条幅!$B$11:$B$310)),"")))=0,"",IF(485&lt;=COUNTA(半紙!$B$11:$B$310),INDEX(半紙!$E$11:$E$310,485),IF(485&lt;=COUNTA(半紙!$B$11:$B$310)+COUNTA(条幅!$B$11:$B$310),INDEX(条幅!$E$11:$E$310,485-COUNTA(半紙!$B$11:$B$310)),IF(485&lt;=COUNTA(半紙!$B$11:$B$310)+COUNTA(条幅!$B$11:$B$310)+COUNTA(条幅4分の1!$B$11:$B$310),INDEX(条幅4分の1!$E$11:$E$310,485-COUNTA(半紙!$B$11:$B$310)-COUNTA(条幅!$B$11:$B$310)),""))))</f>
        <v/>
      </c>
      <c r="F490" s="38" t="str">
        <f>IF(IF(485&lt;=COUNTA(半紙!$B$11:$B$310),INDEX(半紙!$F$11:$F$310,485),IF(485&lt;=COUNTA(半紙!$B$11:$B$310)+COUNTA(条幅!$B$11:$B$310),INDEX(条幅!$F$11:$F$310,485-COUNTA(半紙!$B$11:$B$310)),IF(485&lt;=COUNTA(半紙!$B$11:$B$310)+COUNTA(条幅!$B$11:$B$310)+COUNTA(条幅4分の1!$B$11:$B$310),INDEX(条幅4分の1!$F$11:$F$310,485-COUNTA(半紙!$B$11:$B$310)-COUNTA(条幅!$B$11:$B$310)),"")))=0,"",IF(485&lt;=COUNTA(半紙!$B$11:$B$310),INDEX(半紙!$F$11:$F$310,485),IF(485&lt;=COUNTA(半紙!$B$11:$B$310)+COUNTA(条幅!$B$11:$B$310),INDEX(条幅!$F$11:$F$310,485-COUNTA(半紙!$B$11:$B$310)),IF(485&lt;=COUNTA(半紙!$B$11:$B$310)+COUNTA(条幅!$B$11:$B$310)+COUNTA(条幅4分の1!$B$11:$B$310),INDEX(条幅4分の1!$F$11:$F$310,485-COUNTA(半紙!$B$11:$B$310)-COUNTA(条幅!$B$11:$B$310)),""))))</f>
        <v/>
      </c>
      <c r="G490" s="38" t="str">
        <f>IF(IF(485&lt;=COUNTA(半紙!$B$11:$B$310),INDEX(半紙!$G$11:$G$310,485),IF(485&lt;=COUNTA(半紙!$B$11:$B$310)+COUNTA(条幅!$B$11:$B$310),INDEX(条幅!$G$11:$G$310,485-COUNTA(半紙!$B$11:$B$310)),IF(485&lt;=COUNTA(半紙!$B$11:$B$310)+COUNTA(条幅!$B$11:$B$310)+COUNTA(条幅4分の1!$B$11:$B$310),INDEX(条幅4分の1!$G$11:$G$310,485-COUNTA(半紙!$B$11:$B$310)-COUNTA(条幅!$B$11:$B$310)),"")))=0,"",IF(485&lt;=COUNTA(半紙!$B$11:$B$310),INDEX(半紙!$G$11:$G$310,485),IF(485&lt;=COUNTA(半紙!$B$11:$B$310)+COUNTA(条幅!$B$11:$B$310),INDEX(条幅!$G$11:$G$310,485-COUNTA(半紙!$B$11:$B$310)),IF(485&lt;=COUNTA(半紙!$B$11:$B$310)+COUNTA(条幅!$B$11:$B$310)+COUNTA(条幅4分の1!$B$11:$B$310),INDEX(条幅4分の1!$G$11:$G$310,485-COUNTA(半紙!$B$11:$B$310)-COUNTA(条幅!$B$11:$B$310)),""))))</f>
        <v/>
      </c>
      <c r="H490" s="38" t="str">
        <f>IF(IF(485&lt;=COUNTA(半紙!$B$11:$B$310),INDEX(半紙!$H$11:$H$310,485),IF(485&lt;=COUNTA(半紙!$B$11:$B$310)+COUNTA(条幅!$B$11:$B$310),INDEX(条幅!$H$11:$H$310,485-COUNTA(半紙!$B$11:$B$310)),IF(485&lt;=COUNTA(半紙!$B$11:$B$310)+COUNTA(条幅!$B$11:$B$310)+COUNTA(条幅4分の1!$B$11:$B$310),INDEX(条幅4分の1!$H$11:$H$310,485-COUNTA(半紙!$B$11:$B$310)-COUNTA(条幅!$B$11:$B$310)),"")))=0,"",IF(485&lt;=COUNTA(半紙!$B$11:$B$310),INDEX(半紙!$H$11:$H$310,485),IF(485&lt;=COUNTA(半紙!$B$11:$B$310)+COUNTA(条幅!$B$11:$B$310),INDEX(条幅!$H$11:$H$310,485-COUNTA(半紙!$B$11:$B$310)),IF(485&lt;=COUNTA(半紙!$B$11:$B$310)+COUNTA(条幅!$B$11:$B$310)+COUNTA(条幅4分の1!$B$11:$B$310),INDEX(条幅4分の1!$H$11:$H$310,485-COUNTA(半紙!$B$11:$B$310)-COUNTA(条幅!$B$11:$B$310)),""))))</f>
        <v/>
      </c>
      <c r="I490" s="38" t="str">
        <f>IF(IF(485&lt;=COUNTA(半紙!$B$11:$B$310),INDEX(半紙!$I$11:$I$310,485),IF(485&lt;=COUNTA(半紙!$B$11:$B$310)+COUNTA(条幅!$B$11:$B$310),INDEX(条幅!$I$11:$I$310,485-COUNTA(半紙!$B$11:$B$310)),IF(485&lt;=COUNTA(半紙!$B$11:$B$310)+COUNTA(条幅!$B$11:$B$310)+COUNTA(条幅4分の1!$B$11:$B$310),INDEX(条幅4分の1!$I$11:$I$310,485-COUNTA(半紙!$B$11:$B$310)-COUNTA(条幅!$B$11:$B$310)),"")))=0,"",IF(485&lt;=COUNTA(半紙!$B$11:$B$310),INDEX(半紙!$I$11:$I$310,485),IF(485&lt;=COUNTA(半紙!$B$11:$B$310)+COUNTA(条幅!$B$11:$B$310),INDEX(条幅!$I$11:$I$310,485-COUNTA(半紙!$B$11:$B$310)),IF(485&lt;=COUNTA(半紙!$B$11:$B$310)+COUNTA(条幅!$B$11:$B$310)+COUNTA(条幅4分の1!$B$11:$B$310),INDEX(条幅4分の1!$I$11:$I$310,485-COUNTA(半紙!$B$11:$B$310)-COUNTA(条幅!$B$11:$B$310)),""))))</f>
        <v/>
      </c>
      <c r="J490" s="38" t="str">
        <f>IF(IF(485&lt;=COUNTA(半紙!$B$11:$B$310),INDEX(半紙!$J$11:$J$310,485),IF(485&lt;=COUNTA(半紙!$B$11:$B$310)+COUNTA(条幅!$B$11:$B$310),INDEX(条幅!$J$11:$J$310,485-COUNTA(半紙!$B$11:$B$310)),IF(485&lt;=COUNTA(半紙!$B$11:$B$310)+COUNTA(条幅!$B$11:$B$310)+COUNTA(条幅4分の1!$B$11:$B$310),INDEX(条幅4分の1!$J$11:$J$310,485-COUNTA(半紙!$B$11:$B$310)-COUNTA(条幅!$B$11:$B$310)),"")))=0,"",IF(485&lt;=COUNTA(半紙!$B$11:$B$310),INDEX(半紙!$J$11:$J$310,485),IF(485&lt;=COUNTA(半紙!$B$11:$B$310)+COUNTA(条幅!$B$11:$B$310),INDEX(条幅!$J$11:$J$310,485-COUNTA(半紙!$B$11:$B$310)),IF(485&lt;=COUNTA(半紙!$B$11:$B$310)+COUNTA(条幅!$B$11:$B$310)+COUNTA(条幅4分の1!$B$11:$B$310),INDEX(条幅4分の1!$J$11:$J$310,485-COUNTA(半紙!$B$11:$B$310)-COUNTA(条幅!$B$11:$B$310)),""))))</f>
        <v/>
      </c>
      <c r="K490" s="38" t="str">
        <f>IF(IF(485&lt;=COUNTA(半紙!$B$11:$B$310),INDEX(半紙!$K$11:$K$310,485),IF(485&lt;=COUNTA(半紙!$B$11:$B$310)+COUNTA(条幅!$B$11:$B$310),INDEX(条幅!$K$11:$K$310,485-COUNTA(半紙!$B$11:$B$310)),IF(485&lt;=COUNTA(半紙!$B$11:$B$310)+COUNTA(条幅!$B$11:$B$310)+COUNTA(条幅4分の1!$B$11:$B$310),INDEX(条幅4分の1!$K$11:$K$310,485-COUNTA(半紙!$B$11:$B$310)-COUNTA(条幅!$B$11:$B$310)),"")))=0,"",IF(485&lt;=COUNTA(半紙!$B$11:$B$310),INDEX(半紙!$K$11:$K$310,485),IF(485&lt;=COUNTA(半紙!$B$11:$B$310)+COUNTA(条幅!$B$11:$B$310),INDEX(条幅!$K$11:$K$310,485-COUNTA(半紙!$B$11:$B$310)),IF(485&lt;=COUNTA(半紙!$B$11:$B$310)+COUNTA(条幅!$B$11:$B$310)+COUNTA(条幅4分の1!$B$11:$B$310),INDEX(条幅4分の1!$K$11:$K$310,485-COUNTA(半紙!$B$11:$B$310)-COUNTA(条幅!$B$11:$B$310)),""))))</f>
        <v/>
      </c>
      <c r="L490" s="48" t="str">
        <f>IF($B490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485))</f>
        <v/>
      </c>
    </row>
    <row r="491" spans="1:12" ht="15" customHeight="1">
      <c r="A491" s="37" t="str">
        <f>IF(486&lt;=COUNTA(半紙!$B$11:$B$310),"半紙",IF(486&lt;=COUNTA(半紙!$B$11:$B$310)+COUNTA(条幅!$B$11:$B$310),"条幅(半切)",IF(486&lt;=COUNTA(半紙!$B$11:$B$310)+COUNTA(条幅!$B$11:$B$310)+COUNTA(条幅4分の1!$B$11:$B$310),"条幅(1/4)","")))</f>
        <v/>
      </c>
      <c r="B491" s="38" t="str">
        <f>IF(IF(486&lt;=COUNTA(半紙!$B$11:$B$310),INDEX(半紙!$B$11:$B$310,486),IF(486&lt;=COUNTA(半紙!$B$11:$B$310)+COUNTA(条幅!$B$11:$B$310),INDEX(条幅!$B$11:$B$310,486-COUNTA(半紙!$B$11:$B$310)),IF(486&lt;=COUNTA(半紙!$B$11:$B$310)+COUNTA(条幅!$B$11:$B$310)+COUNTA(条幅4分の1!$B$11:$B$310),INDEX(条幅4分の1!$B$11:$B$310,486-COUNTA(半紙!$B$11:$B$310)-COUNTA(条幅!$B$11:$B$310)),"")))=0,"",IF(486&lt;=COUNTA(半紙!$B$11:$B$310),INDEX(半紙!$B$11:$B$310,486),IF(486&lt;=COUNTA(半紙!$B$11:$B$310)+COUNTA(条幅!$B$11:$B$310),INDEX(条幅!$B$11:$B$310,486-COUNTA(半紙!$B$11:$B$310)),IF(486&lt;=COUNTA(半紙!$B$11:$B$310)+COUNTA(条幅!$B$11:$B$310)+COUNTA(条幅4分の1!$B$11:$B$310),INDEX(条幅4分の1!$B$11:$B$310,486-COUNTA(半紙!$B$11:$B$310)-COUNTA(条幅!$B$11:$B$310)),""))))</f>
        <v/>
      </c>
      <c r="C491" s="38" t="str">
        <f>IF(IF(486&lt;=COUNTA(半紙!$B$11:$B$310),INDEX(半紙!$C$11:$C$310,486),IF(486&lt;=COUNTA(半紙!$B$11:$B$310)+COUNTA(条幅!$B$11:$B$310),INDEX(条幅!$C$11:$C$310,486-COUNTA(半紙!$B$11:$B$310)),IF(486&lt;=COUNTA(半紙!$B$11:$B$310)+COUNTA(条幅!$B$11:$B$310)+COUNTA(条幅4分の1!$B$11:$B$310),INDEX(条幅4分の1!$C$11:$C$310,486-COUNTA(半紙!$B$11:$B$310)-COUNTA(条幅!$B$11:$B$310)),"")))=0,"",IF(486&lt;=COUNTA(半紙!$B$11:$B$310),INDEX(半紙!$C$11:$C$310,486),IF(486&lt;=COUNTA(半紙!$B$11:$B$310)+COUNTA(条幅!$B$11:$B$310),INDEX(条幅!$C$11:$C$310,486-COUNTA(半紙!$B$11:$B$310)),IF(486&lt;=COUNTA(半紙!$B$11:$B$310)+COUNTA(条幅!$B$11:$B$310)+COUNTA(条幅4分の1!$B$11:$B$310),INDEX(条幅4分の1!$C$11:$C$310,486-COUNTA(半紙!$B$11:$B$310)-COUNTA(条幅!$B$11:$B$310)),""))))</f>
        <v/>
      </c>
      <c r="D491" s="38" t="str">
        <f>IF(IF(486&lt;=COUNTA(半紙!$B$11:$B$310),INDEX(半紙!$D$11:$D$310,486),IF(486&lt;=COUNTA(半紙!$B$11:$B$310)+COUNTA(条幅!$B$11:$B$310),INDEX(条幅!$D$11:$D$310,486-COUNTA(半紙!$B$11:$B$310)),IF(486&lt;=COUNTA(半紙!$B$11:$B$310)+COUNTA(条幅!$B$11:$B$310)+COUNTA(条幅4分の1!$B$11:$B$310),INDEX(条幅4分の1!$D$11:$D$310,486-COUNTA(半紙!$B$11:$B$310)-COUNTA(条幅!$B$11:$B$310)),"")))=0,"",IF(486&lt;=COUNTA(半紙!$B$11:$B$310),INDEX(半紙!$D$11:$D$310,486),IF(486&lt;=COUNTA(半紙!$B$11:$B$310)+COUNTA(条幅!$B$11:$B$310),INDEX(条幅!$D$11:$D$310,486-COUNTA(半紙!$B$11:$B$310)),IF(486&lt;=COUNTA(半紙!$B$11:$B$310)+COUNTA(条幅!$B$11:$B$310)+COUNTA(条幅4分の1!$B$11:$B$310),INDEX(条幅4分の1!$D$11:$D$310,486-COUNTA(半紙!$B$11:$B$310)-COUNTA(条幅!$B$11:$B$310)),""))))</f>
        <v/>
      </c>
      <c r="E491" s="38" t="str">
        <f>IF(IF(486&lt;=COUNTA(半紙!$B$11:$B$310),INDEX(半紙!$E$11:$E$310,486),IF(486&lt;=COUNTA(半紙!$B$11:$B$310)+COUNTA(条幅!$B$11:$B$310),INDEX(条幅!$E$11:$E$310,486-COUNTA(半紙!$B$11:$B$310)),IF(486&lt;=COUNTA(半紙!$B$11:$B$310)+COUNTA(条幅!$B$11:$B$310)+COUNTA(条幅4分の1!$B$11:$B$310),INDEX(条幅4分の1!$E$11:$E$310,486-COUNTA(半紙!$B$11:$B$310)-COUNTA(条幅!$B$11:$B$310)),"")))=0,"",IF(486&lt;=COUNTA(半紙!$B$11:$B$310),INDEX(半紙!$E$11:$E$310,486),IF(486&lt;=COUNTA(半紙!$B$11:$B$310)+COUNTA(条幅!$B$11:$B$310),INDEX(条幅!$E$11:$E$310,486-COUNTA(半紙!$B$11:$B$310)),IF(486&lt;=COUNTA(半紙!$B$11:$B$310)+COUNTA(条幅!$B$11:$B$310)+COUNTA(条幅4分の1!$B$11:$B$310),INDEX(条幅4分の1!$E$11:$E$310,486-COUNTA(半紙!$B$11:$B$310)-COUNTA(条幅!$B$11:$B$310)),""))))</f>
        <v/>
      </c>
      <c r="F491" s="38" t="str">
        <f>IF(IF(486&lt;=COUNTA(半紙!$B$11:$B$310),INDEX(半紙!$F$11:$F$310,486),IF(486&lt;=COUNTA(半紙!$B$11:$B$310)+COUNTA(条幅!$B$11:$B$310),INDEX(条幅!$F$11:$F$310,486-COUNTA(半紙!$B$11:$B$310)),IF(486&lt;=COUNTA(半紙!$B$11:$B$310)+COUNTA(条幅!$B$11:$B$310)+COUNTA(条幅4分の1!$B$11:$B$310),INDEX(条幅4分の1!$F$11:$F$310,486-COUNTA(半紙!$B$11:$B$310)-COUNTA(条幅!$B$11:$B$310)),"")))=0,"",IF(486&lt;=COUNTA(半紙!$B$11:$B$310),INDEX(半紙!$F$11:$F$310,486),IF(486&lt;=COUNTA(半紙!$B$11:$B$310)+COUNTA(条幅!$B$11:$B$310),INDEX(条幅!$F$11:$F$310,486-COUNTA(半紙!$B$11:$B$310)),IF(486&lt;=COUNTA(半紙!$B$11:$B$310)+COUNTA(条幅!$B$11:$B$310)+COUNTA(条幅4分の1!$B$11:$B$310),INDEX(条幅4分の1!$F$11:$F$310,486-COUNTA(半紙!$B$11:$B$310)-COUNTA(条幅!$B$11:$B$310)),""))))</f>
        <v/>
      </c>
      <c r="G491" s="38" t="str">
        <f>IF(IF(486&lt;=COUNTA(半紙!$B$11:$B$310),INDEX(半紙!$G$11:$G$310,486),IF(486&lt;=COUNTA(半紙!$B$11:$B$310)+COUNTA(条幅!$B$11:$B$310),INDEX(条幅!$G$11:$G$310,486-COUNTA(半紙!$B$11:$B$310)),IF(486&lt;=COUNTA(半紙!$B$11:$B$310)+COUNTA(条幅!$B$11:$B$310)+COUNTA(条幅4分の1!$B$11:$B$310),INDEX(条幅4分の1!$G$11:$G$310,486-COUNTA(半紙!$B$11:$B$310)-COUNTA(条幅!$B$11:$B$310)),"")))=0,"",IF(486&lt;=COUNTA(半紙!$B$11:$B$310),INDEX(半紙!$G$11:$G$310,486),IF(486&lt;=COUNTA(半紙!$B$11:$B$310)+COUNTA(条幅!$B$11:$B$310),INDEX(条幅!$G$11:$G$310,486-COUNTA(半紙!$B$11:$B$310)),IF(486&lt;=COUNTA(半紙!$B$11:$B$310)+COUNTA(条幅!$B$11:$B$310)+COUNTA(条幅4分の1!$B$11:$B$310),INDEX(条幅4分の1!$G$11:$G$310,486-COUNTA(半紙!$B$11:$B$310)-COUNTA(条幅!$B$11:$B$310)),""))))</f>
        <v/>
      </c>
      <c r="H491" s="38" t="str">
        <f>IF(IF(486&lt;=COUNTA(半紙!$B$11:$B$310),INDEX(半紙!$H$11:$H$310,486),IF(486&lt;=COUNTA(半紙!$B$11:$B$310)+COUNTA(条幅!$B$11:$B$310),INDEX(条幅!$H$11:$H$310,486-COUNTA(半紙!$B$11:$B$310)),IF(486&lt;=COUNTA(半紙!$B$11:$B$310)+COUNTA(条幅!$B$11:$B$310)+COUNTA(条幅4分の1!$B$11:$B$310),INDEX(条幅4分の1!$H$11:$H$310,486-COUNTA(半紙!$B$11:$B$310)-COUNTA(条幅!$B$11:$B$310)),"")))=0,"",IF(486&lt;=COUNTA(半紙!$B$11:$B$310),INDEX(半紙!$H$11:$H$310,486),IF(486&lt;=COUNTA(半紙!$B$11:$B$310)+COUNTA(条幅!$B$11:$B$310),INDEX(条幅!$H$11:$H$310,486-COUNTA(半紙!$B$11:$B$310)),IF(486&lt;=COUNTA(半紙!$B$11:$B$310)+COUNTA(条幅!$B$11:$B$310)+COUNTA(条幅4分の1!$B$11:$B$310),INDEX(条幅4分の1!$H$11:$H$310,486-COUNTA(半紙!$B$11:$B$310)-COUNTA(条幅!$B$11:$B$310)),""))))</f>
        <v/>
      </c>
      <c r="I491" s="38" t="str">
        <f>IF(IF(486&lt;=COUNTA(半紙!$B$11:$B$310),INDEX(半紙!$I$11:$I$310,486),IF(486&lt;=COUNTA(半紙!$B$11:$B$310)+COUNTA(条幅!$B$11:$B$310),INDEX(条幅!$I$11:$I$310,486-COUNTA(半紙!$B$11:$B$310)),IF(486&lt;=COUNTA(半紙!$B$11:$B$310)+COUNTA(条幅!$B$11:$B$310)+COUNTA(条幅4分の1!$B$11:$B$310),INDEX(条幅4分の1!$I$11:$I$310,486-COUNTA(半紙!$B$11:$B$310)-COUNTA(条幅!$B$11:$B$310)),"")))=0,"",IF(486&lt;=COUNTA(半紙!$B$11:$B$310),INDEX(半紙!$I$11:$I$310,486),IF(486&lt;=COUNTA(半紙!$B$11:$B$310)+COUNTA(条幅!$B$11:$B$310),INDEX(条幅!$I$11:$I$310,486-COUNTA(半紙!$B$11:$B$310)),IF(486&lt;=COUNTA(半紙!$B$11:$B$310)+COUNTA(条幅!$B$11:$B$310)+COUNTA(条幅4分の1!$B$11:$B$310),INDEX(条幅4分の1!$I$11:$I$310,486-COUNTA(半紙!$B$11:$B$310)-COUNTA(条幅!$B$11:$B$310)),""))))</f>
        <v/>
      </c>
      <c r="J491" s="38" t="str">
        <f>IF(IF(486&lt;=COUNTA(半紙!$B$11:$B$310),INDEX(半紙!$J$11:$J$310,486),IF(486&lt;=COUNTA(半紙!$B$11:$B$310)+COUNTA(条幅!$B$11:$B$310),INDEX(条幅!$J$11:$J$310,486-COUNTA(半紙!$B$11:$B$310)),IF(486&lt;=COUNTA(半紙!$B$11:$B$310)+COUNTA(条幅!$B$11:$B$310)+COUNTA(条幅4分の1!$B$11:$B$310),INDEX(条幅4分の1!$J$11:$J$310,486-COUNTA(半紙!$B$11:$B$310)-COUNTA(条幅!$B$11:$B$310)),"")))=0,"",IF(486&lt;=COUNTA(半紙!$B$11:$B$310),INDEX(半紙!$J$11:$J$310,486),IF(486&lt;=COUNTA(半紙!$B$11:$B$310)+COUNTA(条幅!$B$11:$B$310),INDEX(条幅!$J$11:$J$310,486-COUNTA(半紙!$B$11:$B$310)),IF(486&lt;=COUNTA(半紙!$B$11:$B$310)+COUNTA(条幅!$B$11:$B$310)+COUNTA(条幅4分の1!$B$11:$B$310),INDEX(条幅4分の1!$J$11:$J$310,486-COUNTA(半紙!$B$11:$B$310)-COUNTA(条幅!$B$11:$B$310)),""))))</f>
        <v/>
      </c>
      <c r="K491" s="38" t="str">
        <f>IF(IF(486&lt;=COUNTA(半紙!$B$11:$B$310),INDEX(半紙!$K$11:$K$310,486),IF(486&lt;=COUNTA(半紙!$B$11:$B$310)+COUNTA(条幅!$B$11:$B$310),INDEX(条幅!$K$11:$K$310,486-COUNTA(半紙!$B$11:$B$310)),IF(486&lt;=COUNTA(半紙!$B$11:$B$310)+COUNTA(条幅!$B$11:$B$310)+COUNTA(条幅4分の1!$B$11:$B$310),INDEX(条幅4分の1!$K$11:$K$310,486-COUNTA(半紙!$B$11:$B$310)-COUNTA(条幅!$B$11:$B$310)),"")))=0,"",IF(486&lt;=COUNTA(半紙!$B$11:$B$310),INDEX(半紙!$K$11:$K$310,486),IF(486&lt;=COUNTA(半紙!$B$11:$B$310)+COUNTA(条幅!$B$11:$B$310),INDEX(条幅!$K$11:$K$310,486-COUNTA(半紙!$B$11:$B$310)),IF(486&lt;=COUNTA(半紙!$B$11:$B$310)+COUNTA(条幅!$B$11:$B$310)+COUNTA(条幅4分の1!$B$11:$B$310),INDEX(条幅4分の1!$K$11:$K$310,486-COUNTA(半紙!$B$11:$B$310)-COUNTA(条幅!$B$11:$B$310)),""))))</f>
        <v/>
      </c>
      <c r="L491" s="48" t="str">
        <f>IF($B491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486))</f>
        <v/>
      </c>
    </row>
    <row r="492" spans="1:12" ht="15" customHeight="1">
      <c r="A492" s="37" t="str">
        <f>IF(487&lt;=COUNTA(半紙!$B$11:$B$310),"半紙",IF(487&lt;=COUNTA(半紙!$B$11:$B$310)+COUNTA(条幅!$B$11:$B$310),"条幅(半切)",IF(487&lt;=COUNTA(半紙!$B$11:$B$310)+COUNTA(条幅!$B$11:$B$310)+COUNTA(条幅4分の1!$B$11:$B$310),"条幅(1/4)","")))</f>
        <v/>
      </c>
      <c r="B492" s="38" t="str">
        <f>IF(IF(487&lt;=COUNTA(半紙!$B$11:$B$310),INDEX(半紙!$B$11:$B$310,487),IF(487&lt;=COUNTA(半紙!$B$11:$B$310)+COUNTA(条幅!$B$11:$B$310),INDEX(条幅!$B$11:$B$310,487-COUNTA(半紙!$B$11:$B$310)),IF(487&lt;=COUNTA(半紙!$B$11:$B$310)+COUNTA(条幅!$B$11:$B$310)+COUNTA(条幅4分の1!$B$11:$B$310),INDEX(条幅4分の1!$B$11:$B$310,487-COUNTA(半紙!$B$11:$B$310)-COUNTA(条幅!$B$11:$B$310)),"")))=0,"",IF(487&lt;=COUNTA(半紙!$B$11:$B$310),INDEX(半紙!$B$11:$B$310,487),IF(487&lt;=COUNTA(半紙!$B$11:$B$310)+COUNTA(条幅!$B$11:$B$310),INDEX(条幅!$B$11:$B$310,487-COUNTA(半紙!$B$11:$B$310)),IF(487&lt;=COUNTA(半紙!$B$11:$B$310)+COUNTA(条幅!$B$11:$B$310)+COUNTA(条幅4分の1!$B$11:$B$310),INDEX(条幅4分の1!$B$11:$B$310,487-COUNTA(半紙!$B$11:$B$310)-COUNTA(条幅!$B$11:$B$310)),""))))</f>
        <v/>
      </c>
      <c r="C492" s="38" t="str">
        <f>IF(IF(487&lt;=COUNTA(半紙!$B$11:$B$310),INDEX(半紙!$C$11:$C$310,487),IF(487&lt;=COUNTA(半紙!$B$11:$B$310)+COUNTA(条幅!$B$11:$B$310),INDEX(条幅!$C$11:$C$310,487-COUNTA(半紙!$B$11:$B$310)),IF(487&lt;=COUNTA(半紙!$B$11:$B$310)+COUNTA(条幅!$B$11:$B$310)+COUNTA(条幅4分の1!$B$11:$B$310),INDEX(条幅4分の1!$C$11:$C$310,487-COUNTA(半紙!$B$11:$B$310)-COUNTA(条幅!$B$11:$B$310)),"")))=0,"",IF(487&lt;=COUNTA(半紙!$B$11:$B$310),INDEX(半紙!$C$11:$C$310,487),IF(487&lt;=COUNTA(半紙!$B$11:$B$310)+COUNTA(条幅!$B$11:$B$310),INDEX(条幅!$C$11:$C$310,487-COUNTA(半紙!$B$11:$B$310)),IF(487&lt;=COUNTA(半紙!$B$11:$B$310)+COUNTA(条幅!$B$11:$B$310)+COUNTA(条幅4分の1!$B$11:$B$310),INDEX(条幅4分の1!$C$11:$C$310,487-COUNTA(半紙!$B$11:$B$310)-COUNTA(条幅!$B$11:$B$310)),""))))</f>
        <v/>
      </c>
      <c r="D492" s="38" t="str">
        <f>IF(IF(487&lt;=COUNTA(半紙!$B$11:$B$310),INDEX(半紙!$D$11:$D$310,487),IF(487&lt;=COUNTA(半紙!$B$11:$B$310)+COUNTA(条幅!$B$11:$B$310),INDEX(条幅!$D$11:$D$310,487-COUNTA(半紙!$B$11:$B$310)),IF(487&lt;=COUNTA(半紙!$B$11:$B$310)+COUNTA(条幅!$B$11:$B$310)+COUNTA(条幅4分の1!$B$11:$B$310),INDEX(条幅4分の1!$D$11:$D$310,487-COUNTA(半紙!$B$11:$B$310)-COUNTA(条幅!$B$11:$B$310)),"")))=0,"",IF(487&lt;=COUNTA(半紙!$B$11:$B$310),INDEX(半紙!$D$11:$D$310,487),IF(487&lt;=COUNTA(半紙!$B$11:$B$310)+COUNTA(条幅!$B$11:$B$310),INDEX(条幅!$D$11:$D$310,487-COUNTA(半紙!$B$11:$B$310)),IF(487&lt;=COUNTA(半紙!$B$11:$B$310)+COUNTA(条幅!$B$11:$B$310)+COUNTA(条幅4分の1!$B$11:$B$310),INDEX(条幅4分の1!$D$11:$D$310,487-COUNTA(半紙!$B$11:$B$310)-COUNTA(条幅!$B$11:$B$310)),""))))</f>
        <v/>
      </c>
      <c r="E492" s="38" t="str">
        <f>IF(IF(487&lt;=COUNTA(半紙!$B$11:$B$310),INDEX(半紙!$E$11:$E$310,487),IF(487&lt;=COUNTA(半紙!$B$11:$B$310)+COUNTA(条幅!$B$11:$B$310),INDEX(条幅!$E$11:$E$310,487-COUNTA(半紙!$B$11:$B$310)),IF(487&lt;=COUNTA(半紙!$B$11:$B$310)+COUNTA(条幅!$B$11:$B$310)+COUNTA(条幅4分の1!$B$11:$B$310),INDEX(条幅4分の1!$E$11:$E$310,487-COUNTA(半紙!$B$11:$B$310)-COUNTA(条幅!$B$11:$B$310)),"")))=0,"",IF(487&lt;=COUNTA(半紙!$B$11:$B$310),INDEX(半紙!$E$11:$E$310,487),IF(487&lt;=COUNTA(半紙!$B$11:$B$310)+COUNTA(条幅!$B$11:$B$310),INDEX(条幅!$E$11:$E$310,487-COUNTA(半紙!$B$11:$B$310)),IF(487&lt;=COUNTA(半紙!$B$11:$B$310)+COUNTA(条幅!$B$11:$B$310)+COUNTA(条幅4分の1!$B$11:$B$310),INDEX(条幅4分の1!$E$11:$E$310,487-COUNTA(半紙!$B$11:$B$310)-COUNTA(条幅!$B$11:$B$310)),""))))</f>
        <v/>
      </c>
      <c r="F492" s="38" t="str">
        <f>IF(IF(487&lt;=COUNTA(半紙!$B$11:$B$310),INDEX(半紙!$F$11:$F$310,487),IF(487&lt;=COUNTA(半紙!$B$11:$B$310)+COUNTA(条幅!$B$11:$B$310),INDEX(条幅!$F$11:$F$310,487-COUNTA(半紙!$B$11:$B$310)),IF(487&lt;=COUNTA(半紙!$B$11:$B$310)+COUNTA(条幅!$B$11:$B$310)+COUNTA(条幅4分の1!$B$11:$B$310),INDEX(条幅4分の1!$F$11:$F$310,487-COUNTA(半紙!$B$11:$B$310)-COUNTA(条幅!$B$11:$B$310)),"")))=0,"",IF(487&lt;=COUNTA(半紙!$B$11:$B$310),INDEX(半紙!$F$11:$F$310,487),IF(487&lt;=COUNTA(半紙!$B$11:$B$310)+COUNTA(条幅!$B$11:$B$310),INDEX(条幅!$F$11:$F$310,487-COUNTA(半紙!$B$11:$B$310)),IF(487&lt;=COUNTA(半紙!$B$11:$B$310)+COUNTA(条幅!$B$11:$B$310)+COUNTA(条幅4分の1!$B$11:$B$310),INDEX(条幅4分の1!$F$11:$F$310,487-COUNTA(半紙!$B$11:$B$310)-COUNTA(条幅!$B$11:$B$310)),""))))</f>
        <v/>
      </c>
      <c r="G492" s="38" t="str">
        <f>IF(IF(487&lt;=COUNTA(半紙!$B$11:$B$310),INDEX(半紙!$G$11:$G$310,487),IF(487&lt;=COUNTA(半紙!$B$11:$B$310)+COUNTA(条幅!$B$11:$B$310),INDEX(条幅!$G$11:$G$310,487-COUNTA(半紙!$B$11:$B$310)),IF(487&lt;=COUNTA(半紙!$B$11:$B$310)+COUNTA(条幅!$B$11:$B$310)+COUNTA(条幅4分の1!$B$11:$B$310),INDEX(条幅4分の1!$G$11:$G$310,487-COUNTA(半紙!$B$11:$B$310)-COUNTA(条幅!$B$11:$B$310)),"")))=0,"",IF(487&lt;=COUNTA(半紙!$B$11:$B$310),INDEX(半紙!$G$11:$G$310,487),IF(487&lt;=COUNTA(半紙!$B$11:$B$310)+COUNTA(条幅!$B$11:$B$310),INDEX(条幅!$G$11:$G$310,487-COUNTA(半紙!$B$11:$B$310)),IF(487&lt;=COUNTA(半紙!$B$11:$B$310)+COUNTA(条幅!$B$11:$B$310)+COUNTA(条幅4分の1!$B$11:$B$310),INDEX(条幅4分の1!$G$11:$G$310,487-COUNTA(半紙!$B$11:$B$310)-COUNTA(条幅!$B$11:$B$310)),""))))</f>
        <v/>
      </c>
      <c r="H492" s="38" t="str">
        <f>IF(IF(487&lt;=COUNTA(半紙!$B$11:$B$310),INDEX(半紙!$H$11:$H$310,487),IF(487&lt;=COUNTA(半紙!$B$11:$B$310)+COUNTA(条幅!$B$11:$B$310),INDEX(条幅!$H$11:$H$310,487-COUNTA(半紙!$B$11:$B$310)),IF(487&lt;=COUNTA(半紙!$B$11:$B$310)+COUNTA(条幅!$B$11:$B$310)+COUNTA(条幅4分の1!$B$11:$B$310),INDEX(条幅4分の1!$H$11:$H$310,487-COUNTA(半紙!$B$11:$B$310)-COUNTA(条幅!$B$11:$B$310)),"")))=0,"",IF(487&lt;=COUNTA(半紙!$B$11:$B$310),INDEX(半紙!$H$11:$H$310,487),IF(487&lt;=COUNTA(半紙!$B$11:$B$310)+COUNTA(条幅!$B$11:$B$310),INDEX(条幅!$H$11:$H$310,487-COUNTA(半紙!$B$11:$B$310)),IF(487&lt;=COUNTA(半紙!$B$11:$B$310)+COUNTA(条幅!$B$11:$B$310)+COUNTA(条幅4分の1!$B$11:$B$310),INDEX(条幅4分の1!$H$11:$H$310,487-COUNTA(半紙!$B$11:$B$310)-COUNTA(条幅!$B$11:$B$310)),""))))</f>
        <v/>
      </c>
      <c r="I492" s="38" t="str">
        <f>IF(IF(487&lt;=COUNTA(半紙!$B$11:$B$310),INDEX(半紙!$I$11:$I$310,487),IF(487&lt;=COUNTA(半紙!$B$11:$B$310)+COUNTA(条幅!$B$11:$B$310),INDEX(条幅!$I$11:$I$310,487-COUNTA(半紙!$B$11:$B$310)),IF(487&lt;=COUNTA(半紙!$B$11:$B$310)+COUNTA(条幅!$B$11:$B$310)+COUNTA(条幅4分の1!$B$11:$B$310),INDEX(条幅4分の1!$I$11:$I$310,487-COUNTA(半紙!$B$11:$B$310)-COUNTA(条幅!$B$11:$B$310)),"")))=0,"",IF(487&lt;=COUNTA(半紙!$B$11:$B$310),INDEX(半紙!$I$11:$I$310,487),IF(487&lt;=COUNTA(半紙!$B$11:$B$310)+COUNTA(条幅!$B$11:$B$310),INDEX(条幅!$I$11:$I$310,487-COUNTA(半紙!$B$11:$B$310)),IF(487&lt;=COUNTA(半紙!$B$11:$B$310)+COUNTA(条幅!$B$11:$B$310)+COUNTA(条幅4分の1!$B$11:$B$310),INDEX(条幅4分の1!$I$11:$I$310,487-COUNTA(半紙!$B$11:$B$310)-COUNTA(条幅!$B$11:$B$310)),""))))</f>
        <v/>
      </c>
      <c r="J492" s="38" t="str">
        <f>IF(IF(487&lt;=COUNTA(半紙!$B$11:$B$310),INDEX(半紙!$J$11:$J$310,487),IF(487&lt;=COUNTA(半紙!$B$11:$B$310)+COUNTA(条幅!$B$11:$B$310),INDEX(条幅!$J$11:$J$310,487-COUNTA(半紙!$B$11:$B$310)),IF(487&lt;=COUNTA(半紙!$B$11:$B$310)+COUNTA(条幅!$B$11:$B$310)+COUNTA(条幅4分の1!$B$11:$B$310),INDEX(条幅4分の1!$J$11:$J$310,487-COUNTA(半紙!$B$11:$B$310)-COUNTA(条幅!$B$11:$B$310)),"")))=0,"",IF(487&lt;=COUNTA(半紙!$B$11:$B$310),INDEX(半紙!$J$11:$J$310,487),IF(487&lt;=COUNTA(半紙!$B$11:$B$310)+COUNTA(条幅!$B$11:$B$310),INDEX(条幅!$J$11:$J$310,487-COUNTA(半紙!$B$11:$B$310)),IF(487&lt;=COUNTA(半紙!$B$11:$B$310)+COUNTA(条幅!$B$11:$B$310)+COUNTA(条幅4分の1!$B$11:$B$310),INDEX(条幅4分の1!$J$11:$J$310,487-COUNTA(半紙!$B$11:$B$310)-COUNTA(条幅!$B$11:$B$310)),""))))</f>
        <v/>
      </c>
      <c r="K492" s="38" t="str">
        <f>IF(IF(487&lt;=COUNTA(半紙!$B$11:$B$310),INDEX(半紙!$K$11:$K$310,487),IF(487&lt;=COUNTA(半紙!$B$11:$B$310)+COUNTA(条幅!$B$11:$B$310),INDEX(条幅!$K$11:$K$310,487-COUNTA(半紙!$B$11:$B$310)),IF(487&lt;=COUNTA(半紙!$B$11:$B$310)+COUNTA(条幅!$B$11:$B$310)+COUNTA(条幅4分の1!$B$11:$B$310),INDEX(条幅4分の1!$K$11:$K$310,487-COUNTA(半紙!$B$11:$B$310)-COUNTA(条幅!$B$11:$B$310)),"")))=0,"",IF(487&lt;=COUNTA(半紙!$B$11:$B$310),INDEX(半紙!$K$11:$K$310,487),IF(487&lt;=COUNTA(半紙!$B$11:$B$310)+COUNTA(条幅!$B$11:$B$310),INDEX(条幅!$K$11:$K$310,487-COUNTA(半紙!$B$11:$B$310)),IF(487&lt;=COUNTA(半紙!$B$11:$B$310)+COUNTA(条幅!$B$11:$B$310)+COUNTA(条幅4分の1!$B$11:$B$310),INDEX(条幅4分の1!$K$11:$K$310,487-COUNTA(半紙!$B$11:$B$310)-COUNTA(条幅!$B$11:$B$310)),""))))</f>
        <v/>
      </c>
      <c r="L492" s="48" t="str">
        <f>IF($B492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487))</f>
        <v/>
      </c>
    </row>
    <row r="493" spans="1:12" ht="15" customHeight="1">
      <c r="A493" s="37" t="str">
        <f>IF(488&lt;=COUNTA(半紙!$B$11:$B$310),"半紙",IF(488&lt;=COUNTA(半紙!$B$11:$B$310)+COUNTA(条幅!$B$11:$B$310),"条幅(半切)",IF(488&lt;=COUNTA(半紙!$B$11:$B$310)+COUNTA(条幅!$B$11:$B$310)+COUNTA(条幅4分の1!$B$11:$B$310),"条幅(1/4)","")))</f>
        <v/>
      </c>
      <c r="B493" s="38" t="str">
        <f>IF(IF(488&lt;=COUNTA(半紙!$B$11:$B$310),INDEX(半紙!$B$11:$B$310,488),IF(488&lt;=COUNTA(半紙!$B$11:$B$310)+COUNTA(条幅!$B$11:$B$310),INDEX(条幅!$B$11:$B$310,488-COUNTA(半紙!$B$11:$B$310)),IF(488&lt;=COUNTA(半紙!$B$11:$B$310)+COUNTA(条幅!$B$11:$B$310)+COUNTA(条幅4分の1!$B$11:$B$310),INDEX(条幅4分の1!$B$11:$B$310,488-COUNTA(半紙!$B$11:$B$310)-COUNTA(条幅!$B$11:$B$310)),"")))=0,"",IF(488&lt;=COUNTA(半紙!$B$11:$B$310),INDEX(半紙!$B$11:$B$310,488),IF(488&lt;=COUNTA(半紙!$B$11:$B$310)+COUNTA(条幅!$B$11:$B$310),INDEX(条幅!$B$11:$B$310,488-COUNTA(半紙!$B$11:$B$310)),IF(488&lt;=COUNTA(半紙!$B$11:$B$310)+COUNTA(条幅!$B$11:$B$310)+COUNTA(条幅4分の1!$B$11:$B$310),INDEX(条幅4分の1!$B$11:$B$310,488-COUNTA(半紙!$B$11:$B$310)-COUNTA(条幅!$B$11:$B$310)),""))))</f>
        <v/>
      </c>
      <c r="C493" s="38" t="str">
        <f>IF(IF(488&lt;=COUNTA(半紙!$B$11:$B$310),INDEX(半紙!$C$11:$C$310,488),IF(488&lt;=COUNTA(半紙!$B$11:$B$310)+COUNTA(条幅!$B$11:$B$310),INDEX(条幅!$C$11:$C$310,488-COUNTA(半紙!$B$11:$B$310)),IF(488&lt;=COUNTA(半紙!$B$11:$B$310)+COUNTA(条幅!$B$11:$B$310)+COUNTA(条幅4分の1!$B$11:$B$310),INDEX(条幅4分の1!$C$11:$C$310,488-COUNTA(半紙!$B$11:$B$310)-COUNTA(条幅!$B$11:$B$310)),"")))=0,"",IF(488&lt;=COUNTA(半紙!$B$11:$B$310),INDEX(半紙!$C$11:$C$310,488),IF(488&lt;=COUNTA(半紙!$B$11:$B$310)+COUNTA(条幅!$B$11:$B$310),INDEX(条幅!$C$11:$C$310,488-COUNTA(半紙!$B$11:$B$310)),IF(488&lt;=COUNTA(半紙!$B$11:$B$310)+COUNTA(条幅!$B$11:$B$310)+COUNTA(条幅4分の1!$B$11:$B$310),INDEX(条幅4分の1!$C$11:$C$310,488-COUNTA(半紙!$B$11:$B$310)-COUNTA(条幅!$B$11:$B$310)),""))))</f>
        <v/>
      </c>
      <c r="D493" s="38" t="str">
        <f>IF(IF(488&lt;=COUNTA(半紙!$B$11:$B$310),INDEX(半紙!$D$11:$D$310,488),IF(488&lt;=COUNTA(半紙!$B$11:$B$310)+COUNTA(条幅!$B$11:$B$310),INDEX(条幅!$D$11:$D$310,488-COUNTA(半紙!$B$11:$B$310)),IF(488&lt;=COUNTA(半紙!$B$11:$B$310)+COUNTA(条幅!$B$11:$B$310)+COUNTA(条幅4分の1!$B$11:$B$310),INDEX(条幅4分の1!$D$11:$D$310,488-COUNTA(半紙!$B$11:$B$310)-COUNTA(条幅!$B$11:$B$310)),"")))=0,"",IF(488&lt;=COUNTA(半紙!$B$11:$B$310),INDEX(半紙!$D$11:$D$310,488),IF(488&lt;=COUNTA(半紙!$B$11:$B$310)+COUNTA(条幅!$B$11:$B$310),INDEX(条幅!$D$11:$D$310,488-COUNTA(半紙!$B$11:$B$310)),IF(488&lt;=COUNTA(半紙!$B$11:$B$310)+COUNTA(条幅!$B$11:$B$310)+COUNTA(条幅4分の1!$B$11:$B$310),INDEX(条幅4分の1!$D$11:$D$310,488-COUNTA(半紙!$B$11:$B$310)-COUNTA(条幅!$B$11:$B$310)),""))))</f>
        <v/>
      </c>
      <c r="E493" s="38" t="str">
        <f>IF(IF(488&lt;=COUNTA(半紙!$B$11:$B$310),INDEX(半紙!$E$11:$E$310,488),IF(488&lt;=COUNTA(半紙!$B$11:$B$310)+COUNTA(条幅!$B$11:$B$310),INDEX(条幅!$E$11:$E$310,488-COUNTA(半紙!$B$11:$B$310)),IF(488&lt;=COUNTA(半紙!$B$11:$B$310)+COUNTA(条幅!$B$11:$B$310)+COUNTA(条幅4分の1!$B$11:$B$310),INDEX(条幅4分の1!$E$11:$E$310,488-COUNTA(半紙!$B$11:$B$310)-COUNTA(条幅!$B$11:$B$310)),"")))=0,"",IF(488&lt;=COUNTA(半紙!$B$11:$B$310),INDEX(半紙!$E$11:$E$310,488),IF(488&lt;=COUNTA(半紙!$B$11:$B$310)+COUNTA(条幅!$B$11:$B$310),INDEX(条幅!$E$11:$E$310,488-COUNTA(半紙!$B$11:$B$310)),IF(488&lt;=COUNTA(半紙!$B$11:$B$310)+COUNTA(条幅!$B$11:$B$310)+COUNTA(条幅4分の1!$B$11:$B$310),INDEX(条幅4分の1!$E$11:$E$310,488-COUNTA(半紙!$B$11:$B$310)-COUNTA(条幅!$B$11:$B$310)),""))))</f>
        <v/>
      </c>
      <c r="F493" s="38" t="str">
        <f>IF(IF(488&lt;=COUNTA(半紙!$B$11:$B$310),INDEX(半紙!$F$11:$F$310,488),IF(488&lt;=COUNTA(半紙!$B$11:$B$310)+COUNTA(条幅!$B$11:$B$310),INDEX(条幅!$F$11:$F$310,488-COUNTA(半紙!$B$11:$B$310)),IF(488&lt;=COUNTA(半紙!$B$11:$B$310)+COUNTA(条幅!$B$11:$B$310)+COUNTA(条幅4分の1!$B$11:$B$310),INDEX(条幅4分の1!$F$11:$F$310,488-COUNTA(半紙!$B$11:$B$310)-COUNTA(条幅!$B$11:$B$310)),"")))=0,"",IF(488&lt;=COUNTA(半紙!$B$11:$B$310),INDEX(半紙!$F$11:$F$310,488),IF(488&lt;=COUNTA(半紙!$B$11:$B$310)+COUNTA(条幅!$B$11:$B$310),INDEX(条幅!$F$11:$F$310,488-COUNTA(半紙!$B$11:$B$310)),IF(488&lt;=COUNTA(半紙!$B$11:$B$310)+COUNTA(条幅!$B$11:$B$310)+COUNTA(条幅4分の1!$B$11:$B$310),INDEX(条幅4分の1!$F$11:$F$310,488-COUNTA(半紙!$B$11:$B$310)-COUNTA(条幅!$B$11:$B$310)),""))))</f>
        <v/>
      </c>
      <c r="G493" s="38" t="str">
        <f>IF(IF(488&lt;=COUNTA(半紙!$B$11:$B$310),INDEX(半紙!$G$11:$G$310,488),IF(488&lt;=COUNTA(半紙!$B$11:$B$310)+COUNTA(条幅!$B$11:$B$310),INDEX(条幅!$G$11:$G$310,488-COUNTA(半紙!$B$11:$B$310)),IF(488&lt;=COUNTA(半紙!$B$11:$B$310)+COUNTA(条幅!$B$11:$B$310)+COUNTA(条幅4分の1!$B$11:$B$310),INDEX(条幅4分の1!$G$11:$G$310,488-COUNTA(半紙!$B$11:$B$310)-COUNTA(条幅!$B$11:$B$310)),"")))=0,"",IF(488&lt;=COUNTA(半紙!$B$11:$B$310),INDEX(半紙!$G$11:$G$310,488),IF(488&lt;=COUNTA(半紙!$B$11:$B$310)+COUNTA(条幅!$B$11:$B$310),INDEX(条幅!$G$11:$G$310,488-COUNTA(半紙!$B$11:$B$310)),IF(488&lt;=COUNTA(半紙!$B$11:$B$310)+COUNTA(条幅!$B$11:$B$310)+COUNTA(条幅4分の1!$B$11:$B$310),INDEX(条幅4分の1!$G$11:$G$310,488-COUNTA(半紙!$B$11:$B$310)-COUNTA(条幅!$B$11:$B$310)),""))))</f>
        <v/>
      </c>
      <c r="H493" s="38" t="str">
        <f>IF(IF(488&lt;=COUNTA(半紙!$B$11:$B$310),INDEX(半紙!$H$11:$H$310,488),IF(488&lt;=COUNTA(半紙!$B$11:$B$310)+COUNTA(条幅!$B$11:$B$310),INDEX(条幅!$H$11:$H$310,488-COUNTA(半紙!$B$11:$B$310)),IF(488&lt;=COUNTA(半紙!$B$11:$B$310)+COUNTA(条幅!$B$11:$B$310)+COUNTA(条幅4分の1!$B$11:$B$310),INDEX(条幅4分の1!$H$11:$H$310,488-COUNTA(半紙!$B$11:$B$310)-COUNTA(条幅!$B$11:$B$310)),"")))=0,"",IF(488&lt;=COUNTA(半紙!$B$11:$B$310),INDEX(半紙!$H$11:$H$310,488),IF(488&lt;=COUNTA(半紙!$B$11:$B$310)+COUNTA(条幅!$B$11:$B$310),INDEX(条幅!$H$11:$H$310,488-COUNTA(半紙!$B$11:$B$310)),IF(488&lt;=COUNTA(半紙!$B$11:$B$310)+COUNTA(条幅!$B$11:$B$310)+COUNTA(条幅4分の1!$B$11:$B$310),INDEX(条幅4分の1!$H$11:$H$310,488-COUNTA(半紙!$B$11:$B$310)-COUNTA(条幅!$B$11:$B$310)),""))))</f>
        <v/>
      </c>
      <c r="I493" s="38" t="str">
        <f>IF(IF(488&lt;=COUNTA(半紙!$B$11:$B$310),INDEX(半紙!$I$11:$I$310,488),IF(488&lt;=COUNTA(半紙!$B$11:$B$310)+COUNTA(条幅!$B$11:$B$310),INDEX(条幅!$I$11:$I$310,488-COUNTA(半紙!$B$11:$B$310)),IF(488&lt;=COUNTA(半紙!$B$11:$B$310)+COUNTA(条幅!$B$11:$B$310)+COUNTA(条幅4分の1!$B$11:$B$310),INDEX(条幅4分の1!$I$11:$I$310,488-COUNTA(半紙!$B$11:$B$310)-COUNTA(条幅!$B$11:$B$310)),"")))=0,"",IF(488&lt;=COUNTA(半紙!$B$11:$B$310),INDEX(半紙!$I$11:$I$310,488),IF(488&lt;=COUNTA(半紙!$B$11:$B$310)+COUNTA(条幅!$B$11:$B$310),INDEX(条幅!$I$11:$I$310,488-COUNTA(半紙!$B$11:$B$310)),IF(488&lt;=COUNTA(半紙!$B$11:$B$310)+COUNTA(条幅!$B$11:$B$310)+COUNTA(条幅4分の1!$B$11:$B$310),INDEX(条幅4分の1!$I$11:$I$310,488-COUNTA(半紙!$B$11:$B$310)-COUNTA(条幅!$B$11:$B$310)),""))))</f>
        <v/>
      </c>
      <c r="J493" s="38" t="str">
        <f>IF(IF(488&lt;=COUNTA(半紙!$B$11:$B$310),INDEX(半紙!$J$11:$J$310,488),IF(488&lt;=COUNTA(半紙!$B$11:$B$310)+COUNTA(条幅!$B$11:$B$310),INDEX(条幅!$J$11:$J$310,488-COUNTA(半紙!$B$11:$B$310)),IF(488&lt;=COUNTA(半紙!$B$11:$B$310)+COUNTA(条幅!$B$11:$B$310)+COUNTA(条幅4分の1!$B$11:$B$310),INDEX(条幅4分の1!$J$11:$J$310,488-COUNTA(半紙!$B$11:$B$310)-COUNTA(条幅!$B$11:$B$310)),"")))=0,"",IF(488&lt;=COUNTA(半紙!$B$11:$B$310),INDEX(半紙!$J$11:$J$310,488),IF(488&lt;=COUNTA(半紙!$B$11:$B$310)+COUNTA(条幅!$B$11:$B$310),INDEX(条幅!$J$11:$J$310,488-COUNTA(半紙!$B$11:$B$310)),IF(488&lt;=COUNTA(半紙!$B$11:$B$310)+COUNTA(条幅!$B$11:$B$310)+COUNTA(条幅4分の1!$B$11:$B$310),INDEX(条幅4分の1!$J$11:$J$310,488-COUNTA(半紙!$B$11:$B$310)-COUNTA(条幅!$B$11:$B$310)),""))))</f>
        <v/>
      </c>
      <c r="K493" s="38" t="str">
        <f>IF(IF(488&lt;=COUNTA(半紙!$B$11:$B$310),INDEX(半紙!$K$11:$K$310,488),IF(488&lt;=COUNTA(半紙!$B$11:$B$310)+COUNTA(条幅!$B$11:$B$310),INDEX(条幅!$K$11:$K$310,488-COUNTA(半紙!$B$11:$B$310)),IF(488&lt;=COUNTA(半紙!$B$11:$B$310)+COUNTA(条幅!$B$11:$B$310)+COUNTA(条幅4分の1!$B$11:$B$310),INDEX(条幅4分の1!$K$11:$K$310,488-COUNTA(半紙!$B$11:$B$310)-COUNTA(条幅!$B$11:$B$310)),"")))=0,"",IF(488&lt;=COUNTA(半紙!$B$11:$B$310),INDEX(半紙!$K$11:$K$310,488),IF(488&lt;=COUNTA(半紙!$B$11:$B$310)+COUNTA(条幅!$B$11:$B$310),INDEX(条幅!$K$11:$K$310,488-COUNTA(半紙!$B$11:$B$310)),IF(488&lt;=COUNTA(半紙!$B$11:$B$310)+COUNTA(条幅!$B$11:$B$310)+COUNTA(条幅4分の1!$B$11:$B$310),INDEX(条幅4分の1!$K$11:$K$310,488-COUNTA(半紙!$B$11:$B$310)-COUNTA(条幅!$B$11:$B$310)),""))))</f>
        <v/>
      </c>
      <c r="L493" s="48" t="str">
        <f>IF($B493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488))</f>
        <v/>
      </c>
    </row>
    <row r="494" spans="1:12" ht="15" customHeight="1">
      <c r="A494" s="37" t="str">
        <f>IF(489&lt;=COUNTA(半紙!$B$11:$B$310),"半紙",IF(489&lt;=COUNTA(半紙!$B$11:$B$310)+COUNTA(条幅!$B$11:$B$310),"条幅(半切)",IF(489&lt;=COUNTA(半紙!$B$11:$B$310)+COUNTA(条幅!$B$11:$B$310)+COUNTA(条幅4分の1!$B$11:$B$310),"条幅(1/4)","")))</f>
        <v/>
      </c>
      <c r="B494" s="38" t="str">
        <f>IF(IF(489&lt;=COUNTA(半紙!$B$11:$B$310),INDEX(半紙!$B$11:$B$310,489),IF(489&lt;=COUNTA(半紙!$B$11:$B$310)+COUNTA(条幅!$B$11:$B$310),INDEX(条幅!$B$11:$B$310,489-COUNTA(半紙!$B$11:$B$310)),IF(489&lt;=COUNTA(半紙!$B$11:$B$310)+COUNTA(条幅!$B$11:$B$310)+COUNTA(条幅4分の1!$B$11:$B$310),INDEX(条幅4分の1!$B$11:$B$310,489-COUNTA(半紙!$B$11:$B$310)-COUNTA(条幅!$B$11:$B$310)),"")))=0,"",IF(489&lt;=COUNTA(半紙!$B$11:$B$310),INDEX(半紙!$B$11:$B$310,489),IF(489&lt;=COUNTA(半紙!$B$11:$B$310)+COUNTA(条幅!$B$11:$B$310),INDEX(条幅!$B$11:$B$310,489-COUNTA(半紙!$B$11:$B$310)),IF(489&lt;=COUNTA(半紙!$B$11:$B$310)+COUNTA(条幅!$B$11:$B$310)+COUNTA(条幅4分の1!$B$11:$B$310),INDEX(条幅4分の1!$B$11:$B$310,489-COUNTA(半紙!$B$11:$B$310)-COUNTA(条幅!$B$11:$B$310)),""))))</f>
        <v/>
      </c>
      <c r="C494" s="38" t="str">
        <f>IF(IF(489&lt;=COUNTA(半紙!$B$11:$B$310),INDEX(半紙!$C$11:$C$310,489),IF(489&lt;=COUNTA(半紙!$B$11:$B$310)+COUNTA(条幅!$B$11:$B$310),INDEX(条幅!$C$11:$C$310,489-COUNTA(半紙!$B$11:$B$310)),IF(489&lt;=COUNTA(半紙!$B$11:$B$310)+COUNTA(条幅!$B$11:$B$310)+COUNTA(条幅4分の1!$B$11:$B$310),INDEX(条幅4分の1!$C$11:$C$310,489-COUNTA(半紙!$B$11:$B$310)-COUNTA(条幅!$B$11:$B$310)),"")))=0,"",IF(489&lt;=COUNTA(半紙!$B$11:$B$310),INDEX(半紙!$C$11:$C$310,489),IF(489&lt;=COUNTA(半紙!$B$11:$B$310)+COUNTA(条幅!$B$11:$B$310),INDEX(条幅!$C$11:$C$310,489-COUNTA(半紙!$B$11:$B$310)),IF(489&lt;=COUNTA(半紙!$B$11:$B$310)+COUNTA(条幅!$B$11:$B$310)+COUNTA(条幅4分の1!$B$11:$B$310),INDEX(条幅4分の1!$C$11:$C$310,489-COUNTA(半紙!$B$11:$B$310)-COUNTA(条幅!$B$11:$B$310)),""))))</f>
        <v/>
      </c>
      <c r="D494" s="38" t="str">
        <f>IF(IF(489&lt;=COUNTA(半紙!$B$11:$B$310),INDEX(半紙!$D$11:$D$310,489),IF(489&lt;=COUNTA(半紙!$B$11:$B$310)+COUNTA(条幅!$B$11:$B$310),INDEX(条幅!$D$11:$D$310,489-COUNTA(半紙!$B$11:$B$310)),IF(489&lt;=COUNTA(半紙!$B$11:$B$310)+COUNTA(条幅!$B$11:$B$310)+COUNTA(条幅4分の1!$B$11:$B$310),INDEX(条幅4分の1!$D$11:$D$310,489-COUNTA(半紙!$B$11:$B$310)-COUNTA(条幅!$B$11:$B$310)),"")))=0,"",IF(489&lt;=COUNTA(半紙!$B$11:$B$310),INDEX(半紙!$D$11:$D$310,489),IF(489&lt;=COUNTA(半紙!$B$11:$B$310)+COUNTA(条幅!$B$11:$B$310),INDEX(条幅!$D$11:$D$310,489-COUNTA(半紙!$B$11:$B$310)),IF(489&lt;=COUNTA(半紙!$B$11:$B$310)+COUNTA(条幅!$B$11:$B$310)+COUNTA(条幅4分の1!$B$11:$B$310),INDEX(条幅4分の1!$D$11:$D$310,489-COUNTA(半紙!$B$11:$B$310)-COUNTA(条幅!$B$11:$B$310)),""))))</f>
        <v/>
      </c>
      <c r="E494" s="38" t="str">
        <f>IF(IF(489&lt;=COUNTA(半紙!$B$11:$B$310),INDEX(半紙!$E$11:$E$310,489),IF(489&lt;=COUNTA(半紙!$B$11:$B$310)+COUNTA(条幅!$B$11:$B$310),INDEX(条幅!$E$11:$E$310,489-COUNTA(半紙!$B$11:$B$310)),IF(489&lt;=COUNTA(半紙!$B$11:$B$310)+COUNTA(条幅!$B$11:$B$310)+COUNTA(条幅4分の1!$B$11:$B$310),INDEX(条幅4分の1!$E$11:$E$310,489-COUNTA(半紙!$B$11:$B$310)-COUNTA(条幅!$B$11:$B$310)),"")))=0,"",IF(489&lt;=COUNTA(半紙!$B$11:$B$310),INDEX(半紙!$E$11:$E$310,489),IF(489&lt;=COUNTA(半紙!$B$11:$B$310)+COUNTA(条幅!$B$11:$B$310),INDEX(条幅!$E$11:$E$310,489-COUNTA(半紙!$B$11:$B$310)),IF(489&lt;=COUNTA(半紙!$B$11:$B$310)+COUNTA(条幅!$B$11:$B$310)+COUNTA(条幅4分の1!$B$11:$B$310),INDEX(条幅4分の1!$E$11:$E$310,489-COUNTA(半紙!$B$11:$B$310)-COUNTA(条幅!$B$11:$B$310)),""))))</f>
        <v/>
      </c>
      <c r="F494" s="38" t="str">
        <f>IF(IF(489&lt;=COUNTA(半紙!$B$11:$B$310),INDEX(半紙!$F$11:$F$310,489),IF(489&lt;=COUNTA(半紙!$B$11:$B$310)+COUNTA(条幅!$B$11:$B$310),INDEX(条幅!$F$11:$F$310,489-COUNTA(半紙!$B$11:$B$310)),IF(489&lt;=COUNTA(半紙!$B$11:$B$310)+COUNTA(条幅!$B$11:$B$310)+COUNTA(条幅4分の1!$B$11:$B$310),INDEX(条幅4分の1!$F$11:$F$310,489-COUNTA(半紙!$B$11:$B$310)-COUNTA(条幅!$B$11:$B$310)),"")))=0,"",IF(489&lt;=COUNTA(半紙!$B$11:$B$310),INDEX(半紙!$F$11:$F$310,489),IF(489&lt;=COUNTA(半紙!$B$11:$B$310)+COUNTA(条幅!$B$11:$B$310),INDEX(条幅!$F$11:$F$310,489-COUNTA(半紙!$B$11:$B$310)),IF(489&lt;=COUNTA(半紙!$B$11:$B$310)+COUNTA(条幅!$B$11:$B$310)+COUNTA(条幅4分の1!$B$11:$B$310),INDEX(条幅4分の1!$F$11:$F$310,489-COUNTA(半紙!$B$11:$B$310)-COUNTA(条幅!$B$11:$B$310)),""))))</f>
        <v/>
      </c>
      <c r="G494" s="38" t="str">
        <f>IF(IF(489&lt;=COUNTA(半紙!$B$11:$B$310),INDEX(半紙!$G$11:$G$310,489),IF(489&lt;=COUNTA(半紙!$B$11:$B$310)+COUNTA(条幅!$B$11:$B$310),INDEX(条幅!$G$11:$G$310,489-COUNTA(半紙!$B$11:$B$310)),IF(489&lt;=COUNTA(半紙!$B$11:$B$310)+COUNTA(条幅!$B$11:$B$310)+COUNTA(条幅4分の1!$B$11:$B$310),INDEX(条幅4分の1!$G$11:$G$310,489-COUNTA(半紙!$B$11:$B$310)-COUNTA(条幅!$B$11:$B$310)),"")))=0,"",IF(489&lt;=COUNTA(半紙!$B$11:$B$310),INDEX(半紙!$G$11:$G$310,489),IF(489&lt;=COUNTA(半紙!$B$11:$B$310)+COUNTA(条幅!$B$11:$B$310),INDEX(条幅!$G$11:$G$310,489-COUNTA(半紙!$B$11:$B$310)),IF(489&lt;=COUNTA(半紙!$B$11:$B$310)+COUNTA(条幅!$B$11:$B$310)+COUNTA(条幅4分の1!$B$11:$B$310),INDEX(条幅4分の1!$G$11:$G$310,489-COUNTA(半紙!$B$11:$B$310)-COUNTA(条幅!$B$11:$B$310)),""))))</f>
        <v/>
      </c>
      <c r="H494" s="38" t="str">
        <f>IF(IF(489&lt;=COUNTA(半紙!$B$11:$B$310),INDEX(半紙!$H$11:$H$310,489),IF(489&lt;=COUNTA(半紙!$B$11:$B$310)+COUNTA(条幅!$B$11:$B$310),INDEX(条幅!$H$11:$H$310,489-COUNTA(半紙!$B$11:$B$310)),IF(489&lt;=COUNTA(半紙!$B$11:$B$310)+COUNTA(条幅!$B$11:$B$310)+COUNTA(条幅4分の1!$B$11:$B$310),INDEX(条幅4分の1!$H$11:$H$310,489-COUNTA(半紙!$B$11:$B$310)-COUNTA(条幅!$B$11:$B$310)),"")))=0,"",IF(489&lt;=COUNTA(半紙!$B$11:$B$310),INDEX(半紙!$H$11:$H$310,489),IF(489&lt;=COUNTA(半紙!$B$11:$B$310)+COUNTA(条幅!$B$11:$B$310),INDEX(条幅!$H$11:$H$310,489-COUNTA(半紙!$B$11:$B$310)),IF(489&lt;=COUNTA(半紙!$B$11:$B$310)+COUNTA(条幅!$B$11:$B$310)+COUNTA(条幅4分の1!$B$11:$B$310),INDEX(条幅4分の1!$H$11:$H$310,489-COUNTA(半紙!$B$11:$B$310)-COUNTA(条幅!$B$11:$B$310)),""))))</f>
        <v/>
      </c>
      <c r="I494" s="38" t="str">
        <f>IF(IF(489&lt;=COUNTA(半紙!$B$11:$B$310),INDEX(半紙!$I$11:$I$310,489),IF(489&lt;=COUNTA(半紙!$B$11:$B$310)+COUNTA(条幅!$B$11:$B$310),INDEX(条幅!$I$11:$I$310,489-COUNTA(半紙!$B$11:$B$310)),IF(489&lt;=COUNTA(半紙!$B$11:$B$310)+COUNTA(条幅!$B$11:$B$310)+COUNTA(条幅4分の1!$B$11:$B$310),INDEX(条幅4分の1!$I$11:$I$310,489-COUNTA(半紙!$B$11:$B$310)-COUNTA(条幅!$B$11:$B$310)),"")))=0,"",IF(489&lt;=COUNTA(半紙!$B$11:$B$310),INDEX(半紙!$I$11:$I$310,489),IF(489&lt;=COUNTA(半紙!$B$11:$B$310)+COUNTA(条幅!$B$11:$B$310),INDEX(条幅!$I$11:$I$310,489-COUNTA(半紙!$B$11:$B$310)),IF(489&lt;=COUNTA(半紙!$B$11:$B$310)+COUNTA(条幅!$B$11:$B$310)+COUNTA(条幅4分の1!$B$11:$B$310),INDEX(条幅4分の1!$I$11:$I$310,489-COUNTA(半紙!$B$11:$B$310)-COUNTA(条幅!$B$11:$B$310)),""))))</f>
        <v/>
      </c>
      <c r="J494" s="38" t="str">
        <f>IF(IF(489&lt;=COUNTA(半紙!$B$11:$B$310),INDEX(半紙!$J$11:$J$310,489),IF(489&lt;=COUNTA(半紙!$B$11:$B$310)+COUNTA(条幅!$B$11:$B$310),INDEX(条幅!$J$11:$J$310,489-COUNTA(半紙!$B$11:$B$310)),IF(489&lt;=COUNTA(半紙!$B$11:$B$310)+COUNTA(条幅!$B$11:$B$310)+COUNTA(条幅4分の1!$B$11:$B$310),INDEX(条幅4分の1!$J$11:$J$310,489-COUNTA(半紙!$B$11:$B$310)-COUNTA(条幅!$B$11:$B$310)),"")))=0,"",IF(489&lt;=COUNTA(半紙!$B$11:$B$310),INDEX(半紙!$J$11:$J$310,489),IF(489&lt;=COUNTA(半紙!$B$11:$B$310)+COUNTA(条幅!$B$11:$B$310),INDEX(条幅!$J$11:$J$310,489-COUNTA(半紙!$B$11:$B$310)),IF(489&lt;=COUNTA(半紙!$B$11:$B$310)+COUNTA(条幅!$B$11:$B$310)+COUNTA(条幅4分の1!$B$11:$B$310),INDEX(条幅4分の1!$J$11:$J$310,489-COUNTA(半紙!$B$11:$B$310)-COUNTA(条幅!$B$11:$B$310)),""))))</f>
        <v/>
      </c>
      <c r="K494" s="38" t="str">
        <f>IF(IF(489&lt;=COUNTA(半紙!$B$11:$B$310),INDEX(半紙!$K$11:$K$310,489),IF(489&lt;=COUNTA(半紙!$B$11:$B$310)+COUNTA(条幅!$B$11:$B$310),INDEX(条幅!$K$11:$K$310,489-COUNTA(半紙!$B$11:$B$310)),IF(489&lt;=COUNTA(半紙!$B$11:$B$310)+COUNTA(条幅!$B$11:$B$310)+COUNTA(条幅4分の1!$B$11:$B$310),INDEX(条幅4分の1!$K$11:$K$310,489-COUNTA(半紙!$B$11:$B$310)-COUNTA(条幅!$B$11:$B$310)),"")))=0,"",IF(489&lt;=COUNTA(半紙!$B$11:$B$310),INDEX(半紙!$K$11:$K$310,489),IF(489&lt;=COUNTA(半紙!$B$11:$B$310)+COUNTA(条幅!$B$11:$B$310),INDEX(条幅!$K$11:$K$310,489-COUNTA(半紙!$B$11:$B$310)),IF(489&lt;=COUNTA(半紙!$B$11:$B$310)+COUNTA(条幅!$B$11:$B$310)+COUNTA(条幅4分の1!$B$11:$B$310),INDEX(条幅4分の1!$K$11:$K$310,489-COUNTA(半紙!$B$11:$B$310)-COUNTA(条幅!$B$11:$B$310)),""))))</f>
        <v/>
      </c>
      <c r="L494" s="48" t="str">
        <f>IF($B494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489))</f>
        <v/>
      </c>
    </row>
    <row r="495" spans="1:12" ht="15" customHeight="1">
      <c r="A495" s="37" t="str">
        <f>IF(490&lt;=COUNTA(半紙!$B$11:$B$310),"半紙",IF(490&lt;=COUNTA(半紙!$B$11:$B$310)+COUNTA(条幅!$B$11:$B$310),"条幅(半切)",IF(490&lt;=COUNTA(半紙!$B$11:$B$310)+COUNTA(条幅!$B$11:$B$310)+COUNTA(条幅4分の1!$B$11:$B$310),"条幅(1/4)","")))</f>
        <v/>
      </c>
      <c r="B495" s="38" t="str">
        <f>IF(IF(490&lt;=COUNTA(半紙!$B$11:$B$310),INDEX(半紙!$B$11:$B$310,490),IF(490&lt;=COUNTA(半紙!$B$11:$B$310)+COUNTA(条幅!$B$11:$B$310),INDEX(条幅!$B$11:$B$310,490-COUNTA(半紙!$B$11:$B$310)),IF(490&lt;=COUNTA(半紙!$B$11:$B$310)+COUNTA(条幅!$B$11:$B$310)+COUNTA(条幅4分の1!$B$11:$B$310),INDEX(条幅4分の1!$B$11:$B$310,490-COUNTA(半紙!$B$11:$B$310)-COUNTA(条幅!$B$11:$B$310)),"")))=0,"",IF(490&lt;=COUNTA(半紙!$B$11:$B$310),INDEX(半紙!$B$11:$B$310,490),IF(490&lt;=COUNTA(半紙!$B$11:$B$310)+COUNTA(条幅!$B$11:$B$310),INDEX(条幅!$B$11:$B$310,490-COUNTA(半紙!$B$11:$B$310)),IF(490&lt;=COUNTA(半紙!$B$11:$B$310)+COUNTA(条幅!$B$11:$B$310)+COUNTA(条幅4分の1!$B$11:$B$310),INDEX(条幅4分の1!$B$11:$B$310,490-COUNTA(半紙!$B$11:$B$310)-COUNTA(条幅!$B$11:$B$310)),""))))</f>
        <v/>
      </c>
      <c r="C495" s="38" t="str">
        <f>IF(IF(490&lt;=COUNTA(半紙!$B$11:$B$310),INDEX(半紙!$C$11:$C$310,490),IF(490&lt;=COUNTA(半紙!$B$11:$B$310)+COUNTA(条幅!$B$11:$B$310),INDEX(条幅!$C$11:$C$310,490-COUNTA(半紙!$B$11:$B$310)),IF(490&lt;=COUNTA(半紙!$B$11:$B$310)+COUNTA(条幅!$B$11:$B$310)+COUNTA(条幅4分の1!$B$11:$B$310),INDEX(条幅4分の1!$C$11:$C$310,490-COUNTA(半紙!$B$11:$B$310)-COUNTA(条幅!$B$11:$B$310)),"")))=0,"",IF(490&lt;=COUNTA(半紙!$B$11:$B$310),INDEX(半紙!$C$11:$C$310,490),IF(490&lt;=COUNTA(半紙!$B$11:$B$310)+COUNTA(条幅!$B$11:$B$310),INDEX(条幅!$C$11:$C$310,490-COUNTA(半紙!$B$11:$B$310)),IF(490&lt;=COUNTA(半紙!$B$11:$B$310)+COUNTA(条幅!$B$11:$B$310)+COUNTA(条幅4分の1!$B$11:$B$310),INDEX(条幅4分の1!$C$11:$C$310,490-COUNTA(半紙!$B$11:$B$310)-COUNTA(条幅!$B$11:$B$310)),""))))</f>
        <v/>
      </c>
      <c r="D495" s="38" t="str">
        <f>IF(IF(490&lt;=COUNTA(半紙!$B$11:$B$310),INDEX(半紙!$D$11:$D$310,490),IF(490&lt;=COUNTA(半紙!$B$11:$B$310)+COUNTA(条幅!$B$11:$B$310),INDEX(条幅!$D$11:$D$310,490-COUNTA(半紙!$B$11:$B$310)),IF(490&lt;=COUNTA(半紙!$B$11:$B$310)+COUNTA(条幅!$B$11:$B$310)+COUNTA(条幅4分の1!$B$11:$B$310),INDEX(条幅4分の1!$D$11:$D$310,490-COUNTA(半紙!$B$11:$B$310)-COUNTA(条幅!$B$11:$B$310)),"")))=0,"",IF(490&lt;=COUNTA(半紙!$B$11:$B$310),INDEX(半紙!$D$11:$D$310,490),IF(490&lt;=COUNTA(半紙!$B$11:$B$310)+COUNTA(条幅!$B$11:$B$310),INDEX(条幅!$D$11:$D$310,490-COUNTA(半紙!$B$11:$B$310)),IF(490&lt;=COUNTA(半紙!$B$11:$B$310)+COUNTA(条幅!$B$11:$B$310)+COUNTA(条幅4分の1!$B$11:$B$310),INDEX(条幅4分の1!$D$11:$D$310,490-COUNTA(半紙!$B$11:$B$310)-COUNTA(条幅!$B$11:$B$310)),""))))</f>
        <v/>
      </c>
      <c r="E495" s="38" t="str">
        <f>IF(IF(490&lt;=COUNTA(半紙!$B$11:$B$310),INDEX(半紙!$E$11:$E$310,490),IF(490&lt;=COUNTA(半紙!$B$11:$B$310)+COUNTA(条幅!$B$11:$B$310),INDEX(条幅!$E$11:$E$310,490-COUNTA(半紙!$B$11:$B$310)),IF(490&lt;=COUNTA(半紙!$B$11:$B$310)+COUNTA(条幅!$B$11:$B$310)+COUNTA(条幅4分の1!$B$11:$B$310),INDEX(条幅4分の1!$E$11:$E$310,490-COUNTA(半紙!$B$11:$B$310)-COUNTA(条幅!$B$11:$B$310)),"")))=0,"",IF(490&lt;=COUNTA(半紙!$B$11:$B$310),INDEX(半紙!$E$11:$E$310,490),IF(490&lt;=COUNTA(半紙!$B$11:$B$310)+COUNTA(条幅!$B$11:$B$310),INDEX(条幅!$E$11:$E$310,490-COUNTA(半紙!$B$11:$B$310)),IF(490&lt;=COUNTA(半紙!$B$11:$B$310)+COUNTA(条幅!$B$11:$B$310)+COUNTA(条幅4分の1!$B$11:$B$310),INDEX(条幅4分の1!$E$11:$E$310,490-COUNTA(半紙!$B$11:$B$310)-COUNTA(条幅!$B$11:$B$310)),""))))</f>
        <v/>
      </c>
      <c r="F495" s="38" t="str">
        <f>IF(IF(490&lt;=COUNTA(半紙!$B$11:$B$310),INDEX(半紙!$F$11:$F$310,490),IF(490&lt;=COUNTA(半紙!$B$11:$B$310)+COUNTA(条幅!$B$11:$B$310),INDEX(条幅!$F$11:$F$310,490-COUNTA(半紙!$B$11:$B$310)),IF(490&lt;=COUNTA(半紙!$B$11:$B$310)+COUNTA(条幅!$B$11:$B$310)+COUNTA(条幅4分の1!$B$11:$B$310),INDEX(条幅4分の1!$F$11:$F$310,490-COUNTA(半紙!$B$11:$B$310)-COUNTA(条幅!$B$11:$B$310)),"")))=0,"",IF(490&lt;=COUNTA(半紙!$B$11:$B$310),INDEX(半紙!$F$11:$F$310,490),IF(490&lt;=COUNTA(半紙!$B$11:$B$310)+COUNTA(条幅!$B$11:$B$310),INDEX(条幅!$F$11:$F$310,490-COUNTA(半紙!$B$11:$B$310)),IF(490&lt;=COUNTA(半紙!$B$11:$B$310)+COUNTA(条幅!$B$11:$B$310)+COUNTA(条幅4分の1!$B$11:$B$310),INDEX(条幅4分の1!$F$11:$F$310,490-COUNTA(半紙!$B$11:$B$310)-COUNTA(条幅!$B$11:$B$310)),""))))</f>
        <v/>
      </c>
      <c r="G495" s="38" t="str">
        <f>IF(IF(490&lt;=COUNTA(半紙!$B$11:$B$310),INDEX(半紙!$G$11:$G$310,490),IF(490&lt;=COUNTA(半紙!$B$11:$B$310)+COUNTA(条幅!$B$11:$B$310),INDEX(条幅!$G$11:$G$310,490-COUNTA(半紙!$B$11:$B$310)),IF(490&lt;=COUNTA(半紙!$B$11:$B$310)+COUNTA(条幅!$B$11:$B$310)+COUNTA(条幅4分の1!$B$11:$B$310),INDEX(条幅4分の1!$G$11:$G$310,490-COUNTA(半紙!$B$11:$B$310)-COUNTA(条幅!$B$11:$B$310)),"")))=0,"",IF(490&lt;=COUNTA(半紙!$B$11:$B$310),INDEX(半紙!$G$11:$G$310,490),IF(490&lt;=COUNTA(半紙!$B$11:$B$310)+COUNTA(条幅!$B$11:$B$310),INDEX(条幅!$G$11:$G$310,490-COUNTA(半紙!$B$11:$B$310)),IF(490&lt;=COUNTA(半紙!$B$11:$B$310)+COUNTA(条幅!$B$11:$B$310)+COUNTA(条幅4分の1!$B$11:$B$310),INDEX(条幅4分の1!$G$11:$G$310,490-COUNTA(半紙!$B$11:$B$310)-COUNTA(条幅!$B$11:$B$310)),""))))</f>
        <v/>
      </c>
      <c r="H495" s="38" t="str">
        <f>IF(IF(490&lt;=COUNTA(半紙!$B$11:$B$310),INDEX(半紙!$H$11:$H$310,490),IF(490&lt;=COUNTA(半紙!$B$11:$B$310)+COUNTA(条幅!$B$11:$B$310),INDEX(条幅!$H$11:$H$310,490-COUNTA(半紙!$B$11:$B$310)),IF(490&lt;=COUNTA(半紙!$B$11:$B$310)+COUNTA(条幅!$B$11:$B$310)+COUNTA(条幅4分の1!$B$11:$B$310),INDEX(条幅4分の1!$H$11:$H$310,490-COUNTA(半紙!$B$11:$B$310)-COUNTA(条幅!$B$11:$B$310)),"")))=0,"",IF(490&lt;=COUNTA(半紙!$B$11:$B$310),INDEX(半紙!$H$11:$H$310,490),IF(490&lt;=COUNTA(半紙!$B$11:$B$310)+COUNTA(条幅!$B$11:$B$310),INDEX(条幅!$H$11:$H$310,490-COUNTA(半紙!$B$11:$B$310)),IF(490&lt;=COUNTA(半紙!$B$11:$B$310)+COUNTA(条幅!$B$11:$B$310)+COUNTA(条幅4分の1!$B$11:$B$310),INDEX(条幅4分の1!$H$11:$H$310,490-COUNTA(半紙!$B$11:$B$310)-COUNTA(条幅!$B$11:$B$310)),""))))</f>
        <v/>
      </c>
      <c r="I495" s="38" t="str">
        <f>IF(IF(490&lt;=COUNTA(半紙!$B$11:$B$310),INDEX(半紙!$I$11:$I$310,490),IF(490&lt;=COUNTA(半紙!$B$11:$B$310)+COUNTA(条幅!$B$11:$B$310),INDEX(条幅!$I$11:$I$310,490-COUNTA(半紙!$B$11:$B$310)),IF(490&lt;=COUNTA(半紙!$B$11:$B$310)+COUNTA(条幅!$B$11:$B$310)+COUNTA(条幅4分の1!$B$11:$B$310),INDEX(条幅4分の1!$I$11:$I$310,490-COUNTA(半紙!$B$11:$B$310)-COUNTA(条幅!$B$11:$B$310)),"")))=0,"",IF(490&lt;=COUNTA(半紙!$B$11:$B$310),INDEX(半紙!$I$11:$I$310,490),IF(490&lt;=COUNTA(半紙!$B$11:$B$310)+COUNTA(条幅!$B$11:$B$310),INDEX(条幅!$I$11:$I$310,490-COUNTA(半紙!$B$11:$B$310)),IF(490&lt;=COUNTA(半紙!$B$11:$B$310)+COUNTA(条幅!$B$11:$B$310)+COUNTA(条幅4分の1!$B$11:$B$310),INDEX(条幅4分の1!$I$11:$I$310,490-COUNTA(半紙!$B$11:$B$310)-COUNTA(条幅!$B$11:$B$310)),""))))</f>
        <v/>
      </c>
      <c r="J495" s="38" t="str">
        <f>IF(IF(490&lt;=COUNTA(半紙!$B$11:$B$310),INDEX(半紙!$J$11:$J$310,490),IF(490&lt;=COUNTA(半紙!$B$11:$B$310)+COUNTA(条幅!$B$11:$B$310),INDEX(条幅!$J$11:$J$310,490-COUNTA(半紙!$B$11:$B$310)),IF(490&lt;=COUNTA(半紙!$B$11:$B$310)+COUNTA(条幅!$B$11:$B$310)+COUNTA(条幅4分の1!$B$11:$B$310),INDEX(条幅4分の1!$J$11:$J$310,490-COUNTA(半紙!$B$11:$B$310)-COUNTA(条幅!$B$11:$B$310)),"")))=0,"",IF(490&lt;=COUNTA(半紙!$B$11:$B$310),INDEX(半紙!$J$11:$J$310,490),IF(490&lt;=COUNTA(半紙!$B$11:$B$310)+COUNTA(条幅!$B$11:$B$310),INDEX(条幅!$J$11:$J$310,490-COUNTA(半紙!$B$11:$B$310)),IF(490&lt;=COUNTA(半紙!$B$11:$B$310)+COUNTA(条幅!$B$11:$B$310)+COUNTA(条幅4分の1!$B$11:$B$310),INDEX(条幅4分の1!$J$11:$J$310,490-COUNTA(半紙!$B$11:$B$310)-COUNTA(条幅!$B$11:$B$310)),""))))</f>
        <v/>
      </c>
      <c r="K495" s="38" t="str">
        <f>IF(IF(490&lt;=COUNTA(半紙!$B$11:$B$310),INDEX(半紙!$K$11:$K$310,490),IF(490&lt;=COUNTA(半紙!$B$11:$B$310)+COUNTA(条幅!$B$11:$B$310),INDEX(条幅!$K$11:$K$310,490-COUNTA(半紙!$B$11:$B$310)),IF(490&lt;=COUNTA(半紙!$B$11:$B$310)+COUNTA(条幅!$B$11:$B$310)+COUNTA(条幅4分の1!$B$11:$B$310),INDEX(条幅4分の1!$K$11:$K$310,490-COUNTA(半紙!$B$11:$B$310)-COUNTA(条幅!$B$11:$B$310)),"")))=0,"",IF(490&lt;=COUNTA(半紙!$B$11:$B$310),INDEX(半紙!$K$11:$K$310,490),IF(490&lt;=COUNTA(半紙!$B$11:$B$310)+COUNTA(条幅!$B$11:$B$310),INDEX(条幅!$K$11:$K$310,490-COUNTA(半紙!$B$11:$B$310)),IF(490&lt;=COUNTA(半紙!$B$11:$B$310)+COUNTA(条幅!$B$11:$B$310)+COUNTA(条幅4分の1!$B$11:$B$310),INDEX(条幅4分の1!$K$11:$K$310,490-COUNTA(半紙!$B$11:$B$310)-COUNTA(条幅!$B$11:$B$310)),""))))</f>
        <v/>
      </c>
      <c r="L495" s="48" t="str">
        <f>IF($B495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490))</f>
        <v/>
      </c>
    </row>
    <row r="496" spans="1:12" ht="15" customHeight="1">
      <c r="A496" s="37" t="str">
        <f>IF(491&lt;=COUNTA(半紙!$B$11:$B$310),"半紙",IF(491&lt;=COUNTA(半紙!$B$11:$B$310)+COUNTA(条幅!$B$11:$B$310),"条幅(半切)",IF(491&lt;=COUNTA(半紙!$B$11:$B$310)+COUNTA(条幅!$B$11:$B$310)+COUNTA(条幅4分の1!$B$11:$B$310),"条幅(1/4)","")))</f>
        <v/>
      </c>
      <c r="B496" s="38" t="str">
        <f>IF(IF(491&lt;=COUNTA(半紙!$B$11:$B$310),INDEX(半紙!$B$11:$B$310,491),IF(491&lt;=COUNTA(半紙!$B$11:$B$310)+COUNTA(条幅!$B$11:$B$310),INDEX(条幅!$B$11:$B$310,491-COUNTA(半紙!$B$11:$B$310)),IF(491&lt;=COUNTA(半紙!$B$11:$B$310)+COUNTA(条幅!$B$11:$B$310)+COUNTA(条幅4分の1!$B$11:$B$310),INDEX(条幅4分の1!$B$11:$B$310,491-COUNTA(半紙!$B$11:$B$310)-COUNTA(条幅!$B$11:$B$310)),"")))=0,"",IF(491&lt;=COUNTA(半紙!$B$11:$B$310),INDEX(半紙!$B$11:$B$310,491),IF(491&lt;=COUNTA(半紙!$B$11:$B$310)+COUNTA(条幅!$B$11:$B$310),INDEX(条幅!$B$11:$B$310,491-COUNTA(半紙!$B$11:$B$310)),IF(491&lt;=COUNTA(半紙!$B$11:$B$310)+COUNTA(条幅!$B$11:$B$310)+COUNTA(条幅4分の1!$B$11:$B$310),INDEX(条幅4分の1!$B$11:$B$310,491-COUNTA(半紙!$B$11:$B$310)-COUNTA(条幅!$B$11:$B$310)),""))))</f>
        <v/>
      </c>
      <c r="C496" s="38" t="str">
        <f>IF(IF(491&lt;=COUNTA(半紙!$B$11:$B$310),INDEX(半紙!$C$11:$C$310,491),IF(491&lt;=COUNTA(半紙!$B$11:$B$310)+COUNTA(条幅!$B$11:$B$310),INDEX(条幅!$C$11:$C$310,491-COUNTA(半紙!$B$11:$B$310)),IF(491&lt;=COUNTA(半紙!$B$11:$B$310)+COUNTA(条幅!$B$11:$B$310)+COUNTA(条幅4分の1!$B$11:$B$310),INDEX(条幅4分の1!$C$11:$C$310,491-COUNTA(半紙!$B$11:$B$310)-COUNTA(条幅!$B$11:$B$310)),"")))=0,"",IF(491&lt;=COUNTA(半紙!$B$11:$B$310),INDEX(半紙!$C$11:$C$310,491),IF(491&lt;=COUNTA(半紙!$B$11:$B$310)+COUNTA(条幅!$B$11:$B$310),INDEX(条幅!$C$11:$C$310,491-COUNTA(半紙!$B$11:$B$310)),IF(491&lt;=COUNTA(半紙!$B$11:$B$310)+COUNTA(条幅!$B$11:$B$310)+COUNTA(条幅4分の1!$B$11:$B$310),INDEX(条幅4分の1!$C$11:$C$310,491-COUNTA(半紙!$B$11:$B$310)-COUNTA(条幅!$B$11:$B$310)),""))))</f>
        <v/>
      </c>
      <c r="D496" s="38" t="str">
        <f>IF(IF(491&lt;=COUNTA(半紙!$B$11:$B$310),INDEX(半紙!$D$11:$D$310,491),IF(491&lt;=COUNTA(半紙!$B$11:$B$310)+COUNTA(条幅!$B$11:$B$310),INDEX(条幅!$D$11:$D$310,491-COUNTA(半紙!$B$11:$B$310)),IF(491&lt;=COUNTA(半紙!$B$11:$B$310)+COUNTA(条幅!$B$11:$B$310)+COUNTA(条幅4分の1!$B$11:$B$310),INDEX(条幅4分の1!$D$11:$D$310,491-COUNTA(半紙!$B$11:$B$310)-COUNTA(条幅!$B$11:$B$310)),"")))=0,"",IF(491&lt;=COUNTA(半紙!$B$11:$B$310),INDEX(半紙!$D$11:$D$310,491),IF(491&lt;=COUNTA(半紙!$B$11:$B$310)+COUNTA(条幅!$B$11:$B$310),INDEX(条幅!$D$11:$D$310,491-COUNTA(半紙!$B$11:$B$310)),IF(491&lt;=COUNTA(半紙!$B$11:$B$310)+COUNTA(条幅!$B$11:$B$310)+COUNTA(条幅4分の1!$B$11:$B$310),INDEX(条幅4分の1!$D$11:$D$310,491-COUNTA(半紙!$B$11:$B$310)-COUNTA(条幅!$B$11:$B$310)),""))))</f>
        <v/>
      </c>
      <c r="E496" s="38" t="str">
        <f>IF(IF(491&lt;=COUNTA(半紙!$B$11:$B$310),INDEX(半紙!$E$11:$E$310,491),IF(491&lt;=COUNTA(半紙!$B$11:$B$310)+COUNTA(条幅!$B$11:$B$310),INDEX(条幅!$E$11:$E$310,491-COUNTA(半紙!$B$11:$B$310)),IF(491&lt;=COUNTA(半紙!$B$11:$B$310)+COUNTA(条幅!$B$11:$B$310)+COUNTA(条幅4分の1!$B$11:$B$310),INDEX(条幅4分の1!$E$11:$E$310,491-COUNTA(半紙!$B$11:$B$310)-COUNTA(条幅!$B$11:$B$310)),"")))=0,"",IF(491&lt;=COUNTA(半紙!$B$11:$B$310),INDEX(半紙!$E$11:$E$310,491),IF(491&lt;=COUNTA(半紙!$B$11:$B$310)+COUNTA(条幅!$B$11:$B$310),INDEX(条幅!$E$11:$E$310,491-COUNTA(半紙!$B$11:$B$310)),IF(491&lt;=COUNTA(半紙!$B$11:$B$310)+COUNTA(条幅!$B$11:$B$310)+COUNTA(条幅4分の1!$B$11:$B$310),INDEX(条幅4分の1!$E$11:$E$310,491-COUNTA(半紙!$B$11:$B$310)-COUNTA(条幅!$B$11:$B$310)),""))))</f>
        <v/>
      </c>
      <c r="F496" s="38" t="str">
        <f>IF(IF(491&lt;=COUNTA(半紙!$B$11:$B$310),INDEX(半紙!$F$11:$F$310,491),IF(491&lt;=COUNTA(半紙!$B$11:$B$310)+COUNTA(条幅!$B$11:$B$310),INDEX(条幅!$F$11:$F$310,491-COUNTA(半紙!$B$11:$B$310)),IF(491&lt;=COUNTA(半紙!$B$11:$B$310)+COUNTA(条幅!$B$11:$B$310)+COUNTA(条幅4分の1!$B$11:$B$310),INDEX(条幅4分の1!$F$11:$F$310,491-COUNTA(半紙!$B$11:$B$310)-COUNTA(条幅!$B$11:$B$310)),"")))=0,"",IF(491&lt;=COUNTA(半紙!$B$11:$B$310),INDEX(半紙!$F$11:$F$310,491),IF(491&lt;=COUNTA(半紙!$B$11:$B$310)+COUNTA(条幅!$B$11:$B$310),INDEX(条幅!$F$11:$F$310,491-COUNTA(半紙!$B$11:$B$310)),IF(491&lt;=COUNTA(半紙!$B$11:$B$310)+COUNTA(条幅!$B$11:$B$310)+COUNTA(条幅4分の1!$B$11:$B$310),INDEX(条幅4分の1!$F$11:$F$310,491-COUNTA(半紙!$B$11:$B$310)-COUNTA(条幅!$B$11:$B$310)),""))))</f>
        <v/>
      </c>
      <c r="G496" s="38" t="str">
        <f>IF(IF(491&lt;=COUNTA(半紙!$B$11:$B$310),INDEX(半紙!$G$11:$G$310,491),IF(491&lt;=COUNTA(半紙!$B$11:$B$310)+COUNTA(条幅!$B$11:$B$310),INDEX(条幅!$G$11:$G$310,491-COUNTA(半紙!$B$11:$B$310)),IF(491&lt;=COUNTA(半紙!$B$11:$B$310)+COUNTA(条幅!$B$11:$B$310)+COUNTA(条幅4分の1!$B$11:$B$310),INDEX(条幅4分の1!$G$11:$G$310,491-COUNTA(半紙!$B$11:$B$310)-COUNTA(条幅!$B$11:$B$310)),"")))=0,"",IF(491&lt;=COUNTA(半紙!$B$11:$B$310),INDEX(半紙!$G$11:$G$310,491),IF(491&lt;=COUNTA(半紙!$B$11:$B$310)+COUNTA(条幅!$B$11:$B$310),INDEX(条幅!$G$11:$G$310,491-COUNTA(半紙!$B$11:$B$310)),IF(491&lt;=COUNTA(半紙!$B$11:$B$310)+COUNTA(条幅!$B$11:$B$310)+COUNTA(条幅4分の1!$B$11:$B$310),INDEX(条幅4分の1!$G$11:$G$310,491-COUNTA(半紙!$B$11:$B$310)-COUNTA(条幅!$B$11:$B$310)),""))))</f>
        <v/>
      </c>
      <c r="H496" s="38" t="str">
        <f>IF(IF(491&lt;=COUNTA(半紙!$B$11:$B$310),INDEX(半紙!$H$11:$H$310,491),IF(491&lt;=COUNTA(半紙!$B$11:$B$310)+COUNTA(条幅!$B$11:$B$310),INDEX(条幅!$H$11:$H$310,491-COUNTA(半紙!$B$11:$B$310)),IF(491&lt;=COUNTA(半紙!$B$11:$B$310)+COUNTA(条幅!$B$11:$B$310)+COUNTA(条幅4分の1!$B$11:$B$310),INDEX(条幅4分の1!$H$11:$H$310,491-COUNTA(半紙!$B$11:$B$310)-COUNTA(条幅!$B$11:$B$310)),"")))=0,"",IF(491&lt;=COUNTA(半紙!$B$11:$B$310),INDEX(半紙!$H$11:$H$310,491),IF(491&lt;=COUNTA(半紙!$B$11:$B$310)+COUNTA(条幅!$B$11:$B$310),INDEX(条幅!$H$11:$H$310,491-COUNTA(半紙!$B$11:$B$310)),IF(491&lt;=COUNTA(半紙!$B$11:$B$310)+COUNTA(条幅!$B$11:$B$310)+COUNTA(条幅4分の1!$B$11:$B$310),INDEX(条幅4分の1!$H$11:$H$310,491-COUNTA(半紙!$B$11:$B$310)-COUNTA(条幅!$B$11:$B$310)),""))))</f>
        <v/>
      </c>
      <c r="I496" s="38" t="str">
        <f>IF(IF(491&lt;=COUNTA(半紙!$B$11:$B$310),INDEX(半紙!$I$11:$I$310,491),IF(491&lt;=COUNTA(半紙!$B$11:$B$310)+COUNTA(条幅!$B$11:$B$310),INDEX(条幅!$I$11:$I$310,491-COUNTA(半紙!$B$11:$B$310)),IF(491&lt;=COUNTA(半紙!$B$11:$B$310)+COUNTA(条幅!$B$11:$B$310)+COUNTA(条幅4分の1!$B$11:$B$310),INDEX(条幅4分の1!$I$11:$I$310,491-COUNTA(半紙!$B$11:$B$310)-COUNTA(条幅!$B$11:$B$310)),"")))=0,"",IF(491&lt;=COUNTA(半紙!$B$11:$B$310),INDEX(半紙!$I$11:$I$310,491),IF(491&lt;=COUNTA(半紙!$B$11:$B$310)+COUNTA(条幅!$B$11:$B$310),INDEX(条幅!$I$11:$I$310,491-COUNTA(半紙!$B$11:$B$310)),IF(491&lt;=COUNTA(半紙!$B$11:$B$310)+COUNTA(条幅!$B$11:$B$310)+COUNTA(条幅4分の1!$B$11:$B$310),INDEX(条幅4分の1!$I$11:$I$310,491-COUNTA(半紙!$B$11:$B$310)-COUNTA(条幅!$B$11:$B$310)),""))))</f>
        <v/>
      </c>
      <c r="J496" s="38" t="str">
        <f>IF(IF(491&lt;=COUNTA(半紙!$B$11:$B$310),INDEX(半紙!$J$11:$J$310,491),IF(491&lt;=COUNTA(半紙!$B$11:$B$310)+COUNTA(条幅!$B$11:$B$310),INDEX(条幅!$J$11:$J$310,491-COUNTA(半紙!$B$11:$B$310)),IF(491&lt;=COUNTA(半紙!$B$11:$B$310)+COUNTA(条幅!$B$11:$B$310)+COUNTA(条幅4分の1!$B$11:$B$310),INDEX(条幅4分の1!$J$11:$J$310,491-COUNTA(半紙!$B$11:$B$310)-COUNTA(条幅!$B$11:$B$310)),"")))=0,"",IF(491&lt;=COUNTA(半紙!$B$11:$B$310),INDEX(半紙!$J$11:$J$310,491),IF(491&lt;=COUNTA(半紙!$B$11:$B$310)+COUNTA(条幅!$B$11:$B$310),INDEX(条幅!$J$11:$J$310,491-COUNTA(半紙!$B$11:$B$310)),IF(491&lt;=COUNTA(半紙!$B$11:$B$310)+COUNTA(条幅!$B$11:$B$310)+COUNTA(条幅4分の1!$B$11:$B$310),INDEX(条幅4分の1!$J$11:$J$310,491-COUNTA(半紙!$B$11:$B$310)-COUNTA(条幅!$B$11:$B$310)),""))))</f>
        <v/>
      </c>
      <c r="K496" s="38" t="str">
        <f>IF(IF(491&lt;=COUNTA(半紙!$B$11:$B$310),INDEX(半紙!$K$11:$K$310,491),IF(491&lt;=COUNTA(半紙!$B$11:$B$310)+COUNTA(条幅!$B$11:$B$310),INDEX(条幅!$K$11:$K$310,491-COUNTA(半紙!$B$11:$B$310)),IF(491&lt;=COUNTA(半紙!$B$11:$B$310)+COUNTA(条幅!$B$11:$B$310)+COUNTA(条幅4分の1!$B$11:$B$310),INDEX(条幅4分の1!$K$11:$K$310,491-COUNTA(半紙!$B$11:$B$310)-COUNTA(条幅!$B$11:$B$310)),"")))=0,"",IF(491&lt;=COUNTA(半紙!$B$11:$B$310),INDEX(半紙!$K$11:$K$310,491),IF(491&lt;=COUNTA(半紙!$B$11:$B$310)+COUNTA(条幅!$B$11:$B$310),INDEX(条幅!$K$11:$K$310,491-COUNTA(半紙!$B$11:$B$310)),IF(491&lt;=COUNTA(半紙!$B$11:$B$310)+COUNTA(条幅!$B$11:$B$310)+COUNTA(条幅4分の1!$B$11:$B$310),INDEX(条幅4分の1!$K$11:$K$310,491-COUNTA(半紙!$B$11:$B$310)-COUNTA(条幅!$B$11:$B$310)),""))))</f>
        <v/>
      </c>
      <c r="L496" s="48" t="str">
        <f>IF($B496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491))</f>
        <v/>
      </c>
    </row>
    <row r="497" spans="1:12" ht="15" customHeight="1">
      <c r="A497" s="37" t="str">
        <f>IF(492&lt;=COUNTA(半紙!$B$11:$B$310),"半紙",IF(492&lt;=COUNTA(半紙!$B$11:$B$310)+COUNTA(条幅!$B$11:$B$310),"条幅(半切)",IF(492&lt;=COUNTA(半紙!$B$11:$B$310)+COUNTA(条幅!$B$11:$B$310)+COUNTA(条幅4分の1!$B$11:$B$310),"条幅(1/4)","")))</f>
        <v/>
      </c>
      <c r="B497" s="38" t="str">
        <f>IF(IF(492&lt;=COUNTA(半紙!$B$11:$B$310),INDEX(半紙!$B$11:$B$310,492),IF(492&lt;=COUNTA(半紙!$B$11:$B$310)+COUNTA(条幅!$B$11:$B$310),INDEX(条幅!$B$11:$B$310,492-COUNTA(半紙!$B$11:$B$310)),IF(492&lt;=COUNTA(半紙!$B$11:$B$310)+COUNTA(条幅!$B$11:$B$310)+COUNTA(条幅4分の1!$B$11:$B$310),INDEX(条幅4分の1!$B$11:$B$310,492-COUNTA(半紙!$B$11:$B$310)-COUNTA(条幅!$B$11:$B$310)),"")))=0,"",IF(492&lt;=COUNTA(半紙!$B$11:$B$310),INDEX(半紙!$B$11:$B$310,492),IF(492&lt;=COUNTA(半紙!$B$11:$B$310)+COUNTA(条幅!$B$11:$B$310),INDEX(条幅!$B$11:$B$310,492-COUNTA(半紙!$B$11:$B$310)),IF(492&lt;=COUNTA(半紙!$B$11:$B$310)+COUNTA(条幅!$B$11:$B$310)+COUNTA(条幅4分の1!$B$11:$B$310),INDEX(条幅4分の1!$B$11:$B$310,492-COUNTA(半紙!$B$11:$B$310)-COUNTA(条幅!$B$11:$B$310)),""))))</f>
        <v/>
      </c>
      <c r="C497" s="38" t="str">
        <f>IF(IF(492&lt;=COUNTA(半紙!$B$11:$B$310),INDEX(半紙!$C$11:$C$310,492),IF(492&lt;=COUNTA(半紙!$B$11:$B$310)+COUNTA(条幅!$B$11:$B$310),INDEX(条幅!$C$11:$C$310,492-COUNTA(半紙!$B$11:$B$310)),IF(492&lt;=COUNTA(半紙!$B$11:$B$310)+COUNTA(条幅!$B$11:$B$310)+COUNTA(条幅4分の1!$B$11:$B$310),INDEX(条幅4分の1!$C$11:$C$310,492-COUNTA(半紙!$B$11:$B$310)-COUNTA(条幅!$B$11:$B$310)),"")))=0,"",IF(492&lt;=COUNTA(半紙!$B$11:$B$310),INDEX(半紙!$C$11:$C$310,492),IF(492&lt;=COUNTA(半紙!$B$11:$B$310)+COUNTA(条幅!$B$11:$B$310),INDEX(条幅!$C$11:$C$310,492-COUNTA(半紙!$B$11:$B$310)),IF(492&lt;=COUNTA(半紙!$B$11:$B$310)+COUNTA(条幅!$B$11:$B$310)+COUNTA(条幅4分の1!$B$11:$B$310),INDEX(条幅4分の1!$C$11:$C$310,492-COUNTA(半紙!$B$11:$B$310)-COUNTA(条幅!$B$11:$B$310)),""))))</f>
        <v/>
      </c>
      <c r="D497" s="38" t="str">
        <f>IF(IF(492&lt;=COUNTA(半紙!$B$11:$B$310),INDEX(半紙!$D$11:$D$310,492),IF(492&lt;=COUNTA(半紙!$B$11:$B$310)+COUNTA(条幅!$B$11:$B$310),INDEX(条幅!$D$11:$D$310,492-COUNTA(半紙!$B$11:$B$310)),IF(492&lt;=COUNTA(半紙!$B$11:$B$310)+COUNTA(条幅!$B$11:$B$310)+COUNTA(条幅4分の1!$B$11:$B$310),INDEX(条幅4分の1!$D$11:$D$310,492-COUNTA(半紙!$B$11:$B$310)-COUNTA(条幅!$B$11:$B$310)),"")))=0,"",IF(492&lt;=COUNTA(半紙!$B$11:$B$310),INDEX(半紙!$D$11:$D$310,492),IF(492&lt;=COUNTA(半紙!$B$11:$B$310)+COUNTA(条幅!$B$11:$B$310),INDEX(条幅!$D$11:$D$310,492-COUNTA(半紙!$B$11:$B$310)),IF(492&lt;=COUNTA(半紙!$B$11:$B$310)+COUNTA(条幅!$B$11:$B$310)+COUNTA(条幅4分の1!$B$11:$B$310),INDEX(条幅4分の1!$D$11:$D$310,492-COUNTA(半紙!$B$11:$B$310)-COUNTA(条幅!$B$11:$B$310)),""))))</f>
        <v/>
      </c>
      <c r="E497" s="38" t="str">
        <f>IF(IF(492&lt;=COUNTA(半紙!$B$11:$B$310),INDEX(半紙!$E$11:$E$310,492),IF(492&lt;=COUNTA(半紙!$B$11:$B$310)+COUNTA(条幅!$B$11:$B$310),INDEX(条幅!$E$11:$E$310,492-COUNTA(半紙!$B$11:$B$310)),IF(492&lt;=COUNTA(半紙!$B$11:$B$310)+COUNTA(条幅!$B$11:$B$310)+COUNTA(条幅4分の1!$B$11:$B$310),INDEX(条幅4分の1!$E$11:$E$310,492-COUNTA(半紙!$B$11:$B$310)-COUNTA(条幅!$B$11:$B$310)),"")))=0,"",IF(492&lt;=COUNTA(半紙!$B$11:$B$310),INDEX(半紙!$E$11:$E$310,492),IF(492&lt;=COUNTA(半紙!$B$11:$B$310)+COUNTA(条幅!$B$11:$B$310),INDEX(条幅!$E$11:$E$310,492-COUNTA(半紙!$B$11:$B$310)),IF(492&lt;=COUNTA(半紙!$B$11:$B$310)+COUNTA(条幅!$B$11:$B$310)+COUNTA(条幅4分の1!$B$11:$B$310),INDEX(条幅4分の1!$E$11:$E$310,492-COUNTA(半紙!$B$11:$B$310)-COUNTA(条幅!$B$11:$B$310)),""))))</f>
        <v/>
      </c>
      <c r="F497" s="38" t="str">
        <f>IF(IF(492&lt;=COUNTA(半紙!$B$11:$B$310),INDEX(半紙!$F$11:$F$310,492),IF(492&lt;=COUNTA(半紙!$B$11:$B$310)+COUNTA(条幅!$B$11:$B$310),INDEX(条幅!$F$11:$F$310,492-COUNTA(半紙!$B$11:$B$310)),IF(492&lt;=COUNTA(半紙!$B$11:$B$310)+COUNTA(条幅!$B$11:$B$310)+COUNTA(条幅4分の1!$B$11:$B$310),INDEX(条幅4分の1!$F$11:$F$310,492-COUNTA(半紙!$B$11:$B$310)-COUNTA(条幅!$B$11:$B$310)),"")))=0,"",IF(492&lt;=COUNTA(半紙!$B$11:$B$310),INDEX(半紙!$F$11:$F$310,492),IF(492&lt;=COUNTA(半紙!$B$11:$B$310)+COUNTA(条幅!$B$11:$B$310),INDEX(条幅!$F$11:$F$310,492-COUNTA(半紙!$B$11:$B$310)),IF(492&lt;=COUNTA(半紙!$B$11:$B$310)+COUNTA(条幅!$B$11:$B$310)+COUNTA(条幅4分の1!$B$11:$B$310),INDEX(条幅4分の1!$F$11:$F$310,492-COUNTA(半紙!$B$11:$B$310)-COUNTA(条幅!$B$11:$B$310)),""))))</f>
        <v/>
      </c>
      <c r="G497" s="38" t="str">
        <f>IF(IF(492&lt;=COUNTA(半紙!$B$11:$B$310),INDEX(半紙!$G$11:$G$310,492),IF(492&lt;=COUNTA(半紙!$B$11:$B$310)+COUNTA(条幅!$B$11:$B$310),INDEX(条幅!$G$11:$G$310,492-COUNTA(半紙!$B$11:$B$310)),IF(492&lt;=COUNTA(半紙!$B$11:$B$310)+COUNTA(条幅!$B$11:$B$310)+COUNTA(条幅4分の1!$B$11:$B$310),INDEX(条幅4分の1!$G$11:$G$310,492-COUNTA(半紙!$B$11:$B$310)-COUNTA(条幅!$B$11:$B$310)),"")))=0,"",IF(492&lt;=COUNTA(半紙!$B$11:$B$310),INDEX(半紙!$G$11:$G$310,492),IF(492&lt;=COUNTA(半紙!$B$11:$B$310)+COUNTA(条幅!$B$11:$B$310),INDEX(条幅!$G$11:$G$310,492-COUNTA(半紙!$B$11:$B$310)),IF(492&lt;=COUNTA(半紙!$B$11:$B$310)+COUNTA(条幅!$B$11:$B$310)+COUNTA(条幅4分の1!$B$11:$B$310),INDEX(条幅4分の1!$G$11:$G$310,492-COUNTA(半紙!$B$11:$B$310)-COUNTA(条幅!$B$11:$B$310)),""))))</f>
        <v/>
      </c>
      <c r="H497" s="38" t="str">
        <f>IF(IF(492&lt;=COUNTA(半紙!$B$11:$B$310),INDEX(半紙!$H$11:$H$310,492),IF(492&lt;=COUNTA(半紙!$B$11:$B$310)+COUNTA(条幅!$B$11:$B$310),INDEX(条幅!$H$11:$H$310,492-COUNTA(半紙!$B$11:$B$310)),IF(492&lt;=COUNTA(半紙!$B$11:$B$310)+COUNTA(条幅!$B$11:$B$310)+COUNTA(条幅4分の1!$B$11:$B$310),INDEX(条幅4分の1!$H$11:$H$310,492-COUNTA(半紙!$B$11:$B$310)-COUNTA(条幅!$B$11:$B$310)),"")))=0,"",IF(492&lt;=COUNTA(半紙!$B$11:$B$310),INDEX(半紙!$H$11:$H$310,492),IF(492&lt;=COUNTA(半紙!$B$11:$B$310)+COUNTA(条幅!$B$11:$B$310),INDEX(条幅!$H$11:$H$310,492-COUNTA(半紙!$B$11:$B$310)),IF(492&lt;=COUNTA(半紙!$B$11:$B$310)+COUNTA(条幅!$B$11:$B$310)+COUNTA(条幅4分の1!$B$11:$B$310),INDEX(条幅4分の1!$H$11:$H$310,492-COUNTA(半紙!$B$11:$B$310)-COUNTA(条幅!$B$11:$B$310)),""))))</f>
        <v/>
      </c>
      <c r="I497" s="38" t="str">
        <f>IF(IF(492&lt;=COUNTA(半紙!$B$11:$B$310),INDEX(半紙!$I$11:$I$310,492),IF(492&lt;=COUNTA(半紙!$B$11:$B$310)+COUNTA(条幅!$B$11:$B$310),INDEX(条幅!$I$11:$I$310,492-COUNTA(半紙!$B$11:$B$310)),IF(492&lt;=COUNTA(半紙!$B$11:$B$310)+COUNTA(条幅!$B$11:$B$310)+COUNTA(条幅4分の1!$B$11:$B$310),INDEX(条幅4分の1!$I$11:$I$310,492-COUNTA(半紙!$B$11:$B$310)-COUNTA(条幅!$B$11:$B$310)),"")))=0,"",IF(492&lt;=COUNTA(半紙!$B$11:$B$310),INDEX(半紙!$I$11:$I$310,492),IF(492&lt;=COUNTA(半紙!$B$11:$B$310)+COUNTA(条幅!$B$11:$B$310),INDEX(条幅!$I$11:$I$310,492-COUNTA(半紙!$B$11:$B$310)),IF(492&lt;=COUNTA(半紙!$B$11:$B$310)+COUNTA(条幅!$B$11:$B$310)+COUNTA(条幅4分の1!$B$11:$B$310),INDEX(条幅4分の1!$I$11:$I$310,492-COUNTA(半紙!$B$11:$B$310)-COUNTA(条幅!$B$11:$B$310)),""))))</f>
        <v/>
      </c>
      <c r="J497" s="38" t="str">
        <f>IF(IF(492&lt;=COUNTA(半紙!$B$11:$B$310),INDEX(半紙!$J$11:$J$310,492),IF(492&lt;=COUNTA(半紙!$B$11:$B$310)+COUNTA(条幅!$B$11:$B$310),INDEX(条幅!$J$11:$J$310,492-COUNTA(半紙!$B$11:$B$310)),IF(492&lt;=COUNTA(半紙!$B$11:$B$310)+COUNTA(条幅!$B$11:$B$310)+COUNTA(条幅4分の1!$B$11:$B$310),INDEX(条幅4分の1!$J$11:$J$310,492-COUNTA(半紙!$B$11:$B$310)-COUNTA(条幅!$B$11:$B$310)),"")))=0,"",IF(492&lt;=COUNTA(半紙!$B$11:$B$310),INDEX(半紙!$J$11:$J$310,492),IF(492&lt;=COUNTA(半紙!$B$11:$B$310)+COUNTA(条幅!$B$11:$B$310),INDEX(条幅!$J$11:$J$310,492-COUNTA(半紙!$B$11:$B$310)),IF(492&lt;=COUNTA(半紙!$B$11:$B$310)+COUNTA(条幅!$B$11:$B$310)+COUNTA(条幅4分の1!$B$11:$B$310),INDEX(条幅4分の1!$J$11:$J$310,492-COUNTA(半紙!$B$11:$B$310)-COUNTA(条幅!$B$11:$B$310)),""))))</f>
        <v/>
      </c>
      <c r="K497" s="38" t="str">
        <f>IF(IF(492&lt;=COUNTA(半紙!$B$11:$B$310),INDEX(半紙!$K$11:$K$310,492),IF(492&lt;=COUNTA(半紙!$B$11:$B$310)+COUNTA(条幅!$B$11:$B$310),INDEX(条幅!$K$11:$K$310,492-COUNTA(半紙!$B$11:$B$310)),IF(492&lt;=COUNTA(半紙!$B$11:$B$310)+COUNTA(条幅!$B$11:$B$310)+COUNTA(条幅4分の1!$B$11:$B$310),INDEX(条幅4分の1!$K$11:$K$310,492-COUNTA(半紙!$B$11:$B$310)-COUNTA(条幅!$B$11:$B$310)),"")))=0,"",IF(492&lt;=COUNTA(半紙!$B$11:$B$310),INDEX(半紙!$K$11:$K$310,492),IF(492&lt;=COUNTA(半紙!$B$11:$B$310)+COUNTA(条幅!$B$11:$B$310),INDEX(条幅!$K$11:$K$310,492-COUNTA(半紙!$B$11:$B$310)),IF(492&lt;=COUNTA(半紙!$B$11:$B$310)+COUNTA(条幅!$B$11:$B$310)+COUNTA(条幅4分の1!$B$11:$B$310),INDEX(条幅4分の1!$K$11:$K$310,492-COUNTA(半紙!$B$11:$B$310)-COUNTA(条幅!$B$11:$B$310)),""))))</f>
        <v/>
      </c>
      <c r="L497" s="48" t="str">
        <f>IF($B497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492))</f>
        <v/>
      </c>
    </row>
    <row r="498" spans="1:12" ht="15" customHeight="1">
      <c r="A498" s="37" t="str">
        <f>IF(493&lt;=COUNTA(半紙!$B$11:$B$310),"半紙",IF(493&lt;=COUNTA(半紙!$B$11:$B$310)+COUNTA(条幅!$B$11:$B$310),"条幅(半切)",IF(493&lt;=COUNTA(半紙!$B$11:$B$310)+COUNTA(条幅!$B$11:$B$310)+COUNTA(条幅4分の1!$B$11:$B$310),"条幅(1/4)","")))</f>
        <v/>
      </c>
      <c r="B498" s="38" t="str">
        <f>IF(IF(493&lt;=COUNTA(半紙!$B$11:$B$310),INDEX(半紙!$B$11:$B$310,493),IF(493&lt;=COUNTA(半紙!$B$11:$B$310)+COUNTA(条幅!$B$11:$B$310),INDEX(条幅!$B$11:$B$310,493-COUNTA(半紙!$B$11:$B$310)),IF(493&lt;=COUNTA(半紙!$B$11:$B$310)+COUNTA(条幅!$B$11:$B$310)+COUNTA(条幅4分の1!$B$11:$B$310),INDEX(条幅4分の1!$B$11:$B$310,493-COUNTA(半紙!$B$11:$B$310)-COUNTA(条幅!$B$11:$B$310)),"")))=0,"",IF(493&lt;=COUNTA(半紙!$B$11:$B$310),INDEX(半紙!$B$11:$B$310,493),IF(493&lt;=COUNTA(半紙!$B$11:$B$310)+COUNTA(条幅!$B$11:$B$310),INDEX(条幅!$B$11:$B$310,493-COUNTA(半紙!$B$11:$B$310)),IF(493&lt;=COUNTA(半紙!$B$11:$B$310)+COUNTA(条幅!$B$11:$B$310)+COUNTA(条幅4分の1!$B$11:$B$310),INDEX(条幅4分の1!$B$11:$B$310,493-COUNTA(半紙!$B$11:$B$310)-COUNTA(条幅!$B$11:$B$310)),""))))</f>
        <v/>
      </c>
      <c r="C498" s="38" t="str">
        <f>IF(IF(493&lt;=COUNTA(半紙!$B$11:$B$310),INDEX(半紙!$C$11:$C$310,493),IF(493&lt;=COUNTA(半紙!$B$11:$B$310)+COUNTA(条幅!$B$11:$B$310),INDEX(条幅!$C$11:$C$310,493-COUNTA(半紙!$B$11:$B$310)),IF(493&lt;=COUNTA(半紙!$B$11:$B$310)+COUNTA(条幅!$B$11:$B$310)+COUNTA(条幅4分の1!$B$11:$B$310),INDEX(条幅4分の1!$C$11:$C$310,493-COUNTA(半紙!$B$11:$B$310)-COUNTA(条幅!$B$11:$B$310)),"")))=0,"",IF(493&lt;=COUNTA(半紙!$B$11:$B$310),INDEX(半紙!$C$11:$C$310,493),IF(493&lt;=COUNTA(半紙!$B$11:$B$310)+COUNTA(条幅!$B$11:$B$310),INDEX(条幅!$C$11:$C$310,493-COUNTA(半紙!$B$11:$B$310)),IF(493&lt;=COUNTA(半紙!$B$11:$B$310)+COUNTA(条幅!$B$11:$B$310)+COUNTA(条幅4分の1!$B$11:$B$310),INDEX(条幅4分の1!$C$11:$C$310,493-COUNTA(半紙!$B$11:$B$310)-COUNTA(条幅!$B$11:$B$310)),""))))</f>
        <v/>
      </c>
      <c r="D498" s="38" t="str">
        <f>IF(IF(493&lt;=COUNTA(半紙!$B$11:$B$310),INDEX(半紙!$D$11:$D$310,493),IF(493&lt;=COUNTA(半紙!$B$11:$B$310)+COUNTA(条幅!$B$11:$B$310),INDEX(条幅!$D$11:$D$310,493-COUNTA(半紙!$B$11:$B$310)),IF(493&lt;=COUNTA(半紙!$B$11:$B$310)+COUNTA(条幅!$B$11:$B$310)+COUNTA(条幅4分の1!$B$11:$B$310),INDEX(条幅4分の1!$D$11:$D$310,493-COUNTA(半紙!$B$11:$B$310)-COUNTA(条幅!$B$11:$B$310)),"")))=0,"",IF(493&lt;=COUNTA(半紙!$B$11:$B$310),INDEX(半紙!$D$11:$D$310,493),IF(493&lt;=COUNTA(半紙!$B$11:$B$310)+COUNTA(条幅!$B$11:$B$310),INDEX(条幅!$D$11:$D$310,493-COUNTA(半紙!$B$11:$B$310)),IF(493&lt;=COUNTA(半紙!$B$11:$B$310)+COUNTA(条幅!$B$11:$B$310)+COUNTA(条幅4分の1!$B$11:$B$310),INDEX(条幅4分の1!$D$11:$D$310,493-COUNTA(半紙!$B$11:$B$310)-COUNTA(条幅!$B$11:$B$310)),""))))</f>
        <v/>
      </c>
      <c r="E498" s="38" t="str">
        <f>IF(IF(493&lt;=COUNTA(半紙!$B$11:$B$310),INDEX(半紙!$E$11:$E$310,493),IF(493&lt;=COUNTA(半紙!$B$11:$B$310)+COUNTA(条幅!$B$11:$B$310),INDEX(条幅!$E$11:$E$310,493-COUNTA(半紙!$B$11:$B$310)),IF(493&lt;=COUNTA(半紙!$B$11:$B$310)+COUNTA(条幅!$B$11:$B$310)+COUNTA(条幅4分の1!$B$11:$B$310),INDEX(条幅4分の1!$E$11:$E$310,493-COUNTA(半紙!$B$11:$B$310)-COUNTA(条幅!$B$11:$B$310)),"")))=0,"",IF(493&lt;=COUNTA(半紙!$B$11:$B$310),INDEX(半紙!$E$11:$E$310,493),IF(493&lt;=COUNTA(半紙!$B$11:$B$310)+COUNTA(条幅!$B$11:$B$310),INDEX(条幅!$E$11:$E$310,493-COUNTA(半紙!$B$11:$B$310)),IF(493&lt;=COUNTA(半紙!$B$11:$B$310)+COUNTA(条幅!$B$11:$B$310)+COUNTA(条幅4分の1!$B$11:$B$310),INDEX(条幅4分の1!$E$11:$E$310,493-COUNTA(半紙!$B$11:$B$310)-COUNTA(条幅!$B$11:$B$310)),""))))</f>
        <v/>
      </c>
      <c r="F498" s="38" t="str">
        <f>IF(IF(493&lt;=COUNTA(半紙!$B$11:$B$310),INDEX(半紙!$F$11:$F$310,493),IF(493&lt;=COUNTA(半紙!$B$11:$B$310)+COUNTA(条幅!$B$11:$B$310),INDEX(条幅!$F$11:$F$310,493-COUNTA(半紙!$B$11:$B$310)),IF(493&lt;=COUNTA(半紙!$B$11:$B$310)+COUNTA(条幅!$B$11:$B$310)+COUNTA(条幅4分の1!$B$11:$B$310),INDEX(条幅4分の1!$F$11:$F$310,493-COUNTA(半紙!$B$11:$B$310)-COUNTA(条幅!$B$11:$B$310)),"")))=0,"",IF(493&lt;=COUNTA(半紙!$B$11:$B$310),INDEX(半紙!$F$11:$F$310,493),IF(493&lt;=COUNTA(半紙!$B$11:$B$310)+COUNTA(条幅!$B$11:$B$310),INDEX(条幅!$F$11:$F$310,493-COUNTA(半紙!$B$11:$B$310)),IF(493&lt;=COUNTA(半紙!$B$11:$B$310)+COUNTA(条幅!$B$11:$B$310)+COUNTA(条幅4分の1!$B$11:$B$310),INDEX(条幅4分の1!$F$11:$F$310,493-COUNTA(半紙!$B$11:$B$310)-COUNTA(条幅!$B$11:$B$310)),""))))</f>
        <v/>
      </c>
      <c r="G498" s="38" t="str">
        <f>IF(IF(493&lt;=COUNTA(半紙!$B$11:$B$310),INDEX(半紙!$G$11:$G$310,493),IF(493&lt;=COUNTA(半紙!$B$11:$B$310)+COUNTA(条幅!$B$11:$B$310),INDEX(条幅!$G$11:$G$310,493-COUNTA(半紙!$B$11:$B$310)),IF(493&lt;=COUNTA(半紙!$B$11:$B$310)+COUNTA(条幅!$B$11:$B$310)+COUNTA(条幅4分の1!$B$11:$B$310),INDEX(条幅4分の1!$G$11:$G$310,493-COUNTA(半紙!$B$11:$B$310)-COUNTA(条幅!$B$11:$B$310)),"")))=0,"",IF(493&lt;=COUNTA(半紙!$B$11:$B$310),INDEX(半紙!$G$11:$G$310,493),IF(493&lt;=COUNTA(半紙!$B$11:$B$310)+COUNTA(条幅!$B$11:$B$310),INDEX(条幅!$G$11:$G$310,493-COUNTA(半紙!$B$11:$B$310)),IF(493&lt;=COUNTA(半紙!$B$11:$B$310)+COUNTA(条幅!$B$11:$B$310)+COUNTA(条幅4分の1!$B$11:$B$310),INDEX(条幅4分の1!$G$11:$G$310,493-COUNTA(半紙!$B$11:$B$310)-COUNTA(条幅!$B$11:$B$310)),""))))</f>
        <v/>
      </c>
      <c r="H498" s="38" t="str">
        <f>IF(IF(493&lt;=COUNTA(半紙!$B$11:$B$310),INDEX(半紙!$H$11:$H$310,493),IF(493&lt;=COUNTA(半紙!$B$11:$B$310)+COUNTA(条幅!$B$11:$B$310),INDEX(条幅!$H$11:$H$310,493-COUNTA(半紙!$B$11:$B$310)),IF(493&lt;=COUNTA(半紙!$B$11:$B$310)+COUNTA(条幅!$B$11:$B$310)+COUNTA(条幅4分の1!$B$11:$B$310),INDEX(条幅4分の1!$H$11:$H$310,493-COUNTA(半紙!$B$11:$B$310)-COUNTA(条幅!$B$11:$B$310)),"")))=0,"",IF(493&lt;=COUNTA(半紙!$B$11:$B$310),INDEX(半紙!$H$11:$H$310,493),IF(493&lt;=COUNTA(半紙!$B$11:$B$310)+COUNTA(条幅!$B$11:$B$310),INDEX(条幅!$H$11:$H$310,493-COUNTA(半紙!$B$11:$B$310)),IF(493&lt;=COUNTA(半紙!$B$11:$B$310)+COUNTA(条幅!$B$11:$B$310)+COUNTA(条幅4分の1!$B$11:$B$310),INDEX(条幅4分の1!$H$11:$H$310,493-COUNTA(半紙!$B$11:$B$310)-COUNTA(条幅!$B$11:$B$310)),""))))</f>
        <v/>
      </c>
      <c r="I498" s="38" t="str">
        <f>IF(IF(493&lt;=COUNTA(半紙!$B$11:$B$310),INDEX(半紙!$I$11:$I$310,493),IF(493&lt;=COUNTA(半紙!$B$11:$B$310)+COUNTA(条幅!$B$11:$B$310),INDEX(条幅!$I$11:$I$310,493-COUNTA(半紙!$B$11:$B$310)),IF(493&lt;=COUNTA(半紙!$B$11:$B$310)+COUNTA(条幅!$B$11:$B$310)+COUNTA(条幅4分の1!$B$11:$B$310),INDEX(条幅4分の1!$I$11:$I$310,493-COUNTA(半紙!$B$11:$B$310)-COUNTA(条幅!$B$11:$B$310)),"")))=0,"",IF(493&lt;=COUNTA(半紙!$B$11:$B$310),INDEX(半紙!$I$11:$I$310,493),IF(493&lt;=COUNTA(半紙!$B$11:$B$310)+COUNTA(条幅!$B$11:$B$310),INDEX(条幅!$I$11:$I$310,493-COUNTA(半紙!$B$11:$B$310)),IF(493&lt;=COUNTA(半紙!$B$11:$B$310)+COUNTA(条幅!$B$11:$B$310)+COUNTA(条幅4分の1!$B$11:$B$310),INDEX(条幅4分の1!$I$11:$I$310,493-COUNTA(半紙!$B$11:$B$310)-COUNTA(条幅!$B$11:$B$310)),""))))</f>
        <v/>
      </c>
      <c r="J498" s="38" t="str">
        <f>IF(IF(493&lt;=COUNTA(半紙!$B$11:$B$310),INDEX(半紙!$J$11:$J$310,493),IF(493&lt;=COUNTA(半紙!$B$11:$B$310)+COUNTA(条幅!$B$11:$B$310),INDEX(条幅!$J$11:$J$310,493-COUNTA(半紙!$B$11:$B$310)),IF(493&lt;=COUNTA(半紙!$B$11:$B$310)+COUNTA(条幅!$B$11:$B$310)+COUNTA(条幅4分の1!$B$11:$B$310),INDEX(条幅4分の1!$J$11:$J$310,493-COUNTA(半紙!$B$11:$B$310)-COUNTA(条幅!$B$11:$B$310)),"")))=0,"",IF(493&lt;=COUNTA(半紙!$B$11:$B$310),INDEX(半紙!$J$11:$J$310,493),IF(493&lt;=COUNTA(半紙!$B$11:$B$310)+COUNTA(条幅!$B$11:$B$310),INDEX(条幅!$J$11:$J$310,493-COUNTA(半紙!$B$11:$B$310)),IF(493&lt;=COUNTA(半紙!$B$11:$B$310)+COUNTA(条幅!$B$11:$B$310)+COUNTA(条幅4分の1!$B$11:$B$310),INDEX(条幅4分の1!$J$11:$J$310,493-COUNTA(半紙!$B$11:$B$310)-COUNTA(条幅!$B$11:$B$310)),""))))</f>
        <v/>
      </c>
      <c r="K498" s="38" t="str">
        <f>IF(IF(493&lt;=COUNTA(半紙!$B$11:$B$310),INDEX(半紙!$K$11:$K$310,493),IF(493&lt;=COUNTA(半紙!$B$11:$B$310)+COUNTA(条幅!$B$11:$B$310),INDEX(条幅!$K$11:$K$310,493-COUNTA(半紙!$B$11:$B$310)),IF(493&lt;=COUNTA(半紙!$B$11:$B$310)+COUNTA(条幅!$B$11:$B$310)+COUNTA(条幅4分の1!$B$11:$B$310),INDEX(条幅4分の1!$K$11:$K$310,493-COUNTA(半紙!$B$11:$B$310)-COUNTA(条幅!$B$11:$B$310)),"")))=0,"",IF(493&lt;=COUNTA(半紙!$B$11:$B$310),INDEX(半紙!$K$11:$K$310,493),IF(493&lt;=COUNTA(半紙!$B$11:$B$310)+COUNTA(条幅!$B$11:$B$310),INDEX(条幅!$K$11:$K$310,493-COUNTA(半紙!$B$11:$B$310)),IF(493&lt;=COUNTA(半紙!$B$11:$B$310)+COUNTA(条幅!$B$11:$B$310)+COUNTA(条幅4分の1!$B$11:$B$310),INDEX(条幅4分の1!$K$11:$K$310,493-COUNTA(半紙!$B$11:$B$310)-COUNTA(条幅!$B$11:$B$310)),""))))</f>
        <v/>
      </c>
      <c r="L498" s="48" t="str">
        <f>IF($B498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493))</f>
        <v/>
      </c>
    </row>
    <row r="499" spans="1:12" ht="15" customHeight="1">
      <c r="A499" s="37" t="str">
        <f>IF(494&lt;=COUNTA(半紙!$B$11:$B$310),"半紙",IF(494&lt;=COUNTA(半紙!$B$11:$B$310)+COUNTA(条幅!$B$11:$B$310),"条幅(半切)",IF(494&lt;=COUNTA(半紙!$B$11:$B$310)+COUNTA(条幅!$B$11:$B$310)+COUNTA(条幅4分の1!$B$11:$B$310),"条幅(1/4)","")))</f>
        <v/>
      </c>
      <c r="B499" s="38" t="str">
        <f>IF(IF(494&lt;=COUNTA(半紙!$B$11:$B$310),INDEX(半紙!$B$11:$B$310,494),IF(494&lt;=COUNTA(半紙!$B$11:$B$310)+COUNTA(条幅!$B$11:$B$310),INDEX(条幅!$B$11:$B$310,494-COUNTA(半紙!$B$11:$B$310)),IF(494&lt;=COUNTA(半紙!$B$11:$B$310)+COUNTA(条幅!$B$11:$B$310)+COUNTA(条幅4分の1!$B$11:$B$310),INDEX(条幅4分の1!$B$11:$B$310,494-COUNTA(半紙!$B$11:$B$310)-COUNTA(条幅!$B$11:$B$310)),"")))=0,"",IF(494&lt;=COUNTA(半紙!$B$11:$B$310),INDEX(半紙!$B$11:$B$310,494),IF(494&lt;=COUNTA(半紙!$B$11:$B$310)+COUNTA(条幅!$B$11:$B$310),INDEX(条幅!$B$11:$B$310,494-COUNTA(半紙!$B$11:$B$310)),IF(494&lt;=COUNTA(半紙!$B$11:$B$310)+COUNTA(条幅!$B$11:$B$310)+COUNTA(条幅4分の1!$B$11:$B$310),INDEX(条幅4分の1!$B$11:$B$310,494-COUNTA(半紙!$B$11:$B$310)-COUNTA(条幅!$B$11:$B$310)),""))))</f>
        <v/>
      </c>
      <c r="C499" s="38" t="str">
        <f>IF(IF(494&lt;=COUNTA(半紙!$B$11:$B$310),INDEX(半紙!$C$11:$C$310,494),IF(494&lt;=COUNTA(半紙!$B$11:$B$310)+COUNTA(条幅!$B$11:$B$310),INDEX(条幅!$C$11:$C$310,494-COUNTA(半紙!$B$11:$B$310)),IF(494&lt;=COUNTA(半紙!$B$11:$B$310)+COUNTA(条幅!$B$11:$B$310)+COUNTA(条幅4分の1!$B$11:$B$310),INDEX(条幅4分の1!$C$11:$C$310,494-COUNTA(半紙!$B$11:$B$310)-COUNTA(条幅!$B$11:$B$310)),"")))=0,"",IF(494&lt;=COUNTA(半紙!$B$11:$B$310),INDEX(半紙!$C$11:$C$310,494),IF(494&lt;=COUNTA(半紙!$B$11:$B$310)+COUNTA(条幅!$B$11:$B$310),INDEX(条幅!$C$11:$C$310,494-COUNTA(半紙!$B$11:$B$310)),IF(494&lt;=COUNTA(半紙!$B$11:$B$310)+COUNTA(条幅!$B$11:$B$310)+COUNTA(条幅4分の1!$B$11:$B$310),INDEX(条幅4分の1!$C$11:$C$310,494-COUNTA(半紙!$B$11:$B$310)-COUNTA(条幅!$B$11:$B$310)),""))))</f>
        <v/>
      </c>
      <c r="D499" s="38" t="str">
        <f>IF(IF(494&lt;=COUNTA(半紙!$B$11:$B$310),INDEX(半紙!$D$11:$D$310,494),IF(494&lt;=COUNTA(半紙!$B$11:$B$310)+COUNTA(条幅!$B$11:$B$310),INDEX(条幅!$D$11:$D$310,494-COUNTA(半紙!$B$11:$B$310)),IF(494&lt;=COUNTA(半紙!$B$11:$B$310)+COUNTA(条幅!$B$11:$B$310)+COUNTA(条幅4分の1!$B$11:$B$310),INDEX(条幅4分の1!$D$11:$D$310,494-COUNTA(半紙!$B$11:$B$310)-COUNTA(条幅!$B$11:$B$310)),"")))=0,"",IF(494&lt;=COUNTA(半紙!$B$11:$B$310),INDEX(半紙!$D$11:$D$310,494),IF(494&lt;=COUNTA(半紙!$B$11:$B$310)+COUNTA(条幅!$B$11:$B$310),INDEX(条幅!$D$11:$D$310,494-COUNTA(半紙!$B$11:$B$310)),IF(494&lt;=COUNTA(半紙!$B$11:$B$310)+COUNTA(条幅!$B$11:$B$310)+COUNTA(条幅4分の1!$B$11:$B$310),INDEX(条幅4分の1!$D$11:$D$310,494-COUNTA(半紙!$B$11:$B$310)-COUNTA(条幅!$B$11:$B$310)),""))))</f>
        <v/>
      </c>
      <c r="E499" s="38" t="str">
        <f>IF(IF(494&lt;=COUNTA(半紙!$B$11:$B$310),INDEX(半紙!$E$11:$E$310,494),IF(494&lt;=COUNTA(半紙!$B$11:$B$310)+COUNTA(条幅!$B$11:$B$310),INDEX(条幅!$E$11:$E$310,494-COUNTA(半紙!$B$11:$B$310)),IF(494&lt;=COUNTA(半紙!$B$11:$B$310)+COUNTA(条幅!$B$11:$B$310)+COUNTA(条幅4分の1!$B$11:$B$310),INDEX(条幅4分の1!$E$11:$E$310,494-COUNTA(半紙!$B$11:$B$310)-COUNTA(条幅!$B$11:$B$310)),"")))=0,"",IF(494&lt;=COUNTA(半紙!$B$11:$B$310),INDEX(半紙!$E$11:$E$310,494),IF(494&lt;=COUNTA(半紙!$B$11:$B$310)+COUNTA(条幅!$B$11:$B$310),INDEX(条幅!$E$11:$E$310,494-COUNTA(半紙!$B$11:$B$310)),IF(494&lt;=COUNTA(半紙!$B$11:$B$310)+COUNTA(条幅!$B$11:$B$310)+COUNTA(条幅4分の1!$B$11:$B$310),INDEX(条幅4分の1!$E$11:$E$310,494-COUNTA(半紙!$B$11:$B$310)-COUNTA(条幅!$B$11:$B$310)),""))))</f>
        <v/>
      </c>
      <c r="F499" s="38" t="str">
        <f>IF(IF(494&lt;=COUNTA(半紙!$B$11:$B$310),INDEX(半紙!$F$11:$F$310,494),IF(494&lt;=COUNTA(半紙!$B$11:$B$310)+COUNTA(条幅!$B$11:$B$310),INDEX(条幅!$F$11:$F$310,494-COUNTA(半紙!$B$11:$B$310)),IF(494&lt;=COUNTA(半紙!$B$11:$B$310)+COUNTA(条幅!$B$11:$B$310)+COUNTA(条幅4分の1!$B$11:$B$310),INDEX(条幅4分の1!$F$11:$F$310,494-COUNTA(半紙!$B$11:$B$310)-COUNTA(条幅!$B$11:$B$310)),"")))=0,"",IF(494&lt;=COUNTA(半紙!$B$11:$B$310),INDEX(半紙!$F$11:$F$310,494),IF(494&lt;=COUNTA(半紙!$B$11:$B$310)+COUNTA(条幅!$B$11:$B$310),INDEX(条幅!$F$11:$F$310,494-COUNTA(半紙!$B$11:$B$310)),IF(494&lt;=COUNTA(半紙!$B$11:$B$310)+COUNTA(条幅!$B$11:$B$310)+COUNTA(条幅4分の1!$B$11:$B$310),INDEX(条幅4分の1!$F$11:$F$310,494-COUNTA(半紙!$B$11:$B$310)-COUNTA(条幅!$B$11:$B$310)),""))))</f>
        <v/>
      </c>
      <c r="G499" s="38" t="str">
        <f>IF(IF(494&lt;=COUNTA(半紙!$B$11:$B$310),INDEX(半紙!$G$11:$G$310,494),IF(494&lt;=COUNTA(半紙!$B$11:$B$310)+COUNTA(条幅!$B$11:$B$310),INDEX(条幅!$G$11:$G$310,494-COUNTA(半紙!$B$11:$B$310)),IF(494&lt;=COUNTA(半紙!$B$11:$B$310)+COUNTA(条幅!$B$11:$B$310)+COUNTA(条幅4分の1!$B$11:$B$310),INDEX(条幅4分の1!$G$11:$G$310,494-COUNTA(半紙!$B$11:$B$310)-COUNTA(条幅!$B$11:$B$310)),"")))=0,"",IF(494&lt;=COUNTA(半紙!$B$11:$B$310),INDEX(半紙!$G$11:$G$310,494),IF(494&lt;=COUNTA(半紙!$B$11:$B$310)+COUNTA(条幅!$B$11:$B$310),INDEX(条幅!$G$11:$G$310,494-COUNTA(半紙!$B$11:$B$310)),IF(494&lt;=COUNTA(半紙!$B$11:$B$310)+COUNTA(条幅!$B$11:$B$310)+COUNTA(条幅4分の1!$B$11:$B$310),INDEX(条幅4分の1!$G$11:$G$310,494-COUNTA(半紙!$B$11:$B$310)-COUNTA(条幅!$B$11:$B$310)),""))))</f>
        <v/>
      </c>
      <c r="H499" s="38" t="str">
        <f>IF(IF(494&lt;=COUNTA(半紙!$B$11:$B$310),INDEX(半紙!$H$11:$H$310,494),IF(494&lt;=COUNTA(半紙!$B$11:$B$310)+COUNTA(条幅!$B$11:$B$310),INDEX(条幅!$H$11:$H$310,494-COUNTA(半紙!$B$11:$B$310)),IF(494&lt;=COUNTA(半紙!$B$11:$B$310)+COUNTA(条幅!$B$11:$B$310)+COUNTA(条幅4分の1!$B$11:$B$310),INDEX(条幅4分の1!$H$11:$H$310,494-COUNTA(半紙!$B$11:$B$310)-COUNTA(条幅!$B$11:$B$310)),"")))=0,"",IF(494&lt;=COUNTA(半紙!$B$11:$B$310),INDEX(半紙!$H$11:$H$310,494),IF(494&lt;=COUNTA(半紙!$B$11:$B$310)+COUNTA(条幅!$B$11:$B$310),INDEX(条幅!$H$11:$H$310,494-COUNTA(半紙!$B$11:$B$310)),IF(494&lt;=COUNTA(半紙!$B$11:$B$310)+COUNTA(条幅!$B$11:$B$310)+COUNTA(条幅4分の1!$B$11:$B$310),INDEX(条幅4分の1!$H$11:$H$310,494-COUNTA(半紙!$B$11:$B$310)-COUNTA(条幅!$B$11:$B$310)),""))))</f>
        <v/>
      </c>
      <c r="I499" s="38" t="str">
        <f>IF(IF(494&lt;=COUNTA(半紙!$B$11:$B$310),INDEX(半紙!$I$11:$I$310,494),IF(494&lt;=COUNTA(半紙!$B$11:$B$310)+COUNTA(条幅!$B$11:$B$310),INDEX(条幅!$I$11:$I$310,494-COUNTA(半紙!$B$11:$B$310)),IF(494&lt;=COUNTA(半紙!$B$11:$B$310)+COUNTA(条幅!$B$11:$B$310)+COUNTA(条幅4分の1!$B$11:$B$310),INDEX(条幅4分の1!$I$11:$I$310,494-COUNTA(半紙!$B$11:$B$310)-COUNTA(条幅!$B$11:$B$310)),"")))=0,"",IF(494&lt;=COUNTA(半紙!$B$11:$B$310),INDEX(半紙!$I$11:$I$310,494),IF(494&lt;=COUNTA(半紙!$B$11:$B$310)+COUNTA(条幅!$B$11:$B$310),INDEX(条幅!$I$11:$I$310,494-COUNTA(半紙!$B$11:$B$310)),IF(494&lt;=COUNTA(半紙!$B$11:$B$310)+COUNTA(条幅!$B$11:$B$310)+COUNTA(条幅4分の1!$B$11:$B$310),INDEX(条幅4分の1!$I$11:$I$310,494-COUNTA(半紙!$B$11:$B$310)-COUNTA(条幅!$B$11:$B$310)),""))))</f>
        <v/>
      </c>
      <c r="J499" s="38" t="str">
        <f>IF(IF(494&lt;=COUNTA(半紙!$B$11:$B$310),INDEX(半紙!$J$11:$J$310,494),IF(494&lt;=COUNTA(半紙!$B$11:$B$310)+COUNTA(条幅!$B$11:$B$310),INDEX(条幅!$J$11:$J$310,494-COUNTA(半紙!$B$11:$B$310)),IF(494&lt;=COUNTA(半紙!$B$11:$B$310)+COUNTA(条幅!$B$11:$B$310)+COUNTA(条幅4分の1!$B$11:$B$310),INDEX(条幅4分の1!$J$11:$J$310,494-COUNTA(半紙!$B$11:$B$310)-COUNTA(条幅!$B$11:$B$310)),"")))=0,"",IF(494&lt;=COUNTA(半紙!$B$11:$B$310),INDEX(半紙!$J$11:$J$310,494),IF(494&lt;=COUNTA(半紙!$B$11:$B$310)+COUNTA(条幅!$B$11:$B$310),INDEX(条幅!$J$11:$J$310,494-COUNTA(半紙!$B$11:$B$310)),IF(494&lt;=COUNTA(半紙!$B$11:$B$310)+COUNTA(条幅!$B$11:$B$310)+COUNTA(条幅4分の1!$B$11:$B$310),INDEX(条幅4分の1!$J$11:$J$310,494-COUNTA(半紙!$B$11:$B$310)-COUNTA(条幅!$B$11:$B$310)),""))))</f>
        <v/>
      </c>
      <c r="K499" s="38" t="str">
        <f>IF(IF(494&lt;=COUNTA(半紙!$B$11:$B$310),INDEX(半紙!$K$11:$K$310,494),IF(494&lt;=COUNTA(半紙!$B$11:$B$310)+COUNTA(条幅!$B$11:$B$310),INDEX(条幅!$K$11:$K$310,494-COUNTA(半紙!$B$11:$B$310)),IF(494&lt;=COUNTA(半紙!$B$11:$B$310)+COUNTA(条幅!$B$11:$B$310)+COUNTA(条幅4分の1!$B$11:$B$310),INDEX(条幅4分の1!$K$11:$K$310,494-COUNTA(半紙!$B$11:$B$310)-COUNTA(条幅!$B$11:$B$310)),"")))=0,"",IF(494&lt;=COUNTA(半紙!$B$11:$B$310),INDEX(半紙!$K$11:$K$310,494),IF(494&lt;=COUNTA(半紙!$B$11:$B$310)+COUNTA(条幅!$B$11:$B$310),INDEX(条幅!$K$11:$K$310,494-COUNTA(半紙!$B$11:$B$310)),IF(494&lt;=COUNTA(半紙!$B$11:$B$310)+COUNTA(条幅!$B$11:$B$310)+COUNTA(条幅4分の1!$B$11:$B$310),INDEX(条幅4分の1!$K$11:$K$310,494-COUNTA(半紙!$B$11:$B$310)-COUNTA(条幅!$B$11:$B$310)),""))))</f>
        <v/>
      </c>
      <c r="L499" s="48" t="str">
        <f>IF($B499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494))</f>
        <v/>
      </c>
    </row>
    <row r="500" spans="1:12" ht="15" customHeight="1">
      <c r="A500" s="37" t="str">
        <f>IF(495&lt;=COUNTA(半紙!$B$11:$B$310),"半紙",IF(495&lt;=COUNTA(半紙!$B$11:$B$310)+COUNTA(条幅!$B$11:$B$310),"条幅(半切)",IF(495&lt;=COUNTA(半紙!$B$11:$B$310)+COUNTA(条幅!$B$11:$B$310)+COUNTA(条幅4分の1!$B$11:$B$310),"条幅(1/4)","")))</f>
        <v/>
      </c>
      <c r="B500" s="38" t="str">
        <f>IF(IF(495&lt;=COUNTA(半紙!$B$11:$B$310),INDEX(半紙!$B$11:$B$310,495),IF(495&lt;=COUNTA(半紙!$B$11:$B$310)+COUNTA(条幅!$B$11:$B$310),INDEX(条幅!$B$11:$B$310,495-COUNTA(半紙!$B$11:$B$310)),IF(495&lt;=COUNTA(半紙!$B$11:$B$310)+COUNTA(条幅!$B$11:$B$310)+COUNTA(条幅4分の1!$B$11:$B$310),INDEX(条幅4分の1!$B$11:$B$310,495-COUNTA(半紙!$B$11:$B$310)-COUNTA(条幅!$B$11:$B$310)),"")))=0,"",IF(495&lt;=COUNTA(半紙!$B$11:$B$310),INDEX(半紙!$B$11:$B$310,495),IF(495&lt;=COUNTA(半紙!$B$11:$B$310)+COUNTA(条幅!$B$11:$B$310),INDEX(条幅!$B$11:$B$310,495-COUNTA(半紙!$B$11:$B$310)),IF(495&lt;=COUNTA(半紙!$B$11:$B$310)+COUNTA(条幅!$B$11:$B$310)+COUNTA(条幅4分の1!$B$11:$B$310),INDEX(条幅4分の1!$B$11:$B$310,495-COUNTA(半紙!$B$11:$B$310)-COUNTA(条幅!$B$11:$B$310)),""))))</f>
        <v/>
      </c>
      <c r="C500" s="38" t="str">
        <f>IF(IF(495&lt;=COUNTA(半紙!$B$11:$B$310),INDEX(半紙!$C$11:$C$310,495),IF(495&lt;=COUNTA(半紙!$B$11:$B$310)+COUNTA(条幅!$B$11:$B$310),INDEX(条幅!$C$11:$C$310,495-COUNTA(半紙!$B$11:$B$310)),IF(495&lt;=COUNTA(半紙!$B$11:$B$310)+COUNTA(条幅!$B$11:$B$310)+COUNTA(条幅4分の1!$B$11:$B$310),INDEX(条幅4分の1!$C$11:$C$310,495-COUNTA(半紙!$B$11:$B$310)-COUNTA(条幅!$B$11:$B$310)),"")))=0,"",IF(495&lt;=COUNTA(半紙!$B$11:$B$310),INDEX(半紙!$C$11:$C$310,495),IF(495&lt;=COUNTA(半紙!$B$11:$B$310)+COUNTA(条幅!$B$11:$B$310),INDEX(条幅!$C$11:$C$310,495-COUNTA(半紙!$B$11:$B$310)),IF(495&lt;=COUNTA(半紙!$B$11:$B$310)+COUNTA(条幅!$B$11:$B$310)+COUNTA(条幅4分の1!$B$11:$B$310),INDEX(条幅4分の1!$C$11:$C$310,495-COUNTA(半紙!$B$11:$B$310)-COUNTA(条幅!$B$11:$B$310)),""))))</f>
        <v/>
      </c>
      <c r="D500" s="38" t="str">
        <f>IF(IF(495&lt;=COUNTA(半紙!$B$11:$B$310),INDEX(半紙!$D$11:$D$310,495),IF(495&lt;=COUNTA(半紙!$B$11:$B$310)+COUNTA(条幅!$B$11:$B$310),INDEX(条幅!$D$11:$D$310,495-COUNTA(半紙!$B$11:$B$310)),IF(495&lt;=COUNTA(半紙!$B$11:$B$310)+COUNTA(条幅!$B$11:$B$310)+COUNTA(条幅4分の1!$B$11:$B$310),INDEX(条幅4分の1!$D$11:$D$310,495-COUNTA(半紙!$B$11:$B$310)-COUNTA(条幅!$B$11:$B$310)),"")))=0,"",IF(495&lt;=COUNTA(半紙!$B$11:$B$310),INDEX(半紙!$D$11:$D$310,495),IF(495&lt;=COUNTA(半紙!$B$11:$B$310)+COUNTA(条幅!$B$11:$B$310),INDEX(条幅!$D$11:$D$310,495-COUNTA(半紙!$B$11:$B$310)),IF(495&lt;=COUNTA(半紙!$B$11:$B$310)+COUNTA(条幅!$B$11:$B$310)+COUNTA(条幅4分の1!$B$11:$B$310),INDEX(条幅4分の1!$D$11:$D$310,495-COUNTA(半紙!$B$11:$B$310)-COUNTA(条幅!$B$11:$B$310)),""))))</f>
        <v/>
      </c>
      <c r="E500" s="38" t="str">
        <f>IF(IF(495&lt;=COUNTA(半紙!$B$11:$B$310),INDEX(半紙!$E$11:$E$310,495),IF(495&lt;=COUNTA(半紙!$B$11:$B$310)+COUNTA(条幅!$B$11:$B$310),INDEX(条幅!$E$11:$E$310,495-COUNTA(半紙!$B$11:$B$310)),IF(495&lt;=COUNTA(半紙!$B$11:$B$310)+COUNTA(条幅!$B$11:$B$310)+COUNTA(条幅4分の1!$B$11:$B$310),INDEX(条幅4分の1!$E$11:$E$310,495-COUNTA(半紙!$B$11:$B$310)-COUNTA(条幅!$B$11:$B$310)),"")))=0,"",IF(495&lt;=COUNTA(半紙!$B$11:$B$310),INDEX(半紙!$E$11:$E$310,495),IF(495&lt;=COUNTA(半紙!$B$11:$B$310)+COUNTA(条幅!$B$11:$B$310),INDEX(条幅!$E$11:$E$310,495-COUNTA(半紙!$B$11:$B$310)),IF(495&lt;=COUNTA(半紙!$B$11:$B$310)+COUNTA(条幅!$B$11:$B$310)+COUNTA(条幅4分の1!$B$11:$B$310),INDEX(条幅4分の1!$E$11:$E$310,495-COUNTA(半紙!$B$11:$B$310)-COUNTA(条幅!$B$11:$B$310)),""))))</f>
        <v/>
      </c>
      <c r="F500" s="38" t="str">
        <f>IF(IF(495&lt;=COUNTA(半紙!$B$11:$B$310),INDEX(半紙!$F$11:$F$310,495),IF(495&lt;=COUNTA(半紙!$B$11:$B$310)+COUNTA(条幅!$B$11:$B$310),INDEX(条幅!$F$11:$F$310,495-COUNTA(半紙!$B$11:$B$310)),IF(495&lt;=COUNTA(半紙!$B$11:$B$310)+COUNTA(条幅!$B$11:$B$310)+COUNTA(条幅4分の1!$B$11:$B$310),INDEX(条幅4分の1!$F$11:$F$310,495-COUNTA(半紙!$B$11:$B$310)-COUNTA(条幅!$B$11:$B$310)),"")))=0,"",IF(495&lt;=COUNTA(半紙!$B$11:$B$310),INDEX(半紙!$F$11:$F$310,495),IF(495&lt;=COUNTA(半紙!$B$11:$B$310)+COUNTA(条幅!$B$11:$B$310),INDEX(条幅!$F$11:$F$310,495-COUNTA(半紙!$B$11:$B$310)),IF(495&lt;=COUNTA(半紙!$B$11:$B$310)+COUNTA(条幅!$B$11:$B$310)+COUNTA(条幅4分の1!$B$11:$B$310),INDEX(条幅4分の1!$F$11:$F$310,495-COUNTA(半紙!$B$11:$B$310)-COUNTA(条幅!$B$11:$B$310)),""))))</f>
        <v/>
      </c>
      <c r="G500" s="38" t="str">
        <f>IF(IF(495&lt;=COUNTA(半紙!$B$11:$B$310),INDEX(半紙!$G$11:$G$310,495),IF(495&lt;=COUNTA(半紙!$B$11:$B$310)+COUNTA(条幅!$B$11:$B$310),INDEX(条幅!$G$11:$G$310,495-COUNTA(半紙!$B$11:$B$310)),IF(495&lt;=COUNTA(半紙!$B$11:$B$310)+COUNTA(条幅!$B$11:$B$310)+COUNTA(条幅4分の1!$B$11:$B$310),INDEX(条幅4分の1!$G$11:$G$310,495-COUNTA(半紙!$B$11:$B$310)-COUNTA(条幅!$B$11:$B$310)),"")))=0,"",IF(495&lt;=COUNTA(半紙!$B$11:$B$310),INDEX(半紙!$G$11:$G$310,495),IF(495&lt;=COUNTA(半紙!$B$11:$B$310)+COUNTA(条幅!$B$11:$B$310),INDEX(条幅!$G$11:$G$310,495-COUNTA(半紙!$B$11:$B$310)),IF(495&lt;=COUNTA(半紙!$B$11:$B$310)+COUNTA(条幅!$B$11:$B$310)+COUNTA(条幅4分の1!$B$11:$B$310),INDEX(条幅4分の1!$G$11:$G$310,495-COUNTA(半紙!$B$11:$B$310)-COUNTA(条幅!$B$11:$B$310)),""))))</f>
        <v/>
      </c>
      <c r="H500" s="38" t="str">
        <f>IF(IF(495&lt;=COUNTA(半紙!$B$11:$B$310),INDEX(半紙!$H$11:$H$310,495),IF(495&lt;=COUNTA(半紙!$B$11:$B$310)+COUNTA(条幅!$B$11:$B$310),INDEX(条幅!$H$11:$H$310,495-COUNTA(半紙!$B$11:$B$310)),IF(495&lt;=COUNTA(半紙!$B$11:$B$310)+COUNTA(条幅!$B$11:$B$310)+COUNTA(条幅4分の1!$B$11:$B$310),INDEX(条幅4分の1!$H$11:$H$310,495-COUNTA(半紙!$B$11:$B$310)-COUNTA(条幅!$B$11:$B$310)),"")))=0,"",IF(495&lt;=COUNTA(半紙!$B$11:$B$310),INDEX(半紙!$H$11:$H$310,495),IF(495&lt;=COUNTA(半紙!$B$11:$B$310)+COUNTA(条幅!$B$11:$B$310),INDEX(条幅!$H$11:$H$310,495-COUNTA(半紙!$B$11:$B$310)),IF(495&lt;=COUNTA(半紙!$B$11:$B$310)+COUNTA(条幅!$B$11:$B$310)+COUNTA(条幅4分の1!$B$11:$B$310),INDEX(条幅4分の1!$H$11:$H$310,495-COUNTA(半紙!$B$11:$B$310)-COUNTA(条幅!$B$11:$B$310)),""))))</f>
        <v/>
      </c>
      <c r="I500" s="38" t="str">
        <f>IF(IF(495&lt;=COUNTA(半紙!$B$11:$B$310),INDEX(半紙!$I$11:$I$310,495),IF(495&lt;=COUNTA(半紙!$B$11:$B$310)+COUNTA(条幅!$B$11:$B$310),INDEX(条幅!$I$11:$I$310,495-COUNTA(半紙!$B$11:$B$310)),IF(495&lt;=COUNTA(半紙!$B$11:$B$310)+COUNTA(条幅!$B$11:$B$310)+COUNTA(条幅4分の1!$B$11:$B$310),INDEX(条幅4分の1!$I$11:$I$310,495-COUNTA(半紙!$B$11:$B$310)-COUNTA(条幅!$B$11:$B$310)),"")))=0,"",IF(495&lt;=COUNTA(半紙!$B$11:$B$310),INDEX(半紙!$I$11:$I$310,495),IF(495&lt;=COUNTA(半紙!$B$11:$B$310)+COUNTA(条幅!$B$11:$B$310),INDEX(条幅!$I$11:$I$310,495-COUNTA(半紙!$B$11:$B$310)),IF(495&lt;=COUNTA(半紙!$B$11:$B$310)+COUNTA(条幅!$B$11:$B$310)+COUNTA(条幅4分の1!$B$11:$B$310),INDEX(条幅4分の1!$I$11:$I$310,495-COUNTA(半紙!$B$11:$B$310)-COUNTA(条幅!$B$11:$B$310)),""))))</f>
        <v/>
      </c>
      <c r="J500" s="38" t="str">
        <f>IF(IF(495&lt;=COUNTA(半紙!$B$11:$B$310),INDEX(半紙!$J$11:$J$310,495),IF(495&lt;=COUNTA(半紙!$B$11:$B$310)+COUNTA(条幅!$B$11:$B$310),INDEX(条幅!$J$11:$J$310,495-COUNTA(半紙!$B$11:$B$310)),IF(495&lt;=COUNTA(半紙!$B$11:$B$310)+COUNTA(条幅!$B$11:$B$310)+COUNTA(条幅4分の1!$B$11:$B$310),INDEX(条幅4分の1!$J$11:$J$310,495-COUNTA(半紙!$B$11:$B$310)-COUNTA(条幅!$B$11:$B$310)),"")))=0,"",IF(495&lt;=COUNTA(半紙!$B$11:$B$310),INDEX(半紙!$J$11:$J$310,495),IF(495&lt;=COUNTA(半紙!$B$11:$B$310)+COUNTA(条幅!$B$11:$B$310),INDEX(条幅!$J$11:$J$310,495-COUNTA(半紙!$B$11:$B$310)),IF(495&lt;=COUNTA(半紙!$B$11:$B$310)+COUNTA(条幅!$B$11:$B$310)+COUNTA(条幅4分の1!$B$11:$B$310),INDEX(条幅4分の1!$J$11:$J$310,495-COUNTA(半紙!$B$11:$B$310)-COUNTA(条幅!$B$11:$B$310)),""))))</f>
        <v/>
      </c>
      <c r="K500" s="38" t="str">
        <f>IF(IF(495&lt;=COUNTA(半紙!$B$11:$B$310),INDEX(半紙!$K$11:$K$310,495),IF(495&lt;=COUNTA(半紙!$B$11:$B$310)+COUNTA(条幅!$B$11:$B$310),INDEX(条幅!$K$11:$K$310,495-COUNTA(半紙!$B$11:$B$310)),IF(495&lt;=COUNTA(半紙!$B$11:$B$310)+COUNTA(条幅!$B$11:$B$310)+COUNTA(条幅4分の1!$B$11:$B$310),INDEX(条幅4分の1!$K$11:$K$310,495-COUNTA(半紙!$B$11:$B$310)-COUNTA(条幅!$B$11:$B$310)),"")))=0,"",IF(495&lt;=COUNTA(半紙!$B$11:$B$310),INDEX(半紙!$K$11:$K$310,495),IF(495&lt;=COUNTA(半紙!$B$11:$B$310)+COUNTA(条幅!$B$11:$B$310),INDEX(条幅!$K$11:$K$310,495-COUNTA(半紙!$B$11:$B$310)),IF(495&lt;=COUNTA(半紙!$B$11:$B$310)+COUNTA(条幅!$B$11:$B$310)+COUNTA(条幅4分の1!$B$11:$B$310),INDEX(条幅4分の1!$K$11:$K$310,495-COUNTA(半紙!$B$11:$B$310)-COUNTA(条幅!$B$11:$B$310)),""))))</f>
        <v/>
      </c>
      <c r="L500" s="48" t="str">
        <f>IF($B500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495))</f>
        <v/>
      </c>
    </row>
    <row r="501" spans="1:12" ht="15" customHeight="1">
      <c r="A501" s="37" t="str">
        <f>IF(496&lt;=COUNTA(半紙!$B$11:$B$310),"半紙",IF(496&lt;=COUNTA(半紙!$B$11:$B$310)+COUNTA(条幅!$B$11:$B$310),"条幅(半切)",IF(496&lt;=COUNTA(半紙!$B$11:$B$310)+COUNTA(条幅!$B$11:$B$310)+COUNTA(条幅4分の1!$B$11:$B$310),"条幅(1/4)","")))</f>
        <v/>
      </c>
      <c r="B501" s="38" t="str">
        <f>IF(IF(496&lt;=COUNTA(半紙!$B$11:$B$310),INDEX(半紙!$B$11:$B$310,496),IF(496&lt;=COUNTA(半紙!$B$11:$B$310)+COUNTA(条幅!$B$11:$B$310),INDEX(条幅!$B$11:$B$310,496-COUNTA(半紙!$B$11:$B$310)),IF(496&lt;=COUNTA(半紙!$B$11:$B$310)+COUNTA(条幅!$B$11:$B$310)+COUNTA(条幅4分の1!$B$11:$B$310),INDEX(条幅4分の1!$B$11:$B$310,496-COUNTA(半紙!$B$11:$B$310)-COUNTA(条幅!$B$11:$B$310)),"")))=0,"",IF(496&lt;=COUNTA(半紙!$B$11:$B$310),INDEX(半紙!$B$11:$B$310,496),IF(496&lt;=COUNTA(半紙!$B$11:$B$310)+COUNTA(条幅!$B$11:$B$310),INDEX(条幅!$B$11:$B$310,496-COUNTA(半紙!$B$11:$B$310)),IF(496&lt;=COUNTA(半紙!$B$11:$B$310)+COUNTA(条幅!$B$11:$B$310)+COUNTA(条幅4分の1!$B$11:$B$310),INDEX(条幅4分の1!$B$11:$B$310,496-COUNTA(半紙!$B$11:$B$310)-COUNTA(条幅!$B$11:$B$310)),""))))</f>
        <v/>
      </c>
      <c r="C501" s="38" t="str">
        <f>IF(IF(496&lt;=COUNTA(半紙!$B$11:$B$310),INDEX(半紙!$C$11:$C$310,496),IF(496&lt;=COUNTA(半紙!$B$11:$B$310)+COUNTA(条幅!$B$11:$B$310),INDEX(条幅!$C$11:$C$310,496-COUNTA(半紙!$B$11:$B$310)),IF(496&lt;=COUNTA(半紙!$B$11:$B$310)+COUNTA(条幅!$B$11:$B$310)+COUNTA(条幅4分の1!$B$11:$B$310),INDEX(条幅4分の1!$C$11:$C$310,496-COUNTA(半紙!$B$11:$B$310)-COUNTA(条幅!$B$11:$B$310)),"")))=0,"",IF(496&lt;=COUNTA(半紙!$B$11:$B$310),INDEX(半紙!$C$11:$C$310,496),IF(496&lt;=COUNTA(半紙!$B$11:$B$310)+COUNTA(条幅!$B$11:$B$310),INDEX(条幅!$C$11:$C$310,496-COUNTA(半紙!$B$11:$B$310)),IF(496&lt;=COUNTA(半紙!$B$11:$B$310)+COUNTA(条幅!$B$11:$B$310)+COUNTA(条幅4分の1!$B$11:$B$310),INDEX(条幅4分の1!$C$11:$C$310,496-COUNTA(半紙!$B$11:$B$310)-COUNTA(条幅!$B$11:$B$310)),""))))</f>
        <v/>
      </c>
      <c r="D501" s="38" t="str">
        <f>IF(IF(496&lt;=COUNTA(半紙!$B$11:$B$310),INDEX(半紙!$D$11:$D$310,496),IF(496&lt;=COUNTA(半紙!$B$11:$B$310)+COUNTA(条幅!$B$11:$B$310),INDEX(条幅!$D$11:$D$310,496-COUNTA(半紙!$B$11:$B$310)),IF(496&lt;=COUNTA(半紙!$B$11:$B$310)+COUNTA(条幅!$B$11:$B$310)+COUNTA(条幅4分の1!$B$11:$B$310),INDEX(条幅4分の1!$D$11:$D$310,496-COUNTA(半紙!$B$11:$B$310)-COUNTA(条幅!$B$11:$B$310)),"")))=0,"",IF(496&lt;=COUNTA(半紙!$B$11:$B$310),INDEX(半紙!$D$11:$D$310,496),IF(496&lt;=COUNTA(半紙!$B$11:$B$310)+COUNTA(条幅!$B$11:$B$310),INDEX(条幅!$D$11:$D$310,496-COUNTA(半紙!$B$11:$B$310)),IF(496&lt;=COUNTA(半紙!$B$11:$B$310)+COUNTA(条幅!$B$11:$B$310)+COUNTA(条幅4分の1!$B$11:$B$310),INDEX(条幅4分の1!$D$11:$D$310,496-COUNTA(半紙!$B$11:$B$310)-COUNTA(条幅!$B$11:$B$310)),""))))</f>
        <v/>
      </c>
      <c r="E501" s="38" t="str">
        <f>IF(IF(496&lt;=COUNTA(半紙!$B$11:$B$310),INDEX(半紙!$E$11:$E$310,496),IF(496&lt;=COUNTA(半紙!$B$11:$B$310)+COUNTA(条幅!$B$11:$B$310),INDEX(条幅!$E$11:$E$310,496-COUNTA(半紙!$B$11:$B$310)),IF(496&lt;=COUNTA(半紙!$B$11:$B$310)+COUNTA(条幅!$B$11:$B$310)+COUNTA(条幅4分の1!$B$11:$B$310),INDEX(条幅4分の1!$E$11:$E$310,496-COUNTA(半紙!$B$11:$B$310)-COUNTA(条幅!$B$11:$B$310)),"")))=0,"",IF(496&lt;=COUNTA(半紙!$B$11:$B$310),INDEX(半紙!$E$11:$E$310,496),IF(496&lt;=COUNTA(半紙!$B$11:$B$310)+COUNTA(条幅!$B$11:$B$310),INDEX(条幅!$E$11:$E$310,496-COUNTA(半紙!$B$11:$B$310)),IF(496&lt;=COUNTA(半紙!$B$11:$B$310)+COUNTA(条幅!$B$11:$B$310)+COUNTA(条幅4分の1!$B$11:$B$310),INDEX(条幅4分の1!$E$11:$E$310,496-COUNTA(半紙!$B$11:$B$310)-COUNTA(条幅!$B$11:$B$310)),""))))</f>
        <v/>
      </c>
      <c r="F501" s="38" t="str">
        <f>IF(IF(496&lt;=COUNTA(半紙!$B$11:$B$310),INDEX(半紙!$F$11:$F$310,496),IF(496&lt;=COUNTA(半紙!$B$11:$B$310)+COUNTA(条幅!$B$11:$B$310),INDEX(条幅!$F$11:$F$310,496-COUNTA(半紙!$B$11:$B$310)),IF(496&lt;=COUNTA(半紙!$B$11:$B$310)+COUNTA(条幅!$B$11:$B$310)+COUNTA(条幅4分の1!$B$11:$B$310),INDEX(条幅4分の1!$F$11:$F$310,496-COUNTA(半紙!$B$11:$B$310)-COUNTA(条幅!$B$11:$B$310)),"")))=0,"",IF(496&lt;=COUNTA(半紙!$B$11:$B$310),INDEX(半紙!$F$11:$F$310,496),IF(496&lt;=COUNTA(半紙!$B$11:$B$310)+COUNTA(条幅!$B$11:$B$310),INDEX(条幅!$F$11:$F$310,496-COUNTA(半紙!$B$11:$B$310)),IF(496&lt;=COUNTA(半紙!$B$11:$B$310)+COUNTA(条幅!$B$11:$B$310)+COUNTA(条幅4分の1!$B$11:$B$310),INDEX(条幅4分の1!$F$11:$F$310,496-COUNTA(半紙!$B$11:$B$310)-COUNTA(条幅!$B$11:$B$310)),""))))</f>
        <v/>
      </c>
      <c r="G501" s="38" t="str">
        <f>IF(IF(496&lt;=COUNTA(半紙!$B$11:$B$310),INDEX(半紙!$G$11:$G$310,496),IF(496&lt;=COUNTA(半紙!$B$11:$B$310)+COUNTA(条幅!$B$11:$B$310),INDEX(条幅!$G$11:$G$310,496-COUNTA(半紙!$B$11:$B$310)),IF(496&lt;=COUNTA(半紙!$B$11:$B$310)+COUNTA(条幅!$B$11:$B$310)+COUNTA(条幅4分の1!$B$11:$B$310),INDEX(条幅4分の1!$G$11:$G$310,496-COUNTA(半紙!$B$11:$B$310)-COUNTA(条幅!$B$11:$B$310)),"")))=0,"",IF(496&lt;=COUNTA(半紙!$B$11:$B$310),INDEX(半紙!$G$11:$G$310,496),IF(496&lt;=COUNTA(半紙!$B$11:$B$310)+COUNTA(条幅!$B$11:$B$310),INDEX(条幅!$G$11:$G$310,496-COUNTA(半紙!$B$11:$B$310)),IF(496&lt;=COUNTA(半紙!$B$11:$B$310)+COUNTA(条幅!$B$11:$B$310)+COUNTA(条幅4分の1!$B$11:$B$310),INDEX(条幅4分の1!$G$11:$G$310,496-COUNTA(半紙!$B$11:$B$310)-COUNTA(条幅!$B$11:$B$310)),""))))</f>
        <v/>
      </c>
      <c r="H501" s="38" t="str">
        <f>IF(IF(496&lt;=COUNTA(半紙!$B$11:$B$310),INDEX(半紙!$H$11:$H$310,496),IF(496&lt;=COUNTA(半紙!$B$11:$B$310)+COUNTA(条幅!$B$11:$B$310),INDEX(条幅!$H$11:$H$310,496-COUNTA(半紙!$B$11:$B$310)),IF(496&lt;=COUNTA(半紙!$B$11:$B$310)+COUNTA(条幅!$B$11:$B$310)+COUNTA(条幅4分の1!$B$11:$B$310),INDEX(条幅4分の1!$H$11:$H$310,496-COUNTA(半紙!$B$11:$B$310)-COUNTA(条幅!$B$11:$B$310)),"")))=0,"",IF(496&lt;=COUNTA(半紙!$B$11:$B$310),INDEX(半紙!$H$11:$H$310,496),IF(496&lt;=COUNTA(半紙!$B$11:$B$310)+COUNTA(条幅!$B$11:$B$310),INDEX(条幅!$H$11:$H$310,496-COUNTA(半紙!$B$11:$B$310)),IF(496&lt;=COUNTA(半紙!$B$11:$B$310)+COUNTA(条幅!$B$11:$B$310)+COUNTA(条幅4分の1!$B$11:$B$310),INDEX(条幅4分の1!$H$11:$H$310,496-COUNTA(半紙!$B$11:$B$310)-COUNTA(条幅!$B$11:$B$310)),""))))</f>
        <v/>
      </c>
      <c r="I501" s="38" t="str">
        <f>IF(IF(496&lt;=COUNTA(半紙!$B$11:$B$310),INDEX(半紙!$I$11:$I$310,496),IF(496&lt;=COUNTA(半紙!$B$11:$B$310)+COUNTA(条幅!$B$11:$B$310),INDEX(条幅!$I$11:$I$310,496-COUNTA(半紙!$B$11:$B$310)),IF(496&lt;=COUNTA(半紙!$B$11:$B$310)+COUNTA(条幅!$B$11:$B$310)+COUNTA(条幅4分の1!$B$11:$B$310),INDEX(条幅4分の1!$I$11:$I$310,496-COUNTA(半紙!$B$11:$B$310)-COUNTA(条幅!$B$11:$B$310)),"")))=0,"",IF(496&lt;=COUNTA(半紙!$B$11:$B$310),INDEX(半紙!$I$11:$I$310,496),IF(496&lt;=COUNTA(半紙!$B$11:$B$310)+COUNTA(条幅!$B$11:$B$310),INDEX(条幅!$I$11:$I$310,496-COUNTA(半紙!$B$11:$B$310)),IF(496&lt;=COUNTA(半紙!$B$11:$B$310)+COUNTA(条幅!$B$11:$B$310)+COUNTA(条幅4分の1!$B$11:$B$310),INDEX(条幅4分の1!$I$11:$I$310,496-COUNTA(半紙!$B$11:$B$310)-COUNTA(条幅!$B$11:$B$310)),""))))</f>
        <v/>
      </c>
      <c r="J501" s="38" t="str">
        <f>IF(IF(496&lt;=COUNTA(半紙!$B$11:$B$310),INDEX(半紙!$J$11:$J$310,496),IF(496&lt;=COUNTA(半紙!$B$11:$B$310)+COUNTA(条幅!$B$11:$B$310),INDEX(条幅!$J$11:$J$310,496-COUNTA(半紙!$B$11:$B$310)),IF(496&lt;=COUNTA(半紙!$B$11:$B$310)+COUNTA(条幅!$B$11:$B$310)+COUNTA(条幅4分の1!$B$11:$B$310),INDEX(条幅4分の1!$J$11:$J$310,496-COUNTA(半紙!$B$11:$B$310)-COUNTA(条幅!$B$11:$B$310)),"")))=0,"",IF(496&lt;=COUNTA(半紙!$B$11:$B$310),INDEX(半紙!$J$11:$J$310,496),IF(496&lt;=COUNTA(半紙!$B$11:$B$310)+COUNTA(条幅!$B$11:$B$310),INDEX(条幅!$J$11:$J$310,496-COUNTA(半紙!$B$11:$B$310)),IF(496&lt;=COUNTA(半紙!$B$11:$B$310)+COUNTA(条幅!$B$11:$B$310)+COUNTA(条幅4分の1!$B$11:$B$310),INDEX(条幅4分の1!$J$11:$J$310,496-COUNTA(半紙!$B$11:$B$310)-COUNTA(条幅!$B$11:$B$310)),""))))</f>
        <v/>
      </c>
      <c r="K501" s="38" t="str">
        <f>IF(IF(496&lt;=COUNTA(半紙!$B$11:$B$310),INDEX(半紙!$K$11:$K$310,496),IF(496&lt;=COUNTA(半紙!$B$11:$B$310)+COUNTA(条幅!$B$11:$B$310),INDEX(条幅!$K$11:$K$310,496-COUNTA(半紙!$B$11:$B$310)),IF(496&lt;=COUNTA(半紙!$B$11:$B$310)+COUNTA(条幅!$B$11:$B$310)+COUNTA(条幅4分の1!$B$11:$B$310),INDEX(条幅4分の1!$K$11:$K$310,496-COUNTA(半紙!$B$11:$B$310)-COUNTA(条幅!$B$11:$B$310)),"")))=0,"",IF(496&lt;=COUNTA(半紙!$B$11:$B$310),INDEX(半紙!$K$11:$K$310,496),IF(496&lt;=COUNTA(半紙!$B$11:$B$310)+COUNTA(条幅!$B$11:$B$310),INDEX(条幅!$K$11:$K$310,496-COUNTA(半紙!$B$11:$B$310)),IF(496&lt;=COUNTA(半紙!$B$11:$B$310)+COUNTA(条幅!$B$11:$B$310)+COUNTA(条幅4分の1!$B$11:$B$310),INDEX(条幅4分の1!$K$11:$K$310,496-COUNTA(半紙!$B$11:$B$310)-COUNTA(条幅!$B$11:$B$310)),""))))</f>
        <v/>
      </c>
      <c r="L501" s="48" t="str">
        <f>IF($B501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496))</f>
        <v/>
      </c>
    </row>
    <row r="502" spans="1:12" ht="15" customHeight="1">
      <c r="A502" s="37" t="str">
        <f>IF(497&lt;=COUNTA(半紙!$B$11:$B$310),"半紙",IF(497&lt;=COUNTA(半紙!$B$11:$B$310)+COUNTA(条幅!$B$11:$B$310),"条幅(半切)",IF(497&lt;=COUNTA(半紙!$B$11:$B$310)+COUNTA(条幅!$B$11:$B$310)+COUNTA(条幅4分の1!$B$11:$B$310),"条幅(1/4)","")))</f>
        <v/>
      </c>
      <c r="B502" s="38" t="str">
        <f>IF(IF(497&lt;=COUNTA(半紙!$B$11:$B$310),INDEX(半紙!$B$11:$B$310,497),IF(497&lt;=COUNTA(半紙!$B$11:$B$310)+COUNTA(条幅!$B$11:$B$310),INDEX(条幅!$B$11:$B$310,497-COUNTA(半紙!$B$11:$B$310)),IF(497&lt;=COUNTA(半紙!$B$11:$B$310)+COUNTA(条幅!$B$11:$B$310)+COUNTA(条幅4分の1!$B$11:$B$310),INDEX(条幅4分の1!$B$11:$B$310,497-COUNTA(半紙!$B$11:$B$310)-COUNTA(条幅!$B$11:$B$310)),"")))=0,"",IF(497&lt;=COUNTA(半紙!$B$11:$B$310),INDEX(半紙!$B$11:$B$310,497),IF(497&lt;=COUNTA(半紙!$B$11:$B$310)+COUNTA(条幅!$B$11:$B$310),INDEX(条幅!$B$11:$B$310,497-COUNTA(半紙!$B$11:$B$310)),IF(497&lt;=COUNTA(半紙!$B$11:$B$310)+COUNTA(条幅!$B$11:$B$310)+COUNTA(条幅4分の1!$B$11:$B$310),INDEX(条幅4分の1!$B$11:$B$310,497-COUNTA(半紙!$B$11:$B$310)-COUNTA(条幅!$B$11:$B$310)),""))))</f>
        <v/>
      </c>
      <c r="C502" s="38" t="str">
        <f>IF(IF(497&lt;=COUNTA(半紙!$B$11:$B$310),INDEX(半紙!$C$11:$C$310,497),IF(497&lt;=COUNTA(半紙!$B$11:$B$310)+COUNTA(条幅!$B$11:$B$310),INDEX(条幅!$C$11:$C$310,497-COUNTA(半紙!$B$11:$B$310)),IF(497&lt;=COUNTA(半紙!$B$11:$B$310)+COUNTA(条幅!$B$11:$B$310)+COUNTA(条幅4分の1!$B$11:$B$310),INDEX(条幅4分の1!$C$11:$C$310,497-COUNTA(半紙!$B$11:$B$310)-COUNTA(条幅!$B$11:$B$310)),"")))=0,"",IF(497&lt;=COUNTA(半紙!$B$11:$B$310),INDEX(半紙!$C$11:$C$310,497),IF(497&lt;=COUNTA(半紙!$B$11:$B$310)+COUNTA(条幅!$B$11:$B$310),INDEX(条幅!$C$11:$C$310,497-COUNTA(半紙!$B$11:$B$310)),IF(497&lt;=COUNTA(半紙!$B$11:$B$310)+COUNTA(条幅!$B$11:$B$310)+COUNTA(条幅4分の1!$B$11:$B$310),INDEX(条幅4分の1!$C$11:$C$310,497-COUNTA(半紙!$B$11:$B$310)-COUNTA(条幅!$B$11:$B$310)),""))))</f>
        <v/>
      </c>
      <c r="D502" s="38" t="str">
        <f>IF(IF(497&lt;=COUNTA(半紙!$B$11:$B$310),INDEX(半紙!$D$11:$D$310,497),IF(497&lt;=COUNTA(半紙!$B$11:$B$310)+COUNTA(条幅!$B$11:$B$310),INDEX(条幅!$D$11:$D$310,497-COUNTA(半紙!$B$11:$B$310)),IF(497&lt;=COUNTA(半紙!$B$11:$B$310)+COUNTA(条幅!$B$11:$B$310)+COUNTA(条幅4分の1!$B$11:$B$310),INDEX(条幅4分の1!$D$11:$D$310,497-COUNTA(半紙!$B$11:$B$310)-COUNTA(条幅!$B$11:$B$310)),"")))=0,"",IF(497&lt;=COUNTA(半紙!$B$11:$B$310),INDEX(半紙!$D$11:$D$310,497),IF(497&lt;=COUNTA(半紙!$B$11:$B$310)+COUNTA(条幅!$B$11:$B$310),INDEX(条幅!$D$11:$D$310,497-COUNTA(半紙!$B$11:$B$310)),IF(497&lt;=COUNTA(半紙!$B$11:$B$310)+COUNTA(条幅!$B$11:$B$310)+COUNTA(条幅4分の1!$B$11:$B$310),INDEX(条幅4分の1!$D$11:$D$310,497-COUNTA(半紙!$B$11:$B$310)-COUNTA(条幅!$B$11:$B$310)),""))))</f>
        <v/>
      </c>
      <c r="E502" s="38" t="str">
        <f>IF(IF(497&lt;=COUNTA(半紙!$B$11:$B$310),INDEX(半紙!$E$11:$E$310,497),IF(497&lt;=COUNTA(半紙!$B$11:$B$310)+COUNTA(条幅!$B$11:$B$310),INDEX(条幅!$E$11:$E$310,497-COUNTA(半紙!$B$11:$B$310)),IF(497&lt;=COUNTA(半紙!$B$11:$B$310)+COUNTA(条幅!$B$11:$B$310)+COUNTA(条幅4分の1!$B$11:$B$310),INDEX(条幅4分の1!$E$11:$E$310,497-COUNTA(半紙!$B$11:$B$310)-COUNTA(条幅!$B$11:$B$310)),"")))=0,"",IF(497&lt;=COUNTA(半紙!$B$11:$B$310),INDEX(半紙!$E$11:$E$310,497),IF(497&lt;=COUNTA(半紙!$B$11:$B$310)+COUNTA(条幅!$B$11:$B$310),INDEX(条幅!$E$11:$E$310,497-COUNTA(半紙!$B$11:$B$310)),IF(497&lt;=COUNTA(半紙!$B$11:$B$310)+COUNTA(条幅!$B$11:$B$310)+COUNTA(条幅4分の1!$B$11:$B$310),INDEX(条幅4分の1!$E$11:$E$310,497-COUNTA(半紙!$B$11:$B$310)-COUNTA(条幅!$B$11:$B$310)),""))))</f>
        <v/>
      </c>
      <c r="F502" s="38" t="str">
        <f>IF(IF(497&lt;=COUNTA(半紙!$B$11:$B$310),INDEX(半紙!$F$11:$F$310,497),IF(497&lt;=COUNTA(半紙!$B$11:$B$310)+COUNTA(条幅!$B$11:$B$310),INDEX(条幅!$F$11:$F$310,497-COUNTA(半紙!$B$11:$B$310)),IF(497&lt;=COUNTA(半紙!$B$11:$B$310)+COUNTA(条幅!$B$11:$B$310)+COUNTA(条幅4分の1!$B$11:$B$310),INDEX(条幅4分の1!$F$11:$F$310,497-COUNTA(半紙!$B$11:$B$310)-COUNTA(条幅!$B$11:$B$310)),"")))=0,"",IF(497&lt;=COUNTA(半紙!$B$11:$B$310),INDEX(半紙!$F$11:$F$310,497),IF(497&lt;=COUNTA(半紙!$B$11:$B$310)+COUNTA(条幅!$B$11:$B$310),INDEX(条幅!$F$11:$F$310,497-COUNTA(半紙!$B$11:$B$310)),IF(497&lt;=COUNTA(半紙!$B$11:$B$310)+COUNTA(条幅!$B$11:$B$310)+COUNTA(条幅4分の1!$B$11:$B$310),INDEX(条幅4分の1!$F$11:$F$310,497-COUNTA(半紙!$B$11:$B$310)-COUNTA(条幅!$B$11:$B$310)),""))))</f>
        <v/>
      </c>
      <c r="G502" s="38" t="str">
        <f>IF(IF(497&lt;=COUNTA(半紙!$B$11:$B$310),INDEX(半紙!$G$11:$G$310,497),IF(497&lt;=COUNTA(半紙!$B$11:$B$310)+COUNTA(条幅!$B$11:$B$310),INDEX(条幅!$G$11:$G$310,497-COUNTA(半紙!$B$11:$B$310)),IF(497&lt;=COUNTA(半紙!$B$11:$B$310)+COUNTA(条幅!$B$11:$B$310)+COUNTA(条幅4分の1!$B$11:$B$310),INDEX(条幅4分の1!$G$11:$G$310,497-COUNTA(半紙!$B$11:$B$310)-COUNTA(条幅!$B$11:$B$310)),"")))=0,"",IF(497&lt;=COUNTA(半紙!$B$11:$B$310),INDEX(半紙!$G$11:$G$310,497),IF(497&lt;=COUNTA(半紙!$B$11:$B$310)+COUNTA(条幅!$B$11:$B$310),INDEX(条幅!$G$11:$G$310,497-COUNTA(半紙!$B$11:$B$310)),IF(497&lt;=COUNTA(半紙!$B$11:$B$310)+COUNTA(条幅!$B$11:$B$310)+COUNTA(条幅4分の1!$B$11:$B$310),INDEX(条幅4分の1!$G$11:$G$310,497-COUNTA(半紙!$B$11:$B$310)-COUNTA(条幅!$B$11:$B$310)),""))))</f>
        <v/>
      </c>
      <c r="H502" s="38" t="str">
        <f>IF(IF(497&lt;=COUNTA(半紙!$B$11:$B$310),INDEX(半紙!$H$11:$H$310,497),IF(497&lt;=COUNTA(半紙!$B$11:$B$310)+COUNTA(条幅!$B$11:$B$310),INDEX(条幅!$H$11:$H$310,497-COUNTA(半紙!$B$11:$B$310)),IF(497&lt;=COUNTA(半紙!$B$11:$B$310)+COUNTA(条幅!$B$11:$B$310)+COUNTA(条幅4分の1!$B$11:$B$310),INDEX(条幅4分の1!$H$11:$H$310,497-COUNTA(半紙!$B$11:$B$310)-COUNTA(条幅!$B$11:$B$310)),"")))=0,"",IF(497&lt;=COUNTA(半紙!$B$11:$B$310),INDEX(半紙!$H$11:$H$310,497),IF(497&lt;=COUNTA(半紙!$B$11:$B$310)+COUNTA(条幅!$B$11:$B$310),INDEX(条幅!$H$11:$H$310,497-COUNTA(半紙!$B$11:$B$310)),IF(497&lt;=COUNTA(半紙!$B$11:$B$310)+COUNTA(条幅!$B$11:$B$310)+COUNTA(条幅4分の1!$B$11:$B$310),INDEX(条幅4分の1!$H$11:$H$310,497-COUNTA(半紙!$B$11:$B$310)-COUNTA(条幅!$B$11:$B$310)),""))))</f>
        <v/>
      </c>
      <c r="I502" s="38" t="str">
        <f>IF(IF(497&lt;=COUNTA(半紙!$B$11:$B$310),INDEX(半紙!$I$11:$I$310,497),IF(497&lt;=COUNTA(半紙!$B$11:$B$310)+COUNTA(条幅!$B$11:$B$310),INDEX(条幅!$I$11:$I$310,497-COUNTA(半紙!$B$11:$B$310)),IF(497&lt;=COUNTA(半紙!$B$11:$B$310)+COUNTA(条幅!$B$11:$B$310)+COUNTA(条幅4分の1!$B$11:$B$310),INDEX(条幅4分の1!$I$11:$I$310,497-COUNTA(半紙!$B$11:$B$310)-COUNTA(条幅!$B$11:$B$310)),"")))=0,"",IF(497&lt;=COUNTA(半紙!$B$11:$B$310),INDEX(半紙!$I$11:$I$310,497),IF(497&lt;=COUNTA(半紙!$B$11:$B$310)+COUNTA(条幅!$B$11:$B$310),INDEX(条幅!$I$11:$I$310,497-COUNTA(半紙!$B$11:$B$310)),IF(497&lt;=COUNTA(半紙!$B$11:$B$310)+COUNTA(条幅!$B$11:$B$310)+COUNTA(条幅4分の1!$B$11:$B$310),INDEX(条幅4分の1!$I$11:$I$310,497-COUNTA(半紙!$B$11:$B$310)-COUNTA(条幅!$B$11:$B$310)),""))))</f>
        <v/>
      </c>
      <c r="J502" s="38" t="str">
        <f>IF(IF(497&lt;=COUNTA(半紙!$B$11:$B$310),INDEX(半紙!$J$11:$J$310,497),IF(497&lt;=COUNTA(半紙!$B$11:$B$310)+COUNTA(条幅!$B$11:$B$310),INDEX(条幅!$J$11:$J$310,497-COUNTA(半紙!$B$11:$B$310)),IF(497&lt;=COUNTA(半紙!$B$11:$B$310)+COUNTA(条幅!$B$11:$B$310)+COUNTA(条幅4分の1!$B$11:$B$310),INDEX(条幅4分の1!$J$11:$J$310,497-COUNTA(半紙!$B$11:$B$310)-COUNTA(条幅!$B$11:$B$310)),"")))=0,"",IF(497&lt;=COUNTA(半紙!$B$11:$B$310),INDEX(半紙!$J$11:$J$310,497),IF(497&lt;=COUNTA(半紙!$B$11:$B$310)+COUNTA(条幅!$B$11:$B$310),INDEX(条幅!$J$11:$J$310,497-COUNTA(半紙!$B$11:$B$310)),IF(497&lt;=COUNTA(半紙!$B$11:$B$310)+COUNTA(条幅!$B$11:$B$310)+COUNTA(条幅4分の1!$B$11:$B$310),INDEX(条幅4分の1!$J$11:$J$310,497-COUNTA(半紙!$B$11:$B$310)-COUNTA(条幅!$B$11:$B$310)),""))))</f>
        <v/>
      </c>
      <c r="K502" s="38" t="str">
        <f>IF(IF(497&lt;=COUNTA(半紙!$B$11:$B$310),INDEX(半紙!$K$11:$K$310,497),IF(497&lt;=COUNTA(半紙!$B$11:$B$310)+COUNTA(条幅!$B$11:$B$310),INDEX(条幅!$K$11:$K$310,497-COUNTA(半紙!$B$11:$B$310)),IF(497&lt;=COUNTA(半紙!$B$11:$B$310)+COUNTA(条幅!$B$11:$B$310)+COUNTA(条幅4分の1!$B$11:$B$310),INDEX(条幅4分の1!$K$11:$K$310,497-COUNTA(半紙!$B$11:$B$310)-COUNTA(条幅!$B$11:$B$310)),"")))=0,"",IF(497&lt;=COUNTA(半紙!$B$11:$B$310),INDEX(半紙!$K$11:$K$310,497),IF(497&lt;=COUNTA(半紙!$B$11:$B$310)+COUNTA(条幅!$B$11:$B$310),INDEX(条幅!$K$11:$K$310,497-COUNTA(半紙!$B$11:$B$310)),IF(497&lt;=COUNTA(半紙!$B$11:$B$310)+COUNTA(条幅!$B$11:$B$310)+COUNTA(条幅4分の1!$B$11:$B$310),INDEX(条幅4分の1!$K$11:$K$310,497-COUNTA(半紙!$B$11:$B$310)-COUNTA(条幅!$B$11:$B$310)),""))))</f>
        <v/>
      </c>
      <c r="L502" s="48" t="str">
        <f>IF($B502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497))</f>
        <v/>
      </c>
    </row>
    <row r="503" spans="1:12" ht="15" customHeight="1">
      <c r="A503" s="37" t="str">
        <f>IF(498&lt;=COUNTA(半紙!$B$11:$B$310),"半紙",IF(498&lt;=COUNTA(半紙!$B$11:$B$310)+COUNTA(条幅!$B$11:$B$310),"条幅(半切)",IF(498&lt;=COUNTA(半紙!$B$11:$B$310)+COUNTA(条幅!$B$11:$B$310)+COUNTA(条幅4分の1!$B$11:$B$310),"条幅(1/4)","")))</f>
        <v/>
      </c>
      <c r="B503" s="38" t="str">
        <f>IF(IF(498&lt;=COUNTA(半紙!$B$11:$B$310),INDEX(半紙!$B$11:$B$310,498),IF(498&lt;=COUNTA(半紙!$B$11:$B$310)+COUNTA(条幅!$B$11:$B$310),INDEX(条幅!$B$11:$B$310,498-COUNTA(半紙!$B$11:$B$310)),IF(498&lt;=COUNTA(半紙!$B$11:$B$310)+COUNTA(条幅!$B$11:$B$310)+COUNTA(条幅4分の1!$B$11:$B$310),INDEX(条幅4分の1!$B$11:$B$310,498-COUNTA(半紙!$B$11:$B$310)-COUNTA(条幅!$B$11:$B$310)),"")))=0,"",IF(498&lt;=COUNTA(半紙!$B$11:$B$310),INDEX(半紙!$B$11:$B$310,498),IF(498&lt;=COUNTA(半紙!$B$11:$B$310)+COUNTA(条幅!$B$11:$B$310),INDEX(条幅!$B$11:$B$310,498-COUNTA(半紙!$B$11:$B$310)),IF(498&lt;=COUNTA(半紙!$B$11:$B$310)+COUNTA(条幅!$B$11:$B$310)+COUNTA(条幅4分の1!$B$11:$B$310),INDEX(条幅4分の1!$B$11:$B$310,498-COUNTA(半紙!$B$11:$B$310)-COUNTA(条幅!$B$11:$B$310)),""))))</f>
        <v/>
      </c>
      <c r="C503" s="38" t="str">
        <f>IF(IF(498&lt;=COUNTA(半紙!$B$11:$B$310),INDEX(半紙!$C$11:$C$310,498),IF(498&lt;=COUNTA(半紙!$B$11:$B$310)+COUNTA(条幅!$B$11:$B$310),INDEX(条幅!$C$11:$C$310,498-COUNTA(半紙!$B$11:$B$310)),IF(498&lt;=COUNTA(半紙!$B$11:$B$310)+COUNTA(条幅!$B$11:$B$310)+COUNTA(条幅4分の1!$B$11:$B$310),INDEX(条幅4分の1!$C$11:$C$310,498-COUNTA(半紙!$B$11:$B$310)-COUNTA(条幅!$B$11:$B$310)),"")))=0,"",IF(498&lt;=COUNTA(半紙!$B$11:$B$310),INDEX(半紙!$C$11:$C$310,498),IF(498&lt;=COUNTA(半紙!$B$11:$B$310)+COUNTA(条幅!$B$11:$B$310),INDEX(条幅!$C$11:$C$310,498-COUNTA(半紙!$B$11:$B$310)),IF(498&lt;=COUNTA(半紙!$B$11:$B$310)+COUNTA(条幅!$B$11:$B$310)+COUNTA(条幅4分の1!$B$11:$B$310),INDEX(条幅4分の1!$C$11:$C$310,498-COUNTA(半紙!$B$11:$B$310)-COUNTA(条幅!$B$11:$B$310)),""))))</f>
        <v/>
      </c>
      <c r="D503" s="38" t="str">
        <f>IF(IF(498&lt;=COUNTA(半紙!$B$11:$B$310),INDEX(半紙!$D$11:$D$310,498),IF(498&lt;=COUNTA(半紙!$B$11:$B$310)+COUNTA(条幅!$B$11:$B$310),INDEX(条幅!$D$11:$D$310,498-COUNTA(半紙!$B$11:$B$310)),IF(498&lt;=COUNTA(半紙!$B$11:$B$310)+COUNTA(条幅!$B$11:$B$310)+COUNTA(条幅4分の1!$B$11:$B$310),INDEX(条幅4分の1!$D$11:$D$310,498-COUNTA(半紙!$B$11:$B$310)-COUNTA(条幅!$B$11:$B$310)),"")))=0,"",IF(498&lt;=COUNTA(半紙!$B$11:$B$310),INDEX(半紙!$D$11:$D$310,498),IF(498&lt;=COUNTA(半紙!$B$11:$B$310)+COUNTA(条幅!$B$11:$B$310),INDEX(条幅!$D$11:$D$310,498-COUNTA(半紙!$B$11:$B$310)),IF(498&lt;=COUNTA(半紙!$B$11:$B$310)+COUNTA(条幅!$B$11:$B$310)+COUNTA(条幅4分の1!$B$11:$B$310),INDEX(条幅4分の1!$D$11:$D$310,498-COUNTA(半紙!$B$11:$B$310)-COUNTA(条幅!$B$11:$B$310)),""))))</f>
        <v/>
      </c>
      <c r="E503" s="38" t="str">
        <f>IF(IF(498&lt;=COUNTA(半紙!$B$11:$B$310),INDEX(半紙!$E$11:$E$310,498),IF(498&lt;=COUNTA(半紙!$B$11:$B$310)+COUNTA(条幅!$B$11:$B$310),INDEX(条幅!$E$11:$E$310,498-COUNTA(半紙!$B$11:$B$310)),IF(498&lt;=COUNTA(半紙!$B$11:$B$310)+COUNTA(条幅!$B$11:$B$310)+COUNTA(条幅4分の1!$B$11:$B$310),INDEX(条幅4分の1!$E$11:$E$310,498-COUNTA(半紙!$B$11:$B$310)-COUNTA(条幅!$B$11:$B$310)),"")))=0,"",IF(498&lt;=COUNTA(半紙!$B$11:$B$310),INDEX(半紙!$E$11:$E$310,498),IF(498&lt;=COUNTA(半紙!$B$11:$B$310)+COUNTA(条幅!$B$11:$B$310),INDEX(条幅!$E$11:$E$310,498-COUNTA(半紙!$B$11:$B$310)),IF(498&lt;=COUNTA(半紙!$B$11:$B$310)+COUNTA(条幅!$B$11:$B$310)+COUNTA(条幅4分の1!$B$11:$B$310),INDEX(条幅4分の1!$E$11:$E$310,498-COUNTA(半紙!$B$11:$B$310)-COUNTA(条幅!$B$11:$B$310)),""))))</f>
        <v/>
      </c>
      <c r="F503" s="38" t="str">
        <f>IF(IF(498&lt;=COUNTA(半紙!$B$11:$B$310),INDEX(半紙!$F$11:$F$310,498),IF(498&lt;=COUNTA(半紙!$B$11:$B$310)+COUNTA(条幅!$B$11:$B$310),INDEX(条幅!$F$11:$F$310,498-COUNTA(半紙!$B$11:$B$310)),IF(498&lt;=COUNTA(半紙!$B$11:$B$310)+COUNTA(条幅!$B$11:$B$310)+COUNTA(条幅4分の1!$B$11:$B$310),INDEX(条幅4分の1!$F$11:$F$310,498-COUNTA(半紙!$B$11:$B$310)-COUNTA(条幅!$B$11:$B$310)),"")))=0,"",IF(498&lt;=COUNTA(半紙!$B$11:$B$310),INDEX(半紙!$F$11:$F$310,498),IF(498&lt;=COUNTA(半紙!$B$11:$B$310)+COUNTA(条幅!$B$11:$B$310),INDEX(条幅!$F$11:$F$310,498-COUNTA(半紙!$B$11:$B$310)),IF(498&lt;=COUNTA(半紙!$B$11:$B$310)+COUNTA(条幅!$B$11:$B$310)+COUNTA(条幅4分の1!$B$11:$B$310),INDEX(条幅4分の1!$F$11:$F$310,498-COUNTA(半紙!$B$11:$B$310)-COUNTA(条幅!$B$11:$B$310)),""))))</f>
        <v/>
      </c>
      <c r="G503" s="38" t="str">
        <f>IF(IF(498&lt;=COUNTA(半紙!$B$11:$B$310),INDEX(半紙!$G$11:$G$310,498),IF(498&lt;=COUNTA(半紙!$B$11:$B$310)+COUNTA(条幅!$B$11:$B$310),INDEX(条幅!$G$11:$G$310,498-COUNTA(半紙!$B$11:$B$310)),IF(498&lt;=COUNTA(半紙!$B$11:$B$310)+COUNTA(条幅!$B$11:$B$310)+COUNTA(条幅4分の1!$B$11:$B$310),INDEX(条幅4分の1!$G$11:$G$310,498-COUNTA(半紙!$B$11:$B$310)-COUNTA(条幅!$B$11:$B$310)),"")))=0,"",IF(498&lt;=COUNTA(半紙!$B$11:$B$310),INDEX(半紙!$G$11:$G$310,498),IF(498&lt;=COUNTA(半紙!$B$11:$B$310)+COUNTA(条幅!$B$11:$B$310),INDEX(条幅!$G$11:$G$310,498-COUNTA(半紙!$B$11:$B$310)),IF(498&lt;=COUNTA(半紙!$B$11:$B$310)+COUNTA(条幅!$B$11:$B$310)+COUNTA(条幅4分の1!$B$11:$B$310),INDEX(条幅4分の1!$G$11:$G$310,498-COUNTA(半紙!$B$11:$B$310)-COUNTA(条幅!$B$11:$B$310)),""))))</f>
        <v/>
      </c>
      <c r="H503" s="38" t="str">
        <f>IF(IF(498&lt;=COUNTA(半紙!$B$11:$B$310),INDEX(半紙!$H$11:$H$310,498),IF(498&lt;=COUNTA(半紙!$B$11:$B$310)+COUNTA(条幅!$B$11:$B$310),INDEX(条幅!$H$11:$H$310,498-COUNTA(半紙!$B$11:$B$310)),IF(498&lt;=COUNTA(半紙!$B$11:$B$310)+COUNTA(条幅!$B$11:$B$310)+COUNTA(条幅4分の1!$B$11:$B$310),INDEX(条幅4分の1!$H$11:$H$310,498-COUNTA(半紙!$B$11:$B$310)-COUNTA(条幅!$B$11:$B$310)),"")))=0,"",IF(498&lt;=COUNTA(半紙!$B$11:$B$310),INDEX(半紙!$H$11:$H$310,498),IF(498&lt;=COUNTA(半紙!$B$11:$B$310)+COUNTA(条幅!$B$11:$B$310),INDEX(条幅!$H$11:$H$310,498-COUNTA(半紙!$B$11:$B$310)),IF(498&lt;=COUNTA(半紙!$B$11:$B$310)+COUNTA(条幅!$B$11:$B$310)+COUNTA(条幅4分の1!$B$11:$B$310),INDEX(条幅4分の1!$H$11:$H$310,498-COUNTA(半紙!$B$11:$B$310)-COUNTA(条幅!$B$11:$B$310)),""))))</f>
        <v/>
      </c>
      <c r="I503" s="38" t="str">
        <f>IF(IF(498&lt;=COUNTA(半紙!$B$11:$B$310),INDEX(半紙!$I$11:$I$310,498),IF(498&lt;=COUNTA(半紙!$B$11:$B$310)+COUNTA(条幅!$B$11:$B$310),INDEX(条幅!$I$11:$I$310,498-COUNTA(半紙!$B$11:$B$310)),IF(498&lt;=COUNTA(半紙!$B$11:$B$310)+COUNTA(条幅!$B$11:$B$310)+COUNTA(条幅4分の1!$B$11:$B$310),INDEX(条幅4分の1!$I$11:$I$310,498-COUNTA(半紙!$B$11:$B$310)-COUNTA(条幅!$B$11:$B$310)),"")))=0,"",IF(498&lt;=COUNTA(半紙!$B$11:$B$310),INDEX(半紙!$I$11:$I$310,498),IF(498&lt;=COUNTA(半紙!$B$11:$B$310)+COUNTA(条幅!$B$11:$B$310),INDEX(条幅!$I$11:$I$310,498-COUNTA(半紙!$B$11:$B$310)),IF(498&lt;=COUNTA(半紙!$B$11:$B$310)+COUNTA(条幅!$B$11:$B$310)+COUNTA(条幅4分の1!$B$11:$B$310),INDEX(条幅4分の1!$I$11:$I$310,498-COUNTA(半紙!$B$11:$B$310)-COUNTA(条幅!$B$11:$B$310)),""))))</f>
        <v/>
      </c>
      <c r="J503" s="38" t="str">
        <f>IF(IF(498&lt;=COUNTA(半紙!$B$11:$B$310),INDEX(半紙!$J$11:$J$310,498),IF(498&lt;=COUNTA(半紙!$B$11:$B$310)+COUNTA(条幅!$B$11:$B$310),INDEX(条幅!$J$11:$J$310,498-COUNTA(半紙!$B$11:$B$310)),IF(498&lt;=COUNTA(半紙!$B$11:$B$310)+COUNTA(条幅!$B$11:$B$310)+COUNTA(条幅4分の1!$B$11:$B$310),INDEX(条幅4分の1!$J$11:$J$310,498-COUNTA(半紙!$B$11:$B$310)-COUNTA(条幅!$B$11:$B$310)),"")))=0,"",IF(498&lt;=COUNTA(半紙!$B$11:$B$310),INDEX(半紙!$J$11:$J$310,498),IF(498&lt;=COUNTA(半紙!$B$11:$B$310)+COUNTA(条幅!$B$11:$B$310),INDEX(条幅!$J$11:$J$310,498-COUNTA(半紙!$B$11:$B$310)),IF(498&lt;=COUNTA(半紙!$B$11:$B$310)+COUNTA(条幅!$B$11:$B$310)+COUNTA(条幅4分の1!$B$11:$B$310),INDEX(条幅4分の1!$J$11:$J$310,498-COUNTA(半紙!$B$11:$B$310)-COUNTA(条幅!$B$11:$B$310)),""))))</f>
        <v/>
      </c>
      <c r="K503" s="38" t="str">
        <f>IF(IF(498&lt;=COUNTA(半紙!$B$11:$B$310),INDEX(半紙!$K$11:$K$310,498),IF(498&lt;=COUNTA(半紙!$B$11:$B$310)+COUNTA(条幅!$B$11:$B$310),INDEX(条幅!$K$11:$K$310,498-COUNTA(半紙!$B$11:$B$310)),IF(498&lt;=COUNTA(半紙!$B$11:$B$310)+COUNTA(条幅!$B$11:$B$310)+COUNTA(条幅4分の1!$B$11:$B$310),INDEX(条幅4分の1!$K$11:$K$310,498-COUNTA(半紙!$B$11:$B$310)-COUNTA(条幅!$B$11:$B$310)),"")))=0,"",IF(498&lt;=COUNTA(半紙!$B$11:$B$310),INDEX(半紙!$K$11:$K$310,498),IF(498&lt;=COUNTA(半紙!$B$11:$B$310)+COUNTA(条幅!$B$11:$B$310),INDEX(条幅!$K$11:$K$310,498-COUNTA(半紙!$B$11:$B$310)),IF(498&lt;=COUNTA(半紙!$B$11:$B$310)+COUNTA(条幅!$B$11:$B$310)+COUNTA(条幅4分の1!$B$11:$B$310),INDEX(条幅4分の1!$K$11:$K$310,498-COUNTA(半紙!$B$11:$B$310)-COUNTA(条幅!$B$11:$B$310)),""))))</f>
        <v/>
      </c>
      <c r="L503" s="48" t="str">
        <f>IF($B503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498))</f>
        <v/>
      </c>
    </row>
    <row r="504" spans="1:12" ht="15" customHeight="1">
      <c r="A504" s="37" t="str">
        <f>IF(499&lt;=COUNTA(半紙!$B$11:$B$310),"半紙",IF(499&lt;=COUNTA(半紙!$B$11:$B$310)+COUNTA(条幅!$B$11:$B$310),"条幅(半切)",IF(499&lt;=COUNTA(半紙!$B$11:$B$310)+COUNTA(条幅!$B$11:$B$310)+COUNTA(条幅4分の1!$B$11:$B$310),"条幅(1/4)","")))</f>
        <v/>
      </c>
      <c r="B504" s="38" t="str">
        <f>IF(IF(499&lt;=COUNTA(半紙!$B$11:$B$310),INDEX(半紙!$B$11:$B$310,499),IF(499&lt;=COUNTA(半紙!$B$11:$B$310)+COUNTA(条幅!$B$11:$B$310),INDEX(条幅!$B$11:$B$310,499-COUNTA(半紙!$B$11:$B$310)),IF(499&lt;=COUNTA(半紙!$B$11:$B$310)+COUNTA(条幅!$B$11:$B$310)+COUNTA(条幅4分の1!$B$11:$B$310),INDEX(条幅4分の1!$B$11:$B$310,499-COUNTA(半紙!$B$11:$B$310)-COUNTA(条幅!$B$11:$B$310)),"")))=0,"",IF(499&lt;=COUNTA(半紙!$B$11:$B$310),INDEX(半紙!$B$11:$B$310,499),IF(499&lt;=COUNTA(半紙!$B$11:$B$310)+COUNTA(条幅!$B$11:$B$310),INDEX(条幅!$B$11:$B$310,499-COUNTA(半紙!$B$11:$B$310)),IF(499&lt;=COUNTA(半紙!$B$11:$B$310)+COUNTA(条幅!$B$11:$B$310)+COUNTA(条幅4分の1!$B$11:$B$310),INDEX(条幅4分の1!$B$11:$B$310,499-COUNTA(半紙!$B$11:$B$310)-COUNTA(条幅!$B$11:$B$310)),""))))</f>
        <v/>
      </c>
      <c r="C504" s="38" t="str">
        <f>IF(IF(499&lt;=COUNTA(半紙!$B$11:$B$310),INDEX(半紙!$C$11:$C$310,499),IF(499&lt;=COUNTA(半紙!$B$11:$B$310)+COUNTA(条幅!$B$11:$B$310),INDEX(条幅!$C$11:$C$310,499-COUNTA(半紙!$B$11:$B$310)),IF(499&lt;=COUNTA(半紙!$B$11:$B$310)+COUNTA(条幅!$B$11:$B$310)+COUNTA(条幅4分の1!$B$11:$B$310),INDEX(条幅4分の1!$C$11:$C$310,499-COUNTA(半紙!$B$11:$B$310)-COUNTA(条幅!$B$11:$B$310)),"")))=0,"",IF(499&lt;=COUNTA(半紙!$B$11:$B$310),INDEX(半紙!$C$11:$C$310,499),IF(499&lt;=COUNTA(半紙!$B$11:$B$310)+COUNTA(条幅!$B$11:$B$310),INDEX(条幅!$C$11:$C$310,499-COUNTA(半紙!$B$11:$B$310)),IF(499&lt;=COUNTA(半紙!$B$11:$B$310)+COUNTA(条幅!$B$11:$B$310)+COUNTA(条幅4分の1!$B$11:$B$310),INDEX(条幅4分の1!$C$11:$C$310,499-COUNTA(半紙!$B$11:$B$310)-COUNTA(条幅!$B$11:$B$310)),""))))</f>
        <v/>
      </c>
      <c r="D504" s="38" t="str">
        <f>IF(IF(499&lt;=COUNTA(半紙!$B$11:$B$310),INDEX(半紙!$D$11:$D$310,499),IF(499&lt;=COUNTA(半紙!$B$11:$B$310)+COUNTA(条幅!$B$11:$B$310),INDEX(条幅!$D$11:$D$310,499-COUNTA(半紙!$B$11:$B$310)),IF(499&lt;=COUNTA(半紙!$B$11:$B$310)+COUNTA(条幅!$B$11:$B$310)+COUNTA(条幅4分の1!$B$11:$B$310),INDEX(条幅4分の1!$D$11:$D$310,499-COUNTA(半紙!$B$11:$B$310)-COUNTA(条幅!$B$11:$B$310)),"")))=0,"",IF(499&lt;=COUNTA(半紙!$B$11:$B$310),INDEX(半紙!$D$11:$D$310,499),IF(499&lt;=COUNTA(半紙!$B$11:$B$310)+COUNTA(条幅!$B$11:$B$310),INDEX(条幅!$D$11:$D$310,499-COUNTA(半紙!$B$11:$B$310)),IF(499&lt;=COUNTA(半紙!$B$11:$B$310)+COUNTA(条幅!$B$11:$B$310)+COUNTA(条幅4分の1!$B$11:$B$310),INDEX(条幅4分の1!$D$11:$D$310,499-COUNTA(半紙!$B$11:$B$310)-COUNTA(条幅!$B$11:$B$310)),""))))</f>
        <v/>
      </c>
      <c r="E504" s="38" t="str">
        <f>IF(IF(499&lt;=COUNTA(半紙!$B$11:$B$310),INDEX(半紙!$E$11:$E$310,499),IF(499&lt;=COUNTA(半紙!$B$11:$B$310)+COUNTA(条幅!$B$11:$B$310),INDEX(条幅!$E$11:$E$310,499-COUNTA(半紙!$B$11:$B$310)),IF(499&lt;=COUNTA(半紙!$B$11:$B$310)+COUNTA(条幅!$B$11:$B$310)+COUNTA(条幅4分の1!$B$11:$B$310),INDEX(条幅4分の1!$E$11:$E$310,499-COUNTA(半紙!$B$11:$B$310)-COUNTA(条幅!$B$11:$B$310)),"")))=0,"",IF(499&lt;=COUNTA(半紙!$B$11:$B$310),INDEX(半紙!$E$11:$E$310,499),IF(499&lt;=COUNTA(半紙!$B$11:$B$310)+COUNTA(条幅!$B$11:$B$310),INDEX(条幅!$E$11:$E$310,499-COUNTA(半紙!$B$11:$B$310)),IF(499&lt;=COUNTA(半紙!$B$11:$B$310)+COUNTA(条幅!$B$11:$B$310)+COUNTA(条幅4分の1!$B$11:$B$310),INDEX(条幅4分の1!$E$11:$E$310,499-COUNTA(半紙!$B$11:$B$310)-COUNTA(条幅!$B$11:$B$310)),""))))</f>
        <v/>
      </c>
      <c r="F504" s="38" t="str">
        <f>IF(IF(499&lt;=COUNTA(半紙!$B$11:$B$310),INDEX(半紙!$F$11:$F$310,499),IF(499&lt;=COUNTA(半紙!$B$11:$B$310)+COUNTA(条幅!$B$11:$B$310),INDEX(条幅!$F$11:$F$310,499-COUNTA(半紙!$B$11:$B$310)),IF(499&lt;=COUNTA(半紙!$B$11:$B$310)+COUNTA(条幅!$B$11:$B$310)+COUNTA(条幅4分の1!$B$11:$B$310),INDEX(条幅4分の1!$F$11:$F$310,499-COUNTA(半紙!$B$11:$B$310)-COUNTA(条幅!$B$11:$B$310)),"")))=0,"",IF(499&lt;=COUNTA(半紙!$B$11:$B$310),INDEX(半紙!$F$11:$F$310,499),IF(499&lt;=COUNTA(半紙!$B$11:$B$310)+COUNTA(条幅!$B$11:$B$310),INDEX(条幅!$F$11:$F$310,499-COUNTA(半紙!$B$11:$B$310)),IF(499&lt;=COUNTA(半紙!$B$11:$B$310)+COUNTA(条幅!$B$11:$B$310)+COUNTA(条幅4分の1!$B$11:$B$310),INDEX(条幅4分の1!$F$11:$F$310,499-COUNTA(半紙!$B$11:$B$310)-COUNTA(条幅!$B$11:$B$310)),""))))</f>
        <v/>
      </c>
      <c r="G504" s="38" t="str">
        <f>IF(IF(499&lt;=COUNTA(半紙!$B$11:$B$310),INDEX(半紙!$G$11:$G$310,499),IF(499&lt;=COUNTA(半紙!$B$11:$B$310)+COUNTA(条幅!$B$11:$B$310),INDEX(条幅!$G$11:$G$310,499-COUNTA(半紙!$B$11:$B$310)),IF(499&lt;=COUNTA(半紙!$B$11:$B$310)+COUNTA(条幅!$B$11:$B$310)+COUNTA(条幅4分の1!$B$11:$B$310),INDEX(条幅4分の1!$G$11:$G$310,499-COUNTA(半紙!$B$11:$B$310)-COUNTA(条幅!$B$11:$B$310)),"")))=0,"",IF(499&lt;=COUNTA(半紙!$B$11:$B$310),INDEX(半紙!$G$11:$G$310,499),IF(499&lt;=COUNTA(半紙!$B$11:$B$310)+COUNTA(条幅!$B$11:$B$310),INDEX(条幅!$G$11:$G$310,499-COUNTA(半紙!$B$11:$B$310)),IF(499&lt;=COUNTA(半紙!$B$11:$B$310)+COUNTA(条幅!$B$11:$B$310)+COUNTA(条幅4分の1!$B$11:$B$310),INDEX(条幅4分の1!$G$11:$G$310,499-COUNTA(半紙!$B$11:$B$310)-COUNTA(条幅!$B$11:$B$310)),""))))</f>
        <v/>
      </c>
      <c r="H504" s="38" t="str">
        <f>IF(IF(499&lt;=COUNTA(半紙!$B$11:$B$310),INDEX(半紙!$H$11:$H$310,499),IF(499&lt;=COUNTA(半紙!$B$11:$B$310)+COUNTA(条幅!$B$11:$B$310),INDEX(条幅!$H$11:$H$310,499-COUNTA(半紙!$B$11:$B$310)),IF(499&lt;=COUNTA(半紙!$B$11:$B$310)+COUNTA(条幅!$B$11:$B$310)+COUNTA(条幅4分の1!$B$11:$B$310),INDEX(条幅4分の1!$H$11:$H$310,499-COUNTA(半紙!$B$11:$B$310)-COUNTA(条幅!$B$11:$B$310)),"")))=0,"",IF(499&lt;=COUNTA(半紙!$B$11:$B$310),INDEX(半紙!$H$11:$H$310,499),IF(499&lt;=COUNTA(半紙!$B$11:$B$310)+COUNTA(条幅!$B$11:$B$310),INDEX(条幅!$H$11:$H$310,499-COUNTA(半紙!$B$11:$B$310)),IF(499&lt;=COUNTA(半紙!$B$11:$B$310)+COUNTA(条幅!$B$11:$B$310)+COUNTA(条幅4分の1!$B$11:$B$310),INDEX(条幅4分の1!$H$11:$H$310,499-COUNTA(半紙!$B$11:$B$310)-COUNTA(条幅!$B$11:$B$310)),""))))</f>
        <v/>
      </c>
      <c r="I504" s="38" t="str">
        <f>IF(IF(499&lt;=COUNTA(半紙!$B$11:$B$310),INDEX(半紙!$I$11:$I$310,499),IF(499&lt;=COUNTA(半紙!$B$11:$B$310)+COUNTA(条幅!$B$11:$B$310),INDEX(条幅!$I$11:$I$310,499-COUNTA(半紙!$B$11:$B$310)),IF(499&lt;=COUNTA(半紙!$B$11:$B$310)+COUNTA(条幅!$B$11:$B$310)+COUNTA(条幅4分の1!$B$11:$B$310),INDEX(条幅4分の1!$I$11:$I$310,499-COUNTA(半紙!$B$11:$B$310)-COUNTA(条幅!$B$11:$B$310)),"")))=0,"",IF(499&lt;=COUNTA(半紙!$B$11:$B$310),INDEX(半紙!$I$11:$I$310,499),IF(499&lt;=COUNTA(半紙!$B$11:$B$310)+COUNTA(条幅!$B$11:$B$310),INDEX(条幅!$I$11:$I$310,499-COUNTA(半紙!$B$11:$B$310)),IF(499&lt;=COUNTA(半紙!$B$11:$B$310)+COUNTA(条幅!$B$11:$B$310)+COUNTA(条幅4分の1!$B$11:$B$310),INDEX(条幅4分の1!$I$11:$I$310,499-COUNTA(半紙!$B$11:$B$310)-COUNTA(条幅!$B$11:$B$310)),""))))</f>
        <v/>
      </c>
      <c r="J504" s="38" t="str">
        <f>IF(IF(499&lt;=COUNTA(半紙!$B$11:$B$310),INDEX(半紙!$J$11:$J$310,499),IF(499&lt;=COUNTA(半紙!$B$11:$B$310)+COUNTA(条幅!$B$11:$B$310),INDEX(条幅!$J$11:$J$310,499-COUNTA(半紙!$B$11:$B$310)),IF(499&lt;=COUNTA(半紙!$B$11:$B$310)+COUNTA(条幅!$B$11:$B$310)+COUNTA(条幅4分の1!$B$11:$B$310),INDEX(条幅4分の1!$J$11:$J$310,499-COUNTA(半紙!$B$11:$B$310)-COUNTA(条幅!$B$11:$B$310)),"")))=0,"",IF(499&lt;=COUNTA(半紙!$B$11:$B$310),INDEX(半紙!$J$11:$J$310,499),IF(499&lt;=COUNTA(半紙!$B$11:$B$310)+COUNTA(条幅!$B$11:$B$310),INDEX(条幅!$J$11:$J$310,499-COUNTA(半紙!$B$11:$B$310)),IF(499&lt;=COUNTA(半紙!$B$11:$B$310)+COUNTA(条幅!$B$11:$B$310)+COUNTA(条幅4分の1!$B$11:$B$310),INDEX(条幅4分の1!$J$11:$J$310,499-COUNTA(半紙!$B$11:$B$310)-COUNTA(条幅!$B$11:$B$310)),""))))</f>
        <v/>
      </c>
      <c r="K504" s="38" t="str">
        <f>IF(IF(499&lt;=COUNTA(半紙!$B$11:$B$310),INDEX(半紙!$K$11:$K$310,499),IF(499&lt;=COUNTA(半紙!$B$11:$B$310)+COUNTA(条幅!$B$11:$B$310),INDEX(条幅!$K$11:$K$310,499-COUNTA(半紙!$B$11:$B$310)),IF(499&lt;=COUNTA(半紙!$B$11:$B$310)+COUNTA(条幅!$B$11:$B$310)+COUNTA(条幅4分の1!$B$11:$B$310),INDEX(条幅4分の1!$K$11:$K$310,499-COUNTA(半紙!$B$11:$B$310)-COUNTA(条幅!$B$11:$B$310)),"")))=0,"",IF(499&lt;=COUNTA(半紙!$B$11:$B$310),INDEX(半紙!$K$11:$K$310,499),IF(499&lt;=COUNTA(半紙!$B$11:$B$310)+COUNTA(条幅!$B$11:$B$310),INDEX(条幅!$K$11:$K$310,499-COUNTA(半紙!$B$11:$B$310)),IF(499&lt;=COUNTA(半紙!$B$11:$B$310)+COUNTA(条幅!$B$11:$B$310)+COUNTA(条幅4分の1!$B$11:$B$310),INDEX(条幅4分の1!$K$11:$K$310,499-COUNTA(半紙!$B$11:$B$310)-COUNTA(条幅!$B$11:$B$310)),""))))</f>
        <v/>
      </c>
      <c r="L504" s="48" t="str">
        <f>IF($B504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499))</f>
        <v/>
      </c>
    </row>
    <row r="505" spans="1:12" ht="15" customHeight="1">
      <c r="A505" s="37" t="str">
        <f>IF(500&lt;=COUNTA(半紙!$B$11:$B$310),"半紙",IF(500&lt;=COUNTA(半紙!$B$11:$B$310)+COUNTA(条幅!$B$11:$B$310),"条幅(半切)",IF(500&lt;=COUNTA(半紙!$B$11:$B$310)+COUNTA(条幅!$B$11:$B$310)+COUNTA(条幅4分の1!$B$11:$B$310),"条幅(1/4)","")))</f>
        <v/>
      </c>
      <c r="B505" s="38" t="str">
        <f>IF(IF(500&lt;=COUNTA(半紙!$B$11:$B$310),INDEX(半紙!$B$11:$B$310,500),IF(500&lt;=COUNTA(半紙!$B$11:$B$310)+COUNTA(条幅!$B$11:$B$310),INDEX(条幅!$B$11:$B$310,500-COUNTA(半紙!$B$11:$B$310)),IF(500&lt;=COUNTA(半紙!$B$11:$B$310)+COUNTA(条幅!$B$11:$B$310)+COUNTA(条幅4分の1!$B$11:$B$310),INDEX(条幅4分の1!$B$11:$B$310,500-COUNTA(半紙!$B$11:$B$310)-COUNTA(条幅!$B$11:$B$310)),"")))=0,"",IF(500&lt;=COUNTA(半紙!$B$11:$B$310),INDEX(半紙!$B$11:$B$310,500),IF(500&lt;=COUNTA(半紙!$B$11:$B$310)+COUNTA(条幅!$B$11:$B$310),INDEX(条幅!$B$11:$B$310,500-COUNTA(半紙!$B$11:$B$310)),IF(500&lt;=COUNTA(半紙!$B$11:$B$310)+COUNTA(条幅!$B$11:$B$310)+COUNTA(条幅4分の1!$B$11:$B$310),INDEX(条幅4分の1!$B$11:$B$310,500-COUNTA(半紙!$B$11:$B$310)-COUNTA(条幅!$B$11:$B$310)),""))))</f>
        <v/>
      </c>
      <c r="C505" s="38" t="str">
        <f>IF(IF(500&lt;=COUNTA(半紙!$B$11:$B$310),INDEX(半紙!$C$11:$C$310,500),IF(500&lt;=COUNTA(半紙!$B$11:$B$310)+COUNTA(条幅!$B$11:$B$310),INDEX(条幅!$C$11:$C$310,500-COUNTA(半紙!$B$11:$B$310)),IF(500&lt;=COUNTA(半紙!$B$11:$B$310)+COUNTA(条幅!$B$11:$B$310)+COUNTA(条幅4分の1!$B$11:$B$310),INDEX(条幅4分の1!$C$11:$C$310,500-COUNTA(半紙!$B$11:$B$310)-COUNTA(条幅!$B$11:$B$310)),"")))=0,"",IF(500&lt;=COUNTA(半紙!$B$11:$B$310),INDEX(半紙!$C$11:$C$310,500),IF(500&lt;=COUNTA(半紙!$B$11:$B$310)+COUNTA(条幅!$B$11:$B$310),INDEX(条幅!$C$11:$C$310,500-COUNTA(半紙!$B$11:$B$310)),IF(500&lt;=COUNTA(半紙!$B$11:$B$310)+COUNTA(条幅!$B$11:$B$310)+COUNTA(条幅4分の1!$B$11:$B$310),INDEX(条幅4分の1!$C$11:$C$310,500-COUNTA(半紙!$B$11:$B$310)-COUNTA(条幅!$B$11:$B$310)),""))))</f>
        <v/>
      </c>
      <c r="D505" s="38" t="str">
        <f>IF(IF(500&lt;=COUNTA(半紙!$B$11:$B$310),INDEX(半紙!$D$11:$D$310,500),IF(500&lt;=COUNTA(半紙!$B$11:$B$310)+COUNTA(条幅!$B$11:$B$310),INDEX(条幅!$D$11:$D$310,500-COUNTA(半紙!$B$11:$B$310)),IF(500&lt;=COUNTA(半紙!$B$11:$B$310)+COUNTA(条幅!$B$11:$B$310)+COUNTA(条幅4分の1!$B$11:$B$310),INDEX(条幅4分の1!$D$11:$D$310,500-COUNTA(半紙!$B$11:$B$310)-COUNTA(条幅!$B$11:$B$310)),"")))=0,"",IF(500&lt;=COUNTA(半紙!$B$11:$B$310),INDEX(半紙!$D$11:$D$310,500),IF(500&lt;=COUNTA(半紙!$B$11:$B$310)+COUNTA(条幅!$B$11:$B$310),INDEX(条幅!$D$11:$D$310,500-COUNTA(半紙!$B$11:$B$310)),IF(500&lt;=COUNTA(半紙!$B$11:$B$310)+COUNTA(条幅!$B$11:$B$310)+COUNTA(条幅4分の1!$B$11:$B$310),INDEX(条幅4分の1!$D$11:$D$310,500-COUNTA(半紙!$B$11:$B$310)-COUNTA(条幅!$B$11:$B$310)),""))))</f>
        <v/>
      </c>
      <c r="E505" s="38" t="str">
        <f>IF(IF(500&lt;=COUNTA(半紙!$B$11:$B$310),INDEX(半紙!$E$11:$E$310,500),IF(500&lt;=COUNTA(半紙!$B$11:$B$310)+COUNTA(条幅!$B$11:$B$310),INDEX(条幅!$E$11:$E$310,500-COUNTA(半紙!$B$11:$B$310)),IF(500&lt;=COUNTA(半紙!$B$11:$B$310)+COUNTA(条幅!$B$11:$B$310)+COUNTA(条幅4分の1!$B$11:$B$310),INDEX(条幅4分の1!$E$11:$E$310,500-COUNTA(半紙!$B$11:$B$310)-COUNTA(条幅!$B$11:$B$310)),"")))=0,"",IF(500&lt;=COUNTA(半紙!$B$11:$B$310),INDEX(半紙!$E$11:$E$310,500),IF(500&lt;=COUNTA(半紙!$B$11:$B$310)+COUNTA(条幅!$B$11:$B$310),INDEX(条幅!$E$11:$E$310,500-COUNTA(半紙!$B$11:$B$310)),IF(500&lt;=COUNTA(半紙!$B$11:$B$310)+COUNTA(条幅!$B$11:$B$310)+COUNTA(条幅4分の1!$B$11:$B$310),INDEX(条幅4分の1!$E$11:$E$310,500-COUNTA(半紙!$B$11:$B$310)-COUNTA(条幅!$B$11:$B$310)),""))))</f>
        <v/>
      </c>
      <c r="F505" s="38" t="str">
        <f>IF(IF(500&lt;=COUNTA(半紙!$B$11:$B$310),INDEX(半紙!$F$11:$F$310,500),IF(500&lt;=COUNTA(半紙!$B$11:$B$310)+COUNTA(条幅!$B$11:$B$310),INDEX(条幅!$F$11:$F$310,500-COUNTA(半紙!$B$11:$B$310)),IF(500&lt;=COUNTA(半紙!$B$11:$B$310)+COUNTA(条幅!$B$11:$B$310)+COUNTA(条幅4分の1!$B$11:$B$310),INDEX(条幅4分の1!$F$11:$F$310,500-COUNTA(半紙!$B$11:$B$310)-COUNTA(条幅!$B$11:$B$310)),"")))=0,"",IF(500&lt;=COUNTA(半紙!$B$11:$B$310),INDEX(半紙!$F$11:$F$310,500),IF(500&lt;=COUNTA(半紙!$B$11:$B$310)+COUNTA(条幅!$B$11:$B$310),INDEX(条幅!$F$11:$F$310,500-COUNTA(半紙!$B$11:$B$310)),IF(500&lt;=COUNTA(半紙!$B$11:$B$310)+COUNTA(条幅!$B$11:$B$310)+COUNTA(条幅4分の1!$B$11:$B$310),INDEX(条幅4分の1!$F$11:$F$310,500-COUNTA(半紙!$B$11:$B$310)-COUNTA(条幅!$B$11:$B$310)),""))))</f>
        <v/>
      </c>
      <c r="G505" s="38" t="str">
        <f>IF(IF(500&lt;=COUNTA(半紙!$B$11:$B$310),INDEX(半紙!$G$11:$G$310,500),IF(500&lt;=COUNTA(半紙!$B$11:$B$310)+COUNTA(条幅!$B$11:$B$310),INDEX(条幅!$G$11:$G$310,500-COUNTA(半紙!$B$11:$B$310)),IF(500&lt;=COUNTA(半紙!$B$11:$B$310)+COUNTA(条幅!$B$11:$B$310)+COUNTA(条幅4分の1!$B$11:$B$310),INDEX(条幅4分の1!$G$11:$G$310,500-COUNTA(半紙!$B$11:$B$310)-COUNTA(条幅!$B$11:$B$310)),"")))=0,"",IF(500&lt;=COUNTA(半紙!$B$11:$B$310),INDEX(半紙!$G$11:$G$310,500),IF(500&lt;=COUNTA(半紙!$B$11:$B$310)+COUNTA(条幅!$B$11:$B$310),INDEX(条幅!$G$11:$G$310,500-COUNTA(半紙!$B$11:$B$310)),IF(500&lt;=COUNTA(半紙!$B$11:$B$310)+COUNTA(条幅!$B$11:$B$310)+COUNTA(条幅4分の1!$B$11:$B$310),INDEX(条幅4分の1!$G$11:$G$310,500-COUNTA(半紙!$B$11:$B$310)-COUNTA(条幅!$B$11:$B$310)),""))))</f>
        <v/>
      </c>
      <c r="H505" s="38" t="str">
        <f>IF(IF(500&lt;=COUNTA(半紙!$B$11:$B$310),INDEX(半紙!$H$11:$H$310,500),IF(500&lt;=COUNTA(半紙!$B$11:$B$310)+COUNTA(条幅!$B$11:$B$310),INDEX(条幅!$H$11:$H$310,500-COUNTA(半紙!$B$11:$B$310)),IF(500&lt;=COUNTA(半紙!$B$11:$B$310)+COUNTA(条幅!$B$11:$B$310)+COUNTA(条幅4分の1!$B$11:$B$310),INDEX(条幅4分の1!$H$11:$H$310,500-COUNTA(半紙!$B$11:$B$310)-COUNTA(条幅!$B$11:$B$310)),"")))=0,"",IF(500&lt;=COUNTA(半紙!$B$11:$B$310),INDEX(半紙!$H$11:$H$310,500),IF(500&lt;=COUNTA(半紙!$B$11:$B$310)+COUNTA(条幅!$B$11:$B$310),INDEX(条幅!$H$11:$H$310,500-COUNTA(半紙!$B$11:$B$310)),IF(500&lt;=COUNTA(半紙!$B$11:$B$310)+COUNTA(条幅!$B$11:$B$310)+COUNTA(条幅4分の1!$B$11:$B$310),INDEX(条幅4分の1!$H$11:$H$310,500-COUNTA(半紙!$B$11:$B$310)-COUNTA(条幅!$B$11:$B$310)),""))))</f>
        <v/>
      </c>
      <c r="I505" s="38" t="str">
        <f>IF(IF(500&lt;=COUNTA(半紙!$B$11:$B$310),INDEX(半紙!$I$11:$I$310,500),IF(500&lt;=COUNTA(半紙!$B$11:$B$310)+COUNTA(条幅!$B$11:$B$310),INDEX(条幅!$I$11:$I$310,500-COUNTA(半紙!$B$11:$B$310)),IF(500&lt;=COUNTA(半紙!$B$11:$B$310)+COUNTA(条幅!$B$11:$B$310)+COUNTA(条幅4分の1!$B$11:$B$310),INDEX(条幅4分の1!$I$11:$I$310,500-COUNTA(半紙!$B$11:$B$310)-COUNTA(条幅!$B$11:$B$310)),"")))=0,"",IF(500&lt;=COUNTA(半紙!$B$11:$B$310),INDEX(半紙!$I$11:$I$310,500),IF(500&lt;=COUNTA(半紙!$B$11:$B$310)+COUNTA(条幅!$B$11:$B$310),INDEX(条幅!$I$11:$I$310,500-COUNTA(半紙!$B$11:$B$310)),IF(500&lt;=COUNTA(半紙!$B$11:$B$310)+COUNTA(条幅!$B$11:$B$310)+COUNTA(条幅4分の1!$B$11:$B$310),INDEX(条幅4分の1!$I$11:$I$310,500-COUNTA(半紙!$B$11:$B$310)-COUNTA(条幅!$B$11:$B$310)),""))))</f>
        <v/>
      </c>
      <c r="J505" s="38" t="str">
        <f>IF(IF(500&lt;=COUNTA(半紙!$B$11:$B$310),INDEX(半紙!$J$11:$J$310,500),IF(500&lt;=COUNTA(半紙!$B$11:$B$310)+COUNTA(条幅!$B$11:$B$310),INDEX(条幅!$J$11:$J$310,500-COUNTA(半紙!$B$11:$B$310)),IF(500&lt;=COUNTA(半紙!$B$11:$B$310)+COUNTA(条幅!$B$11:$B$310)+COUNTA(条幅4分の1!$B$11:$B$310),INDEX(条幅4分の1!$J$11:$J$310,500-COUNTA(半紙!$B$11:$B$310)-COUNTA(条幅!$B$11:$B$310)),"")))=0,"",IF(500&lt;=COUNTA(半紙!$B$11:$B$310),INDEX(半紙!$J$11:$J$310,500),IF(500&lt;=COUNTA(半紙!$B$11:$B$310)+COUNTA(条幅!$B$11:$B$310),INDEX(条幅!$J$11:$J$310,500-COUNTA(半紙!$B$11:$B$310)),IF(500&lt;=COUNTA(半紙!$B$11:$B$310)+COUNTA(条幅!$B$11:$B$310)+COUNTA(条幅4分の1!$B$11:$B$310),INDEX(条幅4分の1!$J$11:$J$310,500-COUNTA(半紙!$B$11:$B$310)-COUNTA(条幅!$B$11:$B$310)),""))))</f>
        <v/>
      </c>
      <c r="K505" s="38" t="str">
        <f>IF(IF(500&lt;=COUNTA(半紙!$B$11:$B$310),INDEX(半紙!$K$11:$K$310,500),IF(500&lt;=COUNTA(半紙!$B$11:$B$310)+COUNTA(条幅!$B$11:$B$310),INDEX(条幅!$K$11:$K$310,500-COUNTA(半紙!$B$11:$B$310)),IF(500&lt;=COUNTA(半紙!$B$11:$B$310)+COUNTA(条幅!$B$11:$B$310)+COUNTA(条幅4分の1!$B$11:$B$310),INDEX(条幅4分の1!$K$11:$K$310,500-COUNTA(半紙!$B$11:$B$310)-COUNTA(条幅!$B$11:$B$310)),"")))=0,"",IF(500&lt;=COUNTA(半紙!$B$11:$B$310),INDEX(半紙!$K$11:$K$310,500),IF(500&lt;=COUNTA(半紙!$B$11:$B$310)+COUNTA(条幅!$B$11:$B$310),INDEX(条幅!$K$11:$K$310,500-COUNTA(半紙!$B$11:$B$310)),IF(500&lt;=COUNTA(半紙!$B$11:$B$310)+COUNTA(条幅!$B$11:$B$310)+COUNTA(条幅4分の1!$B$11:$B$310),INDEX(条幅4分の1!$K$11:$K$310,500-COUNTA(半紙!$B$11:$B$310)-COUNTA(条幅!$B$11:$B$310)),""))))</f>
        <v/>
      </c>
      <c r="L505" s="48" t="str">
        <f>IF($B505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500))</f>
        <v/>
      </c>
    </row>
    <row r="506" spans="1:12" ht="15" customHeight="1">
      <c r="A506" s="37" t="str">
        <f>IF(501&lt;=COUNTA(半紙!$B$11:$B$310),"半紙",IF(501&lt;=COUNTA(半紙!$B$11:$B$310)+COUNTA(条幅!$B$11:$B$310),"条幅(半切)",IF(501&lt;=COUNTA(半紙!$B$11:$B$310)+COUNTA(条幅!$B$11:$B$310)+COUNTA(条幅4分の1!$B$11:$B$310),"条幅(1/4)","")))</f>
        <v/>
      </c>
      <c r="B506" s="38" t="str">
        <f>IF(IF(501&lt;=COUNTA(半紙!$B$11:$B$310),INDEX(半紙!$B$11:$B$310,501),IF(501&lt;=COUNTA(半紙!$B$11:$B$310)+COUNTA(条幅!$B$11:$B$310),INDEX(条幅!$B$11:$B$310,501-COUNTA(半紙!$B$11:$B$310)),IF(501&lt;=COUNTA(半紙!$B$11:$B$310)+COUNTA(条幅!$B$11:$B$310)+COUNTA(条幅4分の1!$B$11:$B$310),INDEX(条幅4分の1!$B$11:$B$310,501-COUNTA(半紙!$B$11:$B$310)-COUNTA(条幅!$B$11:$B$310)),"")))=0,"",IF(501&lt;=COUNTA(半紙!$B$11:$B$310),INDEX(半紙!$B$11:$B$310,501),IF(501&lt;=COUNTA(半紙!$B$11:$B$310)+COUNTA(条幅!$B$11:$B$310),INDEX(条幅!$B$11:$B$310,501-COUNTA(半紙!$B$11:$B$310)),IF(501&lt;=COUNTA(半紙!$B$11:$B$310)+COUNTA(条幅!$B$11:$B$310)+COUNTA(条幅4分の1!$B$11:$B$310),INDEX(条幅4分の1!$B$11:$B$310,501-COUNTA(半紙!$B$11:$B$310)-COUNTA(条幅!$B$11:$B$310)),""))))</f>
        <v/>
      </c>
      <c r="C506" s="38" t="str">
        <f>IF(IF(501&lt;=COUNTA(半紙!$B$11:$B$310),INDEX(半紙!$C$11:$C$310,501),IF(501&lt;=COUNTA(半紙!$B$11:$B$310)+COUNTA(条幅!$B$11:$B$310),INDEX(条幅!$C$11:$C$310,501-COUNTA(半紙!$B$11:$B$310)),IF(501&lt;=COUNTA(半紙!$B$11:$B$310)+COUNTA(条幅!$B$11:$B$310)+COUNTA(条幅4分の1!$B$11:$B$310),INDEX(条幅4分の1!$C$11:$C$310,501-COUNTA(半紙!$B$11:$B$310)-COUNTA(条幅!$B$11:$B$310)),"")))=0,"",IF(501&lt;=COUNTA(半紙!$B$11:$B$310),INDEX(半紙!$C$11:$C$310,501),IF(501&lt;=COUNTA(半紙!$B$11:$B$310)+COUNTA(条幅!$B$11:$B$310),INDEX(条幅!$C$11:$C$310,501-COUNTA(半紙!$B$11:$B$310)),IF(501&lt;=COUNTA(半紙!$B$11:$B$310)+COUNTA(条幅!$B$11:$B$310)+COUNTA(条幅4分の1!$B$11:$B$310),INDEX(条幅4分の1!$C$11:$C$310,501-COUNTA(半紙!$B$11:$B$310)-COUNTA(条幅!$B$11:$B$310)),""))))</f>
        <v/>
      </c>
      <c r="D506" s="38" t="str">
        <f>IF(IF(501&lt;=COUNTA(半紙!$B$11:$B$310),INDEX(半紙!$D$11:$D$310,501),IF(501&lt;=COUNTA(半紙!$B$11:$B$310)+COUNTA(条幅!$B$11:$B$310),INDEX(条幅!$D$11:$D$310,501-COUNTA(半紙!$B$11:$B$310)),IF(501&lt;=COUNTA(半紙!$B$11:$B$310)+COUNTA(条幅!$B$11:$B$310)+COUNTA(条幅4分の1!$B$11:$B$310),INDEX(条幅4分の1!$D$11:$D$310,501-COUNTA(半紙!$B$11:$B$310)-COUNTA(条幅!$B$11:$B$310)),"")))=0,"",IF(501&lt;=COUNTA(半紙!$B$11:$B$310),INDEX(半紙!$D$11:$D$310,501),IF(501&lt;=COUNTA(半紙!$B$11:$B$310)+COUNTA(条幅!$B$11:$B$310),INDEX(条幅!$D$11:$D$310,501-COUNTA(半紙!$B$11:$B$310)),IF(501&lt;=COUNTA(半紙!$B$11:$B$310)+COUNTA(条幅!$B$11:$B$310)+COUNTA(条幅4分の1!$B$11:$B$310),INDEX(条幅4分の1!$D$11:$D$310,501-COUNTA(半紙!$B$11:$B$310)-COUNTA(条幅!$B$11:$B$310)),""))))</f>
        <v/>
      </c>
      <c r="E506" s="38" t="str">
        <f>IF(IF(501&lt;=COUNTA(半紙!$B$11:$B$310),INDEX(半紙!$E$11:$E$310,501),IF(501&lt;=COUNTA(半紙!$B$11:$B$310)+COUNTA(条幅!$B$11:$B$310),INDEX(条幅!$E$11:$E$310,501-COUNTA(半紙!$B$11:$B$310)),IF(501&lt;=COUNTA(半紙!$B$11:$B$310)+COUNTA(条幅!$B$11:$B$310)+COUNTA(条幅4分の1!$B$11:$B$310),INDEX(条幅4分の1!$E$11:$E$310,501-COUNTA(半紙!$B$11:$B$310)-COUNTA(条幅!$B$11:$B$310)),"")))=0,"",IF(501&lt;=COUNTA(半紙!$B$11:$B$310),INDEX(半紙!$E$11:$E$310,501),IF(501&lt;=COUNTA(半紙!$B$11:$B$310)+COUNTA(条幅!$B$11:$B$310),INDEX(条幅!$E$11:$E$310,501-COUNTA(半紙!$B$11:$B$310)),IF(501&lt;=COUNTA(半紙!$B$11:$B$310)+COUNTA(条幅!$B$11:$B$310)+COUNTA(条幅4分の1!$B$11:$B$310),INDEX(条幅4分の1!$E$11:$E$310,501-COUNTA(半紙!$B$11:$B$310)-COUNTA(条幅!$B$11:$B$310)),""))))</f>
        <v/>
      </c>
      <c r="F506" s="38" t="str">
        <f>IF(IF(501&lt;=COUNTA(半紙!$B$11:$B$310),INDEX(半紙!$F$11:$F$310,501),IF(501&lt;=COUNTA(半紙!$B$11:$B$310)+COUNTA(条幅!$B$11:$B$310),INDEX(条幅!$F$11:$F$310,501-COUNTA(半紙!$B$11:$B$310)),IF(501&lt;=COUNTA(半紙!$B$11:$B$310)+COUNTA(条幅!$B$11:$B$310)+COUNTA(条幅4分の1!$B$11:$B$310),INDEX(条幅4分の1!$F$11:$F$310,501-COUNTA(半紙!$B$11:$B$310)-COUNTA(条幅!$B$11:$B$310)),"")))=0,"",IF(501&lt;=COUNTA(半紙!$B$11:$B$310),INDEX(半紙!$F$11:$F$310,501),IF(501&lt;=COUNTA(半紙!$B$11:$B$310)+COUNTA(条幅!$B$11:$B$310),INDEX(条幅!$F$11:$F$310,501-COUNTA(半紙!$B$11:$B$310)),IF(501&lt;=COUNTA(半紙!$B$11:$B$310)+COUNTA(条幅!$B$11:$B$310)+COUNTA(条幅4分の1!$B$11:$B$310),INDEX(条幅4分の1!$F$11:$F$310,501-COUNTA(半紙!$B$11:$B$310)-COUNTA(条幅!$B$11:$B$310)),""))))</f>
        <v/>
      </c>
      <c r="G506" s="38" t="str">
        <f>IF(IF(501&lt;=COUNTA(半紙!$B$11:$B$310),INDEX(半紙!$G$11:$G$310,501),IF(501&lt;=COUNTA(半紙!$B$11:$B$310)+COUNTA(条幅!$B$11:$B$310),INDEX(条幅!$G$11:$G$310,501-COUNTA(半紙!$B$11:$B$310)),IF(501&lt;=COUNTA(半紙!$B$11:$B$310)+COUNTA(条幅!$B$11:$B$310)+COUNTA(条幅4分の1!$B$11:$B$310),INDEX(条幅4分の1!$G$11:$G$310,501-COUNTA(半紙!$B$11:$B$310)-COUNTA(条幅!$B$11:$B$310)),"")))=0,"",IF(501&lt;=COUNTA(半紙!$B$11:$B$310),INDEX(半紙!$G$11:$G$310,501),IF(501&lt;=COUNTA(半紙!$B$11:$B$310)+COUNTA(条幅!$B$11:$B$310),INDEX(条幅!$G$11:$G$310,501-COUNTA(半紙!$B$11:$B$310)),IF(501&lt;=COUNTA(半紙!$B$11:$B$310)+COUNTA(条幅!$B$11:$B$310)+COUNTA(条幅4分の1!$B$11:$B$310),INDEX(条幅4分の1!$G$11:$G$310,501-COUNTA(半紙!$B$11:$B$310)-COUNTA(条幅!$B$11:$B$310)),""))))</f>
        <v/>
      </c>
      <c r="H506" s="38" t="str">
        <f>IF(IF(501&lt;=COUNTA(半紙!$B$11:$B$310),INDEX(半紙!$H$11:$H$310,501),IF(501&lt;=COUNTA(半紙!$B$11:$B$310)+COUNTA(条幅!$B$11:$B$310),INDEX(条幅!$H$11:$H$310,501-COUNTA(半紙!$B$11:$B$310)),IF(501&lt;=COUNTA(半紙!$B$11:$B$310)+COUNTA(条幅!$B$11:$B$310)+COUNTA(条幅4分の1!$B$11:$B$310),INDEX(条幅4分の1!$H$11:$H$310,501-COUNTA(半紙!$B$11:$B$310)-COUNTA(条幅!$B$11:$B$310)),"")))=0,"",IF(501&lt;=COUNTA(半紙!$B$11:$B$310),INDEX(半紙!$H$11:$H$310,501),IF(501&lt;=COUNTA(半紙!$B$11:$B$310)+COUNTA(条幅!$B$11:$B$310),INDEX(条幅!$H$11:$H$310,501-COUNTA(半紙!$B$11:$B$310)),IF(501&lt;=COUNTA(半紙!$B$11:$B$310)+COUNTA(条幅!$B$11:$B$310)+COUNTA(条幅4分の1!$B$11:$B$310),INDEX(条幅4分の1!$H$11:$H$310,501-COUNTA(半紙!$B$11:$B$310)-COUNTA(条幅!$B$11:$B$310)),""))))</f>
        <v/>
      </c>
      <c r="I506" s="38" t="str">
        <f>IF(IF(501&lt;=COUNTA(半紙!$B$11:$B$310),INDEX(半紙!$I$11:$I$310,501),IF(501&lt;=COUNTA(半紙!$B$11:$B$310)+COUNTA(条幅!$B$11:$B$310),INDEX(条幅!$I$11:$I$310,501-COUNTA(半紙!$B$11:$B$310)),IF(501&lt;=COUNTA(半紙!$B$11:$B$310)+COUNTA(条幅!$B$11:$B$310)+COUNTA(条幅4分の1!$B$11:$B$310),INDEX(条幅4分の1!$I$11:$I$310,501-COUNTA(半紙!$B$11:$B$310)-COUNTA(条幅!$B$11:$B$310)),"")))=0,"",IF(501&lt;=COUNTA(半紙!$B$11:$B$310),INDEX(半紙!$I$11:$I$310,501),IF(501&lt;=COUNTA(半紙!$B$11:$B$310)+COUNTA(条幅!$B$11:$B$310),INDEX(条幅!$I$11:$I$310,501-COUNTA(半紙!$B$11:$B$310)),IF(501&lt;=COUNTA(半紙!$B$11:$B$310)+COUNTA(条幅!$B$11:$B$310)+COUNTA(条幅4分の1!$B$11:$B$310),INDEX(条幅4分の1!$I$11:$I$310,501-COUNTA(半紙!$B$11:$B$310)-COUNTA(条幅!$B$11:$B$310)),""))))</f>
        <v/>
      </c>
      <c r="J506" s="38" t="str">
        <f>IF(IF(501&lt;=COUNTA(半紙!$B$11:$B$310),INDEX(半紙!$J$11:$J$310,501),IF(501&lt;=COUNTA(半紙!$B$11:$B$310)+COUNTA(条幅!$B$11:$B$310),INDEX(条幅!$J$11:$J$310,501-COUNTA(半紙!$B$11:$B$310)),IF(501&lt;=COUNTA(半紙!$B$11:$B$310)+COUNTA(条幅!$B$11:$B$310)+COUNTA(条幅4分の1!$B$11:$B$310),INDEX(条幅4分の1!$J$11:$J$310,501-COUNTA(半紙!$B$11:$B$310)-COUNTA(条幅!$B$11:$B$310)),"")))=0,"",IF(501&lt;=COUNTA(半紙!$B$11:$B$310),INDEX(半紙!$J$11:$J$310,501),IF(501&lt;=COUNTA(半紙!$B$11:$B$310)+COUNTA(条幅!$B$11:$B$310),INDEX(条幅!$J$11:$J$310,501-COUNTA(半紙!$B$11:$B$310)),IF(501&lt;=COUNTA(半紙!$B$11:$B$310)+COUNTA(条幅!$B$11:$B$310)+COUNTA(条幅4分の1!$B$11:$B$310),INDEX(条幅4分の1!$J$11:$J$310,501-COUNTA(半紙!$B$11:$B$310)-COUNTA(条幅!$B$11:$B$310)),""))))</f>
        <v/>
      </c>
      <c r="K506" s="38" t="str">
        <f>IF(IF(501&lt;=COUNTA(半紙!$B$11:$B$310),INDEX(半紙!$K$11:$K$310,501),IF(501&lt;=COUNTA(半紙!$B$11:$B$310)+COUNTA(条幅!$B$11:$B$310),INDEX(条幅!$K$11:$K$310,501-COUNTA(半紙!$B$11:$B$310)),IF(501&lt;=COUNTA(半紙!$B$11:$B$310)+COUNTA(条幅!$B$11:$B$310)+COUNTA(条幅4分の1!$B$11:$B$310),INDEX(条幅4分の1!$K$11:$K$310,501-COUNTA(半紙!$B$11:$B$310)-COUNTA(条幅!$B$11:$B$310)),"")))=0,"",IF(501&lt;=COUNTA(半紙!$B$11:$B$310),INDEX(半紙!$K$11:$K$310,501),IF(501&lt;=COUNTA(半紙!$B$11:$B$310)+COUNTA(条幅!$B$11:$B$310),INDEX(条幅!$K$11:$K$310,501-COUNTA(半紙!$B$11:$B$310)),IF(501&lt;=COUNTA(半紙!$B$11:$B$310)+COUNTA(条幅!$B$11:$B$310)+COUNTA(条幅4分の1!$B$11:$B$310),INDEX(条幅4分の1!$K$11:$K$310,501-COUNTA(半紙!$B$11:$B$310)-COUNTA(条幅!$B$11:$B$310)),""))))</f>
        <v/>
      </c>
      <c r="L506" s="48" t="str">
        <f>IF($B506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501))</f>
        <v/>
      </c>
    </row>
    <row r="507" spans="1:12" ht="15" customHeight="1">
      <c r="A507" s="37" t="str">
        <f>IF(502&lt;=COUNTA(半紙!$B$11:$B$310),"半紙",IF(502&lt;=COUNTA(半紙!$B$11:$B$310)+COUNTA(条幅!$B$11:$B$310),"条幅(半切)",IF(502&lt;=COUNTA(半紙!$B$11:$B$310)+COUNTA(条幅!$B$11:$B$310)+COUNTA(条幅4分の1!$B$11:$B$310),"条幅(1/4)","")))</f>
        <v/>
      </c>
      <c r="B507" s="38" t="str">
        <f>IF(IF(502&lt;=COUNTA(半紙!$B$11:$B$310),INDEX(半紙!$B$11:$B$310,502),IF(502&lt;=COUNTA(半紙!$B$11:$B$310)+COUNTA(条幅!$B$11:$B$310),INDEX(条幅!$B$11:$B$310,502-COUNTA(半紙!$B$11:$B$310)),IF(502&lt;=COUNTA(半紙!$B$11:$B$310)+COUNTA(条幅!$B$11:$B$310)+COUNTA(条幅4分の1!$B$11:$B$310),INDEX(条幅4分の1!$B$11:$B$310,502-COUNTA(半紙!$B$11:$B$310)-COUNTA(条幅!$B$11:$B$310)),"")))=0,"",IF(502&lt;=COUNTA(半紙!$B$11:$B$310),INDEX(半紙!$B$11:$B$310,502),IF(502&lt;=COUNTA(半紙!$B$11:$B$310)+COUNTA(条幅!$B$11:$B$310),INDEX(条幅!$B$11:$B$310,502-COUNTA(半紙!$B$11:$B$310)),IF(502&lt;=COUNTA(半紙!$B$11:$B$310)+COUNTA(条幅!$B$11:$B$310)+COUNTA(条幅4分の1!$B$11:$B$310),INDEX(条幅4分の1!$B$11:$B$310,502-COUNTA(半紙!$B$11:$B$310)-COUNTA(条幅!$B$11:$B$310)),""))))</f>
        <v/>
      </c>
      <c r="C507" s="38" t="str">
        <f>IF(IF(502&lt;=COUNTA(半紙!$B$11:$B$310),INDEX(半紙!$C$11:$C$310,502),IF(502&lt;=COUNTA(半紙!$B$11:$B$310)+COUNTA(条幅!$B$11:$B$310),INDEX(条幅!$C$11:$C$310,502-COUNTA(半紙!$B$11:$B$310)),IF(502&lt;=COUNTA(半紙!$B$11:$B$310)+COUNTA(条幅!$B$11:$B$310)+COUNTA(条幅4分の1!$B$11:$B$310),INDEX(条幅4分の1!$C$11:$C$310,502-COUNTA(半紙!$B$11:$B$310)-COUNTA(条幅!$B$11:$B$310)),"")))=0,"",IF(502&lt;=COUNTA(半紙!$B$11:$B$310),INDEX(半紙!$C$11:$C$310,502),IF(502&lt;=COUNTA(半紙!$B$11:$B$310)+COUNTA(条幅!$B$11:$B$310),INDEX(条幅!$C$11:$C$310,502-COUNTA(半紙!$B$11:$B$310)),IF(502&lt;=COUNTA(半紙!$B$11:$B$310)+COUNTA(条幅!$B$11:$B$310)+COUNTA(条幅4分の1!$B$11:$B$310),INDEX(条幅4分の1!$C$11:$C$310,502-COUNTA(半紙!$B$11:$B$310)-COUNTA(条幅!$B$11:$B$310)),""))))</f>
        <v/>
      </c>
      <c r="D507" s="38" t="str">
        <f>IF(IF(502&lt;=COUNTA(半紙!$B$11:$B$310),INDEX(半紙!$D$11:$D$310,502),IF(502&lt;=COUNTA(半紙!$B$11:$B$310)+COUNTA(条幅!$B$11:$B$310),INDEX(条幅!$D$11:$D$310,502-COUNTA(半紙!$B$11:$B$310)),IF(502&lt;=COUNTA(半紙!$B$11:$B$310)+COUNTA(条幅!$B$11:$B$310)+COUNTA(条幅4分の1!$B$11:$B$310),INDEX(条幅4分の1!$D$11:$D$310,502-COUNTA(半紙!$B$11:$B$310)-COUNTA(条幅!$B$11:$B$310)),"")))=0,"",IF(502&lt;=COUNTA(半紙!$B$11:$B$310),INDEX(半紙!$D$11:$D$310,502),IF(502&lt;=COUNTA(半紙!$B$11:$B$310)+COUNTA(条幅!$B$11:$B$310),INDEX(条幅!$D$11:$D$310,502-COUNTA(半紙!$B$11:$B$310)),IF(502&lt;=COUNTA(半紙!$B$11:$B$310)+COUNTA(条幅!$B$11:$B$310)+COUNTA(条幅4分の1!$B$11:$B$310),INDEX(条幅4分の1!$D$11:$D$310,502-COUNTA(半紙!$B$11:$B$310)-COUNTA(条幅!$B$11:$B$310)),""))))</f>
        <v/>
      </c>
      <c r="E507" s="38" t="str">
        <f>IF(IF(502&lt;=COUNTA(半紙!$B$11:$B$310),INDEX(半紙!$E$11:$E$310,502),IF(502&lt;=COUNTA(半紙!$B$11:$B$310)+COUNTA(条幅!$B$11:$B$310),INDEX(条幅!$E$11:$E$310,502-COUNTA(半紙!$B$11:$B$310)),IF(502&lt;=COUNTA(半紙!$B$11:$B$310)+COUNTA(条幅!$B$11:$B$310)+COUNTA(条幅4分の1!$B$11:$B$310),INDEX(条幅4分の1!$E$11:$E$310,502-COUNTA(半紙!$B$11:$B$310)-COUNTA(条幅!$B$11:$B$310)),"")))=0,"",IF(502&lt;=COUNTA(半紙!$B$11:$B$310),INDEX(半紙!$E$11:$E$310,502),IF(502&lt;=COUNTA(半紙!$B$11:$B$310)+COUNTA(条幅!$B$11:$B$310),INDEX(条幅!$E$11:$E$310,502-COUNTA(半紙!$B$11:$B$310)),IF(502&lt;=COUNTA(半紙!$B$11:$B$310)+COUNTA(条幅!$B$11:$B$310)+COUNTA(条幅4分の1!$B$11:$B$310),INDEX(条幅4分の1!$E$11:$E$310,502-COUNTA(半紙!$B$11:$B$310)-COUNTA(条幅!$B$11:$B$310)),""))))</f>
        <v/>
      </c>
      <c r="F507" s="38" t="str">
        <f>IF(IF(502&lt;=COUNTA(半紙!$B$11:$B$310),INDEX(半紙!$F$11:$F$310,502),IF(502&lt;=COUNTA(半紙!$B$11:$B$310)+COUNTA(条幅!$B$11:$B$310),INDEX(条幅!$F$11:$F$310,502-COUNTA(半紙!$B$11:$B$310)),IF(502&lt;=COUNTA(半紙!$B$11:$B$310)+COUNTA(条幅!$B$11:$B$310)+COUNTA(条幅4分の1!$B$11:$B$310),INDEX(条幅4分の1!$F$11:$F$310,502-COUNTA(半紙!$B$11:$B$310)-COUNTA(条幅!$B$11:$B$310)),"")))=0,"",IF(502&lt;=COUNTA(半紙!$B$11:$B$310),INDEX(半紙!$F$11:$F$310,502),IF(502&lt;=COUNTA(半紙!$B$11:$B$310)+COUNTA(条幅!$B$11:$B$310),INDEX(条幅!$F$11:$F$310,502-COUNTA(半紙!$B$11:$B$310)),IF(502&lt;=COUNTA(半紙!$B$11:$B$310)+COUNTA(条幅!$B$11:$B$310)+COUNTA(条幅4分の1!$B$11:$B$310),INDEX(条幅4分の1!$F$11:$F$310,502-COUNTA(半紙!$B$11:$B$310)-COUNTA(条幅!$B$11:$B$310)),""))))</f>
        <v/>
      </c>
      <c r="G507" s="38" t="str">
        <f>IF(IF(502&lt;=COUNTA(半紙!$B$11:$B$310),INDEX(半紙!$G$11:$G$310,502),IF(502&lt;=COUNTA(半紙!$B$11:$B$310)+COUNTA(条幅!$B$11:$B$310),INDEX(条幅!$G$11:$G$310,502-COUNTA(半紙!$B$11:$B$310)),IF(502&lt;=COUNTA(半紙!$B$11:$B$310)+COUNTA(条幅!$B$11:$B$310)+COUNTA(条幅4分の1!$B$11:$B$310),INDEX(条幅4分の1!$G$11:$G$310,502-COUNTA(半紙!$B$11:$B$310)-COUNTA(条幅!$B$11:$B$310)),"")))=0,"",IF(502&lt;=COUNTA(半紙!$B$11:$B$310),INDEX(半紙!$G$11:$G$310,502),IF(502&lt;=COUNTA(半紙!$B$11:$B$310)+COUNTA(条幅!$B$11:$B$310),INDEX(条幅!$G$11:$G$310,502-COUNTA(半紙!$B$11:$B$310)),IF(502&lt;=COUNTA(半紙!$B$11:$B$310)+COUNTA(条幅!$B$11:$B$310)+COUNTA(条幅4分の1!$B$11:$B$310),INDEX(条幅4分の1!$G$11:$G$310,502-COUNTA(半紙!$B$11:$B$310)-COUNTA(条幅!$B$11:$B$310)),""))))</f>
        <v/>
      </c>
      <c r="H507" s="38" t="str">
        <f>IF(IF(502&lt;=COUNTA(半紙!$B$11:$B$310),INDEX(半紙!$H$11:$H$310,502),IF(502&lt;=COUNTA(半紙!$B$11:$B$310)+COUNTA(条幅!$B$11:$B$310),INDEX(条幅!$H$11:$H$310,502-COUNTA(半紙!$B$11:$B$310)),IF(502&lt;=COUNTA(半紙!$B$11:$B$310)+COUNTA(条幅!$B$11:$B$310)+COUNTA(条幅4分の1!$B$11:$B$310),INDEX(条幅4分の1!$H$11:$H$310,502-COUNTA(半紙!$B$11:$B$310)-COUNTA(条幅!$B$11:$B$310)),"")))=0,"",IF(502&lt;=COUNTA(半紙!$B$11:$B$310),INDEX(半紙!$H$11:$H$310,502),IF(502&lt;=COUNTA(半紙!$B$11:$B$310)+COUNTA(条幅!$B$11:$B$310),INDEX(条幅!$H$11:$H$310,502-COUNTA(半紙!$B$11:$B$310)),IF(502&lt;=COUNTA(半紙!$B$11:$B$310)+COUNTA(条幅!$B$11:$B$310)+COUNTA(条幅4分の1!$B$11:$B$310),INDEX(条幅4分の1!$H$11:$H$310,502-COUNTA(半紙!$B$11:$B$310)-COUNTA(条幅!$B$11:$B$310)),""))))</f>
        <v/>
      </c>
      <c r="I507" s="38" t="str">
        <f>IF(IF(502&lt;=COUNTA(半紙!$B$11:$B$310),INDEX(半紙!$I$11:$I$310,502),IF(502&lt;=COUNTA(半紙!$B$11:$B$310)+COUNTA(条幅!$B$11:$B$310),INDEX(条幅!$I$11:$I$310,502-COUNTA(半紙!$B$11:$B$310)),IF(502&lt;=COUNTA(半紙!$B$11:$B$310)+COUNTA(条幅!$B$11:$B$310)+COUNTA(条幅4分の1!$B$11:$B$310),INDEX(条幅4分の1!$I$11:$I$310,502-COUNTA(半紙!$B$11:$B$310)-COUNTA(条幅!$B$11:$B$310)),"")))=0,"",IF(502&lt;=COUNTA(半紙!$B$11:$B$310),INDEX(半紙!$I$11:$I$310,502),IF(502&lt;=COUNTA(半紙!$B$11:$B$310)+COUNTA(条幅!$B$11:$B$310),INDEX(条幅!$I$11:$I$310,502-COUNTA(半紙!$B$11:$B$310)),IF(502&lt;=COUNTA(半紙!$B$11:$B$310)+COUNTA(条幅!$B$11:$B$310)+COUNTA(条幅4分の1!$B$11:$B$310),INDEX(条幅4分の1!$I$11:$I$310,502-COUNTA(半紙!$B$11:$B$310)-COUNTA(条幅!$B$11:$B$310)),""))))</f>
        <v/>
      </c>
      <c r="J507" s="38" t="str">
        <f>IF(IF(502&lt;=COUNTA(半紙!$B$11:$B$310),INDEX(半紙!$J$11:$J$310,502),IF(502&lt;=COUNTA(半紙!$B$11:$B$310)+COUNTA(条幅!$B$11:$B$310),INDEX(条幅!$J$11:$J$310,502-COUNTA(半紙!$B$11:$B$310)),IF(502&lt;=COUNTA(半紙!$B$11:$B$310)+COUNTA(条幅!$B$11:$B$310)+COUNTA(条幅4分の1!$B$11:$B$310),INDEX(条幅4分の1!$J$11:$J$310,502-COUNTA(半紙!$B$11:$B$310)-COUNTA(条幅!$B$11:$B$310)),"")))=0,"",IF(502&lt;=COUNTA(半紙!$B$11:$B$310),INDEX(半紙!$J$11:$J$310,502),IF(502&lt;=COUNTA(半紙!$B$11:$B$310)+COUNTA(条幅!$B$11:$B$310),INDEX(条幅!$J$11:$J$310,502-COUNTA(半紙!$B$11:$B$310)),IF(502&lt;=COUNTA(半紙!$B$11:$B$310)+COUNTA(条幅!$B$11:$B$310)+COUNTA(条幅4分の1!$B$11:$B$310),INDEX(条幅4分の1!$J$11:$J$310,502-COUNTA(半紙!$B$11:$B$310)-COUNTA(条幅!$B$11:$B$310)),""))))</f>
        <v/>
      </c>
      <c r="K507" s="38" t="str">
        <f>IF(IF(502&lt;=COUNTA(半紙!$B$11:$B$310),INDEX(半紙!$K$11:$K$310,502),IF(502&lt;=COUNTA(半紙!$B$11:$B$310)+COUNTA(条幅!$B$11:$B$310),INDEX(条幅!$K$11:$K$310,502-COUNTA(半紙!$B$11:$B$310)),IF(502&lt;=COUNTA(半紙!$B$11:$B$310)+COUNTA(条幅!$B$11:$B$310)+COUNTA(条幅4分の1!$B$11:$B$310),INDEX(条幅4分の1!$K$11:$K$310,502-COUNTA(半紙!$B$11:$B$310)-COUNTA(条幅!$B$11:$B$310)),"")))=0,"",IF(502&lt;=COUNTA(半紙!$B$11:$B$310),INDEX(半紙!$K$11:$K$310,502),IF(502&lt;=COUNTA(半紙!$B$11:$B$310)+COUNTA(条幅!$B$11:$B$310),INDEX(条幅!$K$11:$K$310,502-COUNTA(半紙!$B$11:$B$310)),IF(502&lt;=COUNTA(半紙!$B$11:$B$310)+COUNTA(条幅!$B$11:$B$310)+COUNTA(条幅4分の1!$B$11:$B$310),INDEX(条幅4分の1!$K$11:$K$310,502-COUNTA(半紙!$B$11:$B$310)-COUNTA(条幅!$B$11:$B$310)),""))))</f>
        <v/>
      </c>
      <c r="L507" s="48" t="str">
        <f>IF($B507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502))</f>
        <v/>
      </c>
    </row>
    <row r="508" spans="1:12" ht="15" customHeight="1">
      <c r="A508" s="37" t="str">
        <f>IF(503&lt;=COUNTA(半紙!$B$11:$B$310),"半紙",IF(503&lt;=COUNTA(半紙!$B$11:$B$310)+COUNTA(条幅!$B$11:$B$310),"条幅(半切)",IF(503&lt;=COUNTA(半紙!$B$11:$B$310)+COUNTA(条幅!$B$11:$B$310)+COUNTA(条幅4分の1!$B$11:$B$310),"条幅(1/4)","")))</f>
        <v/>
      </c>
      <c r="B508" s="38" t="str">
        <f>IF(IF(503&lt;=COUNTA(半紙!$B$11:$B$310),INDEX(半紙!$B$11:$B$310,503),IF(503&lt;=COUNTA(半紙!$B$11:$B$310)+COUNTA(条幅!$B$11:$B$310),INDEX(条幅!$B$11:$B$310,503-COUNTA(半紙!$B$11:$B$310)),IF(503&lt;=COUNTA(半紙!$B$11:$B$310)+COUNTA(条幅!$B$11:$B$310)+COUNTA(条幅4分の1!$B$11:$B$310),INDEX(条幅4分の1!$B$11:$B$310,503-COUNTA(半紙!$B$11:$B$310)-COUNTA(条幅!$B$11:$B$310)),"")))=0,"",IF(503&lt;=COUNTA(半紙!$B$11:$B$310),INDEX(半紙!$B$11:$B$310,503),IF(503&lt;=COUNTA(半紙!$B$11:$B$310)+COUNTA(条幅!$B$11:$B$310),INDEX(条幅!$B$11:$B$310,503-COUNTA(半紙!$B$11:$B$310)),IF(503&lt;=COUNTA(半紙!$B$11:$B$310)+COUNTA(条幅!$B$11:$B$310)+COUNTA(条幅4分の1!$B$11:$B$310),INDEX(条幅4分の1!$B$11:$B$310,503-COUNTA(半紙!$B$11:$B$310)-COUNTA(条幅!$B$11:$B$310)),""))))</f>
        <v/>
      </c>
      <c r="C508" s="38" t="str">
        <f>IF(IF(503&lt;=COUNTA(半紙!$B$11:$B$310),INDEX(半紙!$C$11:$C$310,503),IF(503&lt;=COUNTA(半紙!$B$11:$B$310)+COUNTA(条幅!$B$11:$B$310),INDEX(条幅!$C$11:$C$310,503-COUNTA(半紙!$B$11:$B$310)),IF(503&lt;=COUNTA(半紙!$B$11:$B$310)+COUNTA(条幅!$B$11:$B$310)+COUNTA(条幅4分の1!$B$11:$B$310),INDEX(条幅4分の1!$C$11:$C$310,503-COUNTA(半紙!$B$11:$B$310)-COUNTA(条幅!$B$11:$B$310)),"")))=0,"",IF(503&lt;=COUNTA(半紙!$B$11:$B$310),INDEX(半紙!$C$11:$C$310,503),IF(503&lt;=COUNTA(半紙!$B$11:$B$310)+COUNTA(条幅!$B$11:$B$310),INDEX(条幅!$C$11:$C$310,503-COUNTA(半紙!$B$11:$B$310)),IF(503&lt;=COUNTA(半紙!$B$11:$B$310)+COUNTA(条幅!$B$11:$B$310)+COUNTA(条幅4分の1!$B$11:$B$310),INDEX(条幅4分の1!$C$11:$C$310,503-COUNTA(半紙!$B$11:$B$310)-COUNTA(条幅!$B$11:$B$310)),""))))</f>
        <v/>
      </c>
      <c r="D508" s="38" t="str">
        <f>IF(IF(503&lt;=COUNTA(半紙!$B$11:$B$310),INDEX(半紙!$D$11:$D$310,503),IF(503&lt;=COUNTA(半紙!$B$11:$B$310)+COUNTA(条幅!$B$11:$B$310),INDEX(条幅!$D$11:$D$310,503-COUNTA(半紙!$B$11:$B$310)),IF(503&lt;=COUNTA(半紙!$B$11:$B$310)+COUNTA(条幅!$B$11:$B$310)+COUNTA(条幅4分の1!$B$11:$B$310),INDEX(条幅4分の1!$D$11:$D$310,503-COUNTA(半紙!$B$11:$B$310)-COUNTA(条幅!$B$11:$B$310)),"")))=0,"",IF(503&lt;=COUNTA(半紙!$B$11:$B$310),INDEX(半紙!$D$11:$D$310,503),IF(503&lt;=COUNTA(半紙!$B$11:$B$310)+COUNTA(条幅!$B$11:$B$310),INDEX(条幅!$D$11:$D$310,503-COUNTA(半紙!$B$11:$B$310)),IF(503&lt;=COUNTA(半紙!$B$11:$B$310)+COUNTA(条幅!$B$11:$B$310)+COUNTA(条幅4分の1!$B$11:$B$310),INDEX(条幅4分の1!$D$11:$D$310,503-COUNTA(半紙!$B$11:$B$310)-COUNTA(条幅!$B$11:$B$310)),""))))</f>
        <v/>
      </c>
      <c r="E508" s="38" t="str">
        <f>IF(IF(503&lt;=COUNTA(半紙!$B$11:$B$310),INDEX(半紙!$E$11:$E$310,503),IF(503&lt;=COUNTA(半紙!$B$11:$B$310)+COUNTA(条幅!$B$11:$B$310),INDEX(条幅!$E$11:$E$310,503-COUNTA(半紙!$B$11:$B$310)),IF(503&lt;=COUNTA(半紙!$B$11:$B$310)+COUNTA(条幅!$B$11:$B$310)+COUNTA(条幅4分の1!$B$11:$B$310),INDEX(条幅4分の1!$E$11:$E$310,503-COUNTA(半紙!$B$11:$B$310)-COUNTA(条幅!$B$11:$B$310)),"")))=0,"",IF(503&lt;=COUNTA(半紙!$B$11:$B$310),INDEX(半紙!$E$11:$E$310,503),IF(503&lt;=COUNTA(半紙!$B$11:$B$310)+COUNTA(条幅!$B$11:$B$310),INDEX(条幅!$E$11:$E$310,503-COUNTA(半紙!$B$11:$B$310)),IF(503&lt;=COUNTA(半紙!$B$11:$B$310)+COUNTA(条幅!$B$11:$B$310)+COUNTA(条幅4分の1!$B$11:$B$310),INDEX(条幅4分の1!$E$11:$E$310,503-COUNTA(半紙!$B$11:$B$310)-COUNTA(条幅!$B$11:$B$310)),""))))</f>
        <v/>
      </c>
      <c r="F508" s="38" t="str">
        <f>IF(IF(503&lt;=COUNTA(半紙!$B$11:$B$310),INDEX(半紙!$F$11:$F$310,503),IF(503&lt;=COUNTA(半紙!$B$11:$B$310)+COUNTA(条幅!$B$11:$B$310),INDEX(条幅!$F$11:$F$310,503-COUNTA(半紙!$B$11:$B$310)),IF(503&lt;=COUNTA(半紙!$B$11:$B$310)+COUNTA(条幅!$B$11:$B$310)+COUNTA(条幅4分の1!$B$11:$B$310),INDEX(条幅4分の1!$F$11:$F$310,503-COUNTA(半紙!$B$11:$B$310)-COUNTA(条幅!$B$11:$B$310)),"")))=0,"",IF(503&lt;=COUNTA(半紙!$B$11:$B$310),INDEX(半紙!$F$11:$F$310,503),IF(503&lt;=COUNTA(半紙!$B$11:$B$310)+COUNTA(条幅!$B$11:$B$310),INDEX(条幅!$F$11:$F$310,503-COUNTA(半紙!$B$11:$B$310)),IF(503&lt;=COUNTA(半紙!$B$11:$B$310)+COUNTA(条幅!$B$11:$B$310)+COUNTA(条幅4分の1!$B$11:$B$310),INDEX(条幅4分の1!$F$11:$F$310,503-COUNTA(半紙!$B$11:$B$310)-COUNTA(条幅!$B$11:$B$310)),""))))</f>
        <v/>
      </c>
      <c r="G508" s="38" t="str">
        <f>IF(IF(503&lt;=COUNTA(半紙!$B$11:$B$310),INDEX(半紙!$G$11:$G$310,503),IF(503&lt;=COUNTA(半紙!$B$11:$B$310)+COUNTA(条幅!$B$11:$B$310),INDEX(条幅!$G$11:$G$310,503-COUNTA(半紙!$B$11:$B$310)),IF(503&lt;=COUNTA(半紙!$B$11:$B$310)+COUNTA(条幅!$B$11:$B$310)+COUNTA(条幅4分の1!$B$11:$B$310),INDEX(条幅4分の1!$G$11:$G$310,503-COUNTA(半紙!$B$11:$B$310)-COUNTA(条幅!$B$11:$B$310)),"")))=0,"",IF(503&lt;=COUNTA(半紙!$B$11:$B$310),INDEX(半紙!$G$11:$G$310,503),IF(503&lt;=COUNTA(半紙!$B$11:$B$310)+COUNTA(条幅!$B$11:$B$310),INDEX(条幅!$G$11:$G$310,503-COUNTA(半紙!$B$11:$B$310)),IF(503&lt;=COUNTA(半紙!$B$11:$B$310)+COUNTA(条幅!$B$11:$B$310)+COUNTA(条幅4分の1!$B$11:$B$310),INDEX(条幅4分の1!$G$11:$G$310,503-COUNTA(半紙!$B$11:$B$310)-COUNTA(条幅!$B$11:$B$310)),""))))</f>
        <v/>
      </c>
      <c r="H508" s="38" t="str">
        <f>IF(IF(503&lt;=COUNTA(半紙!$B$11:$B$310),INDEX(半紙!$H$11:$H$310,503),IF(503&lt;=COUNTA(半紙!$B$11:$B$310)+COUNTA(条幅!$B$11:$B$310),INDEX(条幅!$H$11:$H$310,503-COUNTA(半紙!$B$11:$B$310)),IF(503&lt;=COUNTA(半紙!$B$11:$B$310)+COUNTA(条幅!$B$11:$B$310)+COUNTA(条幅4分の1!$B$11:$B$310),INDEX(条幅4分の1!$H$11:$H$310,503-COUNTA(半紙!$B$11:$B$310)-COUNTA(条幅!$B$11:$B$310)),"")))=0,"",IF(503&lt;=COUNTA(半紙!$B$11:$B$310),INDEX(半紙!$H$11:$H$310,503),IF(503&lt;=COUNTA(半紙!$B$11:$B$310)+COUNTA(条幅!$B$11:$B$310),INDEX(条幅!$H$11:$H$310,503-COUNTA(半紙!$B$11:$B$310)),IF(503&lt;=COUNTA(半紙!$B$11:$B$310)+COUNTA(条幅!$B$11:$B$310)+COUNTA(条幅4分の1!$B$11:$B$310),INDEX(条幅4分の1!$H$11:$H$310,503-COUNTA(半紙!$B$11:$B$310)-COUNTA(条幅!$B$11:$B$310)),""))))</f>
        <v/>
      </c>
      <c r="I508" s="38" t="str">
        <f>IF(IF(503&lt;=COUNTA(半紙!$B$11:$B$310),INDEX(半紙!$I$11:$I$310,503),IF(503&lt;=COUNTA(半紙!$B$11:$B$310)+COUNTA(条幅!$B$11:$B$310),INDEX(条幅!$I$11:$I$310,503-COUNTA(半紙!$B$11:$B$310)),IF(503&lt;=COUNTA(半紙!$B$11:$B$310)+COUNTA(条幅!$B$11:$B$310)+COUNTA(条幅4分の1!$B$11:$B$310),INDEX(条幅4分の1!$I$11:$I$310,503-COUNTA(半紙!$B$11:$B$310)-COUNTA(条幅!$B$11:$B$310)),"")))=0,"",IF(503&lt;=COUNTA(半紙!$B$11:$B$310),INDEX(半紙!$I$11:$I$310,503),IF(503&lt;=COUNTA(半紙!$B$11:$B$310)+COUNTA(条幅!$B$11:$B$310),INDEX(条幅!$I$11:$I$310,503-COUNTA(半紙!$B$11:$B$310)),IF(503&lt;=COUNTA(半紙!$B$11:$B$310)+COUNTA(条幅!$B$11:$B$310)+COUNTA(条幅4分の1!$B$11:$B$310),INDEX(条幅4分の1!$I$11:$I$310,503-COUNTA(半紙!$B$11:$B$310)-COUNTA(条幅!$B$11:$B$310)),""))))</f>
        <v/>
      </c>
      <c r="J508" s="38" t="str">
        <f>IF(IF(503&lt;=COUNTA(半紙!$B$11:$B$310),INDEX(半紙!$J$11:$J$310,503),IF(503&lt;=COUNTA(半紙!$B$11:$B$310)+COUNTA(条幅!$B$11:$B$310),INDEX(条幅!$J$11:$J$310,503-COUNTA(半紙!$B$11:$B$310)),IF(503&lt;=COUNTA(半紙!$B$11:$B$310)+COUNTA(条幅!$B$11:$B$310)+COUNTA(条幅4分の1!$B$11:$B$310),INDEX(条幅4分の1!$J$11:$J$310,503-COUNTA(半紙!$B$11:$B$310)-COUNTA(条幅!$B$11:$B$310)),"")))=0,"",IF(503&lt;=COUNTA(半紙!$B$11:$B$310),INDEX(半紙!$J$11:$J$310,503),IF(503&lt;=COUNTA(半紙!$B$11:$B$310)+COUNTA(条幅!$B$11:$B$310),INDEX(条幅!$J$11:$J$310,503-COUNTA(半紙!$B$11:$B$310)),IF(503&lt;=COUNTA(半紙!$B$11:$B$310)+COUNTA(条幅!$B$11:$B$310)+COUNTA(条幅4分の1!$B$11:$B$310),INDEX(条幅4分の1!$J$11:$J$310,503-COUNTA(半紙!$B$11:$B$310)-COUNTA(条幅!$B$11:$B$310)),""))))</f>
        <v/>
      </c>
      <c r="K508" s="38" t="str">
        <f>IF(IF(503&lt;=COUNTA(半紙!$B$11:$B$310),INDEX(半紙!$K$11:$K$310,503),IF(503&lt;=COUNTA(半紙!$B$11:$B$310)+COUNTA(条幅!$B$11:$B$310),INDEX(条幅!$K$11:$K$310,503-COUNTA(半紙!$B$11:$B$310)),IF(503&lt;=COUNTA(半紙!$B$11:$B$310)+COUNTA(条幅!$B$11:$B$310)+COUNTA(条幅4分の1!$B$11:$B$310),INDEX(条幅4分の1!$K$11:$K$310,503-COUNTA(半紙!$B$11:$B$310)-COUNTA(条幅!$B$11:$B$310)),"")))=0,"",IF(503&lt;=COUNTA(半紙!$B$11:$B$310),INDEX(半紙!$K$11:$K$310,503),IF(503&lt;=COUNTA(半紙!$B$11:$B$310)+COUNTA(条幅!$B$11:$B$310),INDEX(条幅!$K$11:$K$310,503-COUNTA(半紙!$B$11:$B$310)),IF(503&lt;=COUNTA(半紙!$B$11:$B$310)+COUNTA(条幅!$B$11:$B$310)+COUNTA(条幅4分の1!$B$11:$B$310),INDEX(条幅4分の1!$K$11:$K$310,503-COUNTA(半紙!$B$11:$B$310)-COUNTA(条幅!$B$11:$B$310)),""))))</f>
        <v/>
      </c>
      <c r="L508" s="48" t="str">
        <f>IF($B508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503))</f>
        <v/>
      </c>
    </row>
    <row r="509" spans="1:12" ht="15" customHeight="1">
      <c r="A509" s="37" t="str">
        <f>IF(504&lt;=COUNTA(半紙!$B$11:$B$310),"半紙",IF(504&lt;=COUNTA(半紙!$B$11:$B$310)+COUNTA(条幅!$B$11:$B$310),"条幅(半切)",IF(504&lt;=COUNTA(半紙!$B$11:$B$310)+COUNTA(条幅!$B$11:$B$310)+COUNTA(条幅4分の1!$B$11:$B$310),"条幅(1/4)","")))</f>
        <v/>
      </c>
      <c r="B509" s="38" t="str">
        <f>IF(IF(504&lt;=COUNTA(半紙!$B$11:$B$310),INDEX(半紙!$B$11:$B$310,504),IF(504&lt;=COUNTA(半紙!$B$11:$B$310)+COUNTA(条幅!$B$11:$B$310),INDEX(条幅!$B$11:$B$310,504-COUNTA(半紙!$B$11:$B$310)),IF(504&lt;=COUNTA(半紙!$B$11:$B$310)+COUNTA(条幅!$B$11:$B$310)+COUNTA(条幅4分の1!$B$11:$B$310),INDEX(条幅4分の1!$B$11:$B$310,504-COUNTA(半紙!$B$11:$B$310)-COUNTA(条幅!$B$11:$B$310)),"")))=0,"",IF(504&lt;=COUNTA(半紙!$B$11:$B$310),INDEX(半紙!$B$11:$B$310,504),IF(504&lt;=COUNTA(半紙!$B$11:$B$310)+COUNTA(条幅!$B$11:$B$310),INDEX(条幅!$B$11:$B$310,504-COUNTA(半紙!$B$11:$B$310)),IF(504&lt;=COUNTA(半紙!$B$11:$B$310)+COUNTA(条幅!$B$11:$B$310)+COUNTA(条幅4分の1!$B$11:$B$310),INDEX(条幅4分の1!$B$11:$B$310,504-COUNTA(半紙!$B$11:$B$310)-COUNTA(条幅!$B$11:$B$310)),""))))</f>
        <v/>
      </c>
      <c r="C509" s="38" t="str">
        <f>IF(IF(504&lt;=COUNTA(半紙!$B$11:$B$310),INDEX(半紙!$C$11:$C$310,504),IF(504&lt;=COUNTA(半紙!$B$11:$B$310)+COUNTA(条幅!$B$11:$B$310),INDEX(条幅!$C$11:$C$310,504-COUNTA(半紙!$B$11:$B$310)),IF(504&lt;=COUNTA(半紙!$B$11:$B$310)+COUNTA(条幅!$B$11:$B$310)+COUNTA(条幅4分の1!$B$11:$B$310),INDEX(条幅4分の1!$C$11:$C$310,504-COUNTA(半紙!$B$11:$B$310)-COUNTA(条幅!$B$11:$B$310)),"")))=0,"",IF(504&lt;=COUNTA(半紙!$B$11:$B$310),INDEX(半紙!$C$11:$C$310,504),IF(504&lt;=COUNTA(半紙!$B$11:$B$310)+COUNTA(条幅!$B$11:$B$310),INDEX(条幅!$C$11:$C$310,504-COUNTA(半紙!$B$11:$B$310)),IF(504&lt;=COUNTA(半紙!$B$11:$B$310)+COUNTA(条幅!$B$11:$B$310)+COUNTA(条幅4分の1!$B$11:$B$310),INDEX(条幅4分の1!$C$11:$C$310,504-COUNTA(半紙!$B$11:$B$310)-COUNTA(条幅!$B$11:$B$310)),""))))</f>
        <v/>
      </c>
      <c r="D509" s="38" t="str">
        <f>IF(IF(504&lt;=COUNTA(半紙!$B$11:$B$310),INDEX(半紙!$D$11:$D$310,504),IF(504&lt;=COUNTA(半紙!$B$11:$B$310)+COUNTA(条幅!$B$11:$B$310),INDEX(条幅!$D$11:$D$310,504-COUNTA(半紙!$B$11:$B$310)),IF(504&lt;=COUNTA(半紙!$B$11:$B$310)+COUNTA(条幅!$B$11:$B$310)+COUNTA(条幅4分の1!$B$11:$B$310),INDEX(条幅4分の1!$D$11:$D$310,504-COUNTA(半紙!$B$11:$B$310)-COUNTA(条幅!$B$11:$B$310)),"")))=0,"",IF(504&lt;=COUNTA(半紙!$B$11:$B$310),INDEX(半紙!$D$11:$D$310,504),IF(504&lt;=COUNTA(半紙!$B$11:$B$310)+COUNTA(条幅!$B$11:$B$310),INDEX(条幅!$D$11:$D$310,504-COUNTA(半紙!$B$11:$B$310)),IF(504&lt;=COUNTA(半紙!$B$11:$B$310)+COUNTA(条幅!$B$11:$B$310)+COUNTA(条幅4分の1!$B$11:$B$310),INDEX(条幅4分の1!$D$11:$D$310,504-COUNTA(半紙!$B$11:$B$310)-COUNTA(条幅!$B$11:$B$310)),""))))</f>
        <v/>
      </c>
      <c r="E509" s="38" t="str">
        <f>IF(IF(504&lt;=COUNTA(半紙!$B$11:$B$310),INDEX(半紙!$E$11:$E$310,504),IF(504&lt;=COUNTA(半紙!$B$11:$B$310)+COUNTA(条幅!$B$11:$B$310),INDEX(条幅!$E$11:$E$310,504-COUNTA(半紙!$B$11:$B$310)),IF(504&lt;=COUNTA(半紙!$B$11:$B$310)+COUNTA(条幅!$B$11:$B$310)+COUNTA(条幅4分の1!$B$11:$B$310),INDEX(条幅4分の1!$E$11:$E$310,504-COUNTA(半紙!$B$11:$B$310)-COUNTA(条幅!$B$11:$B$310)),"")))=0,"",IF(504&lt;=COUNTA(半紙!$B$11:$B$310),INDEX(半紙!$E$11:$E$310,504),IF(504&lt;=COUNTA(半紙!$B$11:$B$310)+COUNTA(条幅!$B$11:$B$310),INDEX(条幅!$E$11:$E$310,504-COUNTA(半紙!$B$11:$B$310)),IF(504&lt;=COUNTA(半紙!$B$11:$B$310)+COUNTA(条幅!$B$11:$B$310)+COUNTA(条幅4分の1!$B$11:$B$310),INDEX(条幅4分の1!$E$11:$E$310,504-COUNTA(半紙!$B$11:$B$310)-COUNTA(条幅!$B$11:$B$310)),""))))</f>
        <v/>
      </c>
      <c r="F509" s="38" t="str">
        <f>IF(IF(504&lt;=COUNTA(半紙!$B$11:$B$310),INDEX(半紙!$F$11:$F$310,504),IF(504&lt;=COUNTA(半紙!$B$11:$B$310)+COUNTA(条幅!$B$11:$B$310),INDEX(条幅!$F$11:$F$310,504-COUNTA(半紙!$B$11:$B$310)),IF(504&lt;=COUNTA(半紙!$B$11:$B$310)+COUNTA(条幅!$B$11:$B$310)+COUNTA(条幅4分の1!$B$11:$B$310),INDEX(条幅4分の1!$F$11:$F$310,504-COUNTA(半紙!$B$11:$B$310)-COUNTA(条幅!$B$11:$B$310)),"")))=0,"",IF(504&lt;=COUNTA(半紙!$B$11:$B$310),INDEX(半紙!$F$11:$F$310,504),IF(504&lt;=COUNTA(半紙!$B$11:$B$310)+COUNTA(条幅!$B$11:$B$310),INDEX(条幅!$F$11:$F$310,504-COUNTA(半紙!$B$11:$B$310)),IF(504&lt;=COUNTA(半紙!$B$11:$B$310)+COUNTA(条幅!$B$11:$B$310)+COUNTA(条幅4分の1!$B$11:$B$310),INDEX(条幅4分の1!$F$11:$F$310,504-COUNTA(半紙!$B$11:$B$310)-COUNTA(条幅!$B$11:$B$310)),""))))</f>
        <v/>
      </c>
      <c r="G509" s="38" t="str">
        <f>IF(IF(504&lt;=COUNTA(半紙!$B$11:$B$310),INDEX(半紙!$G$11:$G$310,504),IF(504&lt;=COUNTA(半紙!$B$11:$B$310)+COUNTA(条幅!$B$11:$B$310),INDEX(条幅!$G$11:$G$310,504-COUNTA(半紙!$B$11:$B$310)),IF(504&lt;=COUNTA(半紙!$B$11:$B$310)+COUNTA(条幅!$B$11:$B$310)+COUNTA(条幅4分の1!$B$11:$B$310),INDEX(条幅4分の1!$G$11:$G$310,504-COUNTA(半紙!$B$11:$B$310)-COUNTA(条幅!$B$11:$B$310)),"")))=0,"",IF(504&lt;=COUNTA(半紙!$B$11:$B$310),INDEX(半紙!$G$11:$G$310,504),IF(504&lt;=COUNTA(半紙!$B$11:$B$310)+COUNTA(条幅!$B$11:$B$310),INDEX(条幅!$G$11:$G$310,504-COUNTA(半紙!$B$11:$B$310)),IF(504&lt;=COUNTA(半紙!$B$11:$B$310)+COUNTA(条幅!$B$11:$B$310)+COUNTA(条幅4分の1!$B$11:$B$310),INDEX(条幅4分の1!$G$11:$G$310,504-COUNTA(半紙!$B$11:$B$310)-COUNTA(条幅!$B$11:$B$310)),""))))</f>
        <v/>
      </c>
      <c r="H509" s="38" t="str">
        <f>IF(IF(504&lt;=COUNTA(半紙!$B$11:$B$310),INDEX(半紙!$H$11:$H$310,504),IF(504&lt;=COUNTA(半紙!$B$11:$B$310)+COUNTA(条幅!$B$11:$B$310),INDEX(条幅!$H$11:$H$310,504-COUNTA(半紙!$B$11:$B$310)),IF(504&lt;=COUNTA(半紙!$B$11:$B$310)+COUNTA(条幅!$B$11:$B$310)+COUNTA(条幅4分の1!$B$11:$B$310),INDEX(条幅4分の1!$H$11:$H$310,504-COUNTA(半紙!$B$11:$B$310)-COUNTA(条幅!$B$11:$B$310)),"")))=0,"",IF(504&lt;=COUNTA(半紙!$B$11:$B$310),INDEX(半紙!$H$11:$H$310,504),IF(504&lt;=COUNTA(半紙!$B$11:$B$310)+COUNTA(条幅!$B$11:$B$310),INDEX(条幅!$H$11:$H$310,504-COUNTA(半紙!$B$11:$B$310)),IF(504&lt;=COUNTA(半紙!$B$11:$B$310)+COUNTA(条幅!$B$11:$B$310)+COUNTA(条幅4分の1!$B$11:$B$310),INDEX(条幅4分の1!$H$11:$H$310,504-COUNTA(半紙!$B$11:$B$310)-COUNTA(条幅!$B$11:$B$310)),""))))</f>
        <v/>
      </c>
      <c r="I509" s="38" t="str">
        <f>IF(IF(504&lt;=COUNTA(半紙!$B$11:$B$310),INDEX(半紙!$I$11:$I$310,504),IF(504&lt;=COUNTA(半紙!$B$11:$B$310)+COUNTA(条幅!$B$11:$B$310),INDEX(条幅!$I$11:$I$310,504-COUNTA(半紙!$B$11:$B$310)),IF(504&lt;=COUNTA(半紙!$B$11:$B$310)+COUNTA(条幅!$B$11:$B$310)+COUNTA(条幅4分の1!$B$11:$B$310),INDEX(条幅4分の1!$I$11:$I$310,504-COUNTA(半紙!$B$11:$B$310)-COUNTA(条幅!$B$11:$B$310)),"")))=0,"",IF(504&lt;=COUNTA(半紙!$B$11:$B$310),INDEX(半紙!$I$11:$I$310,504),IF(504&lt;=COUNTA(半紙!$B$11:$B$310)+COUNTA(条幅!$B$11:$B$310),INDEX(条幅!$I$11:$I$310,504-COUNTA(半紙!$B$11:$B$310)),IF(504&lt;=COUNTA(半紙!$B$11:$B$310)+COUNTA(条幅!$B$11:$B$310)+COUNTA(条幅4分の1!$B$11:$B$310),INDEX(条幅4分の1!$I$11:$I$310,504-COUNTA(半紙!$B$11:$B$310)-COUNTA(条幅!$B$11:$B$310)),""))))</f>
        <v/>
      </c>
      <c r="J509" s="38" t="str">
        <f>IF(IF(504&lt;=COUNTA(半紙!$B$11:$B$310),INDEX(半紙!$J$11:$J$310,504),IF(504&lt;=COUNTA(半紙!$B$11:$B$310)+COUNTA(条幅!$B$11:$B$310),INDEX(条幅!$J$11:$J$310,504-COUNTA(半紙!$B$11:$B$310)),IF(504&lt;=COUNTA(半紙!$B$11:$B$310)+COUNTA(条幅!$B$11:$B$310)+COUNTA(条幅4分の1!$B$11:$B$310),INDEX(条幅4分の1!$J$11:$J$310,504-COUNTA(半紙!$B$11:$B$310)-COUNTA(条幅!$B$11:$B$310)),"")))=0,"",IF(504&lt;=COUNTA(半紙!$B$11:$B$310),INDEX(半紙!$J$11:$J$310,504),IF(504&lt;=COUNTA(半紙!$B$11:$B$310)+COUNTA(条幅!$B$11:$B$310),INDEX(条幅!$J$11:$J$310,504-COUNTA(半紙!$B$11:$B$310)),IF(504&lt;=COUNTA(半紙!$B$11:$B$310)+COUNTA(条幅!$B$11:$B$310)+COUNTA(条幅4分の1!$B$11:$B$310),INDEX(条幅4分の1!$J$11:$J$310,504-COUNTA(半紙!$B$11:$B$310)-COUNTA(条幅!$B$11:$B$310)),""))))</f>
        <v/>
      </c>
      <c r="K509" s="38" t="str">
        <f>IF(IF(504&lt;=COUNTA(半紙!$B$11:$B$310),INDEX(半紙!$K$11:$K$310,504),IF(504&lt;=COUNTA(半紙!$B$11:$B$310)+COUNTA(条幅!$B$11:$B$310),INDEX(条幅!$K$11:$K$310,504-COUNTA(半紙!$B$11:$B$310)),IF(504&lt;=COUNTA(半紙!$B$11:$B$310)+COUNTA(条幅!$B$11:$B$310)+COUNTA(条幅4分の1!$B$11:$B$310),INDEX(条幅4分の1!$K$11:$K$310,504-COUNTA(半紙!$B$11:$B$310)-COUNTA(条幅!$B$11:$B$310)),"")))=0,"",IF(504&lt;=COUNTA(半紙!$B$11:$B$310),INDEX(半紙!$K$11:$K$310,504),IF(504&lt;=COUNTA(半紙!$B$11:$B$310)+COUNTA(条幅!$B$11:$B$310),INDEX(条幅!$K$11:$K$310,504-COUNTA(半紙!$B$11:$B$310)),IF(504&lt;=COUNTA(半紙!$B$11:$B$310)+COUNTA(条幅!$B$11:$B$310)+COUNTA(条幅4分の1!$B$11:$B$310),INDEX(条幅4分の1!$K$11:$K$310,504-COUNTA(半紙!$B$11:$B$310)-COUNTA(条幅!$B$11:$B$310)),""))))</f>
        <v/>
      </c>
      <c r="L509" s="48" t="str">
        <f>IF($B509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504))</f>
        <v/>
      </c>
    </row>
    <row r="510" spans="1:12" ht="15" customHeight="1">
      <c r="A510" s="37" t="str">
        <f>IF(505&lt;=COUNTA(半紙!$B$11:$B$310),"半紙",IF(505&lt;=COUNTA(半紙!$B$11:$B$310)+COUNTA(条幅!$B$11:$B$310),"条幅(半切)",IF(505&lt;=COUNTA(半紙!$B$11:$B$310)+COUNTA(条幅!$B$11:$B$310)+COUNTA(条幅4分の1!$B$11:$B$310),"条幅(1/4)","")))</f>
        <v/>
      </c>
      <c r="B510" s="38" t="str">
        <f>IF(IF(505&lt;=COUNTA(半紙!$B$11:$B$310),INDEX(半紙!$B$11:$B$310,505),IF(505&lt;=COUNTA(半紙!$B$11:$B$310)+COUNTA(条幅!$B$11:$B$310),INDEX(条幅!$B$11:$B$310,505-COUNTA(半紙!$B$11:$B$310)),IF(505&lt;=COUNTA(半紙!$B$11:$B$310)+COUNTA(条幅!$B$11:$B$310)+COUNTA(条幅4分の1!$B$11:$B$310),INDEX(条幅4分の1!$B$11:$B$310,505-COUNTA(半紙!$B$11:$B$310)-COUNTA(条幅!$B$11:$B$310)),"")))=0,"",IF(505&lt;=COUNTA(半紙!$B$11:$B$310),INDEX(半紙!$B$11:$B$310,505),IF(505&lt;=COUNTA(半紙!$B$11:$B$310)+COUNTA(条幅!$B$11:$B$310),INDEX(条幅!$B$11:$B$310,505-COUNTA(半紙!$B$11:$B$310)),IF(505&lt;=COUNTA(半紙!$B$11:$B$310)+COUNTA(条幅!$B$11:$B$310)+COUNTA(条幅4分の1!$B$11:$B$310),INDEX(条幅4分の1!$B$11:$B$310,505-COUNTA(半紙!$B$11:$B$310)-COUNTA(条幅!$B$11:$B$310)),""))))</f>
        <v/>
      </c>
      <c r="C510" s="38" t="str">
        <f>IF(IF(505&lt;=COUNTA(半紙!$B$11:$B$310),INDEX(半紙!$C$11:$C$310,505),IF(505&lt;=COUNTA(半紙!$B$11:$B$310)+COUNTA(条幅!$B$11:$B$310),INDEX(条幅!$C$11:$C$310,505-COUNTA(半紙!$B$11:$B$310)),IF(505&lt;=COUNTA(半紙!$B$11:$B$310)+COUNTA(条幅!$B$11:$B$310)+COUNTA(条幅4分の1!$B$11:$B$310),INDEX(条幅4分の1!$C$11:$C$310,505-COUNTA(半紙!$B$11:$B$310)-COUNTA(条幅!$B$11:$B$310)),"")))=0,"",IF(505&lt;=COUNTA(半紙!$B$11:$B$310),INDEX(半紙!$C$11:$C$310,505),IF(505&lt;=COUNTA(半紙!$B$11:$B$310)+COUNTA(条幅!$B$11:$B$310),INDEX(条幅!$C$11:$C$310,505-COUNTA(半紙!$B$11:$B$310)),IF(505&lt;=COUNTA(半紙!$B$11:$B$310)+COUNTA(条幅!$B$11:$B$310)+COUNTA(条幅4分の1!$B$11:$B$310),INDEX(条幅4分の1!$C$11:$C$310,505-COUNTA(半紙!$B$11:$B$310)-COUNTA(条幅!$B$11:$B$310)),""))))</f>
        <v/>
      </c>
      <c r="D510" s="38" t="str">
        <f>IF(IF(505&lt;=COUNTA(半紙!$B$11:$B$310),INDEX(半紙!$D$11:$D$310,505),IF(505&lt;=COUNTA(半紙!$B$11:$B$310)+COUNTA(条幅!$B$11:$B$310),INDEX(条幅!$D$11:$D$310,505-COUNTA(半紙!$B$11:$B$310)),IF(505&lt;=COUNTA(半紙!$B$11:$B$310)+COUNTA(条幅!$B$11:$B$310)+COUNTA(条幅4分の1!$B$11:$B$310),INDEX(条幅4分の1!$D$11:$D$310,505-COUNTA(半紙!$B$11:$B$310)-COUNTA(条幅!$B$11:$B$310)),"")))=0,"",IF(505&lt;=COUNTA(半紙!$B$11:$B$310),INDEX(半紙!$D$11:$D$310,505),IF(505&lt;=COUNTA(半紙!$B$11:$B$310)+COUNTA(条幅!$B$11:$B$310),INDEX(条幅!$D$11:$D$310,505-COUNTA(半紙!$B$11:$B$310)),IF(505&lt;=COUNTA(半紙!$B$11:$B$310)+COUNTA(条幅!$B$11:$B$310)+COUNTA(条幅4分の1!$B$11:$B$310),INDEX(条幅4分の1!$D$11:$D$310,505-COUNTA(半紙!$B$11:$B$310)-COUNTA(条幅!$B$11:$B$310)),""))))</f>
        <v/>
      </c>
      <c r="E510" s="38" t="str">
        <f>IF(IF(505&lt;=COUNTA(半紙!$B$11:$B$310),INDEX(半紙!$E$11:$E$310,505),IF(505&lt;=COUNTA(半紙!$B$11:$B$310)+COUNTA(条幅!$B$11:$B$310),INDEX(条幅!$E$11:$E$310,505-COUNTA(半紙!$B$11:$B$310)),IF(505&lt;=COUNTA(半紙!$B$11:$B$310)+COUNTA(条幅!$B$11:$B$310)+COUNTA(条幅4分の1!$B$11:$B$310),INDEX(条幅4分の1!$E$11:$E$310,505-COUNTA(半紙!$B$11:$B$310)-COUNTA(条幅!$B$11:$B$310)),"")))=0,"",IF(505&lt;=COUNTA(半紙!$B$11:$B$310),INDEX(半紙!$E$11:$E$310,505),IF(505&lt;=COUNTA(半紙!$B$11:$B$310)+COUNTA(条幅!$B$11:$B$310),INDEX(条幅!$E$11:$E$310,505-COUNTA(半紙!$B$11:$B$310)),IF(505&lt;=COUNTA(半紙!$B$11:$B$310)+COUNTA(条幅!$B$11:$B$310)+COUNTA(条幅4分の1!$B$11:$B$310),INDEX(条幅4分の1!$E$11:$E$310,505-COUNTA(半紙!$B$11:$B$310)-COUNTA(条幅!$B$11:$B$310)),""))))</f>
        <v/>
      </c>
      <c r="F510" s="38" t="str">
        <f>IF(IF(505&lt;=COUNTA(半紙!$B$11:$B$310),INDEX(半紙!$F$11:$F$310,505),IF(505&lt;=COUNTA(半紙!$B$11:$B$310)+COUNTA(条幅!$B$11:$B$310),INDEX(条幅!$F$11:$F$310,505-COUNTA(半紙!$B$11:$B$310)),IF(505&lt;=COUNTA(半紙!$B$11:$B$310)+COUNTA(条幅!$B$11:$B$310)+COUNTA(条幅4分の1!$B$11:$B$310),INDEX(条幅4分の1!$F$11:$F$310,505-COUNTA(半紙!$B$11:$B$310)-COUNTA(条幅!$B$11:$B$310)),"")))=0,"",IF(505&lt;=COUNTA(半紙!$B$11:$B$310),INDEX(半紙!$F$11:$F$310,505),IF(505&lt;=COUNTA(半紙!$B$11:$B$310)+COUNTA(条幅!$B$11:$B$310),INDEX(条幅!$F$11:$F$310,505-COUNTA(半紙!$B$11:$B$310)),IF(505&lt;=COUNTA(半紙!$B$11:$B$310)+COUNTA(条幅!$B$11:$B$310)+COUNTA(条幅4分の1!$B$11:$B$310),INDEX(条幅4分の1!$F$11:$F$310,505-COUNTA(半紙!$B$11:$B$310)-COUNTA(条幅!$B$11:$B$310)),""))))</f>
        <v/>
      </c>
      <c r="G510" s="38" t="str">
        <f>IF(IF(505&lt;=COUNTA(半紙!$B$11:$B$310),INDEX(半紙!$G$11:$G$310,505),IF(505&lt;=COUNTA(半紙!$B$11:$B$310)+COUNTA(条幅!$B$11:$B$310),INDEX(条幅!$G$11:$G$310,505-COUNTA(半紙!$B$11:$B$310)),IF(505&lt;=COUNTA(半紙!$B$11:$B$310)+COUNTA(条幅!$B$11:$B$310)+COUNTA(条幅4分の1!$B$11:$B$310),INDEX(条幅4分の1!$G$11:$G$310,505-COUNTA(半紙!$B$11:$B$310)-COUNTA(条幅!$B$11:$B$310)),"")))=0,"",IF(505&lt;=COUNTA(半紙!$B$11:$B$310),INDEX(半紙!$G$11:$G$310,505),IF(505&lt;=COUNTA(半紙!$B$11:$B$310)+COUNTA(条幅!$B$11:$B$310),INDEX(条幅!$G$11:$G$310,505-COUNTA(半紙!$B$11:$B$310)),IF(505&lt;=COUNTA(半紙!$B$11:$B$310)+COUNTA(条幅!$B$11:$B$310)+COUNTA(条幅4分の1!$B$11:$B$310),INDEX(条幅4分の1!$G$11:$G$310,505-COUNTA(半紙!$B$11:$B$310)-COUNTA(条幅!$B$11:$B$310)),""))))</f>
        <v/>
      </c>
      <c r="H510" s="38" t="str">
        <f>IF(IF(505&lt;=COUNTA(半紙!$B$11:$B$310),INDEX(半紙!$H$11:$H$310,505),IF(505&lt;=COUNTA(半紙!$B$11:$B$310)+COUNTA(条幅!$B$11:$B$310),INDEX(条幅!$H$11:$H$310,505-COUNTA(半紙!$B$11:$B$310)),IF(505&lt;=COUNTA(半紙!$B$11:$B$310)+COUNTA(条幅!$B$11:$B$310)+COUNTA(条幅4分の1!$B$11:$B$310),INDEX(条幅4分の1!$H$11:$H$310,505-COUNTA(半紙!$B$11:$B$310)-COUNTA(条幅!$B$11:$B$310)),"")))=0,"",IF(505&lt;=COUNTA(半紙!$B$11:$B$310),INDEX(半紙!$H$11:$H$310,505),IF(505&lt;=COUNTA(半紙!$B$11:$B$310)+COUNTA(条幅!$B$11:$B$310),INDEX(条幅!$H$11:$H$310,505-COUNTA(半紙!$B$11:$B$310)),IF(505&lt;=COUNTA(半紙!$B$11:$B$310)+COUNTA(条幅!$B$11:$B$310)+COUNTA(条幅4分の1!$B$11:$B$310),INDEX(条幅4分の1!$H$11:$H$310,505-COUNTA(半紙!$B$11:$B$310)-COUNTA(条幅!$B$11:$B$310)),""))))</f>
        <v/>
      </c>
      <c r="I510" s="38" t="str">
        <f>IF(IF(505&lt;=COUNTA(半紙!$B$11:$B$310),INDEX(半紙!$I$11:$I$310,505),IF(505&lt;=COUNTA(半紙!$B$11:$B$310)+COUNTA(条幅!$B$11:$B$310),INDEX(条幅!$I$11:$I$310,505-COUNTA(半紙!$B$11:$B$310)),IF(505&lt;=COUNTA(半紙!$B$11:$B$310)+COUNTA(条幅!$B$11:$B$310)+COUNTA(条幅4分の1!$B$11:$B$310),INDEX(条幅4分の1!$I$11:$I$310,505-COUNTA(半紙!$B$11:$B$310)-COUNTA(条幅!$B$11:$B$310)),"")))=0,"",IF(505&lt;=COUNTA(半紙!$B$11:$B$310),INDEX(半紙!$I$11:$I$310,505),IF(505&lt;=COUNTA(半紙!$B$11:$B$310)+COUNTA(条幅!$B$11:$B$310),INDEX(条幅!$I$11:$I$310,505-COUNTA(半紙!$B$11:$B$310)),IF(505&lt;=COUNTA(半紙!$B$11:$B$310)+COUNTA(条幅!$B$11:$B$310)+COUNTA(条幅4分の1!$B$11:$B$310),INDEX(条幅4分の1!$I$11:$I$310,505-COUNTA(半紙!$B$11:$B$310)-COUNTA(条幅!$B$11:$B$310)),""))))</f>
        <v/>
      </c>
      <c r="J510" s="38" t="str">
        <f>IF(IF(505&lt;=COUNTA(半紙!$B$11:$B$310),INDEX(半紙!$J$11:$J$310,505),IF(505&lt;=COUNTA(半紙!$B$11:$B$310)+COUNTA(条幅!$B$11:$B$310),INDEX(条幅!$J$11:$J$310,505-COUNTA(半紙!$B$11:$B$310)),IF(505&lt;=COUNTA(半紙!$B$11:$B$310)+COUNTA(条幅!$B$11:$B$310)+COUNTA(条幅4分の1!$B$11:$B$310),INDEX(条幅4分の1!$J$11:$J$310,505-COUNTA(半紙!$B$11:$B$310)-COUNTA(条幅!$B$11:$B$310)),"")))=0,"",IF(505&lt;=COUNTA(半紙!$B$11:$B$310),INDEX(半紙!$J$11:$J$310,505),IF(505&lt;=COUNTA(半紙!$B$11:$B$310)+COUNTA(条幅!$B$11:$B$310),INDEX(条幅!$J$11:$J$310,505-COUNTA(半紙!$B$11:$B$310)),IF(505&lt;=COUNTA(半紙!$B$11:$B$310)+COUNTA(条幅!$B$11:$B$310)+COUNTA(条幅4分の1!$B$11:$B$310),INDEX(条幅4分の1!$J$11:$J$310,505-COUNTA(半紙!$B$11:$B$310)-COUNTA(条幅!$B$11:$B$310)),""))))</f>
        <v/>
      </c>
      <c r="K510" s="38" t="str">
        <f>IF(IF(505&lt;=COUNTA(半紙!$B$11:$B$310),INDEX(半紙!$K$11:$K$310,505),IF(505&lt;=COUNTA(半紙!$B$11:$B$310)+COUNTA(条幅!$B$11:$B$310),INDEX(条幅!$K$11:$K$310,505-COUNTA(半紙!$B$11:$B$310)),IF(505&lt;=COUNTA(半紙!$B$11:$B$310)+COUNTA(条幅!$B$11:$B$310)+COUNTA(条幅4分の1!$B$11:$B$310),INDEX(条幅4分の1!$K$11:$K$310,505-COUNTA(半紙!$B$11:$B$310)-COUNTA(条幅!$B$11:$B$310)),"")))=0,"",IF(505&lt;=COUNTA(半紙!$B$11:$B$310),INDEX(半紙!$K$11:$K$310,505),IF(505&lt;=COUNTA(半紙!$B$11:$B$310)+COUNTA(条幅!$B$11:$B$310),INDEX(条幅!$K$11:$K$310,505-COUNTA(半紙!$B$11:$B$310)),IF(505&lt;=COUNTA(半紙!$B$11:$B$310)+COUNTA(条幅!$B$11:$B$310)+COUNTA(条幅4分の1!$B$11:$B$310),INDEX(条幅4分の1!$K$11:$K$310,505-COUNTA(半紙!$B$11:$B$310)-COUNTA(条幅!$B$11:$B$310)),""))))</f>
        <v/>
      </c>
      <c r="L510" s="48" t="str">
        <f>IF($B510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505))</f>
        <v/>
      </c>
    </row>
    <row r="511" spans="1:12" ht="15" customHeight="1">
      <c r="A511" s="37" t="str">
        <f>IF(506&lt;=COUNTA(半紙!$B$11:$B$310),"半紙",IF(506&lt;=COUNTA(半紙!$B$11:$B$310)+COUNTA(条幅!$B$11:$B$310),"条幅(半切)",IF(506&lt;=COUNTA(半紙!$B$11:$B$310)+COUNTA(条幅!$B$11:$B$310)+COUNTA(条幅4分の1!$B$11:$B$310),"条幅(1/4)","")))</f>
        <v/>
      </c>
      <c r="B511" s="38" t="str">
        <f>IF(IF(506&lt;=COUNTA(半紙!$B$11:$B$310),INDEX(半紙!$B$11:$B$310,506),IF(506&lt;=COUNTA(半紙!$B$11:$B$310)+COUNTA(条幅!$B$11:$B$310),INDEX(条幅!$B$11:$B$310,506-COUNTA(半紙!$B$11:$B$310)),IF(506&lt;=COUNTA(半紙!$B$11:$B$310)+COUNTA(条幅!$B$11:$B$310)+COUNTA(条幅4分の1!$B$11:$B$310),INDEX(条幅4分の1!$B$11:$B$310,506-COUNTA(半紙!$B$11:$B$310)-COUNTA(条幅!$B$11:$B$310)),"")))=0,"",IF(506&lt;=COUNTA(半紙!$B$11:$B$310),INDEX(半紙!$B$11:$B$310,506),IF(506&lt;=COUNTA(半紙!$B$11:$B$310)+COUNTA(条幅!$B$11:$B$310),INDEX(条幅!$B$11:$B$310,506-COUNTA(半紙!$B$11:$B$310)),IF(506&lt;=COUNTA(半紙!$B$11:$B$310)+COUNTA(条幅!$B$11:$B$310)+COUNTA(条幅4分の1!$B$11:$B$310),INDEX(条幅4分の1!$B$11:$B$310,506-COUNTA(半紙!$B$11:$B$310)-COUNTA(条幅!$B$11:$B$310)),""))))</f>
        <v/>
      </c>
      <c r="C511" s="38" t="str">
        <f>IF(IF(506&lt;=COUNTA(半紙!$B$11:$B$310),INDEX(半紙!$C$11:$C$310,506),IF(506&lt;=COUNTA(半紙!$B$11:$B$310)+COUNTA(条幅!$B$11:$B$310),INDEX(条幅!$C$11:$C$310,506-COUNTA(半紙!$B$11:$B$310)),IF(506&lt;=COUNTA(半紙!$B$11:$B$310)+COUNTA(条幅!$B$11:$B$310)+COUNTA(条幅4分の1!$B$11:$B$310),INDEX(条幅4分の1!$C$11:$C$310,506-COUNTA(半紙!$B$11:$B$310)-COUNTA(条幅!$B$11:$B$310)),"")))=0,"",IF(506&lt;=COUNTA(半紙!$B$11:$B$310),INDEX(半紙!$C$11:$C$310,506),IF(506&lt;=COUNTA(半紙!$B$11:$B$310)+COUNTA(条幅!$B$11:$B$310),INDEX(条幅!$C$11:$C$310,506-COUNTA(半紙!$B$11:$B$310)),IF(506&lt;=COUNTA(半紙!$B$11:$B$310)+COUNTA(条幅!$B$11:$B$310)+COUNTA(条幅4分の1!$B$11:$B$310),INDEX(条幅4分の1!$C$11:$C$310,506-COUNTA(半紙!$B$11:$B$310)-COUNTA(条幅!$B$11:$B$310)),""))))</f>
        <v/>
      </c>
      <c r="D511" s="38" t="str">
        <f>IF(IF(506&lt;=COUNTA(半紙!$B$11:$B$310),INDEX(半紙!$D$11:$D$310,506),IF(506&lt;=COUNTA(半紙!$B$11:$B$310)+COUNTA(条幅!$B$11:$B$310),INDEX(条幅!$D$11:$D$310,506-COUNTA(半紙!$B$11:$B$310)),IF(506&lt;=COUNTA(半紙!$B$11:$B$310)+COUNTA(条幅!$B$11:$B$310)+COUNTA(条幅4分の1!$B$11:$B$310),INDEX(条幅4分の1!$D$11:$D$310,506-COUNTA(半紙!$B$11:$B$310)-COUNTA(条幅!$B$11:$B$310)),"")))=0,"",IF(506&lt;=COUNTA(半紙!$B$11:$B$310),INDEX(半紙!$D$11:$D$310,506),IF(506&lt;=COUNTA(半紙!$B$11:$B$310)+COUNTA(条幅!$B$11:$B$310),INDEX(条幅!$D$11:$D$310,506-COUNTA(半紙!$B$11:$B$310)),IF(506&lt;=COUNTA(半紙!$B$11:$B$310)+COUNTA(条幅!$B$11:$B$310)+COUNTA(条幅4分の1!$B$11:$B$310),INDEX(条幅4分の1!$D$11:$D$310,506-COUNTA(半紙!$B$11:$B$310)-COUNTA(条幅!$B$11:$B$310)),""))))</f>
        <v/>
      </c>
      <c r="E511" s="38" t="str">
        <f>IF(IF(506&lt;=COUNTA(半紙!$B$11:$B$310),INDEX(半紙!$E$11:$E$310,506),IF(506&lt;=COUNTA(半紙!$B$11:$B$310)+COUNTA(条幅!$B$11:$B$310),INDEX(条幅!$E$11:$E$310,506-COUNTA(半紙!$B$11:$B$310)),IF(506&lt;=COUNTA(半紙!$B$11:$B$310)+COUNTA(条幅!$B$11:$B$310)+COUNTA(条幅4分の1!$B$11:$B$310),INDEX(条幅4分の1!$E$11:$E$310,506-COUNTA(半紙!$B$11:$B$310)-COUNTA(条幅!$B$11:$B$310)),"")))=0,"",IF(506&lt;=COUNTA(半紙!$B$11:$B$310),INDEX(半紙!$E$11:$E$310,506),IF(506&lt;=COUNTA(半紙!$B$11:$B$310)+COUNTA(条幅!$B$11:$B$310),INDEX(条幅!$E$11:$E$310,506-COUNTA(半紙!$B$11:$B$310)),IF(506&lt;=COUNTA(半紙!$B$11:$B$310)+COUNTA(条幅!$B$11:$B$310)+COUNTA(条幅4分の1!$B$11:$B$310),INDEX(条幅4分の1!$E$11:$E$310,506-COUNTA(半紙!$B$11:$B$310)-COUNTA(条幅!$B$11:$B$310)),""))))</f>
        <v/>
      </c>
      <c r="F511" s="38" t="str">
        <f>IF(IF(506&lt;=COUNTA(半紙!$B$11:$B$310),INDEX(半紙!$F$11:$F$310,506),IF(506&lt;=COUNTA(半紙!$B$11:$B$310)+COUNTA(条幅!$B$11:$B$310),INDEX(条幅!$F$11:$F$310,506-COUNTA(半紙!$B$11:$B$310)),IF(506&lt;=COUNTA(半紙!$B$11:$B$310)+COUNTA(条幅!$B$11:$B$310)+COUNTA(条幅4分の1!$B$11:$B$310),INDEX(条幅4分の1!$F$11:$F$310,506-COUNTA(半紙!$B$11:$B$310)-COUNTA(条幅!$B$11:$B$310)),"")))=0,"",IF(506&lt;=COUNTA(半紙!$B$11:$B$310),INDEX(半紙!$F$11:$F$310,506),IF(506&lt;=COUNTA(半紙!$B$11:$B$310)+COUNTA(条幅!$B$11:$B$310),INDEX(条幅!$F$11:$F$310,506-COUNTA(半紙!$B$11:$B$310)),IF(506&lt;=COUNTA(半紙!$B$11:$B$310)+COUNTA(条幅!$B$11:$B$310)+COUNTA(条幅4分の1!$B$11:$B$310),INDEX(条幅4分の1!$F$11:$F$310,506-COUNTA(半紙!$B$11:$B$310)-COUNTA(条幅!$B$11:$B$310)),""))))</f>
        <v/>
      </c>
      <c r="G511" s="38" t="str">
        <f>IF(IF(506&lt;=COUNTA(半紙!$B$11:$B$310),INDEX(半紙!$G$11:$G$310,506),IF(506&lt;=COUNTA(半紙!$B$11:$B$310)+COUNTA(条幅!$B$11:$B$310),INDEX(条幅!$G$11:$G$310,506-COUNTA(半紙!$B$11:$B$310)),IF(506&lt;=COUNTA(半紙!$B$11:$B$310)+COUNTA(条幅!$B$11:$B$310)+COUNTA(条幅4分の1!$B$11:$B$310),INDEX(条幅4分の1!$G$11:$G$310,506-COUNTA(半紙!$B$11:$B$310)-COUNTA(条幅!$B$11:$B$310)),"")))=0,"",IF(506&lt;=COUNTA(半紙!$B$11:$B$310),INDEX(半紙!$G$11:$G$310,506),IF(506&lt;=COUNTA(半紙!$B$11:$B$310)+COUNTA(条幅!$B$11:$B$310),INDEX(条幅!$G$11:$G$310,506-COUNTA(半紙!$B$11:$B$310)),IF(506&lt;=COUNTA(半紙!$B$11:$B$310)+COUNTA(条幅!$B$11:$B$310)+COUNTA(条幅4分の1!$B$11:$B$310),INDEX(条幅4分の1!$G$11:$G$310,506-COUNTA(半紙!$B$11:$B$310)-COUNTA(条幅!$B$11:$B$310)),""))))</f>
        <v/>
      </c>
      <c r="H511" s="38" t="str">
        <f>IF(IF(506&lt;=COUNTA(半紙!$B$11:$B$310),INDEX(半紙!$H$11:$H$310,506),IF(506&lt;=COUNTA(半紙!$B$11:$B$310)+COUNTA(条幅!$B$11:$B$310),INDEX(条幅!$H$11:$H$310,506-COUNTA(半紙!$B$11:$B$310)),IF(506&lt;=COUNTA(半紙!$B$11:$B$310)+COUNTA(条幅!$B$11:$B$310)+COUNTA(条幅4分の1!$B$11:$B$310),INDEX(条幅4分の1!$H$11:$H$310,506-COUNTA(半紙!$B$11:$B$310)-COUNTA(条幅!$B$11:$B$310)),"")))=0,"",IF(506&lt;=COUNTA(半紙!$B$11:$B$310),INDEX(半紙!$H$11:$H$310,506),IF(506&lt;=COUNTA(半紙!$B$11:$B$310)+COUNTA(条幅!$B$11:$B$310),INDEX(条幅!$H$11:$H$310,506-COUNTA(半紙!$B$11:$B$310)),IF(506&lt;=COUNTA(半紙!$B$11:$B$310)+COUNTA(条幅!$B$11:$B$310)+COUNTA(条幅4分の1!$B$11:$B$310),INDEX(条幅4分の1!$H$11:$H$310,506-COUNTA(半紙!$B$11:$B$310)-COUNTA(条幅!$B$11:$B$310)),""))))</f>
        <v/>
      </c>
      <c r="I511" s="38" t="str">
        <f>IF(IF(506&lt;=COUNTA(半紙!$B$11:$B$310),INDEX(半紙!$I$11:$I$310,506),IF(506&lt;=COUNTA(半紙!$B$11:$B$310)+COUNTA(条幅!$B$11:$B$310),INDEX(条幅!$I$11:$I$310,506-COUNTA(半紙!$B$11:$B$310)),IF(506&lt;=COUNTA(半紙!$B$11:$B$310)+COUNTA(条幅!$B$11:$B$310)+COUNTA(条幅4分の1!$B$11:$B$310),INDEX(条幅4分の1!$I$11:$I$310,506-COUNTA(半紙!$B$11:$B$310)-COUNTA(条幅!$B$11:$B$310)),"")))=0,"",IF(506&lt;=COUNTA(半紙!$B$11:$B$310),INDEX(半紙!$I$11:$I$310,506),IF(506&lt;=COUNTA(半紙!$B$11:$B$310)+COUNTA(条幅!$B$11:$B$310),INDEX(条幅!$I$11:$I$310,506-COUNTA(半紙!$B$11:$B$310)),IF(506&lt;=COUNTA(半紙!$B$11:$B$310)+COUNTA(条幅!$B$11:$B$310)+COUNTA(条幅4分の1!$B$11:$B$310),INDEX(条幅4分の1!$I$11:$I$310,506-COUNTA(半紙!$B$11:$B$310)-COUNTA(条幅!$B$11:$B$310)),""))))</f>
        <v/>
      </c>
      <c r="J511" s="38" t="str">
        <f>IF(IF(506&lt;=COUNTA(半紙!$B$11:$B$310),INDEX(半紙!$J$11:$J$310,506),IF(506&lt;=COUNTA(半紙!$B$11:$B$310)+COUNTA(条幅!$B$11:$B$310),INDEX(条幅!$J$11:$J$310,506-COUNTA(半紙!$B$11:$B$310)),IF(506&lt;=COUNTA(半紙!$B$11:$B$310)+COUNTA(条幅!$B$11:$B$310)+COUNTA(条幅4分の1!$B$11:$B$310),INDEX(条幅4分の1!$J$11:$J$310,506-COUNTA(半紙!$B$11:$B$310)-COUNTA(条幅!$B$11:$B$310)),"")))=0,"",IF(506&lt;=COUNTA(半紙!$B$11:$B$310),INDEX(半紙!$J$11:$J$310,506),IF(506&lt;=COUNTA(半紙!$B$11:$B$310)+COUNTA(条幅!$B$11:$B$310),INDEX(条幅!$J$11:$J$310,506-COUNTA(半紙!$B$11:$B$310)),IF(506&lt;=COUNTA(半紙!$B$11:$B$310)+COUNTA(条幅!$B$11:$B$310)+COUNTA(条幅4分の1!$B$11:$B$310),INDEX(条幅4分の1!$J$11:$J$310,506-COUNTA(半紙!$B$11:$B$310)-COUNTA(条幅!$B$11:$B$310)),""))))</f>
        <v/>
      </c>
      <c r="K511" s="38" t="str">
        <f>IF(IF(506&lt;=COUNTA(半紙!$B$11:$B$310),INDEX(半紙!$K$11:$K$310,506),IF(506&lt;=COUNTA(半紙!$B$11:$B$310)+COUNTA(条幅!$B$11:$B$310),INDEX(条幅!$K$11:$K$310,506-COUNTA(半紙!$B$11:$B$310)),IF(506&lt;=COUNTA(半紙!$B$11:$B$310)+COUNTA(条幅!$B$11:$B$310)+COUNTA(条幅4分の1!$B$11:$B$310),INDEX(条幅4分の1!$K$11:$K$310,506-COUNTA(半紙!$B$11:$B$310)-COUNTA(条幅!$B$11:$B$310)),"")))=0,"",IF(506&lt;=COUNTA(半紙!$B$11:$B$310),INDEX(半紙!$K$11:$K$310,506),IF(506&lt;=COUNTA(半紙!$B$11:$B$310)+COUNTA(条幅!$B$11:$B$310),INDEX(条幅!$K$11:$K$310,506-COUNTA(半紙!$B$11:$B$310)),IF(506&lt;=COUNTA(半紙!$B$11:$B$310)+COUNTA(条幅!$B$11:$B$310)+COUNTA(条幅4分の1!$B$11:$B$310),INDEX(条幅4分の1!$K$11:$K$310,506-COUNTA(半紙!$B$11:$B$310)-COUNTA(条幅!$B$11:$B$310)),""))))</f>
        <v/>
      </c>
      <c r="L511" s="48" t="str">
        <f>IF($B511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506))</f>
        <v/>
      </c>
    </row>
    <row r="512" spans="1:12" ht="15" customHeight="1">
      <c r="A512" s="37" t="str">
        <f>IF(507&lt;=COUNTA(半紙!$B$11:$B$310),"半紙",IF(507&lt;=COUNTA(半紙!$B$11:$B$310)+COUNTA(条幅!$B$11:$B$310),"条幅(半切)",IF(507&lt;=COUNTA(半紙!$B$11:$B$310)+COUNTA(条幅!$B$11:$B$310)+COUNTA(条幅4分の1!$B$11:$B$310),"条幅(1/4)","")))</f>
        <v/>
      </c>
      <c r="B512" s="38" t="str">
        <f>IF(IF(507&lt;=COUNTA(半紙!$B$11:$B$310),INDEX(半紙!$B$11:$B$310,507),IF(507&lt;=COUNTA(半紙!$B$11:$B$310)+COUNTA(条幅!$B$11:$B$310),INDEX(条幅!$B$11:$B$310,507-COUNTA(半紙!$B$11:$B$310)),IF(507&lt;=COUNTA(半紙!$B$11:$B$310)+COUNTA(条幅!$B$11:$B$310)+COUNTA(条幅4分の1!$B$11:$B$310),INDEX(条幅4分の1!$B$11:$B$310,507-COUNTA(半紙!$B$11:$B$310)-COUNTA(条幅!$B$11:$B$310)),"")))=0,"",IF(507&lt;=COUNTA(半紙!$B$11:$B$310),INDEX(半紙!$B$11:$B$310,507),IF(507&lt;=COUNTA(半紙!$B$11:$B$310)+COUNTA(条幅!$B$11:$B$310),INDEX(条幅!$B$11:$B$310,507-COUNTA(半紙!$B$11:$B$310)),IF(507&lt;=COUNTA(半紙!$B$11:$B$310)+COUNTA(条幅!$B$11:$B$310)+COUNTA(条幅4分の1!$B$11:$B$310),INDEX(条幅4分の1!$B$11:$B$310,507-COUNTA(半紙!$B$11:$B$310)-COUNTA(条幅!$B$11:$B$310)),""))))</f>
        <v/>
      </c>
      <c r="C512" s="38" t="str">
        <f>IF(IF(507&lt;=COUNTA(半紙!$B$11:$B$310),INDEX(半紙!$C$11:$C$310,507),IF(507&lt;=COUNTA(半紙!$B$11:$B$310)+COUNTA(条幅!$B$11:$B$310),INDEX(条幅!$C$11:$C$310,507-COUNTA(半紙!$B$11:$B$310)),IF(507&lt;=COUNTA(半紙!$B$11:$B$310)+COUNTA(条幅!$B$11:$B$310)+COUNTA(条幅4分の1!$B$11:$B$310),INDEX(条幅4分の1!$C$11:$C$310,507-COUNTA(半紙!$B$11:$B$310)-COUNTA(条幅!$B$11:$B$310)),"")))=0,"",IF(507&lt;=COUNTA(半紙!$B$11:$B$310),INDEX(半紙!$C$11:$C$310,507),IF(507&lt;=COUNTA(半紙!$B$11:$B$310)+COUNTA(条幅!$B$11:$B$310),INDEX(条幅!$C$11:$C$310,507-COUNTA(半紙!$B$11:$B$310)),IF(507&lt;=COUNTA(半紙!$B$11:$B$310)+COUNTA(条幅!$B$11:$B$310)+COUNTA(条幅4分の1!$B$11:$B$310),INDEX(条幅4分の1!$C$11:$C$310,507-COUNTA(半紙!$B$11:$B$310)-COUNTA(条幅!$B$11:$B$310)),""))))</f>
        <v/>
      </c>
      <c r="D512" s="38" t="str">
        <f>IF(IF(507&lt;=COUNTA(半紙!$B$11:$B$310),INDEX(半紙!$D$11:$D$310,507),IF(507&lt;=COUNTA(半紙!$B$11:$B$310)+COUNTA(条幅!$B$11:$B$310),INDEX(条幅!$D$11:$D$310,507-COUNTA(半紙!$B$11:$B$310)),IF(507&lt;=COUNTA(半紙!$B$11:$B$310)+COUNTA(条幅!$B$11:$B$310)+COUNTA(条幅4分の1!$B$11:$B$310),INDEX(条幅4分の1!$D$11:$D$310,507-COUNTA(半紙!$B$11:$B$310)-COUNTA(条幅!$B$11:$B$310)),"")))=0,"",IF(507&lt;=COUNTA(半紙!$B$11:$B$310),INDEX(半紙!$D$11:$D$310,507),IF(507&lt;=COUNTA(半紙!$B$11:$B$310)+COUNTA(条幅!$B$11:$B$310),INDEX(条幅!$D$11:$D$310,507-COUNTA(半紙!$B$11:$B$310)),IF(507&lt;=COUNTA(半紙!$B$11:$B$310)+COUNTA(条幅!$B$11:$B$310)+COUNTA(条幅4分の1!$B$11:$B$310),INDEX(条幅4分の1!$D$11:$D$310,507-COUNTA(半紙!$B$11:$B$310)-COUNTA(条幅!$B$11:$B$310)),""))))</f>
        <v/>
      </c>
      <c r="E512" s="38" t="str">
        <f>IF(IF(507&lt;=COUNTA(半紙!$B$11:$B$310),INDEX(半紙!$E$11:$E$310,507),IF(507&lt;=COUNTA(半紙!$B$11:$B$310)+COUNTA(条幅!$B$11:$B$310),INDEX(条幅!$E$11:$E$310,507-COUNTA(半紙!$B$11:$B$310)),IF(507&lt;=COUNTA(半紙!$B$11:$B$310)+COUNTA(条幅!$B$11:$B$310)+COUNTA(条幅4分の1!$B$11:$B$310),INDEX(条幅4分の1!$E$11:$E$310,507-COUNTA(半紙!$B$11:$B$310)-COUNTA(条幅!$B$11:$B$310)),"")))=0,"",IF(507&lt;=COUNTA(半紙!$B$11:$B$310),INDEX(半紙!$E$11:$E$310,507),IF(507&lt;=COUNTA(半紙!$B$11:$B$310)+COUNTA(条幅!$B$11:$B$310),INDEX(条幅!$E$11:$E$310,507-COUNTA(半紙!$B$11:$B$310)),IF(507&lt;=COUNTA(半紙!$B$11:$B$310)+COUNTA(条幅!$B$11:$B$310)+COUNTA(条幅4分の1!$B$11:$B$310),INDEX(条幅4分の1!$E$11:$E$310,507-COUNTA(半紙!$B$11:$B$310)-COUNTA(条幅!$B$11:$B$310)),""))))</f>
        <v/>
      </c>
      <c r="F512" s="38" t="str">
        <f>IF(IF(507&lt;=COUNTA(半紙!$B$11:$B$310),INDEX(半紙!$F$11:$F$310,507),IF(507&lt;=COUNTA(半紙!$B$11:$B$310)+COUNTA(条幅!$B$11:$B$310),INDEX(条幅!$F$11:$F$310,507-COUNTA(半紙!$B$11:$B$310)),IF(507&lt;=COUNTA(半紙!$B$11:$B$310)+COUNTA(条幅!$B$11:$B$310)+COUNTA(条幅4分の1!$B$11:$B$310),INDEX(条幅4分の1!$F$11:$F$310,507-COUNTA(半紙!$B$11:$B$310)-COUNTA(条幅!$B$11:$B$310)),"")))=0,"",IF(507&lt;=COUNTA(半紙!$B$11:$B$310),INDEX(半紙!$F$11:$F$310,507),IF(507&lt;=COUNTA(半紙!$B$11:$B$310)+COUNTA(条幅!$B$11:$B$310),INDEX(条幅!$F$11:$F$310,507-COUNTA(半紙!$B$11:$B$310)),IF(507&lt;=COUNTA(半紙!$B$11:$B$310)+COUNTA(条幅!$B$11:$B$310)+COUNTA(条幅4分の1!$B$11:$B$310),INDEX(条幅4分の1!$F$11:$F$310,507-COUNTA(半紙!$B$11:$B$310)-COUNTA(条幅!$B$11:$B$310)),""))))</f>
        <v/>
      </c>
      <c r="G512" s="38" t="str">
        <f>IF(IF(507&lt;=COUNTA(半紙!$B$11:$B$310),INDEX(半紙!$G$11:$G$310,507),IF(507&lt;=COUNTA(半紙!$B$11:$B$310)+COUNTA(条幅!$B$11:$B$310),INDEX(条幅!$G$11:$G$310,507-COUNTA(半紙!$B$11:$B$310)),IF(507&lt;=COUNTA(半紙!$B$11:$B$310)+COUNTA(条幅!$B$11:$B$310)+COUNTA(条幅4分の1!$B$11:$B$310),INDEX(条幅4分の1!$G$11:$G$310,507-COUNTA(半紙!$B$11:$B$310)-COUNTA(条幅!$B$11:$B$310)),"")))=0,"",IF(507&lt;=COUNTA(半紙!$B$11:$B$310),INDEX(半紙!$G$11:$G$310,507),IF(507&lt;=COUNTA(半紙!$B$11:$B$310)+COUNTA(条幅!$B$11:$B$310),INDEX(条幅!$G$11:$G$310,507-COUNTA(半紙!$B$11:$B$310)),IF(507&lt;=COUNTA(半紙!$B$11:$B$310)+COUNTA(条幅!$B$11:$B$310)+COUNTA(条幅4分の1!$B$11:$B$310),INDEX(条幅4分の1!$G$11:$G$310,507-COUNTA(半紙!$B$11:$B$310)-COUNTA(条幅!$B$11:$B$310)),""))))</f>
        <v/>
      </c>
      <c r="H512" s="38" t="str">
        <f>IF(IF(507&lt;=COUNTA(半紙!$B$11:$B$310),INDEX(半紙!$H$11:$H$310,507),IF(507&lt;=COUNTA(半紙!$B$11:$B$310)+COUNTA(条幅!$B$11:$B$310),INDEX(条幅!$H$11:$H$310,507-COUNTA(半紙!$B$11:$B$310)),IF(507&lt;=COUNTA(半紙!$B$11:$B$310)+COUNTA(条幅!$B$11:$B$310)+COUNTA(条幅4分の1!$B$11:$B$310),INDEX(条幅4分の1!$H$11:$H$310,507-COUNTA(半紙!$B$11:$B$310)-COUNTA(条幅!$B$11:$B$310)),"")))=0,"",IF(507&lt;=COUNTA(半紙!$B$11:$B$310),INDEX(半紙!$H$11:$H$310,507),IF(507&lt;=COUNTA(半紙!$B$11:$B$310)+COUNTA(条幅!$B$11:$B$310),INDEX(条幅!$H$11:$H$310,507-COUNTA(半紙!$B$11:$B$310)),IF(507&lt;=COUNTA(半紙!$B$11:$B$310)+COUNTA(条幅!$B$11:$B$310)+COUNTA(条幅4分の1!$B$11:$B$310),INDEX(条幅4分の1!$H$11:$H$310,507-COUNTA(半紙!$B$11:$B$310)-COUNTA(条幅!$B$11:$B$310)),""))))</f>
        <v/>
      </c>
      <c r="I512" s="38" t="str">
        <f>IF(IF(507&lt;=COUNTA(半紙!$B$11:$B$310),INDEX(半紙!$I$11:$I$310,507),IF(507&lt;=COUNTA(半紙!$B$11:$B$310)+COUNTA(条幅!$B$11:$B$310),INDEX(条幅!$I$11:$I$310,507-COUNTA(半紙!$B$11:$B$310)),IF(507&lt;=COUNTA(半紙!$B$11:$B$310)+COUNTA(条幅!$B$11:$B$310)+COUNTA(条幅4分の1!$B$11:$B$310),INDEX(条幅4分の1!$I$11:$I$310,507-COUNTA(半紙!$B$11:$B$310)-COUNTA(条幅!$B$11:$B$310)),"")))=0,"",IF(507&lt;=COUNTA(半紙!$B$11:$B$310),INDEX(半紙!$I$11:$I$310,507),IF(507&lt;=COUNTA(半紙!$B$11:$B$310)+COUNTA(条幅!$B$11:$B$310),INDEX(条幅!$I$11:$I$310,507-COUNTA(半紙!$B$11:$B$310)),IF(507&lt;=COUNTA(半紙!$B$11:$B$310)+COUNTA(条幅!$B$11:$B$310)+COUNTA(条幅4分の1!$B$11:$B$310),INDEX(条幅4分の1!$I$11:$I$310,507-COUNTA(半紙!$B$11:$B$310)-COUNTA(条幅!$B$11:$B$310)),""))))</f>
        <v/>
      </c>
      <c r="J512" s="38" t="str">
        <f>IF(IF(507&lt;=COUNTA(半紙!$B$11:$B$310),INDEX(半紙!$J$11:$J$310,507),IF(507&lt;=COUNTA(半紙!$B$11:$B$310)+COUNTA(条幅!$B$11:$B$310),INDEX(条幅!$J$11:$J$310,507-COUNTA(半紙!$B$11:$B$310)),IF(507&lt;=COUNTA(半紙!$B$11:$B$310)+COUNTA(条幅!$B$11:$B$310)+COUNTA(条幅4分の1!$B$11:$B$310),INDEX(条幅4分の1!$J$11:$J$310,507-COUNTA(半紙!$B$11:$B$310)-COUNTA(条幅!$B$11:$B$310)),"")))=0,"",IF(507&lt;=COUNTA(半紙!$B$11:$B$310),INDEX(半紙!$J$11:$J$310,507),IF(507&lt;=COUNTA(半紙!$B$11:$B$310)+COUNTA(条幅!$B$11:$B$310),INDEX(条幅!$J$11:$J$310,507-COUNTA(半紙!$B$11:$B$310)),IF(507&lt;=COUNTA(半紙!$B$11:$B$310)+COUNTA(条幅!$B$11:$B$310)+COUNTA(条幅4分の1!$B$11:$B$310),INDEX(条幅4分の1!$J$11:$J$310,507-COUNTA(半紙!$B$11:$B$310)-COUNTA(条幅!$B$11:$B$310)),""))))</f>
        <v/>
      </c>
      <c r="K512" s="38" t="str">
        <f>IF(IF(507&lt;=COUNTA(半紙!$B$11:$B$310),INDEX(半紙!$K$11:$K$310,507),IF(507&lt;=COUNTA(半紙!$B$11:$B$310)+COUNTA(条幅!$B$11:$B$310),INDEX(条幅!$K$11:$K$310,507-COUNTA(半紙!$B$11:$B$310)),IF(507&lt;=COUNTA(半紙!$B$11:$B$310)+COUNTA(条幅!$B$11:$B$310)+COUNTA(条幅4分の1!$B$11:$B$310),INDEX(条幅4分の1!$K$11:$K$310,507-COUNTA(半紙!$B$11:$B$310)-COUNTA(条幅!$B$11:$B$310)),"")))=0,"",IF(507&lt;=COUNTA(半紙!$B$11:$B$310),INDEX(半紙!$K$11:$K$310,507),IF(507&lt;=COUNTA(半紙!$B$11:$B$310)+COUNTA(条幅!$B$11:$B$310),INDEX(条幅!$K$11:$K$310,507-COUNTA(半紙!$B$11:$B$310)),IF(507&lt;=COUNTA(半紙!$B$11:$B$310)+COUNTA(条幅!$B$11:$B$310)+COUNTA(条幅4分の1!$B$11:$B$310),INDEX(条幅4分の1!$K$11:$K$310,507-COUNTA(半紙!$B$11:$B$310)-COUNTA(条幅!$B$11:$B$310)),""))))</f>
        <v/>
      </c>
      <c r="L512" s="48" t="str">
        <f>IF($B512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507))</f>
        <v/>
      </c>
    </row>
    <row r="513" spans="1:12" ht="15" customHeight="1">
      <c r="A513" s="37" t="str">
        <f>IF(508&lt;=COUNTA(半紙!$B$11:$B$310),"半紙",IF(508&lt;=COUNTA(半紙!$B$11:$B$310)+COUNTA(条幅!$B$11:$B$310),"条幅(半切)",IF(508&lt;=COUNTA(半紙!$B$11:$B$310)+COUNTA(条幅!$B$11:$B$310)+COUNTA(条幅4分の1!$B$11:$B$310),"条幅(1/4)","")))</f>
        <v/>
      </c>
      <c r="B513" s="38" t="str">
        <f>IF(IF(508&lt;=COUNTA(半紙!$B$11:$B$310),INDEX(半紙!$B$11:$B$310,508),IF(508&lt;=COUNTA(半紙!$B$11:$B$310)+COUNTA(条幅!$B$11:$B$310),INDEX(条幅!$B$11:$B$310,508-COUNTA(半紙!$B$11:$B$310)),IF(508&lt;=COUNTA(半紙!$B$11:$B$310)+COUNTA(条幅!$B$11:$B$310)+COUNTA(条幅4分の1!$B$11:$B$310),INDEX(条幅4分の1!$B$11:$B$310,508-COUNTA(半紙!$B$11:$B$310)-COUNTA(条幅!$B$11:$B$310)),"")))=0,"",IF(508&lt;=COUNTA(半紙!$B$11:$B$310),INDEX(半紙!$B$11:$B$310,508),IF(508&lt;=COUNTA(半紙!$B$11:$B$310)+COUNTA(条幅!$B$11:$B$310),INDEX(条幅!$B$11:$B$310,508-COUNTA(半紙!$B$11:$B$310)),IF(508&lt;=COUNTA(半紙!$B$11:$B$310)+COUNTA(条幅!$B$11:$B$310)+COUNTA(条幅4分の1!$B$11:$B$310),INDEX(条幅4分の1!$B$11:$B$310,508-COUNTA(半紙!$B$11:$B$310)-COUNTA(条幅!$B$11:$B$310)),""))))</f>
        <v/>
      </c>
      <c r="C513" s="38" t="str">
        <f>IF(IF(508&lt;=COUNTA(半紙!$B$11:$B$310),INDEX(半紙!$C$11:$C$310,508),IF(508&lt;=COUNTA(半紙!$B$11:$B$310)+COUNTA(条幅!$B$11:$B$310),INDEX(条幅!$C$11:$C$310,508-COUNTA(半紙!$B$11:$B$310)),IF(508&lt;=COUNTA(半紙!$B$11:$B$310)+COUNTA(条幅!$B$11:$B$310)+COUNTA(条幅4分の1!$B$11:$B$310),INDEX(条幅4分の1!$C$11:$C$310,508-COUNTA(半紙!$B$11:$B$310)-COUNTA(条幅!$B$11:$B$310)),"")))=0,"",IF(508&lt;=COUNTA(半紙!$B$11:$B$310),INDEX(半紙!$C$11:$C$310,508),IF(508&lt;=COUNTA(半紙!$B$11:$B$310)+COUNTA(条幅!$B$11:$B$310),INDEX(条幅!$C$11:$C$310,508-COUNTA(半紙!$B$11:$B$310)),IF(508&lt;=COUNTA(半紙!$B$11:$B$310)+COUNTA(条幅!$B$11:$B$310)+COUNTA(条幅4分の1!$B$11:$B$310),INDEX(条幅4分の1!$C$11:$C$310,508-COUNTA(半紙!$B$11:$B$310)-COUNTA(条幅!$B$11:$B$310)),""))))</f>
        <v/>
      </c>
      <c r="D513" s="38" t="str">
        <f>IF(IF(508&lt;=COUNTA(半紙!$B$11:$B$310),INDEX(半紙!$D$11:$D$310,508),IF(508&lt;=COUNTA(半紙!$B$11:$B$310)+COUNTA(条幅!$B$11:$B$310),INDEX(条幅!$D$11:$D$310,508-COUNTA(半紙!$B$11:$B$310)),IF(508&lt;=COUNTA(半紙!$B$11:$B$310)+COUNTA(条幅!$B$11:$B$310)+COUNTA(条幅4分の1!$B$11:$B$310),INDEX(条幅4分の1!$D$11:$D$310,508-COUNTA(半紙!$B$11:$B$310)-COUNTA(条幅!$B$11:$B$310)),"")))=0,"",IF(508&lt;=COUNTA(半紙!$B$11:$B$310),INDEX(半紙!$D$11:$D$310,508),IF(508&lt;=COUNTA(半紙!$B$11:$B$310)+COUNTA(条幅!$B$11:$B$310),INDEX(条幅!$D$11:$D$310,508-COUNTA(半紙!$B$11:$B$310)),IF(508&lt;=COUNTA(半紙!$B$11:$B$310)+COUNTA(条幅!$B$11:$B$310)+COUNTA(条幅4分の1!$B$11:$B$310),INDEX(条幅4分の1!$D$11:$D$310,508-COUNTA(半紙!$B$11:$B$310)-COUNTA(条幅!$B$11:$B$310)),""))))</f>
        <v/>
      </c>
      <c r="E513" s="38" t="str">
        <f>IF(IF(508&lt;=COUNTA(半紙!$B$11:$B$310),INDEX(半紙!$E$11:$E$310,508),IF(508&lt;=COUNTA(半紙!$B$11:$B$310)+COUNTA(条幅!$B$11:$B$310),INDEX(条幅!$E$11:$E$310,508-COUNTA(半紙!$B$11:$B$310)),IF(508&lt;=COUNTA(半紙!$B$11:$B$310)+COUNTA(条幅!$B$11:$B$310)+COUNTA(条幅4分の1!$B$11:$B$310),INDEX(条幅4分の1!$E$11:$E$310,508-COUNTA(半紙!$B$11:$B$310)-COUNTA(条幅!$B$11:$B$310)),"")))=0,"",IF(508&lt;=COUNTA(半紙!$B$11:$B$310),INDEX(半紙!$E$11:$E$310,508),IF(508&lt;=COUNTA(半紙!$B$11:$B$310)+COUNTA(条幅!$B$11:$B$310),INDEX(条幅!$E$11:$E$310,508-COUNTA(半紙!$B$11:$B$310)),IF(508&lt;=COUNTA(半紙!$B$11:$B$310)+COUNTA(条幅!$B$11:$B$310)+COUNTA(条幅4分の1!$B$11:$B$310),INDEX(条幅4分の1!$E$11:$E$310,508-COUNTA(半紙!$B$11:$B$310)-COUNTA(条幅!$B$11:$B$310)),""))))</f>
        <v/>
      </c>
      <c r="F513" s="38" t="str">
        <f>IF(IF(508&lt;=COUNTA(半紙!$B$11:$B$310),INDEX(半紙!$F$11:$F$310,508),IF(508&lt;=COUNTA(半紙!$B$11:$B$310)+COUNTA(条幅!$B$11:$B$310),INDEX(条幅!$F$11:$F$310,508-COUNTA(半紙!$B$11:$B$310)),IF(508&lt;=COUNTA(半紙!$B$11:$B$310)+COUNTA(条幅!$B$11:$B$310)+COUNTA(条幅4分の1!$B$11:$B$310),INDEX(条幅4分の1!$F$11:$F$310,508-COUNTA(半紙!$B$11:$B$310)-COUNTA(条幅!$B$11:$B$310)),"")))=0,"",IF(508&lt;=COUNTA(半紙!$B$11:$B$310),INDEX(半紙!$F$11:$F$310,508),IF(508&lt;=COUNTA(半紙!$B$11:$B$310)+COUNTA(条幅!$B$11:$B$310),INDEX(条幅!$F$11:$F$310,508-COUNTA(半紙!$B$11:$B$310)),IF(508&lt;=COUNTA(半紙!$B$11:$B$310)+COUNTA(条幅!$B$11:$B$310)+COUNTA(条幅4分の1!$B$11:$B$310),INDEX(条幅4分の1!$F$11:$F$310,508-COUNTA(半紙!$B$11:$B$310)-COUNTA(条幅!$B$11:$B$310)),""))))</f>
        <v/>
      </c>
      <c r="G513" s="38" t="str">
        <f>IF(IF(508&lt;=COUNTA(半紙!$B$11:$B$310),INDEX(半紙!$G$11:$G$310,508),IF(508&lt;=COUNTA(半紙!$B$11:$B$310)+COUNTA(条幅!$B$11:$B$310),INDEX(条幅!$G$11:$G$310,508-COUNTA(半紙!$B$11:$B$310)),IF(508&lt;=COUNTA(半紙!$B$11:$B$310)+COUNTA(条幅!$B$11:$B$310)+COUNTA(条幅4分の1!$B$11:$B$310),INDEX(条幅4分の1!$G$11:$G$310,508-COUNTA(半紙!$B$11:$B$310)-COUNTA(条幅!$B$11:$B$310)),"")))=0,"",IF(508&lt;=COUNTA(半紙!$B$11:$B$310),INDEX(半紙!$G$11:$G$310,508),IF(508&lt;=COUNTA(半紙!$B$11:$B$310)+COUNTA(条幅!$B$11:$B$310),INDEX(条幅!$G$11:$G$310,508-COUNTA(半紙!$B$11:$B$310)),IF(508&lt;=COUNTA(半紙!$B$11:$B$310)+COUNTA(条幅!$B$11:$B$310)+COUNTA(条幅4分の1!$B$11:$B$310),INDEX(条幅4分の1!$G$11:$G$310,508-COUNTA(半紙!$B$11:$B$310)-COUNTA(条幅!$B$11:$B$310)),""))))</f>
        <v/>
      </c>
      <c r="H513" s="38" t="str">
        <f>IF(IF(508&lt;=COUNTA(半紙!$B$11:$B$310),INDEX(半紙!$H$11:$H$310,508),IF(508&lt;=COUNTA(半紙!$B$11:$B$310)+COUNTA(条幅!$B$11:$B$310),INDEX(条幅!$H$11:$H$310,508-COUNTA(半紙!$B$11:$B$310)),IF(508&lt;=COUNTA(半紙!$B$11:$B$310)+COUNTA(条幅!$B$11:$B$310)+COUNTA(条幅4分の1!$B$11:$B$310),INDEX(条幅4分の1!$H$11:$H$310,508-COUNTA(半紙!$B$11:$B$310)-COUNTA(条幅!$B$11:$B$310)),"")))=0,"",IF(508&lt;=COUNTA(半紙!$B$11:$B$310),INDEX(半紙!$H$11:$H$310,508),IF(508&lt;=COUNTA(半紙!$B$11:$B$310)+COUNTA(条幅!$B$11:$B$310),INDEX(条幅!$H$11:$H$310,508-COUNTA(半紙!$B$11:$B$310)),IF(508&lt;=COUNTA(半紙!$B$11:$B$310)+COUNTA(条幅!$B$11:$B$310)+COUNTA(条幅4分の1!$B$11:$B$310),INDEX(条幅4分の1!$H$11:$H$310,508-COUNTA(半紙!$B$11:$B$310)-COUNTA(条幅!$B$11:$B$310)),""))))</f>
        <v/>
      </c>
      <c r="I513" s="38" t="str">
        <f>IF(IF(508&lt;=COUNTA(半紙!$B$11:$B$310),INDEX(半紙!$I$11:$I$310,508),IF(508&lt;=COUNTA(半紙!$B$11:$B$310)+COUNTA(条幅!$B$11:$B$310),INDEX(条幅!$I$11:$I$310,508-COUNTA(半紙!$B$11:$B$310)),IF(508&lt;=COUNTA(半紙!$B$11:$B$310)+COUNTA(条幅!$B$11:$B$310)+COUNTA(条幅4分の1!$B$11:$B$310),INDEX(条幅4分の1!$I$11:$I$310,508-COUNTA(半紙!$B$11:$B$310)-COUNTA(条幅!$B$11:$B$310)),"")))=0,"",IF(508&lt;=COUNTA(半紙!$B$11:$B$310),INDEX(半紙!$I$11:$I$310,508),IF(508&lt;=COUNTA(半紙!$B$11:$B$310)+COUNTA(条幅!$B$11:$B$310),INDEX(条幅!$I$11:$I$310,508-COUNTA(半紙!$B$11:$B$310)),IF(508&lt;=COUNTA(半紙!$B$11:$B$310)+COUNTA(条幅!$B$11:$B$310)+COUNTA(条幅4分の1!$B$11:$B$310),INDEX(条幅4分の1!$I$11:$I$310,508-COUNTA(半紙!$B$11:$B$310)-COUNTA(条幅!$B$11:$B$310)),""))))</f>
        <v/>
      </c>
      <c r="J513" s="38" t="str">
        <f>IF(IF(508&lt;=COUNTA(半紙!$B$11:$B$310),INDEX(半紙!$J$11:$J$310,508),IF(508&lt;=COUNTA(半紙!$B$11:$B$310)+COUNTA(条幅!$B$11:$B$310),INDEX(条幅!$J$11:$J$310,508-COUNTA(半紙!$B$11:$B$310)),IF(508&lt;=COUNTA(半紙!$B$11:$B$310)+COUNTA(条幅!$B$11:$B$310)+COUNTA(条幅4分の1!$B$11:$B$310),INDEX(条幅4分の1!$J$11:$J$310,508-COUNTA(半紙!$B$11:$B$310)-COUNTA(条幅!$B$11:$B$310)),"")))=0,"",IF(508&lt;=COUNTA(半紙!$B$11:$B$310),INDEX(半紙!$J$11:$J$310,508),IF(508&lt;=COUNTA(半紙!$B$11:$B$310)+COUNTA(条幅!$B$11:$B$310),INDEX(条幅!$J$11:$J$310,508-COUNTA(半紙!$B$11:$B$310)),IF(508&lt;=COUNTA(半紙!$B$11:$B$310)+COUNTA(条幅!$B$11:$B$310)+COUNTA(条幅4分の1!$B$11:$B$310),INDEX(条幅4分の1!$J$11:$J$310,508-COUNTA(半紙!$B$11:$B$310)-COUNTA(条幅!$B$11:$B$310)),""))))</f>
        <v/>
      </c>
      <c r="K513" s="38" t="str">
        <f>IF(IF(508&lt;=COUNTA(半紙!$B$11:$B$310),INDEX(半紙!$K$11:$K$310,508),IF(508&lt;=COUNTA(半紙!$B$11:$B$310)+COUNTA(条幅!$B$11:$B$310),INDEX(条幅!$K$11:$K$310,508-COUNTA(半紙!$B$11:$B$310)),IF(508&lt;=COUNTA(半紙!$B$11:$B$310)+COUNTA(条幅!$B$11:$B$310)+COUNTA(条幅4分の1!$B$11:$B$310),INDEX(条幅4分の1!$K$11:$K$310,508-COUNTA(半紙!$B$11:$B$310)-COUNTA(条幅!$B$11:$B$310)),"")))=0,"",IF(508&lt;=COUNTA(半紙!$B$11:$B$310),INDEX(半紙!$K$11:$K$310,508),IF(508&lt;=COUNTA(半紙!$B$11:$B$310)+COUNTA(条幅!$B$11:$B$310),INDEX(条幅!$K$11:$K$310,508-COUNTA(半紙!$B$11:$B$310)),IF(508&lt;=COUNTA(半紙!$B$11:$B$310)+COUNTA(条幅!$B$11:$B$310)+COUNTA(条幅4分の1!$B$11:$B$310),INDEX(条幅4分の1!$K$11:$K$310,508-COUNTA(半紙!$B$11:$B$310)-COUNTA(条幅!$B$11:$B$310)),""))))</f>
        <v/>
      </c>
      <c r="L513" s="48" t="str">
        <f>IF($B513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508))</f>
        <v/>
      </c>
    </row>
    <row r="514" spans="1:12" ht="15" customHeight="1">
      <c r="A514" s="37" t="str">
        <f>IF(509&lt;=COUNTA(半紙!$B$11:$B$310),"半紙",IF(509&lt;=COUNTA(半紙!$B$11:$B$310)+COUNTA(条幅!$B$11:$B$310),"条幅(半切)",IF(509&lt;=COUNTA(半紙!$B$11:$B$310)+COUNTA(条幅!$B$11:$B$310)+COUNTA(条幅4分の1!$B$11:$B$310),"条幅(1/4)","")))</f>
        <v/>
      </c>
      <c r="B514" s="38" t="str">
        <f>IF(IF(509&lt;=COUNTA(半紙!$B$11:$B$310),INDEX(半紙!$B$11:$B$310,509),IF(509&lt;=COUNTA(半紙!$B$11:$B$310)+COUNTA(条幅!$B$11:$B$310),INDEX(条幅!$B$11:$B$310,509-COUNTA(半紙!$B$11:$B$310)),IF(509&lt;=COUNTA(半紙!$B$11:$B$310)+COUNTA(条幅!$B$11:$B$310)+COUNTA(条幅4分の1!$B$11:$B$310),INDEX(条幅4分の1!$B$11:$B$310,509-COUNTA(半紙!$B$11:$B$310)-COUNTA(条幅!$B$11:$B$310)),"")))=0,"",IF(509&lt;=COUNTA(半紙!$B$11:$B$310),INDEX(半紙!$B$11:$B$310,509),IF(509&lt;=COUNTA(半紙!$B$11:$B$310)+COUNTA(条幅!$B$11:$B$310),INDEX(条幅!$B$11:$B$310,509-COUNTA(半紙!$B$11:$B$310)),IF(509&lt;=COUNTA(半紙!$B$11:$B$310)+COUNTA(条幅!$B$11:$B$310)+COUNTA(条幅4分の1!$B$11:$B$310),INDEX(条幅4分の1!$B$11:$B$310,509-COUNTA(半紙!$B$11:$B$310)-COUNTA(条幅!$B$11:$B$310)),""))))</f>
        <v/>
      </c>
      <c r="C514" s="38" t="str">
        <f>IF(IF(509&lt;=COUNTA(半紙!$B$11:$B$310),INDEX(半紙!$C$11:$C$310,509),IF(509&lt;=COUNTA(半紙!$B$11:$B$310)+COUNTA(条幅!$B$11:$B$310),INDEX(条幅!$C$11:$C$310,509-COUNTA(半紙!$B$11:$B$310)),IF(509&lt;=COUNTA(半紙!$B$11:$B$310)+COUNTA(条幅!$B$11:$B$310)+COUNTA(条幅4分の1!$B$11:$B$310),INDEX(条幅4分の1!$C$11:$C$310,509-COUNTA(半紙!$B$11:$B$310)-COUNTA(条幅!$B$11:$B$310)),"")))=0,"",IF(509&lt;=COUNTA(半紙!$B$11:$B$310),INDEX(半紙!$C$11:$C$310,509),IF(509&lt;=COUNTA(半紙!$B$11:$B$310)+COUNTA(条幅!$B$11:$B$310),INDEX(条幅!$C$11:$C$310,509-COUNTA(半紙!$B$11:$B$310)),IF(509&lt;=COUNTA(半紙!$B$11:$B$310)+COUNTA(条幅!$B$11:$B$310)+COUNTA(条幅4分の1!$B$11:$B$310),INDEX(条幅4分の1!$C$11:$C$310,509-COUNTA(半紙!$B$11:$B$310)-COUNTA(条幅!$B$11:$B$310)),""))))</f>
        <v/>
      </c>
      <c r="D514" s="38" t="str">
        <f>IF(IF(509&lt;=COUNTA(半紙!$B$11:$B$310),INDEX(半紙!$D$11:$D$310,509),IF(509&lt;=COUNTA(半紙!$B$11:$B$310)+COUNTA(条幅!$B$11:$B$310),INDEX(条幅!$D$11:$D$310,509-COUNTA(半紙!$B$11:$B$310)),IF(509&lt;=COUNTA(半紙!$B$11:$B$310)+COUNTA(条幅!$B$11:$B$310)+COUNTA(条幅4分の1!$B$11:$B$310),INDEX(条幅4分の1!$D$11:$D$310,509-COUNTA(半紙!$B$11:$B$310)-COUNTA(条幅!$B$11:$B$310)),"")))=0,"",IF(509&lt;=COUNTA(半紙!$B$11:$B$310),INDEX(半紙!$D$11:$D$310,509),IF(509&lt;=COUNTA(半紙!$B$11:$B$310)+COUNTA(条幅!$B$11:$B$310),INDEX(条幅!$D$11:$D$310,509-COUNTA(半紙!$B$11:$B$310)),IF(509&lt;=COUNTA(半紙!$B$11:$B$310)+COUNTA(条幅!$B$11:$B$310)+COUNTA(条幅4分の1!$B$11:$B$310),INDEX(条幅4分の1!$D$11:$D$310,509-COUNTA(半紙!$B$11:$B$310)-COUNTA(条幅!$B$11:$B$310)),""))))</f>
        <v/>
      </c>
      <c r="E514" s="38" t="str">
        <f>IF(IF(509&lt;=COUNTA(半紙!$B$11:$B$310),INDEX(半紙!$E$11:$E$310,509),IF(509&lt;=COUNTA(半紙!$B$11:$B$310)+COUNTA(条幅!$B$11:$B$310),INDEX(条幅!$E$11:$E$310,509-COUNTA(半紙!$B$11:$B$310)),IF(509&lt;=COUNTA(半紙!$B$11:$B$310)+COUNTA(条幅!$B$11:$B$310)+COUNTA(条幅4分の1!$B$11:$B$310),INDEX(条幅4分の1!$E$11:$E$310,509-COUNTA(半紙!$B$11:$B$310)-COUNTA(条幅!$B$11:$B$310)),"")))=0,"",IF(509&lt;=COUNTA(半紙!$B$11:$B$310),INDEX(半紙!$E$11:$E$310,509),IF(509&lt;=COUNTA(半紙!$B$11:$B$310)+COUNTA(条幅!$B$11:$B$310),INDEX(条幅!$E$11:$E$310,509-COUNTA(半紙!$B$11:$B$310)),IF(509&lt;=COUNTA(半紙!$B$11:$B$310)+COUNTA(条幅!$B$11:$B$310)+COUNTA(条幅4分の1!$B$11:$B$310),INDEX(条幅4分の1!$E$11:$E$310,509-COUNTA(半紙!$B$11:$B$310)-COUNTA(条幅!$B$11:$B$310)),""))))</f>
        <v/>
      </c>
      <c r="F514" s="38" t="str">
        <f>IF(IF(509&lt;=COUNTA(半紙!$B$11:$B$310),INDEX(半紙!$F$11:$F$310,509),IF(509&lt;=COUNTA(半紙!$B$11:$B$310)+COUNTA(条幅!$B$11:$B$310),INDEX(条幅!$F$11:$F$310,509-COUNTA(半紙!$B$11:$B$310)),IF(509&lt;=COUNTA(半紙!$B$11:$B$310)+COUNTA(条幅!$B$11:$B$310)+COUNTA(条幅4分の1!$B$11:$B$310),INDEX(条幅4分の1!$F$11:$F$310,509-COUNTA(半紙!$B$11:$B$310)-COUNTA(条幅!$B$11:$B$310)),"")))=0,"",IF(509&lt;=COUNTA(半紙!$B$11:$B$310),INDEX(半紙!$F$11:$F$310,509),IF(509&lt;=COUNTA(半紙!$B$11:$B$310)+COUNTA(条幅!$B$11:$B$310),INDEX(条幅!$F$11:$F$310,509-COUNTA(半紙!$B$11:$B$310)),IF(509&lt;=COUNTA(半紙!$B$11:$B$310)+COUNTA(条幅!$B$11:$B$310)+COUNTA(条幅4分の1!$B$11:$B$310),INDEX(条幅4分の1!$F$11:$F$310,509-COUNTA(半紙!$B$11:$B$310)-COUNTA(条幅!$B$11:$B$310)),""))))</f>
        <v/>
      </c>
      <c r="G514" s="38" t="str">
        <f>IF(IF(509&lt;=COUNTA(半紙!$B$11:$B$310),INDEX(半紙!$G$11:$G$310,509),IF(509&lt;=COUNTA(半紙!$B$11:$B$310)+COUNTA(条幅!$B$11:$B$310),INDEX(条幅!$G$11:$G$310,509-COUNTA(半紙!$B$11:$B$310)),IF(509&lt;=COUNTA(半紙!$B$11:$B$310)+COUNTA(条幅!$B$11:$B$310)+COUNTA(条幅4分の1!$B$11:$B$310),INDEX(条幅4分の1!$G$11:$G$310,509-COUNTA(半紙!$B$11:$B$310)-COUNTA(条幅!$B$11:$B$310)),"")))=0,"",IF(509&lt;=COUNTA(半紙!$B$11:$B$310),INDEX(半紙!$G$11:$G$310,509),IF(509&lt;=COUNTA(半紙!$B$11:$B$310)+COUNTA(条幅!$B$11:$B$310),INDEX(条幅!$G$11:$G$310,509-COUNTA(半紙!$B$11:$B$310)),IF(509&lt;=COUNTA(半紙!$B$11:$B$310)+COUNTA(条幅!$B$11:$B$310)+COUNTA(条幅4分の1!$B$11:$B$310),INDEX(条幅4分の1!$G$11:$G$310,509-COUNTA(半紙!$B$11:$B$310)-COUNTA(条幅!$B$11:$B$310)),""))))</f>
        <v/>
      </c>
      <c r="H514" s="38" t="str">
        <f>IF(IF(509&lt;=COUNTA(半紙!$B$11:$B$310),INDEX(半紙!$H$11:$H$310,509),IF(509&lt;=COUNTA(半紙!$B$11:$B$310)+COUNTA(条幅!$B$11:$B$310),INDEX(条幅!$H$11:$H$310,509-COUNTA(半紙!$B$11:$B$310)),IF(509&lt;=COUNTA(半紙!$B$11:$B$310)+COUNTA(条幅!$B$11:$B$310)+COUNTA(条幅4分の1!$B$11:$B$310),INDEX(条幅4分の1!$H$11:$H$310,509-COUNTA(半紙!$B$11:$B$310)-COUNTA(条幅!$B$11:$B$310)),"")))=0,"",IF(509&lt;=COUNTA(半紙!$B$11:$B$310),INDEX(半紙!$H$11:$H$310,509),IF(509&lt;=COUNTA(半紙!$B$11:$B$310)+COUNTA(条幅!$B$11:$B$310),INDEX(条幅!$H$11:$H$310,509-COUNTA(半紙!$B$11:$B$310)),IF(509&lt;=COUNTA(半紙!$B$11:$B$310)+COUNTA(条幅!$B$11:$B$310)+COUNTA(条幅4分の1!$B$11:$B$310),INDEX(条幅4分の1!$H$11:$H$310,509-COUNTA(半紙!$B$11:$B$310)-COUNTA(条幅!$B$11:$B$310)),""))))</f>
        <v/>
      </c>
      <c r="I514" s="38" t="str">
        <f>IF(IF(509&lt;=COUNTA(半紙!$B$11:$B$310),INDEX(半紙!$I$11:$I$310,509),IF(509&lt;=COUNTA(半紙!$B$11:$B$310)+COUNTA(条幅!$B$11:$B$310),INDEX(条幅!$I$11:$I$310,509-COUNTA(半紙!$B$11:$B$310)),IF(509&lt;=COUNTA(半紙!$B$11:$B$310)+COUNTA(条幅!$B$11:$B$310)+COUNTA(条幅4分の1!$B$11:$B$310),INDEX(条幅4分の1!$I$11:$I$310,509-COUNTA(半紙!$B$11:$B$310)-COUNTA(条幅!$B$11:$B$310)),"")))=0,"",IF(509&lt;=COUNTA(半紙!$B$11:$B$310),INDEX(半紙!$I$11:$I$310,509),IF(509&lt;=COUNTA(半紙!$B$11:$B$310)+COUNTA(条幅!$B$11:$B$310),INDEX(条幅!$I$11:$I$310,509-COUNTA(半紙!$B$11:$B$310)),IF(509&lt;=COUNTA(半紙!$B$11:$B$310)+COUNTA(条幅!$B$11:$B$310)+COUNTA(条幅4分の1!$B$11:$B$310),INDEX(条幅4分の1!$I$11:$I$310,509-COUNTA(半紙!$B$11:$B$310)-COUNTA(条幅!$B$11:$B$310)),""))))</f>
        <v/>
      </c>
      <c r="J514" s="38" t="str">
        <f>IF(IF(509&lt;=COUNTA(半紙!$B$11:$B$310),INDEX(半紙!$J$11:$J$310,509),IF(509&lt;=COUNTA(半紙!$B$11:$B$310)+COUNTA(条幅!$B$11:$B$310),INDEX(条幅!$J$11:$J$310,509-COUNTA(半紙!$B$11:$B$310)),IF(509&lt;=COUNTA(半紙!$B$11:$B$310)+COUNTA(条幅!$B$11:$B$310)+COUNTA(条幅4分の1!$B$11:$B$310),INDEX(条幅4分の1!$J$11:$J$310,509-COUNTA(半紙!$B$11:$B$310)-COUNTA(条幅!$B$11:$B$310)),"")))=0,"",IF(509&lt;=COUNTA(半紙!$B$11:$B$310),INDEX(半紙!$J$11:$J$310,509),IF(509&lt;=COUNTA(半紙!$B$11:$B$310)+COUNTA(条幅!$B$11:$B$310),INDEX(条幅!$J$11:$J$310,509-COUNTA(半紙!$B$11:$B$310)),IF(509&lt;=COUNTA(半紙!$B$11:$B$310)+COUNTA(条幅!$B$11:$B$310)+COUNTA(条幅4分の1!$B$11:$B$310),INDEX(条幅4分の1!$J$11:$J$310,509-COUNTA(半紙!$B$11:$B$310)-COUNTA(条幅!$B$11:$B$310)),""))))</f>
        <v/>
      </c>
      <c r="K514" s="38" t="str">
        <f>IF(IF(509&lt;=COUNTA(半紙!$B$11:$B$310),INDEX(半紙!$K$11:$K$310,509),IF(509&lt;=COUNTA(半紙!$B$11:$B$310)+COUNTA(条幅!$B$11:$B$310),INDEX(条幅!$K$11:$K$310,509-COUNTA(半紙!$B$11:$B$310)),IF(509&lt;=COUNTA(半紙!$B$11:$B$310)+COUNTA(条幅!$B$11:$B$310)+COUNTA(条幅4分の1!$B$11:$B$310),INDEX(条幅4分の1!$K$11:$K$310,509-COUNTA(半紙!$B$11:$B$310)-COUNTA(条幅!$B$11:$B$310)),"")))=0,"",IF(509&lt;=COUNTA(半紙!$B$11:$B$310),INDEX(半紙!$K$11:$K$310,509),IF(509&lt;=COUNTA(半紙!$B$11:$B$310)+COUNTA(条幅!$B$11:$B$310),INDEX(条幅!$K$11:$K$310,509-COUNTA(半紙!$B$11:$B$310)),IF(509&lt;=COUNTA(半紙!$B$11:$B$310)+COUNTA(条幅!$B$11:$B$310)+COUNTA(条幅4分の1!$B$11:$B$310),INDEX(条幅4分の1!$K$11:$K$310,509-COUNTA(半紙!$B$11:$B$310)-COUNTA(条幅!$B$11:$B$310)),""))))</f>
        <v/>
      </c>
      <c r="L514" s="48" t="str">
        <f>IF($B514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509))</f>
        <v/>
      </c>
    </row>
    <row r="515" spans="1:12" ht="15" customHeight="1">
      <c r="A515" s="37" t="str">
        <f>IF(510&lt;=COUNTA(半紙!$B$11:$B$310),"半紙",IF(510&lt;=COUNTA(半紙!$B$11:$B$310)+COUNTA(条幅!$B$11:$B$310),"条幅(半切)",IF(510&lt;=COUNTA(半紙!$B$11:$B$310)+COUNTA(条幅!$B$11:$B$310)+COUNTA(条幅4分の1!$B$11:$B$310),"条幅(1/4)","")))</f>
        <v/>
      </c>
      <c r="B515" s="38" t="str">
        <f>IF(IF(510&lt;=COUNTA(半紙!$B$11:$B$310),INDEX(半紙!$B$11:$B$310,510),IF(510&lt;=COUNTA(半紙!$B$11:$B$310)+COUNTA(条幅!$B$11:$B$310),INDEX(条幅!$B$11:$B$310,510-COUNTA(半紙!$B$11:$B$310)),IF(510&lt;=COUNTA(半紙!$B$11:$B$310)+COUNTA(条幅!$B$11:$B$310)+COUNTA(条幅4分の1!$B$11:$B$310),INDEX(条幅4分の1!$B$11:$B$310,510-COUNTA(半紙!$B$11:$B$310)-COUNTA(条幅!$B$11:$B$310)),"")))=0,"",IF(510&lt;=COUNTA(半紙!$B$11:$B$310),INDEX(半紙!$B$11:$B$310,510),IF(510&lt;=COUNTA(半紙!$B$11:$B$310)+COUNTA(条幅!$B$11:$B$310),INDEX(条幅!$B$11:$B$310,510-COUNTA(半紙!$B$11:$B$310)),IF(510&lt;=COUNTA(半紙!$B$11:$B$310)+COUNTA(条幅!$B$11:$B$310)+COUNTA(条幅4分の1!$B$11:$B$310),INDEX(条幅4分の1!$B$11:$B$310,510-COUNTA(半紙!$B$11:$B$310)-COUNTA(条幅!$B$11:$B$310)),""))))</f>
        <v/>
      </c>
      <c r="C515" s="38" t="str">
        <f>IF(IF(510&lt;=COUNTA(半紙!$B$11:$B$310),INDEX(半紙!$C$11:$C$310,510),IF(510&lt;=COUNTA(半紙!$B$11:$B$310)+COUNTA(条幅!$B$11:$B$310),INDEX(条幅!$C$11:$C$310,510-COUNTA(半紙!$B$11:$B$310)),IF(510&lt;=COUNTA(半紙!$B$11:$B$310)+COUNTA(条幅!$B$11:$B$310)+COUNTA(条幅4分の1!$B$11:$B$310),INDEX(条幅4分の1!$C$11:$C$310,510-COUNTA(半紙!$B$11:$B$310)-COUNTA(条幅!$B$11:$B$310)),"")))=0,"",IF(510&lt;=COUNTA(半紙!$B$11:$B$310),INDEX(半紙!$C$11:$C$310,510),IF(510&lt;=COUNTA(半紙!$B$11:$B$310)+COUNTA(条幅!$B$11:$B$310),INDEX(条幅!$C$11:$C$310,510-COUNTA(半紙!$B$11:$B$310)),IF(510&lt;=COUNTA(半紙!$B$11:$B$310)+COUNTA(条幅!$B$11:$B$310)+COUNTA(条幅4分の1!$B$11:$B$310),INDEX(条幅4分の1!$C$11:$C$310,510-COUNTA(半紙!$B$11:$B$310)-COUNTA(条幅!$B$11:$B$310)),""))))</f>
        <v/>
      </c>
      <c r="D515" s="38" t="str">
        <f>IF(IF(510&lt;=COUNTA(半紙!$B$11:$B$310),INDEX(半紙!$D$11:$D$310,510),IF(510&lt;=COUNTA(半紙!$B$11:$B$310)+COUNTA(条幅!$B$11:$B$310),INDEX(条幅!$D$11:$D$310,510-COUNTA(半紙!$B$11:$B$310)),IF(510&lt;=COUNTA(半紙!$B$11:$B$310)+COUNTA(条幅!$B$11:$B$310)+COUNTA(条幅4分の1!$B$11:$B$310),INDEX(条幅4分の1!$D$11:$D$310,510-COUNTA(半紙!$B$11:$B$310)-COUNTA(条幅!$B$11:$B$310)),"")))=0,"",IF(510&lt;=COUNTA(半紙!$B$11:$B$310),INDEX(半紙!$D$11:$D$310,510),IF(510&lt;=COUNTA(半紙!$B$11:$B$310)+COUNTA(条幅!$B$11:$B$310),INDEX(条幅!$D$11:$D$310,510-COUNTA(半紙!$B$11:$B$310)),IF(510&lt;=COUNTA(半紙!$B$11:$B$310)+COUNTA(条幅!$B$11:$B$310)+COUNTA(条幅4分の1!$B$11:$B$310),INDEX(条幅4分の1!$D$11:$D$310,510-COUNTA(半紙!$B$11:$B$310)-COUNTA(条幅!$B$11:$B$310)),""))))</f>
        <v/>
      </c>
      <c r="E515" s="38" t="str">
        <f>IF(IF(510&lt;=COUNTA(半紙!$B$11:$B$310),INDEX(半紙!$E$11:$E$310,510),IF(510&lt;=COUNTA(半紙!$B$11:$B$310)+COUNTA(条幅!$B$11:$B$310),INDEX(条幅!$E$11:$E$310,510-COUNTA(半紙!$B$11:$B$310)),IF(510&lt;=COUNTA(半紙!$B$11:$B$310)+COUNTA(条幅!$B$11:$B$310)+COUNTA(条幅4分の1!$B$11:$B$310),INDEX(条幅4分の1!$E$11:$E$310,510-COUNTA(半紙!$B$11:$B$310)-COUNTA(条幅!$B$11:$B$310)),"")))=0,"",IF(510&lt;=COUNTA(半紙!$B$11:$B$310),INDEX(半紙!$E$11:$E$310,510),IF(510&lt;=COUNTA(半紙!$B$11:$B$310)+COUNTA(条幅!$B$11:$B$310),INDEX(条幅!$E$11:$E$310,510-COUNTA(半紙!$B$11:$B$310)),IF(510&lt;=COUNTA(半紙!$B$11:$B$310)+COUNTA(条幅!$B$11:$B$310)+COUNTA(条幅4分の1!$B$11:$B$310),INDEX(条幅4分の1!$E$11:$E$310,510-COUNTA(半紙!$B$11:$B$310)-COUNTA(条幅!$B$11:$B$310)),""))))</f>
        <v/>
      </c>
      <c r="F515" s="38" t="str">
        <f>IF(IF(510&lt;=COUNTA(半紙!$B$11:$B$310),INDEX(半紙!$F$11:$F$310,510),IF(510&lt;=COUNTA(半紙!$B$11:$B$310)+COUNTA(条幅!$B$11:$B$310),INDEX(条幅!$F$11:$F$310,510-COUNTA(半紙!$B$11:$B$310)),IF(510&lt;=COUNTA(半紙!$B$11:$B$310)+COUNTA(条幅!$B$11:$B$310)+COUNTA(条幅4分の1!$B$11:$B$310),INDEX(条幅4分の1!$F$11:$F$310,510-COUNTA(半紙!$B$11:$B$310)-COUNTA(条幅!$B$11:$B$310)),"")))=0,"",IF(510&lt;=COUNTA(半紙!$B$11:$B$310),INDEX(半紙!$F$11:$F$310,510),IF(510&lt;=COUNTA(半紙!$B$11:$B$310)+COUNTA(条幅!$B$11:$B$310),INDEX(条幅!$F$11:$F$310,510-COUNTA(半紙!$B$11:$B$310)),IF(510&lt;=COUNTA(半紙!$B$11:$B$310)+COUNTA(条幅!$B$11:$B$310)+COUNTA(条幅4分の1!$B$11:$B$310),INDEX(条幅4分の1!$F$11:$F$310,510-COUNTA(半紙!$B$11:$B$310)-COUNTA(条幅!$B$11:$B$310)),""))))</f>
        <v/>
      </c>
      <c r="G515" s="38" t="str">
        <f>IF(IF(510&lt;=COUNTA(半紙!$B$11:$B$310),INDEX(半紙!$G$11:$G$310,510),IF(510&lt;=COUNTA(半紙!$B$11:$B$310)+COUNTA(条幅!$B$11:$B$310),INDEX(条幅!$G$11:$G$310,510-COUNTA(半紙!$B$11:$B$310)),IF(510&lt;=COUNTA(半紙!$B$11:$B$310)+COUNTA(条幅!$B$11:$B$310)+COUNTA(条幅4分の1!$B$11:$B$310),INDEX(条幅4分の1!$G$11:$G$310,510-COUNTA(半紙!$B$11:$B$310)-COUNTA(条幅!$B$11:$B$310)),"")))=0,"",IF(510&lt;=COUNTA(半紙!$B$11:$B$310),INDEX(半紙!$G$11:$G$310,510),IF(510&lt;=COUNTA(半紙!$B$11:$B$310)+COUNTA(条幅!$B$11:$B$310),INDEX(条幅!$G$11:$G$310,510-COUNTA(半紙!$B$11:$B$310)),IF(510&lt;=COUNTA(半紙!$B$11:$B$310)+COUNTA(条幅!$B$11:$B$310)+COUNTA(条幅4分の1!$B$11:$B$310),INDEX(条幅4分の1!$G$11:$G$310,510-COUNTA(半紙!$B$11:$B$310)-COUNTA(条幅!$B$11:$B$310)),""))))</f>
        <v/>
      </c>
      <c r="H515" s="38" t="str">
        <f>IF(IF(510&lt;=COUNTA(半紙!$B$11:$B$310),INDEX(半紙!$H$11:$H$310,510),IF(510&lt;=COUNTA(半紙!$B$11:$B$310)+COUNTA(条幅!$B$11:$B$310),INDEX(条幅!$H$11:$H$310,510-COUNTA(半紙!$B$11:$B$310)),IF(510&lt;=COUNTA(半紙!$B$11:$B$310)+COUNTA(条幅!$B$11:$B$310)+COUNTA(条幅4分の1!$B$11:$B$310),INDEX(条幅4分の1!$H$11:$H$310,510-COUNTA(半紙!$B$11:$B$310)-COUNTA(条幅!$B$11:$B$310)),"")))=0,"",IF(510&lt;=COUNTA(半紙!$B$11:$B$310),INDEX(半紙!$H$11:$H$310,510),IF(510&lt;=COUNTA(半紙!$B$11:$B$310)+COUNTA(条幅!$B$11:$B$310),INDEX(条幅!$H$11:$H$310,510-COUNTA(半紙!$B$11:$B$310)),IF(510&lt;=COUNTA(半紙!$B$11:$B$310)+COUNTA(条幅!$B$11:$B$310)+COUNTA(条幅4分の1!$B$11:$B$310),INDEX(条幅4分の1!$H$11:$H$310,510-COUNTA(半紙!$B$11:$B$310)-COUNTA(条幅!$B$11:$B$310)),""))))</f>
        <v/>
      </c>
      <c r="I515" s="38" t="str">
        <f>IF(IF(510&lt;=COUNTA(半紙!$B$11:$B$310),INDEX(半紙!$I$11:$I$310,510),IF(510&lt;=COUNTA(半紙!$B$11:$B$310)+COUNTA(条幅!$B$11:$B$310),INDEX(条幅!$I$11:$I$310,510-COUNTA(半紙!$B$11:$B$310)),IF(510&lt;=COUNTA(半紙!$B$11:$B$310)+COUNTA(条幅!$B$11:$B$310)+COUNTA(条幅4分の1!$B$11:$B$310),INDEX(条幅4分の1!$I$11:$I$310,510-COUNTA(半紙!$B$11:$B$310)-COUNTA(条幅!$B$11:$B$310)),"")))=0,"",IF(510&lt;=COUNTA(半紙!$B$11:$B$310),INDEX(半紙!$I$11:$I$310,510),IF(510&lt;=COUNTA(半紙!$B$11:$B$310)+COUNTA(条幅!$B$11:$B$310),INDEX(条幅!$I$11:$I$310,510-COUNTA(半紙!$B$11:$B$310)),IF(510&lt;=COUNTA(半紙!$B$11:$B$310)+COUNTA(条幅!$B$11:$B$310)+COUNTA(条幅4分の1!$B$11:$B$310),INDEX(条幅4分の1!$I$11:$I$310,510-COUNTA(半紙!$B$11:$B$310)-COUNTA(条幅!$B$11:$B$310)),""))))</f>
        <v/>
      </c>
      <c r="J515" s="38" t="str">
        <f>IF(IF(510&lt;=COUNTA(半紙!$B$11:$B$310),INDEX(半紙!$J$11:$J$310,510),IF(510&lt;=COUNTA(半紙!$B$11:$B$310)+COUNTA(条幅!$B$11:$B$310),INDEX(条幅!$J$11:$J$310,510-COUNTA(半紙!$B$11:$B$310)),IF(510&lt;=COUNTA(半紙!$B$11:$B$310)+COUNTA(条幅!$B$11:$B$310)+COUNTA(条幅4分の1!$B$11:$B$310),INDEX(条幅4分の1!$J$11:$J$310,510-COUNTA(半紙!$B$11:$B$310)-COUNTA(条幅!$B$11:$B$310)),"")))=0,"",IF(510&lt;=COUNTA(半紙!$B$11:$B$310),INDEX(半紙!$J$11:$J$310,510),IF(510&lt;=COUNTA(半紙!$B$11:$B$310)+COUNTA(条幅!$B$11:$B$310),INDEX(条幅!$J$11:$J$310,510-COUNTA(半紙!$B$11:$B$310)),IF(510&lt;=COUNTA(半紙!$B$11:$B$310)+COUNTA(条幅!$B$11:$B$310)+COUNTA(条幅4分の1!$B$11:$B$310),INDEX(条幅4分の1!$J$11:$J$310,510-COUNTA(半紙!$B$11:$B$310)-COUNTA(条幅!$B$11:$B$310)),""))))</f>
        <v/>
      </c>
      <c r="K515" s="38" t="str">
        <f>IF(IF(510&lt;=COUNTA(半紙!$B$11:$B$310),INDEX(半紙!$K$11:$K$310,510),IF(510&lt;=COUNTA(半紙!$B$11:$B$310)+COUNTA(条幅!$B$11:$B$310),INDEX(条幅!$K$11:$K$310,510-COUNTA(半紙!$B$11:$B$310)),IF(510&lt;=COUNTA(半紙!$B$11:$B$310)+COUNTA(条幅!$B$11:$B$310)+COUNTA(条幅4分の1!$B$11:$B$310),INDEX(条幅4分の1!$K$11:$K$310,510-COUNTA(半紙!$B$11:$B$310)-COUNTA(条幅!$B$11:$B$310)),"")))=0,"",IF(510&lt;=COUNTA(半紙!$B$11:$B$310),INDEX(半紙!$K$11:$K$310,510),IF(510&lt;=COUNTA(半紙!$B$11:$B$310)+COUNTA(条幅!$B$11:$B$310),INDEX(条幅!$K$11:$K$310,510-COUNTA(半紙!$B$11:$B$310)),IF(510&lt;=COUNTA(半紙!$B$11:$B$310)+COUNTA(条幅!$B$11:$B$310)+COUNTA(条幅4分の1!$B$11:$B$310),INDEX(条幅4分の1!$K$11:$K$310,510-COUNTA(半紙!$B$11:$B$310)-COUNTA(条幅!$B$11:$B$310)),""))))</f>
        <v/>
      </c>
      <c r="L515" s="48" t="str">
        <f>IF($B515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510))</f>
        <v/>
      </c>
    </row>
    <row r="516" spans="1:12" ht="15" customHeight="1">
      <c r="A516" s="37" t="str">
        <f>IF(511&lt;=COUNTA(半紙!$B$11:$B$310),"半紙",IF(511&lt;=COUNTA(半紙!$B$11:$B$310)+COUNTA(条幅!$B$11:$B$310),"条幅(半切)",IF(511&lt;=COUNTA(半紙!$B$11:$B$310)+COUNTA(条幅!$B$11:$B$310)+COUNTA(条幅4分の1!$B$11:$B$310),"条幅(1/4)","")))</f>
        <v/>
      </c>
      <c r="B516" s="38" t="str">
        <f>IF(IF(511&lt;=COUNTA(半紙!$B$11:$B$310),INDEX(半紙!$B$11:$B$310,511),IF(511&lt;=COUNTA(半紙!$B$11:$B$310)+COUNTA(条幅!$B$11:$B$310),INDEX(条幅!$B$11:$B$310,511-COUNTA(半紙!$B$11:$B$310)),IF(511&lt;=COUNTA(半紙!$B$11:$B$310)+COUNTA(条幅!$B$11:$B$310)+COUNTA(条幅4分の1!$B$11:$B$310),INDEX(条幅4分の1!$B$11:$B$310,511-COUNTA(半紙!$B$11:$B$310)-COUNTA(条幅!$B$11:$B$310)),"")))=0,"",IF(511&lt;=COUNTA(半紙!$B$11:$B$310),INDEX(半紙!$B$11:$B$310,511),IF(511&lt;=COUNTA(半紙!$B$11:$B$310)+COUNTA(条幅!$B$11:$B$310),INDEX(条幅!$B$11:$B$310,511-COUNTA(半紙!$B$11:$B$310)),IF(511&lt;=COUNTA(半紙!$B$11:$B$310)+COUNTA(条幅!$B$11:$B$310)+COUNTA(条幅4分の1!$B$11:$B$310),INDEX(条幅4分の1!$B$11:$B$310,511-COUNTA(半紙!$B$11:$B$310)-COUNTA(条幅!$B$11:$B$310)),""))))</f>
        <v/>
      </c>
      <c r="C516" s="38" t="str">
        <f>IF(IF(511&lt;=COUNTA(半紙!$B$11:$B$310),INDEX(半紙!$C$11:$C$310,511),IF(511&lt;=COUNTA(半紙!$B$11:$B$310)+COUNTA(条幅!$B$11:$B$310),INDEX(条幅!$C$11:$C$310,511-COUNTA(半紙!$B$11:$B$310)),IF(511&lt;=COUNTA(半紙!$B$11:$B$310)+COUNTA(条幅!$B$11:$B$310)+COUNTA(条幅4分の1!$B$11:$B$310),INDEX(条幅4分の1!$C$11:$C$310,511-COUNTA(半紙!$B$11:$B$310)-COUNTA(条幅!$B$11:$B$310)),"")))=0,"",IF(511&lt;=COUNTA(半紙!$B$11:$B$310),INDEX(半紙!$C$11:$C$310,511),IF(511&lt;=COUNTA(半紙!$B$11:$B$310)+COUNTA(条幅!$B$11:$B$310),INDEX(条幅!$C$11:$C$310,511-COUNTA(半紙!$B$11:$B$310)),IF(511&lt;=COUNTA(半紙!$B$11:$B$310)+COUNTA(条幅!$B$11:$B$310)+COUNTA(条幅4分の1!$B$11:$B$310),INDEX(条幅4分の1!$C$11:$C$310,511-COUNTA(半紙!$B$11:$B$310)-COUNTA(条幅!$B$11:$B$310)),""))))</f>
        <v/>
      </c>
      <c r="D516" s="38" t="str">
        <f>IF(IF(511&lt;=COUNTA(半紙!$B$11:$B$310),INDEX(半紙!$D$11:$D$310,511),IF(511&lt;=COUNTA(半紙!$B$11:$B$310)+COUNTA(条幅!$B$11:$B$310),INDEX(条幅!$D$11:$D$310,511-COUNTA(半紙!$B$11:$B$310)),IF(511&lt;=COUNTA(半紙!$B$11:$B$310)+COUNTA(条幅!$B$11:$B$310)+COUNTA(条幅4分の1!$B$11:$B$310),INDEX(条幅4分の1!$D$11:$D$310,511-COUNTA(半紙!$B$11:$B$310)-COUNTA(条幅!$B$11:$B$310)),"")))=0,"",IF(511&lt;=COUNTA(半紙!$B$11:$B$310),INDEX(半紙!$D$11:$D$310,511),IF(511&lt;=COUNTA(半紙!$B$11:$B$310)+COUNTA(条幅!$B$11:$B$310),INDEX(条幅!$D$11:$D$310,511-COUNTA(半紙!$B$11:$B$310)),IF(511&lt;=COUNTA(半紙!$B$11:$B$310)+COUNTA(条幅!$B$11:$B$310)+COUNTA(条幅4分の1!$B$11:$B$310),INDEX(条幅4分の1!$D$11:$D$310,511-COUNTA(半紙!$B$11:$B$310)-COUNTA(条幅!$B$11:$B$310)),""))))</f>
        <v/>
      </c>
      <c r="E516" s="38" t="str">
        <f>IF(IF(511&lt;=COUNTA(半紙!$B$11:$B$310),INDEX(半紙!$E$11:$E$310,511),IF(511&lt;=COUNTA(半紙!$B$11:$B$310)+COUNTA(条幅!$B$11:$B$310),INDEX(条幅!$E$11:$E$310,511-COUNTA(半紙!$B$11:$B$310)),IF(511&lt;=COUNTA(半紙!$B$11:$B$310)+COUNTA(条幅!$B$11:$B$310)+COUNTA(条幅4分の1!$B$11:$B$310),INDEX(条幅4分の1!$E$11:$E$310,511-COUNTA(半紙!$B$11:$B$310)-COUNTA(条幅!$B$11:$B$310)),"")))=0,"",IF(511&lt;=COUNTA(半紙!$B$11:$B$310),INDEX(半紙!$E$11:$E$310,511),IF(511&lt;=COUNTA(半紙!$B$11:$B$310)+COUNTA(条幅!$B$11:$B$310),INDEX(条幅!$E$11:$E$310,511-COUNTA(半紙!$B$11:$B$310)),IF(511&lt;=COUNTA(半紙!$B$11:$B$310)+COUNTA(条幅!$B$11:$B$310)+COUNTA(条幅4分の1!$B$11:$B$310),INDEX(条幅4分の1!$E$11:$E$310,511-COUNTA(半紙!$B$11:$B$310)-COUNTA(条幅!$B$11:$B$310)),""))))</f>
        <v/>
      </c>
      <c r="F516" s="38" t="str">
        <f>IF(IF(511&lt;=COUNTA(半紙!$B$11:$B$310),INDEX(半紙!$F$11:$F$310,511),IF(511&lt;=COUNTA(半紙!$B$11:$B$310)+COUNTA(条幅!$B$11:$B$310),INDEX(条幅!$F$11:$F$310,511-COUNTA(半紙!$B$11:$B$310)),IF(511&lt;=COUNTA(半紙!$B$11:$B$310)+COUNTA(条幅!$B$11:$B$310)+COUNTA(条幅4分の1!$B$11:$B$310),INDEX(条幅4分の1!$F$11:$F$310,511-COUNTA(半紙!$B$11:$B$310)-COUNTA(条幅!$B$11:$B$310)),"")))=0,"",IF(511&lt;=COUNTA(半紙!$B$11:$B$310),INDEX(半紙!$F$11:$F$310,511),IF(511&lt;=COUNTA(半紙!$B$11:$B$310)+COUNTA(条幅!$B$11:$B$310),INDEX(条幅!$F$11:$F$310,511-COUNTA(半紙!$B$11:$B$310)),IF(511&lt;=COUNTA(半紙!$B$11:$B$310)+COUNTA(条幅!$B$11:$B$310)+COUNTA(条幅4分の1!$B$11:$B$310),INDEX(条幅4分の1!$F$11:$F$310,511-COUNTA(半紙!$B$11:$B$310)-COUNTA(条幅!$B$11:$B$310)),""))))</f>
        <v/>
      </c>
      <c r="G516" s="38" t="str">
        <f>IF(IF(511&lt;=COUNTA(半紙!$B$11:$B$310),INDEX(半紙!$G$11:$G$310,511),IF(511&lt;=COUNTA(半紙!$B$11:$B$310)+COUNTA(条幅!$B$11:$B$310),INDEX(条幅!$G$11:$G$310,511-COUNTA(半紙!$B$11:$B$310)),IF(511&lt;=COUNTA(半紙!$B$11:$B$310)+COUNTA(条幅!$B$11:$B$310)+COUNTA(条幅4分の1!$B$11:$B$310),INDEX(条幅4分の1!$G$11:$G$310,511-COUNTA(半紙!$B$11:$B$310)-COUNTA(条幅!$B$11:$B$310)),"")))=0,"",IF(511&lt;=COUNTA(半紙!$B$11:$B$310),INDEX(半紙!$G$11:$G$310,511),IF(511&lt;=COUNTA(半紙!$B$11:$B$310)+COUNTA(条幅!$B$11:$B$310),INDEX(条幅!$G$11:$G$310,511-COUNTA(半紙!$B$11:$B$310)),IF(511&lt;=COUNTA(半紙!$B$11:$B$310)+COUNTA(条幅!$B$11:$B$310)+COUNTA(条幅4分の1!$B$11:$B$310),INDEX(条幅4分の1!$G$11:$G$310,511-COUNTA(半紙!$B$11:$B$310)-COUNTA(条幅!$B$11:$B$310)),""))))</f>
        <v/>
      </c>
      <c r="H516" s="38" t="str">
        <f>IF(IF(511&lt;=COUNTA(半紙!$B$11:$B$310),INDEX(半紙!$H$11:$H$310,511),IF(511&lt;=COUNTA(半紙!$B$11:$B$310)+COUNTA(条幅!$B$11:$B$310),INDEX(条幅!$H$11:$H$310,511-COUNTA(半紙!$B$11:$B$310)),IF(511&lt;=COUNTA(半紙!$B$11:$B$310)+COUNTA(条幅!$B$11:$B$310)+COUNTA(条幅4分の1!$B$11:$B$310),INDEX(条幅4分の1!$H$11:$H$310,511-COUNTA(半紙!$B$11:$B$310)-COUNTA(条幅!$B$11:$B$310)),"")))=0,"",IF(511&lt;=COUNTA(半紙!$B$11:$B$310),INDEX(半紙!$H$11:$H$310,511),IF(511&lt;=COUNTA(半紙!$B$11:$B$310)+COUNTA(条幅!$B$11:$B$310),INDEX(条幅!$H$11:$H$310,511-COUNTA(半紙!$B$11:$B$310)),IF(511&lt;=COUNTA(半紙!$B$11:$B$310)+COUNTA(条幅!$B$11:$B$310)+COUNTA(条幅4分の1!$B$11:$B$310),INDEX(条幅4分の1!$H$11:$H$310,511-COUNTA(半紙!$B$11:$B$310)-COUNTA(条幅!$B$11:$B$310)),""))))</f>
        <v/>
      </c>
      <c r="I516" s="38" t="str">
        <f>IF(IF(511&lt;=COUNTA(半紙!$B$11:$B$310),INDEX(半紙!$I$11:$I$310,511),IF(511&lt;=COUNTA(半紙!$B$11:$B$310)+COUNTA(条幅!$B$11:$B$310),INDEX(条幅!$I$11:$I$310,511-COUNTA(半紙!$B$11:$B$310)),IF(511&lt;=COUNTA(半紙!$B$11:$B$310)+COUNTA(条幅!$B$11:$B$310)+COUNTA(条幅4分の1!$B$11:$B$310),INDEX(条幅4分の1!$I$11:$I$310,511-COUNTA(半紙!$B$11:$B$310)-COUNTA(条幅!$B$11:$B$310)),"")))=0,"",IF(511&lt;=COUNTA(半紙!$B$11:$B$310),INDEX(半紙!$I$11:$I$310,511),IF(511&lt;=COUNTA(半紙!$B$11:$B$310)+COUNTA(条幅!$B$11:$B$310),INDEX(条幅!$I$11:$I$310,511-COUNTA(半紙!$B$11:$B$310)),IF(511&lt;=COUNTA(半紙!$B$11:$B$310)+COUNTA(条幅!$B$11:$B$310)+COUNTA(条幅4分の1!$B$11:$B$310),INDEX(条幅4分の1!$I$11:$I$310,511-COUNTA(半紙!$B$11:$B$310)-COUNTA(条幅!$B$11:$B$310)),""))))</f>
        <v/>
      </c>
      <c r="J516" s="38" t="str">
        <f>IF(IF(511&lt;=COUNTA(半紙!$B$11:$B$310),INDEX(半紙!$J$11:$J$310,511),IF(511&lt;=COUNTA(半紙!$B$11:$B$310)+COUNTA(条幅!$B$11:$B$310),INDEX(条幅!$J$11:$J$310,511-COUNTA(半紙!$B$11:$B$310)),IF(511&lt;=COUNTA(半紙!$B$11:$B$310)+COUNTA(条幅!$B$11:$B$310)+COUNTA(条幅4分の1!$B$11:$B$310),INDEX(条幅4分の1!$J$11:$J$310,511-COUNTA(半紙!$B$11:$B$310)-COUNTA(条幅!$B$11:$B$310)),"")))=0,"",IF(511&lt;=COUNTA(半紙!$B$11:$B$310),INDEX(半紙!$J$11:$J$310,511),IF(511&lt;=COUNTA(半紙!$B$11:$B$310)+COUNTA(条幅!$B$11:$B$310),INDEX(条幅!$J$11:$J$310,511-COUNTA(半紙!$B$11:$B$310)),IF(511&lt;=COUNTA(半紙!$B$11:$B$310)+COUNTA(条幅!$B$11:$B$310)+COUNTA(条幅4分の1!$B$11:$B$310),INDEX(条幅4分の1!$J$11:$J$310,511-COUNTA(半紙!$B$11:$B$310)-COUNTA(条幅!$B$11:$B$310)),""))))</f>
        <v/>
      </c>
      <c r="K516" s="38" t="str">
        <f>IF(IF(511&lt;=COUNTA(半紙!$B$11:$B$310),INDEX(半紙!$K$11:$K$310,511),IF(511&lt;=COUNTA(半紙!$B$11:$B$310)+COUNTA(条幅!$B$11:$B$310),INDEX(条幅!$K$11:$K$310,511-COUNTA(半紙!$B$11:$B$310)),IF(511&lt;=COUNTA(半紙!$B$11:$B$310)+COUNTA(条幅!$B$11:$B$310)+COUNTA(条幅4分の1!$B$11:$B$310),INDEX(条幅4分の1!$K$11:$K$310,511-COUNTA(半紙!$B$11:$B$310)-COUNTA(条幅!$B$11:$B$310)),"")))=0,"",IF(511&lt;=COUNTA(半紙!$B$11:$B$310),INDEX(半紙!$K$11:$K$310,511),IF(511&lt;=COUNTA(半紙!$B$11:$B$310)+COUNTA(条幅!$B$11:$B$310),INDEX(条幅!$K$11:$K$310,511-COUNTA(半紙!$B$11:$B$310)),IF(511&lt;=COUNTA(半紙!$B$11:$B$310)+COUNTA(条幅!$B$11:$B$310)+COUNTA(条幅4分の1!$B$11:$B$310),INDEX(条幅4分の1!$K$11:$K$310,511-COUNTA(半紙!$B$11:$B$310)-COUNTA(条幅!$B$11:$B$310)),""))))</f>
        <v/>
      </c>
      <c r="L516" s="48" t="str">
        <f>IF($B516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511))</f>
        <v/>
      </c>
    </row>
    <row r="517" spans="1:12" ht="15" customHeight="1">
      <c r="A517" s="37" t="str">
        <f>IF(512&lt;=COUNTA(半紙!$B$11:$B$310),"半紙",IF(512&lt;=COUNTA(半紙!$B$11:$B$310)+COUNTA(条幅!$B$11:$B$310),"条幅(半切)",IF(512&lt;=COUNTA(半紙!$B$11:$B$310)+COUNTA(条幅!$B$11:$B$310)+COUNTA(条幅4分の1!$B$11:$B$310),"条幅(1/4)","")))</f>
        <v/>
      </c>
      <c r="B517" s="38" t="str">
        <f>IF(IF(512&lt;=COUNTA(半紙!$B$11:$B$310),INDEX(半紙!$B$11:$B$310,512),IF(512&lt;=COUNTA(半紙!$B$11:$B$310)+COUNTA(条幅!$B$11:$B$310),INDEX(条幅!$B$11:$B$310,512-COUNTA(半紙!$B$11:$B$310)),IF(512&lt;=COUNTA(半紙!$B$11:$B$310)+COUNTA(条幅!$B$11:$B$310)+COUNTA(条幅4分の1!$B$11:$B$310),INDEX(条幅4分の1!$B$11:$B$310,512-COUNTA(半紙!$B$11:$B$310)-COUNTA(条幅!$B$11:$B$310)),"")))=0,"",IF(512&lt;=COUNTA(半紙!$B$11:$B$310),INDEX(半紙!$B$11:$B$310,512),IF(512&lt;=COUNTA(半紙!$B$11:$B$310)+COUNTA(条幅!$B$11:$B$310),INDEX(条幅!$B$11:$B$310,512-COUNTA(半紙!$B$11:$B$310)),IF(512&lt;=COUNTA(半紙!$B$11:$B$310)+COUNTA(条幅!$B$11:$B$310)+COUNTA(条幅4分の1!$B$11:$B$310),INDEX(条幅4分の1!$B$11:$B$310,512-COUNTA(半紙!$B$11:$B$310)-COUNTA(条幅!$B$11:$B$310)),""))))</f>
        <v/>
      </c>
      <c r="C517" s="38" t="str">
        <f>IF(IF(512&lt;=COUNTA(半紙!$B$11:$B$310),INDEX(半紙!$C$11:$C$310,512),IF(512&lt;=COUNTA(半紙!$B$11:$B$310)+COUNTA(条幅!$B$11:$B$310),INDEX(条幅!$C$11:$C$310,512-COUNTA(半紙!$B$11:$B$310)),IF(512&lt;=COUNTA(半紙!$B$11:$B$310)+COUNTA(条幅!$B$11:$B$310)+COUNTA(条幅4分の1!$B$11:$B$310),INDEX(条幅4分の1!$C$11:$C$310,512-COUNTA(半紙!$B$11:$B$310)-COUNTA(条幅!$B$11:$B$310)),"")))=0,"",IF(512&lt;=COUNTA(半紙!$B$11:$B$310),INDEX(半紙!$C$11:$C$310,512),IF(512&lt;=COUNTA(半紙!$B$11:$B$310)+COUNTA(条幅!$B$11:$B$310),INDEX(条幅!$C$11:$C$310,512-COUNTA(半紙!$B$11:$B$310)),IF(512&lt;=COUNTA(半紙!$B$11:$B$310)+COUNTA(条幅!$B$11:$B$310)+COUNTA(条幅4分の1!$B$11:$B$310),INDEX(条幅4分の1!$C$11:$C$310,512-COUNTA(半紙!$B$11:$B$310)-COUNTA(条幅!$B$11:$B$310)),""))))</f>
        <v/>
      </c>
      <c r="D517" s="38" t="str">
        <f>IF(IF(512&lt;=COUNTA(半紙!$B$11:$B$310),INDEX(半紙!$D$11:$D$310,512),IF(512&lt;=COUNTA(半紙!$B$11:$B$310)+COUNTA(条幅!$B$11:$B$310),INDEX(条幅!$D$11:$D$310,512-COUNTA(半紙!$B$11:$B$310)),IF(512&lt;=COUNTA(半紙!$B$11:$B$310)+COUNTA(条幅!$B$11:$B$310)+COUNTA(条幅4分の1!$B$11:$B$310),INDEX(条幅4分の1!$D$11:$D$310,512-COUNTA(半紙!$B$11:$B$310)-COUNTA(条幅!$B$11:$B$310)),"")))=0,"",IF(512&lt;=COUNTA(半紙!$B$11:$B$310),INDEX(半紙!$D$11:$D$310,512),IF(512&lt;=COUNTA(半紙!$B$11:$B$310)+COUNTA(条幅!$B$11:$B$310),INDEX(条幅!$D$11:$D$310,512-COUNTA(半紙!$B$11:$B$310)),IF(512&lt;=COUNTA(半紙!$B$11:$B$310)+COUNTA(条幅!$B$11:$B$310)+COUNTA(条幅4分の1!$B$11:$B$310),INDEX(条幅4分の1!$D$11:$D$310,512-COUNTA(半紙!$B$11:$B$310)-COUNTA(条幅!$B$11:$B$310)),""))))</f>
        <v/>
      </c>
      <c r="E517" s="38" t="str">
        <f>IF(IF(512&lt;=COUNTA(半紙!$B$11:$B$310),INDEX(半紙!$E$11:$E$310,512),IF(512&lt;=COUNTA(半紙!$B$11:$B$310)+COUNTA(条幅!$B$11:$B$310),INDEX(条幅!$E$11:$E$310,512-COUNTA(半紙!$B$11:$B$310)),IF(512&lt;=COUNTA(半紙!$B$11:$B$310)+COUNTA(条幅!$B$11:$B$310)+COUNTA(条幅4分の1!$B$11:$B$310),INDEX(条幅4分の1!$E$11:$E$310,512-COUNTA(半紙!$B$11:$B$310)-COUNTA(条幅!$B$11:$B$310)),"")))=0,"",IF(512&lt;=COUNTA(半紙!$B$11:$B$310),INDEX(半紙!$E$11:$E$310,512),IF(512&lt;=COUNTA(半紙!$B$11:$B$310)+COUNTA(条幅!$B$11:$B$310),INDEX(条幅!$E$11:$E$310,512-COUNTA(半紙!$B$11:$B$310)),IF(512&lt;=COUNTA(半紙!$B$11:$B$310)+COUNTA(条幅!$B$11:$B$310)+COUNTA(条幅4分の1!$B$11:$B$310),INDEX(条幅4分の1!$E$11:$E$310,512-COUNTA(半紙!$B$11:$B$310)-COUNTA(条幅!$B$11:$B$310)),""))))</f>
        <v/>
      </c>
      <c r="F517" s="38" t="str">
        <f>IF(IF(512&lt;=COUNTA(半紙!$B$11:$B$310),INDEX(半紙!$F$11:$F$310,512),IF(512&lt;=COUNTA(半紙!$B$11:$B$310)+COUNTA(条幅!$B$11:$B$310),INDEX(条幅!$F$11:$F$310,512-COUNTA(半紙!$B$11:$B$310)),IF(512&lt;=COUNTA(半紙!$B$11:$B$310)+COUNTA(条幅!$B$11:$B$310)+COUNTA(条幅4分の1!$B$11:$B$310),INDEX(条幅4分の1!$F$11:$F$310,512-COUNTA(半紙!$B$11:$B$310)-COUNTA(条幅!$B$11:$B$310)),"")))=0,"",IF(512&lt;=COUNTA(半紙!$B$11:$B$310),INDEX(半紙!$F$11:$F$310,512),IF(512&lt;=COUNTA(半紙!$B$11:$B$310)+COUNTA(条幅!$B$11:$B$310),INDEX(条幅!$F$11:$F$310,512-COUNTA(半紙!$B$11:$B$310)),IF(512&lt;=COUNTA(半紙!$B$11:$B$310)+COUNTA(条幅!$B$11:$B$310)+COUNTA(条幅4分の1!$B$11:$B$310),INDEX(条幅4分の1!$F$11:$F$310,512-COUNTA(半紙!$B$11:$B$310)-COUNTA(条幅!$B$11:$B$310)),""))))</f>
        <v/>
      </c>
      <c r="G517" s="38" t="str">
        <f>IF(IF(512&lt;=COUNTA(半紙!$B$11:$B$310),INDEX(半紙!$G$11:$G$310,512),IF(512&lt;=COUNTA(半紙!$B$11:$B$310)+COUNTA(条幅!$B$11:$B$310),INDEX(条幅!$G$11:$G$310,512-COUNTA(半紙!$B$11:$B$310)),IF(512&lt;=COUNTA(半紙!$B$11:$B$310)+COUNTA(条幅!$B$11:$B$310)+COUNTA(条幅4分の1!$B$11:$B$310),INDEX(条幅4分の1!$G$11:$G$310,512-COUNTA(半紙!$B$11:$B$310)-COUNTA(条幅!$B$11:$B$310)),"")))=0,"",IF(512&lt;=COUNTA(半紙!$B$11:$B$310),INDEX(半紙!$G$11:$G$310,512),IF(512&lt;=COUNTA(半紙!$B$11:$B$310)+COUNTA(条幅!$B$11:$B$310),INDEX(条幅!$G$11:$G$310,512-COUNTA(半紙!$B$11:$B$310)),IF(512&lt;=COUNTA(半紙!$B$11:$B$310)+COUNTA(条幅!$B$11:$B$310)+COUNTA(条幅4分の1!$B$11:$B$310),INDEX(条幅4分の1!$G$11:$G$310,512-COUNTA(半紙!$B$11:$B$310)-COUNTA(条幅!$B$11:$B$310)),""))))</f>
        <v/>
      </c>
      <c r="H517" s="38" t="str">
        <f>IF(IF(512&lt;=COUNTA(半紙!$B$11:$B$310),INDEX(半紙!$H$11:$H$310,512),IF(512&lt;=COUNTA(半紙!$B$11:$B$310)+COUNTA(条幅!$B$11:$B$310),INDEX(条幅!$H$11:$H$310,512-COUNTA(半紙!$B$11:$B$310)),IF(512&lt;=COUNTA(半紙!$B$11:$B$310)+COUNTA(条幅!$B$11:$B$310)+COUNTA(条幅4分の1!$B$11:$B$310),INDEX(条幅4分の1!$H$11:$H$310,512-COUNTA(半紙!$B$11:$B$310)-COUNTA(条幅!$B$11:$B$310)),"")))=0,"",IF(512&lt;=COUNTA(半紙!$B$11:$B$310),INDEX(半紙!$H$11:$H$310,512),IF(512&lt;=COUNTA(半紙!$B$11:$B$310)+COUNTA(条幅!$B$11:$B$310),INDEX(条幅!$H$11:$H$310,512-COUNTA(半紙!$B$11:$B$310)),IF(512&lt;=COUNTA(半紙!$B$11:$B$310)+COUNTA(条幅!$B$11:$B$310)+COUNTA(条幅4分の1!$B$11:$B$310),INDEX(条幅4分の1!$H$11:$H$310,512-COUNTA(半紙!$B$11:$B$310)-COUNTA(条幅!$B$11:$B$310)),""))))</f>
        <v/>
      </c>
      <c r="I517" s="38" t="str">
        <f>IF(IF(512&lt;=COUNTA(半紙!$B$11:$B$310),INDEX(半紙!$I$11:$I$310,512),IF(512&lt;=COUNTA(半紙!$B$11:$B$310)+COUNTA(条幅!$B$11:$B$310),INDEX(条幅!$I$11:$I$310,512-COUNTA(半紙!$B$11:$B$310)),IF(512&lt;=COUNTA(半紙!$B$11:$B$310)+COUNTA(条幅!$B$11:$B$310)+COUNTA(条幅4分の1!$B$11:$B$310),INDEX(条幅4分の1!$I$11:$I$310,512-COUNTA(半紙!$B$11:$B$310)-COUNTA(条幅!$B$11:$B$310)),"")))=0,"",IF(512&lt;=COUNTA(半紙!$B$11:$B$310),INDEX(半紙!$I$11:$I$310,512),IF(512&lt;=COUNTA(半紙!$B$11:$B$310)+COUNTA(条幅!$B$11:$B$310),INDEX(条幅!$I$11:$I$310,512-COUNTA(半紙!$B$11:$B$310)),IF(512&lt;=COUNTA(半紙!$B$11:$B$310)+COUNTA(条幅!$B$11:$B$310)+COUNTA(条幅4分の1!$B$11:$B$310),INDEX(条幅4分の1!$I$11:$I$310,512-COUNTA(半紙!$B$11:$B$310)-COUNTA(条幅!$B$11:$B$310)),""))))</f>
        <v/>
      </c>
      <c r="J517" s="38" t="str">
        <f>IF(IF(512&lt;=COUNTA(半紙!$B$11:$B$310),INDEX(半紙!$J$11:$J$310,512),IF(512&lt;=COUNTA(半紙!$B$11:$B$310)+COUNTA(条幅!$B$11:$B$310),INDEX(条幅!$J$11:$J$310,512-COUNTA(半紙!$B$11:$B$310)),IF(512&lt;=COUNTA(半紙!$B$11:$B$310)+COUNTA(条幅!$B$11:$B$310)+COUNTA(条幅4分の1!$B$11:$B$310),INDEX(条幅4分の1!$J$11:$J$310,512-COUNTA(半紙!$B$11:$B$310)-COUNTA(条幅!$B$11:$B$310)),"")))=0,"",IF(512&lt;=COUNTA(半紙!$B$11:$B$310),INDEX(半紙!$J$11:$J$310,512),IF(512&lt;=COUNTA(半紙!$B$11:$B$310)+COUNTA(条幅!$B$11:$B$310),INDEX(条幅!$J$11:$J$310,512-COUNTA(半紙!$B$11:$B$310)),IF(512&lt;=COUNTA(半紙!$B$11:$B$310)+COUNTA(条幅!$B$11:$B$310)+COUNTA(条幅4分の1!$B$11:$B$310),INDEX(条幅4分の1!$J$11:$J$310,512-COUNTA(半紙!$B$11:$B$310)-COUNTA(条幅!$B$11:$B$310)),""))))</f>
        <v/>
      </c>
      <c r="K517" s="38" t="str">
        <f>IF(IF(512&lt;=COUNTA(半紙!$B$11:$B$310),INDEX(半紙!$K$11:$K$310,512),IF(512&lt;=COUNTA(半紙!$B$11:$B$310)+COUNTA(条幅!$B$11:$B$310),INDEX(条幅!$K$11:$K$310,512-COUNTA(半紙!$B$11:$B$310)),IF(512&lt;=COUNTA(半紙!$B$11:$B$310)+COUNTA(条幅!$B$11:$B$310)+COUNTA(条幅4分の1!$B$11:$B$310),INDEX(条幅4分の1!$K$11:$K$310,512-COUNTA(半紙!$B$11:$B$310)-COUNTA(条幅!$B$11:$B$310)),"")))=0,"",IF(512&lt;=COUNTA(半紙!$B$11:$B$310),INDEX(半紙!$K$11:$K$310,512),IF(512&lt;=COUNTA(半紙!$B$11:$B$310)+COUNTA(条幅!$B$11:$B$310),INDEX(条幅!$K$11:$K$310,512-COUNTA(半紙!$B$11:$B$310)),IF(512&lt;=COUNTA(半紙!$B$11:$B$310)+COUNTA(条幅!$B$11:$B$310)+COUNTA(条幅4分の1!$B$11:$B$310),INDEX(条幅4分の1!$K$11:$K$310,512-COUNTA(半紙!$B$11:$B$310)-COUNTA(条幅!$B$11:$B$310)),""))))</f>
        <v/>
      </c>
      <c r="L517" s="48" t="str">
        <f>IF($B517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512))</f>
        <v/>
      </c>
    </row>
    <row r="518" spans="1:12" ht="15" customHeight="1">
      <c r="A518" s="37" t="str">
        <f>IF(513&lt;=COUNTA(半紙!$B$11:$B$310),"半紙",IF(513&lt;=COUNTA(半紙!$B$11:$B$310)+COUNTA(条幅!$B$11:$B$310),"条幅(半切)",IF(513&lt;=COUNTA(半紙!$B$11:$B$310)+COUNTA(条幅!$B$11:$B$310)+COUNTA(条幅4分の1!$B$11:$B$310),"条幅(1/4)","")))</f>
        <v/>
      </c>
      <c r="B518" s="38" t="str">
        <f>IF(IF(513&lt;=COUNTA(半紙!$B$11:$B$310),INDEX(半紙!$B$11:$B$310,513),IF(513&lt;=COUNTA(半紙!$B$11:$B$310)+COUNTA(条幅!$B$11:$B$310),INDEX(条幅!$B$11:$B$310,513-COUNTA(半紙!$B$11:$B$310)),IF(513&lt;=COUNTA(半紙!$B$11:$B$310)+COUNTA(条幅!$B$11:$B$310)+COUNTA(条幅4分の1!$B$11:$B$310),INDEX(条幅4分の1!$B$11:$B$310,513-COUNTA(半紙!$B$11:$B$310)-COUNTA(条幅!$B$11:$B$310)),"")))=0,"",IF(513&lt;=COUNTA(半紙!$B$11:$B$310),INDEX(半紙!$B$11:$B$310,513),IF(513&lt;=COUNTA(半紙!$B$11:$B$310)+COUNTA(条幅!$B$11:$B$310),INDEX(条幅!$B$11:$B$310,513-COUNTA(半紙!$B$11:$B$310)),IF(513&lt;=COUNTA(半紙!$B$11:$B$310)+COUNTA(条幅!$B$11:$B$310)+COUNTA(条幅4分の1!$B$11:$B$310),INDEX(条幅4分の1!$B$11:$B$310,513-COUNTA(半紙!$B$11:$B$310)-COUNTA(条幅!$B$11:$B$310)),""))))</f>
        <v/>
      </c>
      <c r="C518" s="38" t="str">
        <f>IF(IF(513&lt;=COUNTA(半紙!$B$11:$B$310),INDEX(半紙!$C$11:$C$310,513),IF(513&lt;=COUNTA(半紙!$B$11:$B$310)+COUNTA(条幅!$B$11:$B$310),INDEX(条幅!$C$11:$C$310,513-COUNTA(半紙!$B$11:$B$310)),IF(513&lt;=COUNTA(半紙!$B$11:$B$310)+COUNTA(条幅!$B$11:$B$310)+COUNTA(条幅4分の1!$B$11:$B$310),INDEX(条幅4分の1!$C$11:$C$310,513-COUNTA(半紙!$B$11:$B$310)-COUNTA(条幅!$B$11:$B$310)),"")))=0,"",IF(513&lt;=COUNTA(半紙!$B$11:$B$310),INDEX(半紙!$C$11:$C$310,513),IF(513&lt;=COUNTA(半紙!$B$11:$B$310)+COUNTA(条幅!$B$11:$B$310),INDEX(条幅!$C$11:$C$310,513-COUNTA(半紙!$B$11:$B$310)),IF(513&lt;=COUNTA(半紙!$B$11:$B$310)+COUNTA(条幅!$B$11:$B$310)+COUNTA(条幅4分の1!$B$11:$B$310),INDEX(条幅4分の1!$C$11:$C$310,513-COUNTA(半紙!$B$11:$B$310)-COUNTA(条幅!$B$11:$B$310)),""))))</f>
        <v/>
      </c>
      <c r="D518" s="38" t="str">
        <f>IF(IF(513&lt;=COUNTA(半紙!$B$11:$B$310),INDEX(半紙!$D$11:$D$310,513),IF(513&lt;=COUNTA(半紙!$B$11:$B$310)+COUNTA(条幅!$B$11:$B$310),INDEX(条幅!$D$11:$D$310,513-COUNTA(半紙!$B$11:$B$310)),IF(513&lt;=COUNTA(半紙!$B$11:$B$310)+COUNTA(条幅!$B$11:$B$310)+COUNTA(条幅4分の1!$B$11:$B$310),INDEX(条幅4分の1!$D$11:$D$310,513-COUNTA(半紙!$B$11:$B$310)-COUNTA(条幅!$B$11:$B$310)),"")))=0,"",IF(513&lt;=COUNTA(半紙!$B$11:$B$310),INDEX(半紙!$D$11:$D$310,513),IF(513&lt;=COUNTA(半紙!$B$11:$B$310)+COUNTA(条幅!$B$11:$B$310),INDEX(条幅!$D$11:$D$310,513-COUNTA(半紙!$B$11:$B$310)),IF(513&lt;=COUNTA(半紙!$B$11:$B$310)+COUNTA(条幅!$B$11:$B$310)+COUNTA(条幅4分の1!$B$11:$B$310),INDEX(条幅4分の1!$D$11:$D$310,513-COUNTA(半紙!$B$11:$B$310)-COUNTA(条幅!$B$11:$B$310)),""))))</f>
        <v/>
      </c>
      <c r="E518" s="38" t="str">
        <f>IF(IF(513&lt;=COUNTA(半紙!$B$11:$B$310),INDEX(半紙!$E$11:$E$310,513),IF(513&lt;=COUNTA(半紙!$B$11:$B$310)+COUNTA(条幅!$B$11:$B$310),INDEX(条幅!$E$11:$E$310,513-COUNTA(半紙!$B$11:$B$310)),IF(513&lt;=COUNTA(半紙!$B$11:$B$310)+COUNTA(条幅!$B$11:$B$310)+COUNTA(条幅4分の1!$B$11:$B$310),INDEX(条幅4分の1!$E$11:$E$310,513-COUNTA(半紙!$B$11:$B$310)-COUNTA(条幅!$B$11:$B$310)),"")))=0,"",IF(513&lt;=COUNTA(半紙!$B$11:$B$310),INDEX(半紙!$E$11:$E$310,513),IF(513&lt;=COUNTA(半紙!$B$11:$B$310)+COUNTA(条幅!$B$11:$B$310),INDEX(条幅!$E$11:$E$310,513-COUNTA(半紙!$B$11:$B$310)),IF(513&lt;=COUNTA(半紙!$B$11:$B$310)+COUNTA(条幅!$B$11:$B$310)+COUNTA(条幅4分の1!$B$11:$B$310),INDEX(条幅4分の1!$E$11:$E$310,513-COUNTA(半紙!$B$11:$B$310)-COUNTA(条幅!$B$11:$B$310)),""))))</f>
        <v/>
      </c>
      <c r="F518" s="38" t="str">
        <f>IF(IF(513&lt;=COUNTA(半紙!$B$11:$B$310),INDEX(半紙!$F$11:$F$310,513),IF(513&lt;=COUNTA(半紙!$B$11:$B$310)+COUNTA(条幅!$B$11:$B$310),INDEX(条幅!$F$11:$F$310,513-COUNTA(半紙!$B$11:$B$310)),IF(513&lt;=COUNTA(半紙!$B$11:$B$310)+COUNTA(条幅!$B$11:$B$310)+COUNTA(条幅4分の1!$B$11:$B$310),INDEX(条幅4分の1!$F$11:$F$310,513-COUNTA(半紙!$B$11:$B$310)-COUNTA(条幅!$B$11:$B$310)),"")))=0,"",IF(513&lt;=COUNTA(半紙!$B$11:$B$310),INDEX(半紙!$F$11:$F$310,513),IF(513&lt;=COUNTA(半紙!$B$11:$B$310)+COUNTA(条幅!$B$11:$B$310),INDEX(条幅!$F$11:$F$310,513-COUNTA(半紙!$B$11:$B$310)),IF(513&lt;=COUNTA(半紙!$B$11:$B$310)+COUNTA(条幅!$B$11:$B$310)+COUNTA(条幅4分の1!$B$11:$B$310),INDEX(条幅4分の1!$F$11:$F$310,513-COUNTA(半紙!$B$11:$B$310)-COUNTA(条幅!$B$11:$B$310)),""))))</f>
        <v/>
      </c>
      <c r="G518" s="38" t="str">
        <f>IF(IF(513&lt;=COUNTA(半紙!$B$11:$B$310),INDEX(半紙!$G$11:$G$310,513),IF(513&lt;=COUNTA(半紙!$B$11:$B$310)+COUNTA(条幅!$B$11:$B$310),INDEX(条幅!$G$11:$G$310,513-COUNTA(半紙!$B$11:$B$310)),IF(513&lt;=COUNTA(半紙!$B$11:$B$310)+COUNTA(条幅!$B$11:$B$310)+COUNTA(条幅4分の1!$B$11:$B$310),INDEX(条幅4分の1!$G$11:$G$310,513-COUNTA(半紙!$B$11:$B$310)-COUNTA(条幅!$B$11:$B$310)),"")))=0,"",IF(513&lt;=COUNTA(半紙!$B$11:$B$310),INDEX(半紙!$G$11:$G$310,513),IF(513&lt;=COUNTA(半紙!$B$11:$B$310)+COUNTA(条幅!$B$11:$B$310),INDEX(条幅!$G$11:$G$310,513-COUNTA(半紙!$B$11:$B$310)),IF(513&lt;=COUNTA(半紙!$B$11:$B$310)+COUNTA(条幅!$B$11:$B$310)+COUNTA(条幅4分の1!$B$11:$B$310),INDEX(条幅4分の1!$G$11:$G$310,513-COUNTA(半紙!$B$11:$B$310)-COUNTA(条幅!$B$11:$B$310)),""))))</f>
        <v/>
      </c>
      <c r="H518" s="38" t="str">
        <f>IF(IF(513&lt;=COUNTA(半紙!$B$11:$B$310),INDEX(半紙!$H$11:$H$310,513),IF(513&lt;=COUNTA(半紙!$B$11:$B$310)+COUNTA(条幅!$B$11:$B$310),INDEX(条幅!$H$11:$H$310,513-COUNTA(半紙!$B$11:$B$310)),IF(513&lt;=COUNTA(半紙!$B$11:$B$310)+COUNTA(条幅!$B$11:$B$310)+COUNTA(条幅4分の1!$B$11:$B$310),INDEX(条幅4分の1!$H$11:$H$310,513-COUNTA(半紙!$B$11:$B$310)-COUNTA(条幅!$B$11:$B$310)),"")))=0,"",IF(513&lt;=COUNTA(半紙!$B$11:$B$310),INDEX(半紙!$H$11:$H$310,513),IF(513&lt;=COUNTA(半紙!$B$11:$B$310)+COUNTA(条幅!$B$11:$B$310),INDEX(条幅!$H$11:$H$310,513-COUNTA(半紙!$B$11:$B$310)),IF(513&lt;=COUNTA(半紙!$B$11:$B$310)+COUNTA(条幅!$B$11:$B$310)+COUNTA(条幅4分の1!$B$11:$B$310),INDEX(条幅4分の1!$H$11:$H$310,513-COUNTA(半紙!$B$11:$B$310)-COUNTA(条幅!$B$11:$B$310)),""))))</f>
        <v/>
      </c>
      <c r="I518" s="38" t="str">
        <f>IF(IF(513&lt;=COUNTA(半紙!$B$11:$B$310),INDEX(半紙!$I$11:$I$310,513),IF(513&lt;=COUNTA(半紙!$B$11:$B$310)+COUNTA(条幅!$B$11:$B$310),INDEX(条幅!$I$11:$I$310,513-COUNTA(半紙!$B$11:$B$310)),IF(513&lt;=COUNTA(半紙!$B$11:$B$310)+COUNTA(条幅!$B$11:$B$310)+COUNTA(条幅4分の1!$B$11:$B$310),INDEX(条幅4分の1!$I$11:$I$310,513-COUNTA(半紙!$B$11:$B$310)-COUNTA(条幅!$B$11:$B$310)),"")))=0,"",IF(513&lt;=COUNTA(半紙!$B$11:$B$310),INDEX(半紙!$I$11:$I$310,513),IF(513&lt;=COUNTA(半紙!$B$11:$B$310)+COUNTA(条幅!$B$11:$B$310),INDEX(条幅!$I$11:$I$310,513-COUNTA(半紙!$B$11:$B$310)),IF(513&lt;=COUNTA(半紙!$B$11:$B$310)+COUNTA(条幅!$B$11:$B$310)+COUNTA(条幅4分の1!$B$11:$B$310),INDEX(条幅4分の1!$I$11:$I$310,513-COUNTA(半紙!$B$11:$B$310)-COUNTA(条幅!$B$11:$B$310)),""))))</f>
        <v/>
      </c>
      <c r="J518" s="38" t="str">
        <f>IF(IF(513&lt;=COUNTA(半紙!$B$11:$B$310),INDEX(半紙!$J$11:$J$310,513),IF(513&lt;=COUNTA(半紙!$B$11:$B$310)+COUNTA(条幅!$B$11:$B$310),INDEX(条幅!$J$11:$J$310,513-COUNTA(半紙!$B$11:$B$310)),IF(513&lt;=COUNTA(半紙!$B$11:$B$310)+COUNTA(条幅!$B$11:$B$310)+COUNTA(条幅4分の1!$B$11:$B$310),INDEX(条幅4分の1!$J$11:$J$310,513-COUNTA(半紙!$B$11:$B$310)-COUNTA(条幅!$B$11:$B$310)),"")))=0,"",IF(513&lt;=COUNTA(半紙!$B$11:$B$310),INDEX(半紙!$J$11:$J$310,513),IF(513&lt;=COUNTA(半紙!$B$11:$B$310)+COUNTA(条幅!$B$11:$B$310),INDEX(条幅!$J$11:$J$310,513-COUNTA(半紙!$B$11:$B$310)),IF(513&lt;=COUNTA(半紙!$B$11:$B$310)+COUNTA(条幅!$B$11:$B$310)+COUNTA(条幅4分の1!$B$11:$B$310),INDEX(条幅4分の1!$J$11:$J$310,513-COUNTA(半紙!$B$11:$B$310)-COUNTA(条幅!$B$11:$B$310)),""))))</f>
        <v/>
      </c>
      <c r="K518" s="38" t="str">
        <f>IF(IF(513&lt;=COUNTA(半紙!$B$11:$B$310),INDEX(半紙!$K$11:$K$310,513),IF(513&lt;=COUNTA(半紙!$B$11:$B$310)+COUNTA(条幅!$B$11:$B$310),INDEX(条幅!$K$11:$K$310,513-COUNTA(半紙!$B$11:$B$310)),IF(513&lt;=COUNTA(半紙!$B$11:$B$310)+COUNTA(条幅!$B$11:$B$310)+COUNTA(条幅4分の1!$B$11:$B$310),INDEX(条幅4分の1!$K$11:$K$310,513-COUNTA(半紙!$B$11:$B$310)-COUNTA(条幅!$B$11:$B$310)),"")))=0,"",IF(513&lt;=COUNTA(半紙!$B$11:$B$310),INDEX(半紙!$K$11:$K$310,513),IF(513&lt;=COUNTA(半紙!$B$11:$B$310)+COUNTA(条幅!$B$11:$B$310),INDEX(条幅!$K$11:$K$310,513-COUNTA(半紙!$B$11:$B$310)),IF(513&lt;=COUNTA(半紙!$B$11:$B$310)+COUNTA(条幅!$B$11:$B$310)+COUNTA(条幅4分の1!$B$11:$B$310),INDEX(条幅4分の1!$K$11:$K$310,513-COUNTA(半紙!$B$11:$B$310)-COUNTA(条幅!$B$11:$B$310)),""))))</f>
        <v/>
      </c>
      <c r="L518" s="48" t="str">
        <f>IF($B518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513))</f>
        <v/>
      </c>
    </row>
    <row r="519" spans="1:12" ht="15" customHeight="1">
      <c r="A519" s="37" t="str">
        <f>IF(514&lt;=COUNTA(半紙!$B$11:$B$310),"半紙",IF(514&lt;=COUNTA(半紙!$B$11:$B$310)+COUNTA(条幅!$B$11:$B$310),"条幅(半切)",IF(514&lt;=COUNTA(半紙!$B$11:$B$310)+COUNTA(条幅!$B$11:$B$310)+COUNTA(条幅4分の1!$B$11:$B$310),"条幅(1/4)","")))</f>
        <v/>
      </c>
      <c r="B519" s="38" t="str">
        <f>IF(IF(514&lt;=COUNTA(半紙!$B$11:$B$310),INDEX(半紙!$B$11:$B$310,514),IF(514&lt;=COUNTA(半紙!$B$11:$B$310)+COUNTA(条幅!$B$11:$B$310),INDEX(条幅!$B$11:$B$310,514-COUNTA(半紙!$B$11:$B$310)),IF(514&lt;=COUNTA(半紙!$B$11:$B$310)+COUNTA(条幅!$B$11:$B$310)+COUNTA(条幅4分の1!$B$11:$B$310),INDEX(条幅4分の1!$B$11:$B$310,514-COUNTA(半紙!$B$11:$B$310)-COUNTA(条幅!$B$11:$B$310)),"")))=0,"",IF(514&lt;=COUNTA(半紙!$B$11:$B$310),INDEX(半紙!$B$11:$B$310,514),IF(514&lt;=COUNTA(半紙!$B$11:$B$310)+COUNTA(条幅!$B$11:$B$310),INDEX(条幅!$B$11:$B$310,514-COUNTA(半紙!$B$11:$B$310)),IF(514&lt;=COUNTA(半紙!$B$11:$B$310)+COUNTA(条幅!$B$11:$B$310)+COUNTA(条幅4分の1!$B$11:$B$310),INDEX(条幅4分の1!$B$11:$B$310,514-COUNTA(半紙!$B$11:$B$310)-COUNTA(条幅!$B$11:$B$310)),""))))</f>
        <v/>
      </c>
      <c r="C519" s="38" t="str">
        <f>IF(IF(514&lt;=COUNTA(半紙!$B$11:$B$310),INDEX(半紙!$C$11:$C$310,514),IF(514&lt;=COUNTA(半紙!$B$11:$B$310)+COUNTA(条幅!$B$11:$B$310),INDEX(条幅!$C$11:$C$310,514-COUNTA(半紙!$B$11:$B$310)),IF(514&lt;=COUNTA(半紙!$B$11:$B$310)+COUNTA(条幅!$B$11:$B$310)+COUNTA(条幅4分の1!$B$11:$B$310),INDEX(条幅4分の1!$C$11:$C$310,514-COUNTA(半紙!$B$11:$B$310)-COUNTA(条幅!$B$11:$B$310)),"")))=0,"",IF(514&lt;=COUNTA(半紙!$B$11:$B$310),INDEX(半紙!$C$11:$C$310,514),IF(514&lt;=COUNTA(半紙!$B$11:$B$310)+COUNTA(条幅!$B$11:$B$310),INDEX(条幅!$C$11:$C$310,514-COUNTA(半紙!$B$11:$B$310)),IF(514&lt;=COUNTA(半紙!$B$11:$B$310)+COUNTA(条幅!$B$11:$B$310)+COUNTA(条幅4分の1!$B$11:$B$310),INDEX(条幅4分の1!$C$11:$C$310,514-COUNTA(半紙!$B$11:$B$310)-COUNTA(条幅!$B$11:$B$310)),""))))</f>
        <v/>
      </c>
      <c r="D519" s="38" t="str">
        <f>IF(IF(514&lt;=COUNTA(半紙!$B$11:$B$310),INDEX(半紙!$D$11:$D$310,514),IF(514&lt;=COUNTA(半紙!$B$11:$B$310)+COUNTA(条幅!$B$11:$B$310),INDEX(条幅!$D$11:$D$310,514-COUNTA(半紙!$B$11:$B$310)),IF(514&lt;=COUNTA(半紙!$B$11:$B$310)+COUNTA(条幅!$B$11:$B$310)+COUNTA(条幅4分の1!$B$11:$B$310),INDEX(条幅4分の1!$D$11:$D$310,514-COUNTA(半紙!$B$11:$B$310)-COUNTA(条幅!$B$11:$B$310)),"")))=0,"",IF(514&lt;=COUNTA(半紙!$B$11:$B$310),INDEX(半紙!$D$11:$D$310,514),IF(514&lt;=COUNTA(半紙!$B$11:$B$310)+COUNTA(条幅!$B$11:$B$310),INDEX(条幅!$D$11:$D$310,514-COUNTA(半紙!$B$11:$B$310)),IF(514&lt;=COUNTA(半紙!$B$11:$B$310)+COUNTA(条幅!$B$11:$B$310)+COUNTA(条幅4分の1!$B$11:$B$310),INDEX(条幅4分の1!$D$11:$D$310,514-COUNTA(半紙!$B$11:$B$310)-COUNTA(条幅!$B$11:$B$310)),""))))</f>
        <v/>
      </c>
      <c r="E519" s="38" t="str">
        <f>IF(IF(514&lt;=COUNTA(半紙!$B$11:$B$310),INDEX(半紙!$E$11:$E$310,514),IF(514&lt;=COUNTA(半紙!$B$11:$B$310)+COUNTA(条幅!$B$11:$B$310),INDEX(条幅!$E$11:$E$310,514-COUNTA(半紙!$B$11:$B$310)),IF(514&lt;=COUNTA(半紙!$B$11:$B$310)+COUNTA(条幅!$B$11:$B$310)+COUNTA(条幅4分の1!$B$11:$B$310),INDEX(条幅4分の1!$E$11:$E$310,514-COUNTA(半紙!$B$11:$B$310)-COUNTA(条幅!$B$11:$B$310)),"")))=0,"",IF(514&lt;=COUNTA(半紙!$B$11:$B$310),INDEX(半紙!$E$11:$E$310,514),IF(514&lt;=COUNTA(半紙!$B$11:$B$310)+COUNTA(条幅!$B$11:$B$310),INDEX(条幅!$E$11:$E$310,514-COUNTA(半紙!$B$11:$B$310)),IF(514&lt;=COUNTA(半紙!$B$11:$B$310)+COUNTA(条幅!$B$11:$B$310)+COUNTA(条幅4分の1!$B$11:$B$310),INDEX(条幅4分の1!$E$11:$E$310,514-COUNTA(半紙!$B$11:$B$310)-COUNTA(条幅!$B$11:$B$310)),""))))</f>
        <v/>
      </c>
      <c r="F519" s="38" t="str">
        <f>IF(IF(514&lt;=COUNTA(半紙!$B$11:$B$310),INDEX(半紙!$F$11:$F$310,514),IF(514&lt;=COUNTA(半紙!$B$11:$B$310)+COUNTA(条幅!$B$11:$B$310),INDEX(条幅!$F$11:$F$310,514-COUNTA(半紙!$B$11:$B$310)),IF(514&lt;=COUNTA(半紙!$B$11:$B$310)+COUNTA(条幅!$B$11:$B$310)+COUNTA(条幅4分の1!$B$11:$B$310),INDEX(条幅4分の1!$F$11:$F$310,514-COUNTA(半紙!$B$11:$B$310)-COUNTA(条幅!$B$11:$B$310)),"")))=0,"",IF(514&lt;=COUNTA(半紙!$B$11:$B$310),INDEX(半紙!$F$11:$F$310,514),IF(514&lt;=COUNTA(半紙!$B$11:$B$310)+COUNTA(条幅!$B$11:$B$310),INDEX(条幅!$F$11:$F$310,514-COUNTA(半紙!$B$11:$B$310)),IF(514&lt;=COUNTA(半紙!$B$11:$B$310)+COUNTA(条幅!$B$11:$B$310)+COUNTA(条幅4分の1!$B$11:$B$310),INDEX(条幅4分の1!$F$11:$F$310,514-COUNTA(半紙!$B$11:$B$310)-COUNTA(条幅!$B$11:$B$310)),""))))</f>
        <v/>
      </c>
      <c r="G519" s="38" t="str">
        <f>IF(IF(514&lt;=COUNTA(半紙!$B$11:$B$310),INDEX(半紙!$G$11:$G$310,514),IF(514&lt;=COUNTA(半紙!$B$11:$B$310)+COUNTA(条幅!$B$11:$B$310),INDEX(条幅!$G$11:$G$310,514-COUNTA(半紙!$B$11:$B$310)),IF(514&lt;=COUNTA(半紙!$B$11:$B$310)+COUNTA(条幅!$B$11:$B$310)+COUNTA(条幅4分の1!$B$11:$B$310),INDEX(条幅4分の1!$G$11:$G$310,514-COUNTA(半紙!$B$11:$B$310)-COUNTA(条幅!$B$11:$B$310)),"")))=0,"",IF(514&lt;=COUNTA(半紙!$B$11:$B$310),INDEX(半紙!$G$11:$G$310,514),IF(514&lt;=COUNTA(半紙!$B$11:$B$310)+COUNTA(条幅!$B$11:$B$310),INDEX(条幅!$G$11:$G$310,514-COUNTA(半紙!$B$11:$B$310)),IF(514&lt;=COUNTA(半紙!$B$11:$B$310)+COUNTA(条幅!$B$11:$B$310)+COUNTA(条幅4分の1!$B$11:$B$310),INDEX(条幅4分の1!$G$11:$G$310,514-COUNTA(半紙!$B$11:$B$310)-COUNTA(条幅!$B$11:$B$310)),""))))</f>
        <v/>
      </c>
      <c r="H519" s="38" t="str">
        <f>IF(IF(514&lt;=COUNTA(半紙!$B$11:$B$310),INDEX(半紙!$H$11:$H$310,514),IF(514&lt;=COUNTA(半紙!$B$11:$B$310)+COUNTA(条幅!$B$11:$B$310),INDEX(条幅!$H$11:$H$310,514-COUNTA(半紙!$B$11:$B$310)),IF(514&lt;=COUNTA(半紙!$B$11:$B$310)+COUNTA(条幅!$B$11:$B$310)+COUNTA(条幅4分の1!$B$11:$B$310),INDEX(条幅4分の1!$H$11:$H$310,514-COUNTA(半紙!$B$11:$B$310)-COUNTA(条幅!$B$11:$B$310)),"")))=0,"",IF(514&lt;=COUNTA(半紙!$B$11:$B$310),INDEX(半紙!$H$11:$H$310,514),IF(514&lt;=COUNTA(半紙!$B$11:$B$310)+COUNTA(条幅!$B$11:$B$310),INDEX(条幅!$H$11:$H$310,514-COUNTA(半紙!$B$11:$B$310)),IF(514&lt;=COUNTA(半紙!$B$11:$B$310)+COUNTA(条幅!$B$11:$B$310)+COUNTA(条幅4分の1!$B$11:$B$310),INDEX(条幅4分の1!$H$11:$H$310,514-COUNTA(半紙!$B$11:$B$310)-COUNTA(条幅!$B$11:$B$310)),""))))</f>
        <v/>
      </c>
      <c r="I519" s="38" t="str">
        <f>IF(IF(514&lt;=COUNTA(半紙!$B$11:$B$310),INDEX(半紙!$I$11:$I$310,514),IF(514&lt;=COUNTA(半紙!$B$11:$B$310)+COUNTA(条幅!$B$11:$B$310),INDEX(条幅!$I$11:$I$310,514-COUNTA(半紙!$B$11:$B$310)),IF(514&lt;=COUNTA(半紙!$B$11:$B$310)+COUNTA(条幅!$B$11:$B$310)+COUNTA(条幅4分の1!$B$11:$B$310),INDEX(条幅4分の1!$I$11:$I$310,514-COUNTA(半紙!$B$11:$B$310)-COUNTA(条幅!$B$11:$B$310)),"")))=0,"",IF(514&lt;=COUNTA(半紙!$B$11:$B$310),INDEX(半紙!$I$11:$I$310,514),IF(514&lt;=COUNTA(半紙!$B$11:$B$310)+COUNTA(条幅!$B$11:$B$310),INDEX(条幅!$I$11:$I$310,514-COUNTA(半紙!$B$11:$B$310)),IF(514&lt;=COUNTA(半紙!$B$11:$B$310)+COUNTA(条幅!$B$11:$B$310)+COUNTA(条幅4分の1!$B$11:$B$310),INDEX(条幅4分の1!$I$11:$I$310,514-COUNTA(半紙!$B$11:$B$310)-COUNTA(条幅!$B$11:$B$310)),""))))</f>
        <v/>
      </c>
      <c r="J519" s="38" t="str">
        <f>IF(IF(514&lt;=COUNTA(半紙!$B$11:$B$310),INDEX(半紙!$J$11:$J$310,514),IF(514&lt;=COUNTA(半紙!$B$11:$B$310)+COUNTA(条幅!$B$11:$B$310),INDEX(条幅!$J$11:$J$310,514-COUNTA(半紙!$B$11:$B$310)),IF(514&lt;=COUNTA(半紙!$B$11:$B$310)+COUNTA(条幅!$B$11:$B$310)+COUNTA(条幅4分の1!$B$11:$B$310),INDEX(条幅4分の1!$J$11:$J$310,514-COUNTA(半紙!$B$11:$B$310)-COUNTA(条幅!$B$11:$B$310)),"")))=0,"",IF(514&lt;=COUNTA(半紙!$B$11:$B$310),INDEX(半紙!$J$11:$J$310,514),IF(514&lt;=COUNTA(半紙!$B$11:$B$310)+COUNTA(条幅!$B$11:$B$310),INDEX(条幅!$J$11:$J$310,514-COUNTA(半紙!$B$11:$B$310)),IF(514&lt;=COUNTA(半紙!$B$11:$B$310)+COUNTA(条幅!$B$11:$B$310)+COUNTA(条幅4分の1!$B$11:$B$310),INDEX(条幅4分の1!$J$11:$J$310,514-COUNTA(半紙!$B$11:$B$310)-COUNTA(条幅!$B$11:$B$310)),""))))</f>
        <v/>
      </c>
      <c r="K519" s="38" t="str">
        <f>IF(IF(514&lt;=COUNTA(半紙!$B$11:$B$310),INDEX(半紙!$K$11:$K$310,514),IF(514&lt;=COUNTA(半紙!$B$11:$B$310)+COUNTA(条幅!$B$11:$B$310),INDEX(条幅!$K$11:$K$310,514-COUNTA(半紙!$B$11:$B$310)),IF(514&lt;=COUNTA(半紙!$B$11:$B$310)+COUNTA(条幅!$B$11:$B$310)+COUNTA(条幅4分の1!$B$11:$B$310),INDEX(条幅4分の1!$K$11:$K$310,514-COUNTA(半紙!$B$11:$B$310)-COUNTA(条幅!$B$11:$B$310)),"")))=0,"",IF(514&lt;=COUNTA(半紙!$B$11:$B$310),INDEX(半紙!$K$11:$K$310,514),IF(514&lt;=COUNTA(半紙!$B$11:$B$310)+COUNTA(条幅!$B$11:$B$310),INDEX(条幅!$K$11:$K$310,514-COUNTA(半紙!$B$11:$B$310)),IF(514&lt;=COUNTA(半紙!$B$11:$B$310)+COUNTA(条幅!$B$11:$B$310)+COUNTA(条幅4分の1!$B$11:$B$310),INDEX(条幅4分の1!$K$11:$K$310,514-COUNTA(半紙!$B$11:$B$310)-COUNTA(条幅!$B$11:$B$310)),""))))</f>
        <v/>
      </c>
      <c r="L519" s="48" t="str">
        <f>IF($B519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514))</f>
        <v/>
      </c>
    </row>
    <row r="520" spans="1:12" ht="15" customHeight="1">
      <c r="A520" s="37" t="str">
        <f>IF(515&lt;=COUNTA(半紙!$B$11:$B$310),"半紙",IF(515&lt;=COUNTA(半紙!$B$11:$B$310)+COUNTA(条幅!$B$11:$B$310),"条幅(半切)",IF(515&lt;=COUNTA(半紙!$B$11:$B$310)+COUNTA(条幅!$B$11:$B$310)+COUNTA(条幅4分の1!$B$11:$B$310),"条幅(1/4)","")))</f>
        <v/>
      </c>
      <c r="B520" s="38" t="str">
        <f>IF(IF(515&lt;=COUNTA(半紙!$B$11:$B$310),INDEX(半紙!$B$11:$B$310,515),IF(515&lt;=COUNTA(半紙!$B$11:$B$310)+COUNTA(条幅!$B$11:$B$310),INDEX(条幅!$B$11:$B$310,515-COUNTA(半紙!$B$11:$B$310)),IF(515&lt;=COUNTA(半紙!$B$11:$B$310)+COUNTA(条幅!$B$11:$B$310)+COUNTA(条幅4分の1!$B$11:$B$310),INDEX(条幅4分の1!$B$11:$B$310,515-COUNTA(半紙!$B$11:$B$310)-COUNTA(条幅!$B$11:$B$310)),"")))=0,"",IF(515&lt;=COUNTA(半紙!$B$11:$B$310),INDEX(半紙!$B$11:$B$310,515),IF(515&lt;=COUNTA(半紙!$B$11:$B$310)+COUNTA(条幅!$B$11:$B$310),INDEX(条幅!$B$11:$B$310,515-COUNTA(半紙!$B$11:$B$310)),IF(515&lt;=COUNTA(半紙!$B$11:$B$310)+COUNTA(条幅!$B$11:$B$310)+COUNTA(条幅4分の1!$B$11:$B$310),INDEX(条幅4分の1!$B$11:$B$310,515-COUNTA(半紙!$B$11:$B$310)-COUNTA(条幅!$B$11:$B$310)),""))))</f>
        <v/>
      </c>
      <c r="C520" s="38" t="str">
        <f>IF(IF(515&lt;=COUNTA(半紙!$B$11:$B$310),INDEX(半紙!$C$11:$C$310,515),IF(515&lt;=COUNTA(半紙!$B$11:$B$310)+COUNTA(条幅!$B$11:$B$310),INDEX(条幅!$C$11:$C$310,515-COUNTA(半紙!$B$11:$B$310)),IF(515&lt;=COUNTA(半紙!$B$11:$B$310)+COUNTA(条幅!$B$11:$B$310)+COUNTA(条幅4分の1!$B$11:$B$310),INDEX(条幅4分の1!$C$11:$C$310,515-COUNTA(半紙!$B$11:$B$310)-COUNTA(条幅!$B$11:$B$310)),"")))=0,"",IF(515&lt;=COUNTA(半紙!$B$11:$B$310),INDEX(半紙!$C$11:$C$310,515),IF(515&lt;=COUNTA(半紙!$B$11:$B$310)+COUNTA(条幅!$B$11:$B$310),INDEX(条幅!$C$11:$C$310,515-COUNTA(半紙!$B$11:$B$310)),IF(515&lt;=COUNTA(半紙!$B$11:$B$310)+COUNTA(条幅!$B$11:$B$310)+COUNTA(条幅4分の1!$B$11:$B$310),INDEX(条幅4分の1!$C$11:$C$310,515-COUNTA(半紙!$B$11:$B$310)-COUNTA(条幅!$B$11:$B$310)),""))))</f>
        <v/>
      </c>
      <c r="D520" s="38" t="str">
        <f>IF(IF(515&lt;=COUNTA(半紙!$B$11:$B$310),INDEX(半紙!$D$11:$D$310,515),IF(515&lt;=COUNTA(半紙!$B$11:$B$310)+COUNTA(条幅!$B$11:$B$310),INDEX(条幅!$D$11:$D$310,515-COUNTA(半紙!$B$11:$B$310)),IF(515&lt;=COUNTA(半紙!$B$11:$B$310)+COUNTA(条幅!$B$11:$B$310)+COUNTA(条幅4分の1!$B$11:$B$310),INDEX(条幅4分の1!$D$11:$D$310,515-COUNTA(半紙!$B$11:$B$310)-COUNTA(条幅!$B$11:$B$310)),"")))=0,"",IF(515&lt;=COUNTA(半紙!$B$11:$B$310),INDEX(半紙!$D$11:$D$310,515),IF(515&lt;=COUNTA(半紙!$B$11:$B$310)+COUNTA(条幅!$B$11:$B$310),INDEX(条幅!$D$11:$D$310,515-COUNTA(半紙!$B$11:$B$310)),IF(515&lt;=COUNTA(半紙!$B$11:$B$310)+COUNTA(条幅!$B$11:$B$310)+COUNTA(条幅4分の1!$B$11:$B$310),INDEX(条幅4分の1!$D$11:$D$310,515-COUNTA(半紙!$B$11:$B$310)-COUNTA(条幅!$B$11:$B$310)),""))))</f>
        <v/>
      </c>
      <c r="E520" s="38" t="str">
        <f>IF(IF(515&lt;=COUNTA(半紙!$B$11:$B$310),INDEX(半紙!$E$11:$E$310,515),IF(515&lt;=COUNTA(半紙!$B$11:$B$310)+COUNTA(条幅!$B$11:$B$310),INDEX(条幅!$E$11:$E$310,515-COUNTA(半紙!$B$11:$B$310)),IF(515&lt;=COUNTA(半紙!$B$11:$B$310)+COUNTA(条幅!$B$11:$B$310)+COUNTA(条幅4分の1!$B$11:$B$310),INDEX(条幅4分の1!$E$11:$E$310,515-COUNTA(半紙!$B$11:$B$310)-COUNTA(条幅!$B$11:$B$310)),"")))=0,"",IF(515&lt;=COUNTA(半紙!$B$11:$B$310),INDEX(半紙!$E$11:$E$310,515),IF(515&lt;=COUNTA(半紙!$B$11:$B$310)+COUNTA(条幅!$B$11:$B$310),INDEX(条幅!$E$11:$E$310,515-COUNTA(半紙!$B$11:$B$310)),IF(515&lt;=COUNTA(半紙!$B$11:$B$310)+COUNTA(条幅!$B$11:$B$310)+COUNTA(条幅4分の1!$B$11:$B$310),INDEX(条幅4分の1!$E$11:$E$310,515-COUNTA(半紙!$B$11:$B$310)-COUNTA(条幅!$B$11:$B$310)),""))))</f>
        <v/>
      </c>
      <c r="F520" s="38" t="str">
        <f>IF(IF(515&lt;=COUNTA(半紙!$B$11:$B$310),INDEX(半紙!$F$11:$F$310,515),IF(515&lt;=COUNTA(半紙!$B$11:$B$310)+COUNTA(条幅!$B$11:$B$310),INDEX(条幅!$F$11:$F$310,515-COUNTA(半紙!$B$11:$B$310)),IF(515&lt;=COUNTA(半紙!$B$11:$B$310)+COUNTA(条幅!$B$11:$B$310)+COUNTA(条幅4分の1!$B$11:$B$310),INDEX(条幅4分の1!$F$11:$F$310,515-COUNTA(半紙!$B$11:$B$310)-COUNTA(条幅!$B$11:$B$310)),"")))=0,"",IF(515&lt;=COUNTA(半紙!$B$11:$B$310),INDEX(半紙!$F$11:$F$310,515),IF(515&lt;=COUNTA(半紙!$B$11:$B$310)+COUNTA(条幅!$B$11:$B$310),INDEX(条幅!$F$11:$F$310,515-COUNTA(半紙!$B$11:$B$310)),IF(515&lt;=COUNTA(半紙!$B$11:$B$310)+COUNTA(条幅!$B$11:$B$310)+COUNTA(条幅4分の1!$B$11:$B$310),INDEX(条幅4分の1!$F$11:$F$310,515-COUNTA(半紙!$B$11:$B$310)-COUNTA(条幅!$B$11:$B$310)),""))))</f>
        <v/>
      </c>
      <c r="G520" s="38" t="str">
        <f>IF(IF(515&lt;=COUNTA(半紙!$B$11:$B$310),INDEX(半紙!$G$11:$G$310,515),IF(515&lt;=COUNTA(半紙!$B$11:$B$310)+COUNTA(条幅!$B$11:$B$310),INDEX(条幅!$G$11:$G$310,515-COUNTA(半紙!$B$11:$B$310)),IF(515&lt;=COUNTA(半紙!$B$11:$B$310)+COUNTA(条幅!$B$11:$B$310)+COUNTA(条幅4分の1!$B$11:$B$310),INDEX(条幅4分の1!$G$11:$G$310,515-COUNTA(半紙!$B$11:$B$310)-COUNTA(条幅!$B$11:$B$310)),"")))=0,"",IF(515&lt;=COUNTA(半紙!$B$11:$B$310),INDEX(半紙!$G$11:$G$310,515),IF(515&lt;=COUNTA(半紙!$B$11:$B$310)+COUNTA(条幅!$B$11:$B$310),INDEX(条幅!$G$11:$G$310,515-COUNTA(半紙!$B$11:$B$310)),IF(515&lt;=COUNTA(半紙!$B$11:$B$310)+COUNTA(条幅!$B$11:$B$310)+COUNTA(条幅4分の1!$B$11:$B$310),INDEX(条幅4分の1!$G$11:$G$310,515-COUNTA(半紙!$B$11:$B$310)-COUNTA(条幅!$B$11:$B$310)),""))))</f>
        <v/>
      </c>
      <c r="H520" s="38" t="str">
        <f>IF(IF(515&lt;=COUNTA(半紙!$B$11:$B$310),INDEX(半紙!$H$11:$H$310,515),IF(515&lt;=COUNTA(半紙!$B$11:$B$310)+COUNTA(条幅!$B$11:$B$310),INDEX(条幅!$H$11:$H$310,515-COUNTA(半紙!$B$11:$B$310)),IF(515&lt;=COUNTA(半紙!$B$11:$B$310)+COUNTA(条幅!$B$11:$B$310)+COUNTA(条幅4分の1!$B$11:$B$310),INDEX(条幅4分の1!$H$11:$H$310,515-COUNTA(半紙!$B$11:$B$310)-COUNTA(条幅!$B$11:$B$310)),"")))=0,"",IF(515&lt;=COUNTA(半紙!$B$11:$B$310),INDEX(半紙!$H$11:$H$310,515),IF(515&lt;=COUNTA(半紙!$B$11:$B$310)+COUNTA(条幅!$B$11:$B$310),INDEX(条幅!$H$11:$H$310,515-COUNTA(半紙!$B$11:$B$310)),IF(515&lt;=COUNTA(半紙!$B$11:$B$310)+COUNTA(条幅!$B$11:$B$310)+COUNTA(条幅4分の1!$B$11:$B$310),INDEX(条幅4分の1!$H$11:$H$310,515-COUNTA(半紙!$B$11:$B$310)-COUNTA(条幅!$B$11:$B$310)),""))))</f>
        <v/>
      </c>
      <c r="I520" s="38" t="str">
        <f>IF(IF(515&lt;=COUNTA(半紙!$B$11:$B$310),INDEX(半紙!$I$11:$I$310,515),IF(515&lt;=COUNTA(半紙!$B$11:$B$310)+COUNTA(条幅!$B$11:$B$310),INDEX(条幅!$I$11:$I$310,515-COUNTA(半紙!$B$11:$B$310)),IF(515&lt;=COUNTA(半紙!$B$11:$B$310)+COUNTA(条幅!$B$11:$B$310)+COUNTA(条幅4分の1!$B$11:$B$310),INDEX(条幅4分の1!$I$11:$I$310,515-COUNTA(半紙!$B$11:$B$310)-COUNTA(条幅!$B$11:$B$310)),"")))=0,"",IF(515&lt;=COUNTA(半紙!$B$11:$B$310),INDEX(半紙!$I$11:$I$310,515),IF(515&lt;=COUNTA(半紙!$B$11:$B$310)+COUNTA(条幅!$B$11:$B$310),INDEX(条幅!$I$11:$I$310,515-COUNTA(半紙!$B$11:$B$310)),IF(515&lt;=COUNTA(半紙!$B$11:$B$310)+COUNTA(条幅!$B$11:$B$310)+COUNTA(条幅4分の1!$B$11:$B$310),INDEX(条幅4分の1!$I$11:$I$310,515-COUNTA(半紙!$B$11:$B$310)-COUNTA(条幅!$B$11:$B$310)),""))))</f>
        <v/>
      </c>
      <c r="J520" s="38" t="str">
        <f>IF(IF(515&lt;=COUNTA(半紙!$B$11:$B$310),INDEX(半紙!$J$11:$J$310,515),IF(515&lt;=COUNTA(半紙!$B$11:$B$310)+COUNTA(条幅!$B$11:$B$310),INDEX(条幅!$J$11:$J$310,515-COUNTA(半紙!$B$11:$B$310)),IF(515&lt;=COUNTA(半紙!$B$11:$B$310)+COUNTA(条幅!$B$11:$B$310)+COUNTA(条幅4分の1!$B$11:$B$310),INDEX(条幅4分の1!$J$11:$J$310,515-COUNTA(半紙!$B$11:$B$310)-COUNTA(条幅!$B$11:$B$310)),"")))=0,"",IF(515&lt;=COUNTA(半紙!$B$11:$B$310),INDEX(半紙!$J$11:$J$310,515),IF(515&lt;=COUNTA(半紙!$B$11:$B$310)+COUNTA(条幅!$B$11:$B$310),INDEX(条幅!$J$11:$J$310,515-COUNTA(半紙!$B$11:$B$310)),IF(515&lt;=COUNTA(半紙!$B$11:$B$310)+COUNTA(条幅!$B$11:$B$310)+COUNTA(条幅4分の1!$B$11:$B$310),INDEX(条幅4分の1!$J$11:$J$310,515-COUNTA(半紙!$B$11:$B$310)-COUNTA(条幅!$B$11:$B$310)),""))))</f>
        <v/>
      </c>
      <c r="K520" s="38" t="str">
        <f>IF(IF(515&lt;=COUNTA(半紙!$B$11:$B$310),INDEX(半紙!$K$11:$K$310,515),IF(515&lt;=COUNTA(半紙!$B$11:$B$310)+COUNTA(条幅!$B$11:$B$310),INDEX(条幅!$K$11:$K$310,515-COUNTA(半紙!$B$11:$B$310)),IF(515&lt;=COUNTA(半紙!$B$11:$B$310)+COUNTA(条幅!$B$11:$B$310)+COUNTA(条幅4分の1!$B$11:$B$310),INDEX(条幅4分の1!$K$11:$K$310,515-COUNTA(半紙!$B$11:$B$310)-COUNTA(条幅!$B$11:$B$310)),"")))=0,"",IF(515&lt;=COUNTA(半紙!$B$11:$B$310),INDEX(半紙!$K$11:$K$310,515),IF(515&lt;=COUNTA(半紙!$B$11:$B$310)+COUNTA(条幅!$B$11:$B$310),INDEX(条幅!$K$11:$K$310,515-COUNTA(半紙!$B$11:$B$310)),IF(515&lt;=COUNTA(半紙!$B$11:$B$310)+COUNTA(条幅!$B$11:$B$310)+COUNTA(条幅4分の1!$B$11:$B$310),INDEX(条幅4分の1!$K$11:$K$310,515-COUNTA(半紙!$B$11:$B$310)-COUNTA(条幅!$B$11:$B$310)),""))))</f>
        <v/>
      </c>
      <c r="L520" s="48" t="str">
        <f>IF($B520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515))</f>
        <v/>
      </c>
    </row>
    <row r="521" spans="1:12" ht="15" customHeight="1">
      <c r="A521" s="37" t="str">
        <f>IF(516&lt;=COUNTA(半紙!$B$11:$B$310),"半紙",IF(516&lt;=COUNTA(半紙!$B$11:$B$310)+COUNTA(条幅!$B$11:$B$310),"条幅(半切)",IF(516&lt;=COUNTA(半紙!$B$11:$B$310)+COUNTA(条幅!$B$11:$B$310)+COUNTA(条幅4分の1!$B$11:$B$310),"条幅(1/4)","")))</f>
        <v/>
      </c>
      <c r="B521" s="38" t="str">
        <f>IF(IF(516&lt;=COUNTA(半紙!$B$11:$B$310),INDEX(半紙!$B$11:$B$310,516),IF(516&lt;=COUNTA(半紙!$B$11:$B$310)+COUNTA(条幅!$B$11:$B$310),INDEX(条幅!$B$11:$B$310,516-COUNTA(半紙!$B$11:$B$310)),IF(516&lt;=COUNTA(半紙!$B$11:$B$310)+COUNTA(条幅!$B$11:$B$310)+COUNTA(条幅4分の1!$B$11:$B$310),INDEX(条幅4分の1!$B$11:$B$310,516-COUNTA(半紙!$B$11:$B$310)-COUNTA(条幅!$B$11:$B$310)),"")))=0,"",IF(516&lt;=COUNTA(半紙!$B$11:$B$310),INDEX(半紙!$B$11:$B$310,516),IF(516&lt;=COUNTA(半紙!$B$11:$B$310)+COUNTA(条幅!$B$11:$B$310),INDEX(条幅!$B$11:$B$310,516-COUNTA(半紙!$B$11:$B$310)),IF(516&lt;=COUNTA(半紙!$B$11:$B$310)+COUNTA(条幅!$B$11:$B$310)+COUNTA(条幅4分の1!$B$11:$B$310),INDEX(条幅4分の1!$B$11:$B$310,516-COUNTA(半紙!$B$11:$B$310)-COUNTA(条幅!$B$11:$B$310)),""))))</f>
        <v/>
      </c>
      <c r="C521" s="38" t="str">
        <f>IF(IF(516&lt;=COUNTA(半紙!$B$11:$B$310),INDEX(半紙!$C$11:$C$310,516),IF(516&lt;=COUNTA(半紙!$B$11:$B$310)+COUNTA(条幅!$B$11:$B$310),INDEX(条幅!$C$11:$C$310,516-COUNTA(半紙!$B$11:$B$310)),IF(516&lt;=COUNTA(半紙!$B$11:$B$310)+COUNTA(条幅!$B$11:$B$310)+COUNTA(条幅4分の1!$B$11:$B$310),INDEX(条幅4分の1!$C$11:$C$310,516-COUNTA(半紙!$B$11:$B$310)-COUNTA(条幅!$B$11:$B$310)),"")))=0,"",IF(516&lt;=COUNTA(半紙!$B$11:$B$310),INDEX(半紙!$C$11:$C$310,516),IF(516&lt;=COUNTA(半紙!$B$11:$B$310)+COUNTA(条幅!$B$11:$B$310),INDEX(条幅!$C$11:$C$310,516-COUNTA(半紙!$B$11:$B$310)),IF(516&lt;=COUNTA(半紙!$B$11:$B$310)+COUNTA(条幅!$B$11:$B$310)+COUNTA(条幅4分の1!$B$11:$B$310),INDEX(条幅4分の1!$C$11:$C$310,516-COUNTA(半紙!$B$11:$B$310)-COUNTA(条幅!$B$11:$B$310)),""))))</f>
        <v/>
      </c>
      <c r="D521" s="38" t="str">
        <f>IF(IF(516&lt;=COUNTA(半紙!$B$11:$B$310),INDEX(半紙!$D$11:$D$310,516),IF(516&lt;=COUNTA(半紙!$B$11:$B$310)+COUNTA(条幅!$B$11:$B$310),INDEX(条幅!$D$11:$D$310,516-COUNTA(半紙!$B$11:$B$310)),IF(516&lt;=COUNTA(半紙!$B$11:$B$310)+COUNTA(条幅!$B$11:$B$310)+COUNTA(条幅4分の1!$B$11:$B$310),INDEX(条幅4分の1!$D$11:$D$310,516-COUNTA(半紙!$B$11:$B$310)-COUNTA(条幅!$B$11:$B$310)),"")))=0,"",IF(516&lt;=COUNTA(半紙!$B$11:$B$310),INDEX(半紙!$D$11:$D$310,516),IF(516&lt;=COUNTA(半紙!$B$11:$B$310)+COUNTA(条幅!$B$11:$B$310),INDEX(条幅!$D$11:$D$310,516-COUNTA(半紙!$B$11:$B$310)),IF(516&lt;=COUNTA(半紙!$B$11:$B$310)+COUNTA(条幅!$B$11:$B$310)+COUNTA(条幅4分の1!$B$11:$B$310),INDEX(条幅4分の1!$D$11:$D$310,516-COUNTA(半紙!$B$11:$B$310)-COUNTA(条幅!$B$11:$B$310)),""))))</f>
        <v/>
      </c>
      <c r="E521" s="38" t="str">
        <f>IF(IF(516&lt;=COUNTA(半紙!$B$11:$B$310),INDEX(半紙!$E$11:$E$310,516),IF(516&lt;=COUNTA(半紙!$B$11:$B$310)+COUNTA(条幅!$B$11:$B$310),INDEX(条幅!$E$11:$E$310,516-COUNTA(半紙!$B$11:$B$310)),IF(516&lt;=COUNTA(半紙!$B$11:$B$310)+COUNTA(条幅!$B$11:$B$310)+COUNTA(条幅4分の1!$B$11:$B$310),INDEX(条幅4分の1!$E$11:$E$310,516-COUNTA(半紙!$B$11:$B$310)-COUNTA(条幅!$B$11:$B$310)),"")))=0,"",IF(516&lt;=COUNTA(半紙!$B$11:$B$310),INDEX(半紙!$E$11:$E$310,516),IF(516&lt;=COUNTA(半紙!$B$11:$B$310)+COUNTA(条幅!$B$11:$B$310),INDEX(条幅!$E$11:$E$310,516-COUNTA(半紙!$B$11:$B$310)),IF(516&lt;=COUNTA(半紙!$B$11:$B$310)+COUNTA(条幅!$B$11:$B$310)+COUNTA(条幅4分の1!$B$11:$B$310),INDEX(条幅4分の1!$E$11:$E$310,516-COUNTA(半紙!$B$11:$B$310)-COUNTA(条幅!$B$11:$B$310)),""))))</f>
        <v/>
      </c>
      <c r="F521" s="38" t="str">
        <f>IF(IF(516&lt;=COUNTA(半紙!$B$11:$B$310),INDEX(半紙!$F$11:$F$310,516),IF(516&lt;=COUNTA(半紙!$B$11:$B$310)+COUNTA(条幅!$B$11:$B$310),INDEX(条幅!$F$11:$F$310,516-COUNTA(半紙!$B$11:$B$310)),IF(516&lt;=COUNTA(半紙!$B$11:$B$310)+COUNTA(条幅!$B$11:$B$310)+COUNTA(条幅4分の1!$B$11:$B$310),INDEX(条幅4分の1!$F$11:$F$310,516-COUNTA(半紙!$B$11:$B$310)-COUNTA(条幅!$B$11:$B$310)),"")))=0,"",IF(516&lt;=COUNTA(半紙!$B$11:$B$310),INDEX(半紙!$F$11:$F$310,516),IF(516&lt;=COUNTA(半紙!$B$11:$B$310)+COUNTA(条幅!$B$11:$B$310),INDEX(条幅!$F$11:$F$310,516-COUNTA(半紙!$B$11:$B$310)),IF(516&lt;=COUNTA(半紙!$B$11:$B$310)+COUNTA(条幅!$B$11:$B$310)+COUNTA(条幅4分の1!$B$11:$B$310),INDEX(条幅4分の1!$F$11:$F$310,516-COUNTA(半紙!$B$11:$B$310)-COUNTA(条幅!$B$11:$B$310)),""))))</f>
        <v/>
      </c>
      <c r="G521" s="38" t="str">
        <f>IF(IF(516&lt;=COUNTA(半紙!$B$11:$B$310),INDEX(半紙!$G$11:$G$310,516),IF(516&lt;=COUNTA(半紙!$B$11:$B$310)+COUNTA(条幅!$B$11:$B$310),INDEX(条幅!$G$11:$G$310,516-COUNTA(半紙!$B$11:$B$310)),IF(516&lt;=COUNTA(半紙!$B$11:$B$310)+COUNTA(条幅!$B$11:$B$310)+COUNTA(条幅4分の1!$B$11:$B$310),INDEX(条幅4分の1!$G$11:$G$310,516-COUNTA(半紙!$B$11:$B$310)-COUNTA(条幅!$B$11:$B$310)),"")))=0,"",IF(516&lt;=COUNTA(半紙!$B$11:$B$310),INDEX(半紙!$G$11:$G$310,516),IF(516&lt;=COUNTA(半紙!$B$11:$B$310)+COUNTA(条幅!$B$11:$B$310),INDEX(条幅!$G$11:$G$310,516-COUNTA(半紙!$B$11:$B$310)),IF(516&lt;=COUNTA(半紙!$B$11:$B$310)+COUNTA(条幅!$B$11:$B$310)+COUNTA(条幅4分の1!$B$11:$B$310),INDEX(条幅4分の1!$G$11:$G$310,516-COUNTA(半紙!$B$11:$B$310)-COUNTA(条幅!$B$11:$B$310)),""))))</f>
        <v/>
      </c>
      <c r="H521" s="38" t="str">
        <f>IF(IF(516&lt;=COUNTA(半紙!$B$11:$B$310),INDEX(半紙!$H$11:$H$310,516),IF(516&lt;=COUNTA(半紙!$B$11:$B$310)+COUNTA(条幅!$B$11:$B$310),INDEX(条幅!$H$11:$H$310,516-COUNTA(半紙!$B$11:$B$310)),IF(516&lt;=COUNTA(半紙!$B$11:$B$310)+COUNTA(条幅!$B$11:$B$310)+COUNTA(条幅4分の1!$B$11:$B$310),INDEX(条幅4分の1!$H$11:$H$310,516-COUNTA(半紙!$B$11:$B$310)-COUNTA(条幅!$B$11:$B$310)),"")))=0,"",IF(516&lt;=COUNTA(半紙!$B$11:$B$310),INDEX(半紙!$H$11:$H$310,516),IF(516&lt;=COUNTA(半紙!$B$11:$B$310)+COUNTA(条幅!$B$11:$B$310),INDEX(条幅!$H$11:$H$310,516-COUNTA(半紙!$B$11:$B$310)),IF(516&lt;=COUNTA(半紙!$B$11:$B$310)+COUNTA(条幅!$B$11:$B$310)+COUNTA(条幅4分の1!$B$11:$B$310),INDEX(条幅4分の1!$H$11:$H$310,516-COUNTA(半紙!$B$11:$B$310)-COUNTA(条幅!$B$11:$B$310)),""))))</f>
        <v/>
      </c>
      <c r="I521" s="38" t="str">
        <f>IF(IF(516&lt;=COUNTA(半紙!$B$11:$B$310),INDEX(半紙!$I$11:$I$310,516),IF(516&lt;=COUNTA(半紙!$B$11:$B$310)+COUNTA(条幅!$B$11:$B$310),INDEX(条幅!$I$11:$I$310,516-COUNTA(半紙!$B$11:$B$310)),IF(516&lt;=COUNTA(半紙!$B$11:$B$310)+COUNTA(条幅!$B$11:$B$310)+COUNTA(条幅4分の1!$B$11:$B$310),INDEX(条幅4分の1!$I$11:$I$310,516-COUNTA(半紙!$B$11:$B$310)-COUNTA(条幅!$B$11:$B$310)),"")))=0,"",IF(516&lt;=COUNTA(半紙!$B$11:$B$310),INDEX(半紙!$I$11:$I$310,516),IF(516&lt;=COUNTA(半紙!$B$11:$B$310)+COUNTA(条幅!$B$11:$B$310),INDEX(条幅!$I$11:$I$310,516-COUNTA(半紙!$B$11:$B$310)),IF(516&lt;=COUNTA(半紙!$B$11:$B$310)+COUNTA(条幅!$B$11:$B$310)+COUNTA(条幅4分の1!$B$11:$B$310),INDEX(条幅4分の1!$I$11:$I$310,516-COUNTA(半紙!$B$11:$B$310)-COUNTA(条幅!$B$11:$B$310)),""))))</f>
        <v/>
      </c>
      <c r="J521" s="38" t="str">
        <f>IF(IF(516&lt;=COUNTA(半紙!$B$11:$B$310),INDEX(半紙!$J$11:$J$310,516),IF(516&lt;=COUNTA(半紙!$B$11:$B$310)+COUNTA(条幅!$B$11:$B$310),INDEX(条幅!$J$11:$J$310,516-COUNTA(半紙!$B$11:$B$310)),IF(516&lt;=COUNTA(半紙!$B$11:$B$310)+COUNTA(条幅!$B$11:$B$310)+COUNTA(条幅4分の1!$B$11:$B$310),INDEX(条幅4分の1!$J$11:$J$310,516-COUNTA(半紙!$B$11:$B$310)-COUNTA(条幅!$B$11:$B$310)),"")))=0,"",IF(516&lt;=COUNTA(半紙!$B$11:$B$310),INDEX(半紙!$J$11:$J$310,516),IF(516&lt;=COUNTA(半紙!$B$11:$B$310)+COUNTA(条幅!$B$11:$B$310),INDEX(条幅!$J$11:$J$310,516-COUNTA(半紙!$B$11:$B$310)),IF(516&lt;=COUNTA(半紙!$B$11:$B$310)+COUNTA(条幅!$B$11:$B$310)+COUNTA(条幅4分の1!$B$11:$B$310),INDEX(条幅4分の1!$J$11:$J$310,516-COUNTA(半紙!$B$11:$B$310)-COUNTA(条幅!$B$11:$B$310)),""))))</f>
        <v/>
      </c>
      <c r="K521" s="38" t="str">
        <f>IF(IF(516&lt;=COUNTA(半紙!$B$11:$B$310),INDEX(半紙!$K$11:$K$310,516),IF(516&lt;=COUNTA(半紙!$B$11:$B$310)+COUNTA(条幅!$B$11:$B$310),INDEX(条幅!$K$11:$K$310,516-COUNTA(半紙!$B$11:$B$310)),IF(516&lt;=COUNTA(半紙!$B$11:$B$310)+COUNTA(条幅!$B$11:$B$310)+COUNTA(条幅4分の1!$B$11:$B$310),INDEX(条幅4分の1!$K$11:$K$310,516-COUNTA(半紙!$B$11:$B$310)-COUNTA(条幅!$B$11:$B$310)),"")))=0,"",IF(516&lt;=COUNTA(半紙!$B$11:$B$310),INDEX(半紙!$K$11:$K$310,516),IF(516&lt;=COUNTA(半紙!$B$11:$B$310)+COUNTA(条幅!$B$11:$B$310),INDEX(条幅!$K$11:$K$310,516-COUNTA(半紙!$B$11:$B$310)),IF(516&lt;=COUNTA(半紙!$B$11:$B$310)+COUNTA(条幅!$B$11:$B$310)+COUNTA(条幅4分の1!$B$11:$B$310),INDEX(条幅4分の1!$K$11:$K$310,516-COUNTA(半紙!$B$11:$B$310)-COUNTA(条幅!$B$11:$B$310)),""))))</f>
        <v/>
      </c>
      <c r="L521" s="48" t="str">
        <f>IF($B521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516))</f>
        <v/>
      </c>
    </row>
    <row r="522" spans="1:12" ht="15" customHeight="1">
      <c r="A522" s="37" t="str">
        <f>IF(517&lt;=COUNTA(半紙!$B$11:$B$310),"半紙",IF(517&lt;=COUNTA(半紙!$B$11:$B$310)+COUNTA(条幅!$B$11:$B$310),"条幅(半切)",IF(517&lt;=COUNTA(半紙!$B$11:$B$310)+COUNTA(条幅!$B$11:$B$310)+COUNTA(条幅4分の1!$B$11:$B$310),"条幅(1/4)","")))</f>
        <v/>
      </c>
      <c r="B522" s="38" t="str">
        <f>IF(IF(517&lt;=COUNTA(半紙!$B$11:$B$310),INDEX(半紙!$B$11:$B$310,517),IF(517&lt;=COUNTA(半紙!$B$11:$B$310)+COUNTA(条幅!$B$11:$B$310),INDEX(条幅!$B$11:$B$310,517-COUNTA(半紙!$B$11:$B$310)),IF(517&lt;=COUNTA(半紙!$B$11:$B$310)+COUNTA(条幅!$B$11:$B$310)+COUNTA(条幅4分の1!$B$11:$B$310),INDEX(条幅4分の1!$B$11:$B$310,517-COUNTA(半紙!$B$11:$B$310)-COUNTA(条幅!$B$11:$B$310)),"")))=0,"",IF(517&lt;=COUNTA(半紙!$B$11:$B$310),INDEX(半紙!$B$11:$B$310,517),IF(517&lt;=COUNTA(半紙!$B$11:$B$310)+COUNTA(条幅!$B$11:$B$310),INDEX(条幅!$B$11:$B$310,517-COUNTA(半紙!$B$11:$B$310)),IF(517&lt;=COUNTA(半紙!$B$11:$B$310)+COUNTA(条幅!$B$11:$B$310)+COUNTA(条幅4分の1!$B$11:$B$310),INDEX(条幅4分の1!$B$11:$B$310,517-COUNTA(半紙!$B$11:$B$310)-COUNTA(条幅!$B$11:$B$310)),""))))</f>
        <v/>
      </c>
      <c r="C522" s="38" t="str">
        <f>IF(IF(517&lt;=COUNTA(半紙!$B$11:$B$310),INDEX(半紙!$C$11:$C$310,517),IF(517&lt;=COUNTA(半紙!$B$11:$B$310)+COUNTA(条幅!$B$11:$B$310),INDEX(条幅!$C$11:$C$310,517-COUNTA(半紙!$B$11:$B$310)),IF(517&lt;=COUNTA(半紙!$B$11:$B$310)+COUNTA(条幅!$B$11:$B$310)+COUNTA(条幅4分の1!$B$11:$B$310),INDEX(条幅4分の1!$C$11:$C$310,517-COUNTA(半紙!$B$11:$B$310)-COUNTA(条幅!$B$11:$B$310)),"")))=0,"",IF(517&lt;=COUNTA(半紙!$B$11:$B$310),INDEX(半紙!$C$11:$C$310,517),IF(517&lt;=COUNTA(半紙!$B$11:$B$310)+COUNTA(条幅!$B$11:$B$310),INDEX(条幅!$C$11:$C$310,517-COUNTA(半紙!$B$11:$B$310)),IF(517&lt;=COUNTA(半紙!$B$11:$B$310)+COUNTA(条幅!$B$11:$B$310)+COUNTA(条幅4分の1!$B$11:$B$310),INDEX(条幅4分の1!$C$11:$C$310,517-COUNTA(半紙!$B$11:$B$310)-COUNTA(条幅!$B$11:$B$310)),""))))</f>
        <v/>
      </c>
      <c r="D522" s="38" t="str">
        <f>IF(IF(517&lt;=COUNTA(半紙!$B$11:$B$310),INDEX(半紙!$D$11:$D$310,517),IF(517&lt;=COUNTA(半紙!$B$11:$B$310)+COUNTA(条幅!$B$11:$B$310),INDEX(条幅!$D$11:$D$310,517-COUNTA(半紙!$B$11:$B$310)),IF(517&lt;=COUNTA(半紙!$B$11:$B$310)+COUNTA(条幅!$B$11:$B$310)+COUNTA(条幅4分の1!$B$11:$B$310),INDEX(条幅4分の1!$D$11:$D$310,517-COUNTA(半紙!$B$11:$B$310)-COUNTA(条幅!$B$11:$B$310)),"")))=0,"",IF(517&lt;=COUNTA(半紙!$B$11:$B$310),INDEX(半紙!$D$11:$D$310,517),IF(517&lt;=COUNTA(半紙!$B$11:$B$310)+COUNTA(条幅!$B$11:$B$310),INDEX(条幅!$D$11:$D$310,517-COUNTA(半紙!$B$11:$B$310)),IF(517&lt;=COUNTA(半紙!$B$11:$B$310)+COUNTA(条幅!$B$11:$B$310)+COUNTA(条幅4分の1!$B$11:$B$310),INDEX(条幅4分の1!$D$11:$D$310,517-COUNTA(半紙!$B$11:$B$310)-COUNTA(条幅!$B$11:$B$310)),""))))</f>
        <v/>
      </c>
      <c r="E522" s="38" t="str">
        <f>IF(IF(517&lt;=COUNTA(半紙!$B$11:$B$310),INDEX(半紙!$E$11:$E$310,517),IF(517&lt;=COUNTA(半紙!$B$11:$B$310)+COUNTA(条幅!$B$11:$B$310),INDEX(条幅!$E$11:$E$310,517-COUNTA(半紙!$B$11:$B$310)),IF(517&lt;=COUNTA(半紙!$B$11:$B$310)+COUNTA(条幅!$B$11:$B$310)+COUNTA(条幅4分の1!$B$11:$B$310),INDEX(条幅4分の1!$E$11:$E$310,517-COUNTA(半紙!$B$11:$B$310)-COUNTA(条幅!$B$11:$B$310)),"")))=0,"",IF(517&lt;=COUNTA(半紙!$B$11:$B$310),INDEX(半紙!$E$11:$E$310,517),IF(517&lt;=COUNTA(半紙!$B$11:$B$310)+COUNTA(条幅!$B$11:$B$310),INDEX(条幅!$E$11:$E$310,517-COUNTA(半紙!$B$11:$B$310)),IF(517&lt;=COUNTA(半紙!$B$11:$B$310)+COUNTA(条幅!$B$11:$B$310)+COUNTA(条幅4分の1!$B$11:$B$310),INDEX(条幅4分の1!$E$11:$E$310,517-COUNTA(半紙!$B$11:$B$310)-COUNTA(条幅!$B$11:$B$310)),""))))</f>
        <v/>
      </c>
      <c r="F522" s="38" t="str">
        <f>IF(IF(517&lt;=COUNTA(半紙!$B$11:$B$310),INDEX(半紙!$F$11:$F$310,517),IF(517&lt;=COUNTA(半紙!$B$11:$B$310)+COUNTA(条幅!$B$11:$B$310),INDEX(条幅!$F$11:$F$310,517-COUNTA(半紙!$B$11:$B$310)),IF(517&lt;=COUNTA(半紙!$B$11:$B$310)+COUNTA(条幅!$B$11:$B$310)+COUNTA(条幅4分の1!$B$11:$B$310),INDEX(条幅4分の1!$F$11:$F$310,517-COUNTA(半紙!$B$11:$B$310)-COUNTA(条幅!$B$11:$B$310)),"")))=0,"",IF(517&lt;=COUNTA(半紙!$B$11:$B$310),INDEX(半紙!$F$11:$F$310,517),IF(517&lt;=COUNTA(半紙!$B$11:$B$310)+COUNTA(条幅!$B$11:$B$310),INDEX(条幅!$F$11:$F$310,517-COUNTA(半紙!$B$11:$B$310)),IF(517&lt;=COUNTA(半紙!$B$11:$B$310)+COUNTA(条幅!$B$11:$B$310)+COUNTA(条幅4分の1!$B$11:$B$310),INDEX(条幅4分の1!$F$11:$F$310,517-COUNTA(半紙!$B$11:$B$310)-COUNTA(条幅!$B$11:$B$310)),""))))</f>
        <v/>
      </c>
      <c r="G522" s="38" t="str">
        <f>IF(IF(517&lt;=COUNTA(半紙!$B$11:$B$310),INDEX(半紙!$G$11:$G$310,517),IF(517&lt;=COUNTA(半紙!$B$11:$B$310)+COUNTA(条幅!$B$11:$B$310),INDEX(条幅!$G$11:$G$310,517-COUNTA(半紙!$B$11:$B$310)),IF(517&lt;=COUNTA(半紙!$B$11:$B$310)+COUNTA(条幅!$B$11:$B$310)+COUNTA(条幅4分の1!$B$11:$B$310),INDEX(条幅4分の1!$G$11:$G$310,517-COUNTA(半紙!$B$11:$B$310)-COUNTA(条幅!$B$11:$B$310)),"")))=0,"",IF(517&lt;=COUNTA(半紙!$B$11:$B$310),INDEX(半紙!$G$11:$G$310,517),IF(517&lt;=COUNTA(半紙!$B$11:$B$310)+COUNTA(条幅!$B$11:$B$310),INDEX(条幅!$G$11:$G$310,517-COUNTA(半紙!$B$11:$B$310)),IF(517&lt;=COUNTA(半紙!$B$11:$B$310)+COUNTA(条幅!$B$11:$B$310)+COUNTA(条幅4分の1!$B$11:$B$310),INDEX(条幅4分の1!$G$11:$G$310,517-COUNTA(半紙!$B$11:$B$310)-COUNTA(条幅!$B$11:$B$310)),""))))</f>
        <v/>
      </c>
      <c r="H522" s="38" t="str">
        <f>IF(IF(517&lt;=COUNTA(半紙!$B$11:$B$310),INDEX(半紙!$H$11:$H$310,517),IF(517&lt;=COUNTA(半紙!$B$11:$B$310)+COUNTA(条幅!$B$11:$B$310),INDEX(条幅!$H$11:$H$310,517-COUNTA(半紙!$B$11:$B$310)),IF(517&lt;=COUNTA(半紙!$B$11:$B$310)+COUNTA(条幅!$B$11:$B$310)+COUNTA(条幅4分の1!$B$11:$B$310),INDEX(条幅4分の1!$H$11:$H$310,517-COUNTA(半紙!$B$11:$B$310)-COUNTA(条幅!$B$11:$B$310)),"")))=0,"",IF(517&lt;=COUNTA(半紙!$B$11:$B$310),INDEX(半紙!$H$11:$H$310,517),IF(517&lt;=COUNTA(半紙!$B$11:$B$310)+COUNTA(条幅!$B$11:$B$310),INDEX(条幅!$H$11:$H$310,517-COUNTA(半紙!$B$11:$B$310)),IF(517&lt;=COUNTA(半紙!$B$11:$B$310)+COUNTA(条幅!$B$11:$B$310)+COUNTA(条幅4分の1!$B$11:$B$310),INDEX(条幅4分の1!$H$11:$H$310,517-COUNTA(半紙!$B$11:$B$310)-COUNTA(条幅!$B$11:$B$310)),""))))</f>
        <v/>
      </c>
      <c r="I522" s="38" t="str">
        <f>IF(IF(517&lt;=COUNTA(半紙!$B$11:$B$310),INDEX(半紙!$I$11:$I$310,517),IF(517&lt;=COUNTA(半紙!$B$11:$B$310)+COUNTA(条幅!$B$11:$B$310),INDEX(条幅!$I$11:$I$310,517-COUNTA(半紙!$B$11:$B$310)),IF(517&lt;=COUNTA(半紙!$B$11:$B$310)+COUNTA(条幅!$B$11:$B$310)+COUNTA(条幅4分の1!$B$11:$B$310),INDEX(条幅4分の1!$I$11:$I$310,517-COUNTA(半紙!$B$11:$B$310)-COUNTA(条幅!$B$11:$B$310)),"")))=0,"",IF(517&lt;=COUNTA(半紙!$B$11:$B$310),INDEX(半紙!$I$11:$I$310,517),IF(517&lt;=COUNTA(半紙!$B$11:$B$310)+COUNTA(条幅!$B$11:$B$310),INDEX(条幅!$I$11:$I$310,517-COUNTA(半紙!$B$11:$B$310)),IF(517&lt;=COUNTA(半紙!$B$11:$B$310)+COUNTA(条幅!$B$11:$B$310)+COUNTA(条幅4分の1!$B$11:$B$310),INDEX(条幅4分の1!$I$11:$I$310,517-COUNTA(半紙!$B$11:$B$310)-COUNTA(条幅!$B$11:$B$310)),""))))</f>
        <v/>
      </c>
      <c r="J522" s="38" t="str">
        <f>IF(IF(517&lt;=COUNTA(半紙!$B$11:$B$310),INDEX(半紙!$J$11:$J$310,517),IF(517&lt;=COUNTA(半紙!$B$11:$B$310)+COUNTA(条幅!$B$11:$B$310),INDEX(条幅!$J$11:$J$310,517-COUNTA(半紙!$B$11:$B$310)),IF(517&lt;=COUNTA(半紙!$B$11:$B$310)+COUNTA(条幅!$B$11:$B$310)+COUNTA(条幅4分の1!$B$11:$B$310),INDEX(条幅4分の1!$J$11:$J$310,517-COUNTA(半紙!$B$11:$B$310)-COUNTA(条幅!$B$11:$B$310)),"")))=0,"",IF(517&lt;=COUNTA(半紙!$B$11:$B$310),INDEX(半紙!$J$11:$J$310,517),IF(517&lt;=COUNTA(半紙!$B$11:$B$310)+COUNTA(条幅!$B$11:$B$310),INDEX(条幅!$J$11:$J$310,517-COUNTA(半紙!$B$11:$B$310)),IF(517&lt;=COUNTA(半紙!$B$11:$B$310)+COUNTA(条幅!$B$11:$B$310)+COUNTA(条幅4分の1!$B$11:$B$310),INDEX(条幅4分の1!$J$11:$J$310,517-COUNTA(半紙!$B$11:$B$310)-COUNTA(条幅!$B$11:$B$310)),""))))</f>
        <v/>
      </c>
      <c r="K522" s="38" t="str">
        <f>IF(IF(517&lt;=COUNTA(半紙!$B$11:$B$310),INDEX(半紙!$K$11:$K$310,517),IF(517&lt;=COUNTA(半紙!$B$11:$B$310)+COUNTA(条幅!$B$11:$B$310),INDEX(条幅!$K$11:$K$310,517-COUNTA(半紙!$B$11:$B$310)),IF(517&lt;=COUNTA(半紙!$B$11:$B$310)+COUNTA(条幅!$B$11:$B$310)+COUNTA(条幅4分の1!$B$11:$B$310),INDEX(条幅4分の1!$K$11:$K$310,517-COUNTA(半紙!$B$11:$B$310)-COUNTA(条幅!$B$11:$B$310)),"")))=0,"",IF(517&lt;=COUNTA(半紙!$B$11:$B$310),INDEX(半紙!$K$11:$K$310,517),IF(517&lt;=COUNTA(半紙!$B$11:$B$310)+COUNTA(条幅!$B$11:$B$310),INDEX(条幅!$K$11:$K$310,517-COUNTA(半紙!$B$11:$B$310)),IF(517&lt;=COUNTA(半紙!$B$11:$B$310)+COUNTA(条幅!$B$11:$B$310)+COUNTA(条幅4分の1!$B$11:$B$310),INDEX(条幅4分の1!$K$11:$K$310,517-COUNTA(半紙!$B$11:$B$310)-COUNTA(条幅!$B$11:$B$310)),""))))</f>
        <v/>
      </c>
      <c r="L522" s="48" t="str">
        <f>IF($B522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517))</f>
        <v/>
      </c>
    </row>
    <row r="523" spans="1:12" ht="15" customHeight="1">
      <c r="A523" s="37" t="str">
        <f>IF(518&lt;=COUNTA(半紙!$B$11:$B$310),"半紙",IF(518&lt;=COUNTA(半紙!$B$11:$B$310)+COUNTA(条幅!$B$11:$B$310),"条幅(半切)",IF(518&lt;=COUNTA(半紙!$B$11:$B$310)+COUNTA(条幅!$B$11:$B$310)+COUNTA(条幅4分の1!$B$11:$B$310),"条幅(1/4)","")))</f>
        <v/>
      </c>
      <c r="B523" s="38" t="str">
        <f>IF(IF(518&lt;=COUNTA(半紙!$B$11:$B$310),INDEX(半紙!$B$11:$B$310,518),IF(518&lt;=COUNTA(半紙!$B$11:$B$310)+COUNTA(条幅!$B$11:$B$310),INDEX(条幅!$B$11:$B$310,518-COUNTA(半紙!$B$11:$B$310)),IF(518&lt;=COUNTA(半紙!$B$11:$B$310)+COUNTA(条幅!$B$11:$B$310)+COUNTA(条幅4分の1!$B$11:$B$310),INDEX(条幅4分の1!$B$11:$B$310,518-COUNTA(半紙!$B$11:$B$310)-COUNTA(条幅!$B$11:$B$310)),"")))=0,"",IF(518&lt;=COUNTA(半紙!$B$11:$B$310),INDEX(半紙!$B$11:$B$310,518),IF(518&lt;=COUNTA(半紙!$B$11:$B$310)+COUNTA(条幅!$B$11:$B$310),INDEX(条幅!$B$11:$B$310,518-COUNTA(半紙!$B$11:$B$310)),IF(518&lt;=COUNTA(半紙!$B$11:$B$310)+COUNTA(条幅!$B$11:$B$310)+COUNTA(条幅4分の1!$B$11:$B$310),INDEX(条幅4分の1!$B$11:$B$310,518-COUNTA(半紙!$B$11:$B$310)-COUNTA(条幅!$B$11:$B$310)),""))))</f>
        <v/>
      </c>
      <c r="C523" s="38" t="str">
        <f>IF(IF(518&lt;=COUNTA(半紙!$B$11:$B$310),INDEX(半紙!$C$11:$C$310,518),IF(518&lt;=COUNTA(半紙!$B$11:$B$310)+COUNTA(条幅!$B$11:$B$310),INDEX(条幅!$C$11:$C$310,518-COUNTA(半紙!$B$11:$B$310)),IF(518&lt;=COUNTA(半紙!$B$11:$B$310)+COUNTA(条幅!$B$11:$B$310)+COUNTA(条幅4分の1!$B$11:$B$310),INDEX(条幅4分の1!$C$11:$C$310,518-COUNTA(半紙!$B$11:$B$310)-COUNTA(条幅!$B$11:$B$310)),"")))=0,"",IF(518&lt;=COUNTA(半紙!$B$11:$B$310),INDEX(半紙!$C$11:$C$310,518),IF(518&lt;=COUNTA(半紙!$B$11:$B$310)+COUNTA(条幅!$B$11:$B$310),INDEX(条幅!$C$11:$C$310,518-COUNTA(半紙!$B$11:$B$310)),IF(518&lt;=COUNTA(半紙!$B$11:$B$310)+COUNTA(条幅!$B$11:$B$310)+COUNTA(条幅4分の1!$B$11:$B$310),INDEX(条幅4分の1!$C$11:$C$310,518-COUNTA(半紙!$B$11:$B$310)-COUNTA(条幅!$B$11:$B$310)),""))))</f>
        <v/>
      </c>
      <c r="D523" s="38" t="str">
        <f>IF(IF(518&lt;=COUNTA(半紙!$B$11:$B$310),INDEX(半紙!$D$11:$D$310,518),IF(518&lt;=COUNTA(半紙!$B$11:$B$310)+COUNTA(条幅!$B$11:$B$310),INDEX(条幅!$D$11:$D$310,518-COUNTA(半紙!$B$11:$B$310)),IF(518&lt;=COUNTA(半紙!$B$11:$B$310)+COUNTA(条幅!$B$11:$B$310)+COUNTA(条幅4分の1!$B$11:$B$310),INDEX(条幅4分の1!$D$11:$D$310,518-COUNTA(半紙!$B$11:$B$310)-COUNTA(条幅!$B$11:$B$310)),"")))=0,"",IF(518&lt;=COUNTA(半紙!$B$11:$B$310),INDEX(半紙!$D$11:$D$310,518),IF(518&lt;=COUNTA(半紙!$B$11:$B$310)+COUNTA(条幅!$B$11:$B$310),INDEX(条幅!$D$11:$D$310,518-COUNTA(半紙!$B$11:$B$310)),IF(518&lt;=COUNTA(半紙!$B$11:$B$310)+COUNTA(条幅!$B$11:$B$310)+COUNTA(条幅4分の1!$B$11:$B$310),INDEX(条幅4分の1!$D$11:$D$310,518-COUNTA(半紙!$B$11:$B$310)-COUNTA(条幅!$B$11:$B$310)),""))))</f>
        <v/>
      </c>
      <c r="E523" s="38" t="str">
        <f>IF(IF(518&lt;=COUNTA(半紙!$B$11:$B$310),INDEX(半紙!$E$11:$E$310,518),IF(518&lt;=COUNTA(半紙!$B$11:$B$310)+COUNTA(条幅!$B$11:$B$310),INDEX(条幅!$E$11:$E$310,518-COUNTA(半紙!$B$11:$B$310)),IF(518&lt;=COUNTA(半紙!$B$11:$B$310)+COUNTA(条幅!$B$11:$B$310)+COUNTA(条幅4分の1!$B$11:$B$310),INDEX(条幅4分の1!$E$11:$E$310,518-COUNTA(半紙!$B$11:$B$310)-COUNTA(条幅!$B$11:$B$310)),"")))=0,"",IF(518&lt;=COUNTA(半紙!$B$11:$B$310),INDEX(半紙!$E$11:$E$310,518),IF(518&lt;=COUNTA(半紙!$B$11:$B$310)+COUNTA(条幅!$B$11:$B$310),INDEX(条幅!$E$11:$E$310,518-COUNTA(半紙!$B$11:$B$310)),IF(518&lt;=COUNTA(半紙!$B$11:$B$310)+COUNTA(条幅!$B$11:$B$310)+COUNTA(条幅4分の1!$B$11:$B$310),INDEX(条幅4分の1!$E$11:$E$310,518-COUNTA(半紙!$B$11:$B$310)-COUNTA(条幅!$B$11:$B$310)),""))))</f>
        <v/>
      </c>
      <c r="F523" s="38" t="str">
        <f>IF(IF(518&lt;=COUNTA(半紙!$B$11:$B$310),INDEX(半紙!$F$11:$F$310,518),IF(518&lt;=COUNTA(半紙!$B$11:$B$310)+COUNTA(条幅!$B$11:$B$310),INDEX(条幅!$F$11:$F$310,518-COUNTA(半紙!$B$11:$B$310)),IF(518&lt;=COUNTA(半紙!$B$11:$B$310)+COUNTA(条幅!$B$11:$B$310)+COUNTA(条幅4分の1!$B$11:$B$310),INDEX(条幅4分の1!$F$11:$F$310,518-COUNTA(半紙!$B$11:$B$310)-COUNTA(条幅!$B$11:$B$310)),"")))=0,"",IF(518&lt;=COUNTA(半紙!$B$11:$B$310),INDEX(半紙!$F$11:$F$310,518),IF(518&lt;=COUNTA(半紙!$B$11:$B$310)+COUNTA(条幅!$B$11:$B$310),INDEX(条幅!$F$11:$F$310,518-COUNTA(半紙!$B$11:$B$310)),IF(518&lt;=COUNTA(半紙!$B$11:$B$310)+COUNTA(条幅!$B$11:$B$310)+COUNTA(条幅4分の1!$B$11:$B$310),INDEX(条幅4分の1!$F$11:$F$310,518-COUNTA(半紙!$B$11:$B$310)-COUNTA(条幅!$B$11:$B$310)),""))))</f>
        <v/>
      </c>
      <c r="G523" s="38" t="str">
        <f>IF(IF(518&lt;=COUNTA(半紙!$B$11:$B$310),INDEX(半紙!$G$11:$G$310,518),IF(518&lt;=COUNTA(半紙!$B$11:$B$310)+COUNTA(条幅!$B$11:$B$310),INDEX(条幅!$G$11:$G$310,518-COUNTA(半紙!$B$11:$B$310)),IF(518&lt;=COUNTA(半紙!$B$11:$B$310)+COUNTA(条幅!$B$11:$B$310)+COUNTA(条幅4分の1!$B$11:$B$310),INDEX(条幅4分の1!$G$11:$G$310,518-COUNTA(半紙!$B$11:$B$310)-COUNTA(条幅!$B$11:$B$310)),"")))=0,"",IF(518&lt;=COUNTA(半紙!$B$11:$B$310),INDEX(半紙!$G$11:$G$310,518),IF(518&lt;=COUNTA(半紙!$B$11:$B$310)+COUNTA(条幅!$B$11:$B$310),INDEX(条幅!$G$11:$G$310,518-COUNTA(半紙!$B$11:$B$310)),IF(518&lt;=COUNTA(半紙!$B$11:$B$310)+COUNTA(条幅!$B$11:$B$310)+COUNTA(条幅4分の1!$B$11:$B$310),INDEX(条幅4分の1!$G$11:$G$310,518-COUNTA(半紙!$B$11:$B$310)-COUNTA(条幅!$B$11:$B$310)),""))))</f>
        <v/>
      </c>
      <c r="H523" s="38" t="str">
        <f>IF(IF(518&lt;=COUNTA(半紙!$B$11:$B$310),INDEX(半紙!$H$11:$H$310,518),IF(518&lt;=COUNTA(半紙!$B$11:$B$310)+COUNTA(条幅!$B$11:$B$310),INDEX(条幅!$H$11:$H$310,518-COUNTA(半紙!$B$11:$B$310)),IF(518&lt;=COUNTA(半紙!$B$11:$B$310)+COUNTA(条幅!$B$11:$B$310)+COUNTA(条幅4分の1!$B$11:$B$310),INDEX(条幅4分の1!$H$11:$H$310,518-COUNTA(半紙!$B$11:$B$310)-COUNTA(条幅!$B$11:$B$310)),"")))=0,"",IF(518&lt;=COUNTA(半紙!$B$11:$B$310),INDEX(半紙!$H$11:$H$310,518),IF(518&lt;=COUNTA(半紙!$B$11:$B$310)+COUNTA(条幅!$B$11:$B$310),INDEX(条幅!$H$11:$H$310,518-COUNTA(半紙!$B$11:$B$310)),IF(518&lt;=COUNTA(半紙!$B$11:$B$310)+COUNTA(条幅!$B$11:$B$310)+COUNTA(条幅4分の1!$B$11:$B$310),INDEX(条幅4分の1!$H$11:$H$310,518-COUNTA(半紙!$B$11:$B$310)-COUNTA(条幅!$B$11:$B$310)),""))))</f>
        <v/>
      </c>
      <c r="I523" s="38" t="str">
        <f>IF(IF(518&lt;=COUNTA(半紙!$B$11:$B$310),INDEX(半紙!$I$11:$I$310,518),IF(518&lt;=COUNTA(半紙!$B$11:$B$310)+COUNTA(条幅!$B$11:$B$310),INDEX(条幅!$I$11:$I$310,518-COUNTA(半紙!$B$11:$B$310)),IF(518&lt;=COUNTA(半紙!$B$11:$B$310)+COUNTA(条幅!$B$11:$B$310)+COUNTA(条幅4分の1!$B$11:$B$310),INDEX(条幅4分の1!$I$11:$I$310,518-COUNTA(半紙!$B$11:$B$310)-COUNTA(条幅!$B$11:$B$310)),"")))=0,"",IF(518&lt;=COUNTA(半紙!$B$11:$B$310),INDEX(半紙!$I$11:$I$310,518),IF(518&lt;=COUNTA(半紙!$B$11:$B$310)+COUNTA(条幅!$B$11:$B$310),INDEX(条幅!$I$11:$I$310,518-COUNTA(半紙!$B$11:$B$310)),IF(518&lt;=COUNTA(半紙!$B$11:$B$310)+COUNTA(条幅!$B$11:$B$310)+COUNTA(条幅4分の1!$B$11:$B$310),INDEX(条幅4分の1!$I$11:$I$310,518-COUNTA(半紙!$B$11:$B$310)-COUNTA(条幅!$B$11:$B$310)),""))))</f>
        <v/>
      </c>
      <c r="J523" s="38" t="str">
        <f>IF(IF(518&lt;=COUNTA(半紙!$B$11:$B$310),INDEX(半紙!$J$11:$J$310,518),IF(518&lt;=COUNTA(半紙!$B$11:$B$310)+COUNTA(条幅!$B$11:$B$310),INDEX(条幅!$J$11:$J$310,518-COUNTA(半紙!$B$11:$B$310)),IF(518&lt;=COUNTA(半紙!$B$11:$B$310)+COUNTA(条幅!$B$11:$B$310)+COUNTA(条幅4分の1!$B$11:$B$310),INDEX(条幅4分の1!$J$11:$J$310,518-COUNTA(半紙!$B$11:$B$310)-COUNTA(条幅!$B$11:$B$310)),"")))=0,"",IF(518&lt;=COUNTA(半紙!$B$11:$B$310),INDEX(半紙!$J$11:$J$310,518),IF(518&lt;=COUNTA(半紙!$B$11:$B$310)+COUNTA(条幅!$B$11:$B$310),INDEX(条幅!$J$11:$J$310,518-COUNTA(半紙!$B$11:$B$310)),IF(518&lt;=COUNTA(半紙!$B$11:$B$310)+COUNTA(条幅!$B$11:$B$310)+COUNTA(条幅4分の1!$B$11:$B$310),INDEX(条幅4分の1!$J$11:$J$310,518-COUNTA(半紙!$B$11:$B$310)-COUNTA(条幅!$B$11:$B$310)),""))))</f>
        <v/>
      </c>
      <c r="K523" s="38" t="str">
        <f>IF(IF(518&lt;=COUNTA(半紙!$B$11:$B$310),INDEX(半紙!$K$11:$K$310,518),IF(518&lt;=COUNTA(半紙!$B$11:$B$310)+COUNTA(条幅!$B$11:$B$310),INDEX(条幅!$K$11:$K$310,518-COUNTA(半紙!$B$11:$B$310)),IF(518&lt;=COUNTA(半紙!$B$11:$B$310)+COUNTA(条幅!$B$11:$B$310)+COUNTA(条幅4分の1!$B$11:$B$310),INDEX(条幅4分の1!$K$11:$K$310,518-COUNTA(半紙!$B$11:$B$310)-COUNTA(条幅!$B$11:$B$310)),"")))=0,"",IF(518&lt;=COUNTA(半紙!$B$11:$B$310),INDEX(半紙!$K$11:$K$310,518),IF(518&lt;=COUNTA(半紙!$B$11:$B$310)+COUNTA(条幅!$B$11:$B$310),INDEX(条幅!$K$11:$K$310,518-COUNTA(半紙!$B$11:$B$310)),IF(518&lt;=COUNTA(半紙!$B$11:$B$310)+COUNTA(条幅!$B$11:$B$310)+COUNTA(条幅4分の1!$B$11:$B$310),INDEX(条幅4分の1!$K$11:$K$310,518-COUNTA(半紙!$B$11:$B$310)-COUNTA(条幅!$B$11:$B$310)),""))))</f>
        <v/>
      </c>
      <c r="L523" s="48" t="str">
        <f>IF($B523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518))</f>
        <v/>
      </c>
    </row>
    <row r="524" spans="1:12" ht="15" customHeight="1">
      <c r="A524" s="37" t="str">
        <f>IF(519&lt;=COUNTA(半紙!$B$11:$B$310),"半紙",IF(519&lt;=COUNTA(半紙!$B$11:$B$310)+COUNTA(条幅!$B$11:$B$310),"条幅(半切)",IF(519&lt;=COUNTA(半紙!$B$11:$B$310)+COUNTA(条幅!$B$11:$B$310)+COUNTA(条幅4分の1!$B$11:$B$310),"条幅(1/4)","")))</f>
        <v/>
      </c>
      <c r="B524" s="38" t="str">
        <f>IF(IF(519&lt;=COUNTA(半紙!$B$11:$B$310),INDEX(半紙!$B$11:$B$310,519),IF(519&lt;=COUNTA(半紙!$B$11:$B$310)+COUNTA(条幅!$B$11:$B$310),INDEX(条幅!$B$11:$B$310,519-COUNTA(半紙!$B$11:$B$310)),IF(519&lt;=COUNTA(半紙!$B$11:$B$310)+COUNTA(条幅!$B$11:$B$310)+COUNTA(条幅4分の1!$B$11:$B$310),INDEX(条幅4分の1!$B$11:$B$310,519-COUNTA(半紙!$B$11:$B$310)-COUNTA(条幅!$B$11:$B$310)),"")))=0,"",IF(519&lt;=COUNTA(半紙!$B$11:$B$310),INDEX(半紙!$B$11:$B$310,519),IF(519&lt;=COUNTA(半紙!$B$11:$B$310)+COUNTA(条幅!$B$11:$B$310),INDEX(条幅!$B$11:$B$310,519-COUNTA(半紙!$B$11:$B$310)),IF(519&lt;=COUNTA(半紙!$B$11:$B$310)+COUNTA(条幅!$B$11:$B$310)+COUNTA(条幅4分の1!$B$11:$B$310),INDEX(条幅4分の1!$B$11:$B$310,519-COUNTA(半紙!$B$11:$B$310)-COUNTA(条幅!$B$11:$B$310)),""))))</f>
        <v/>
      </c>
      <c r="C524" s="38" t="str">
        <f>IF(IF(519&lt;=COUNTA(半紙!$B$11:$B$310),INDEX(半紙!$C$11:$C$310,519),IF(519&lt;=COUNTA(半紙!$B$11:$B$310)+COUNTA(条幅!$B$11:$B$310),INDEX(条幅!$C$11:$C$310,519-COUNTA(半紙!$B$11:$B$310)),IF(519&lt;=COUNTA(半紙!$B$11:$B$310)+COUNTA(条幅!$B$11:$B$310)+COUNTA(条幅4分の1!$B$11:$B$310),INDEX(条幅4分の1!$C$11:$C$310,519-COUNTA(半紙!$B$11:$B$310)-COUNTA(条幅!$B$11:$B$310)),"")))=0,"",IF(519&lt;=COUNTA(半紙!$B$11:$B$310),INDEX(半紙!$C$11:$C$310,519),IF(519&lt;=COUNTA(半紙!$B$11:$B$310)+COUNTA(条幅!$B$11:$B$310),INDEX(条幅!$C$11:$C$310,519-COUNTA(半紙!$B$11:$B$310)),IF(519&lt;=COUNTA(半紙!$B$11:$B$310)+COUNTA(条幅!$B$11:$B$310)+COUNTA(条幅4分の1!$B$11:$B$310),INDEX(条幅4分の1!$C$11:$C$310,519-COUNTA(半紙!$B$11:$B$310)-COUNTA(条幅!$B$11:$B$310)),""))))</f>
        <v/>
      </c>
      <c r="D524" s="38" t="str">
        <f>IF(IF(519&lt;=COUNTA(半紙!$B$11:$B$310),INDEX(半紙!$D$11:$D$310,519),IF(519&lt;=COUNTA(半紙!$B$11:$B$310)+COUNTA(条幅!$B$11:$B$310),INDEX(条幅!$D$11:$D$310,519-COUNTA(半紙!$B$11:$B$310)),IF(519&lt;=COUNTA(半紙!$B$11:$B$310)+COUNTA(条幅!$B$11:$B$310)+COUNTA(条幅4分の1!$B$11:$B$310),INDEX(条幅4分の1!$D$11:$D$310,519-COUNTA(半紙!$B$11:$B$310)-COUNTA(条幅!$B$11:$B$310)),"")))=0,"",IF(519&lt;=COUNTA(半紙!$B$11:$B$310),INDEX(半紙!$D$11:$D$310,519),IF(519&lt;=COUNTA(半紙!$B$11:$B$310)+COUNTA(条幅!$B$11:$B$310),INDEX(条幅!$D$11:$D$310,519-COUNTA(半紙!$B$11:$B$310)),IF(519&lt;=COUNTA(半紙!$B$11:$B$310)+COUNTA(条幅!$B$11:$B$310)+COUNTA(条幅4分の1!$B$11:$B$310),INDEX(条幅4分の1!$D$11:$D$310,519-COUNTA(半紙!$B$11:$B$310)-COUNTA(条幅!$B$11:$B$310)),""))))</f>
        <v/>
      </c>
      <c r="E524" s="38" t="str">
        <f>IF(IF(519&lt;=COUNTA(半紙!$B$11:$B$310),INDEX(半紙!$E$11:$E$310,519),IF(519&lt;=COUNTA(半紙!$B$11:$B$310)+COUNTA(条幅!$B$11:$B$310),INDEX(条幅!$E$11:$E$310,519-COUNTA(半紙!$B$11:$B$310)),IF(519&lt;=COUNTA(半紙!$B$11:$B$310)+COUNTA(条幅!$B$11:$B$310)+COUNTA(条幅4分の1!$B$11:$B$310),INDEX(条幅4分の1!$E$11:$E$310,519-COUNTA(半紙!$B$11:$B$310)-COUNTA(条幅!$B$11:$B$310)),"")))=0,"",IF(519&lt;=COUNTA(半紙!$B$11:$B$310),INDEX(半紙!$E$11:$E$310,519),IF(519&lt;=COUNTA(半紙!$B$11:$B$310)+COUNTA(条幅!$B$11:$B$310),INDEX(条幅!$E$11:$E$310,519-COUNTA(半紙!$B$11:$B$310)),IF(519&lt;=COUNTA(半紙!$B$11:$B$310)+COUNTA(条幅!$B$11:$B$310)+COUNTA(条幅4分の1!$B$11:$B$310),INDEX(条幅4分の1!$E$11:$E$310,519-COUNTA(半紙!$B$11:$B$310)-COUNTA(条幅!$B$11:$B$310)),""))))</f>
        <v/>
      </c>
      <c r="F524" s="38" t="str">
        <f>IF(IF(519&lt;=COUNTA(半紙!$B$11:$B$310),INDEX(半紙!$F$11:$F$310,519),IF(519&lt;=COUNTA(半紙!$B$11:$B$310)+COUNTA(条幅!$B$11:$B$310),INDEX(条幅!$F$11:$F$310,519-COUNTA(半紙!$B$11:$B$310)),IF(519&lt;=COUNTA(半紙!$B$11:$B$310)+COUNTA(条幅!$B$11:$B$310)+COUNTA(条幅4分の1!$B$11:$B$310),INDEX(条幅4分の1!$F$11:$F$310,519-COUNTA(半紙!$B$11:$B$310)-COUNTA(条幅!$B$11:$B$310)),"")))=0,"",IF(519&lt;=COUNTA(半紙!$B$11:$B$310),INDEX(半紙!$F$11:$F$310,519),IF(519&lt;=COUNTA(半紙!$B$11:$B$310)+COUNTA(条幅!$B$11:$B$310),INDEX(条幅!$F$11:$F$310,519-COUNTA(半紙!$B$11:$B$310)),IF(519&lt;=COUNTA(半紙!$B$11:$B$310)+COUNTA(条幅!$B$11:$B$310)+COUNTA(条幅4分の1!$B$11:$B$310),INDEX(条幅4分の1!$F$11:$F$310,519-COUNTA(半紙!$B$11:$B$310)-COUNTA(条幅!$B$11:$B$310)),""))))</f>
        <v/>
      </c>
      <c r="G524" s="38" t="str">
        <f>IF(IF(519&lt;=COUNTA(半紙!$B$11:$B$310),INDEX(半紙!$G$11:$G$310,519),IF(519&lt;=COUNTA(半紙!$B$11:$B$310)+COUNTA(条幅!$B$11:$B$310),INDEX(条幅!$G$11:$G$310,519-COUNTA(半紙!$B$11:$B$310)),IF(519&lt;=COUNTA(半紙!$B$11:$B$310)+COUNTA(条幅!$B$11:$B$310)+COUNTA(条幅4分の1!$B$11:$B$310),INDEX(条幅4分の1!$G$11:$G$310,519-COUNTA(半紙!$B$11:$B$310)-COUNTA(条幅!$B$11:$B$310)),"")))=0,"",IF(519&lt;=COUNTA(半紙!$B$11:$B$310),INDEX(半紙!$G$11:$G$310,519),IF(519&lt;=COUNTA(半紙!$B$11:$B$310)+COUNTA(条幅!$B$11:$B$310),INDEX(条幅!$G$11:$G$310,519-COUNTA(半紙!$B$11:$B$310)),IF(519&lt;=COUNTA(半紙!$B$11:$B$310)+COUNTA(条幅!$B$11:$B$310)+COUNTA(条幅4分の1!$B$11:$B$310),INDEX(条幅4分の1!$G$11:$G$310,519-COUNTA(半紙!$B$11:$B$310)-COUNTA(条幅!$B$11:$B$310)),""))))</f>
        <v/>
      </c>
      <c r="H524" s="38" t="str">
        <f>IF(IF(519&lt;=COUNTA(半紙!$B$11:$B$310),INDEX(半紙!$H$11:$H$310,519),IF(519&lt;=COUNTA(半紙!$B$11:$B$310)+COUNTA(条幅!$B$11:$B$310),INDEX(条幅!$H$11:$H$310,519-COUNTA(半紙!$B$11:$B$310)),IF(519&lt;=COUNTA(半紙!$B$11:$B$310)+COUNTA(条幅!$B$11:$B$310)+COUNTA(条幅4分の1!$B$11:$B$310),INDEX(条幅4分の1!$H$11:$H$310,519-COUNTA(半紙!$B$11:$B$310)-COUNTA(条幅!$B$11:$B$310)),"")))=0,"",IF(519&lt;=COUNTA(半紙!$B$11:$B$310),INDEX(半紙!$H$11:$H$310,519),IF(519&lt;=COUNTA(半紙!$B$11:$B$310)+COUNTA(条幅!$B$11:$B$310),INDEX(条幅!$H$11:$H$310,519-COUNTA(半紙!$B$11:$B$310)),IF(519&lt;=COUNTA(半紙!$B$11:$B$310)+COUNTA(条幅!$B$11:$B$310)+COUNTA(条幅4分の1!$B$11:$B$310),INDEX(条幅4分の1!$H$11:$H$310,519-COUNTA(半紙!$B$11:$B$310)-COUNTA(条幅!$B$11:$B$310)),""))))</f>
        <v/>
      </c>
      <c r="I524" s="38" t="str">
        <f>IF(IF(519&lt;=COUNTA(半紙!$B$11:$B$310),INDEX(半紙!$I$11:$I$310,519),IF(519&lt;=COUNTA(半紙!$B$11:$B$310)+COUNTA(条幅!$B$11:$B$310),INDEX(条幅!$I$11:$I$310,519-COUNTA(半紙!$B$11:$B$310)),IF(519&lt;=COUNTA(半紙!$B$11:$B$310)+COUNTA(条幅!$B$11:$B$310)+COUNTA(条幅4分の1!$B$11:$B$310),INDEX(条幅4分の1!$I$11:$I$310,519-COUNTA(半紙!$B$11:$B$310)-COUNTA(条幅!$B$11:$B$310)),"")))=0,"",IF(519&lt;=COUNTA(半紙!$B$11:$B$310),INDEX(半紙!$I$11:$I$310,519),IF(519&lt;=COUNTA(半紙!$B$11:$B$310)+COUNTA(条幅!$B$11:$B$310),INDEX(条幅!$I$11:$I$310,519-COUNTA(半紙!$B$11:$B$310)),IF(519&lt;=COUNTA(半紙!$B$11:$B$310)+COUNTA(条幅!$B$11:$B$310)+COUNTA(条幅4分の1!$B$11:$B$310),INDEX(条幅4分の1!$I$11:$I$310,519-COUNTA(半紙!$B$11:$B$310)-COUNTA(条幅!$B$11:$B$310)),""))))</f>
        <v/>
      </c>
      <c r="J524" s="38" t="str">
        <f>IF(IF(519&lt;=COUNTA(半紙!$B$11:$B$310),INDEX(半紙!$J$11:$J$310,519),IF(519&lt;=COUNTA(半紙!$B$11:$B$310)+COUNTA(条幅!$B$11:$B$310),INDEX(条幅!$J$11:$J$310,519-COUNTA(半紙!$B$11:$B$310)),IF(519&lt;=COUNTA(半紙!$B$11:$B$310)+COUNTA(条幅!$B$11:$B$310)+COUNTA(条幅4分の1!$B$11:$B$310),INDEX(条幅4分の1!$J$11:$J$310,519-COUNTA(半紙!$B$11:$B$310)-COUNTA(条幅!$B$11:$B$310)),"")))=0,"",IF(519&lt;=COUNTA(半紙!$B$11:$B$310),INDEX(半紙!$J$11:$J$310,519),IF(519&lt;=COUNTA(半紙!$B$11:$B$310)+COUNTA(条幅!$B$11:$B$310),INDEX(条幅!$J$11:$J$310,519-COUNTA(半紙!$B$11:$B$310)),IF(519&lt;=COUNTA(半紙!$B$11:$B$310)+COUNTA(条幅!$B$11:$B$310)+COUNTA(条幅4分の1!$B$11:$B$310),INDEX(条幅4分の1!$J$11:$J$310,519-COUNTA(半紙!$B$11:$B$310)-COUNTA(条幅!$B$11:$B$310)),""))))</f>
        <v/>
      </c>
      <c r="K524" s="38" t="str">
        <f>IF(IF(519&lt;=COUNTA(半紙!$B$11:$B$310),INDEX(半紙!$K$11:$K$310,519),IF(519&lt;=COUNTA(半紙!$B$11:$B$310)+COUNTA(条幅!$B$11:$B$310),INDEX(条幅!$K$11:$K$310,519-COUNTA(半紙!$B$11:$B$310)),IF(519&lt;=COUNTA(半紙!$B$11:$B$310)+COUNTA(条幅!$B$11:$B$310)+COUNTA(条幅4分の1!$B$11:$B$310),INDEX(条幅4分の1!$K$11:$K$310,519-COUNTA(半紙!$B$11:$B$310)-COUNTA(条幅!$B$11:$B$310)),"")))=0,"",IF(519&lt;=COUNTA(半紙!$B$11:$B$310),INDEX(半紙!$K$11:$K$310,519),IF(519&lt;=COUNTA(半紙!$B$11:$B$310)+COUNTA(条幅!$B$11:$B$310),INDEX(条幅!$K$11:$K$310,519-COUNTA(半紙!$B$11:$B$310)),IF(519&lt;=COUNTA(半紙!$B$11:$B$310)+COUNTA(条幅!$B$11:$B$310)+COUNTA(条幅4分の1!$B$11:$B$310),INDEX(条幅4分の1!$K$11:$K$310,519-COUNTA(半紙!$B$11:$B$310)-COUNTA(条幅!$B$11:$B$310)),""))))</f>
        <v/>
      </c>
      <c r="L524" s="48" t="str">
        <f>IF($B524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519))</f>
        <v/>
      </c>
    </row>
    <row r="525" spans="1:12" ht="15" customHeight="1">
      <c r="A525" s="37" t="str">
        <f>IF(520&lt;=COUNTA(半紙!$B$11:$B$310),"半紙",IF(520&lt;=COUNTA(半紙!$B$11:$B$310)+COUNTA(条幅!$B$11:$B$310),"条幅(半切)",IF(520&lt;=COUNTA(半紙!$B$11:$B$310)+COUNTA(条幅!$B$11:$B$310)+COUNTA(条幅4分の1!$B$11:$B$310),"条幅(1/4)","")))</f>
        <v/>
      </c>
      <c r="B525" s="38" t="str">
        <f>IF(IF(520&lt;=COUNTA(半紙!$B$11:$B$310),INDEX(半紙!$B$11:$B$310,520),IF(520&lt;=COUNTA(半紙!$B$11:$B$310)+COUNTA(条幅!$B$11:$B$310),INDEX(条幅!$B$11:$B$310,520-COUNTA(半紙!$B$11:$B$310)),IF(520&lt;=COUNTA(半紙!$B$11:$B$310)+COUNTA(条幅!$B$11:$B$310)+COUNTA(条幅4分の1!$B$11:$B$310),INDEX(条幅4分の1!$B$11:$B$310,520-COUNTA(半紙!$B$11:$B$310)-COUNTA(条幅!$B$11:$B$310)),"")))=0,"",IF(520&lt;=COUNTA(半紙!$B$11:$B$310),INDEX(半紙!$B$11:$B$310,520),IF(520&lt;=COUNTA(半紙!$B$11:$B$310)+COUNTA(条幅!$B$11:$B$310),INDEX(条幅!$B$11:$B$310,520-COUNTA(半紙!$B$11:$B$310)),IF(520&lt;=COUNTA(半紙!$B$11:$B$310)+COUNTA(条幅!$B$11:$B$310)+COUNTA(条幅4分の1!$B$11:$B$310),INDEX(条幅4分の1!$B$11:$B$310,520-COUNTA(半紙!$B$11:$B$310)-COUNTA(条幅!$B$11:$B$310)),""))))</f>
        <v/>
      </c>
      <c r="C525" s="38" t="str">
        <f>IF(IF(520&lt;=COUNTA(半紙!$B$11:$B$310),INDEX(半紙!$C$11:$C$310,520),IF(520&lt;=COUNTA(半紙!$B$11:$B$310)+COUNTA(条幅!$B$11:$B$310),INDEX(条幅!$C$11:$C$310,520-COUNTA(半紙!$B$11:$B$310)),IF(520&lt;=COUNTA(半紙!$B$11:$B$310)+COUNTA(条幅!$B$11:$B$310)+COUNTA(条幅4分の1!$B$11:$B$310),INDEX(条幅4分の1!$C$11:$C$310,520-COUNTA(半紙!$B$11:$B$310)-COUNTA(条幅!$B$11:$B$310)),"")))=0,"",IF(520&lt;=COUNTA(半紙!$B$11:$B$310),INDEX(半紙!$C$11:$C$310,520),IF(520&lt;=COUNTA(半紙!$B$11:$B$310)+COUNTA(条幅!$B$11:$B$310),INDEX(条幅!$C$11:$C$310,520-COUNTA(半紙!$B$11:$B$310)),IF(520&lt;=COUNTA(半紙!$B$11:$B$310)+COUNTA(条幅!$B$11:$B$310)+COUNTA(条幅4分の1!$B$11:$B$310),INDEX(条幅4分の1!$C$11:$C$310,520-COUNTA(半紙!$B$11:$B$310)-COUNTA(条幅!$B$11:$B$310)),""))))</f>
        <v/>
      </c>
      <c r="D525" s="38" t="str">
        <f>IF(IF(520&lt;=COUNTA(半紙!$B$11:$B$310),INDEX(半紙!$D$11:$D$310,520),IF(520&lt;=COUNTA(半紙!$B$11:$B$310)+COUNTA(条幅!$B$11:$B$310),INDEX(条幅!$D$11:$D$310,520-COUNTA(半紙!$B$11:$B$310)),IF(520&lt;=COUNTA(半紙!$B$11:$B$310)+COUNTA(条幅!$B$11:$B$310)+COUNTA(条幅4分の1!$B$11:$B$310),INDEX(条幅4分の1!$D$11:$D$310,520-COUNTA(半紙!$B$11:$B$310)-COUNTA(条幅!$B$11:$B$310)),"")))=0,"",IF(520&lt;=COUNTA(半紙!$B$11:$B$310),INDEX(半紙!$D$11:$D$310,520),IF(520&lt;=COUNTA(半紙!$B$11:$B$310)+COUNTA(条幅!$B$11:$B$310),INDEX(条幅!$D$11:$D$310,520-COUNTA(半紙!$B$11:$B$310)),IF(520&lt;=COUNTA(半紙!$B$11:$B$310)+COUNTA(条幅!$B$11:$B$310)+COUNTA(条幅4分の1!$B$11:$B$310),INDEX(条幅4分の1!$D$11:$D$310,520-COUNTA(半紙!$B$11:$B$310)-COUNTA(条幅!$B$11:$B$310)),""))))</f>
        <v/>
      </c>
      <c r="E525" s="38" t="str">
        <f>IF(IF(520&lt;=COUNTA(半紙!$B$11:$B$310),INDEX(半紙!$E$11:$E$310,520),IF(520&lt;=COUNTA(半紙!$B$11:$B$310)+COUNTA(条幅!$B$11:$B$310),INDEX(条幅!$E$11:$E$310,520-COUNTA(半紙!$B$11:$B$310)),IF(520&lt;=COUNTA(半紙!$B$11:$B$310)+COUNTA(条幅!$B$11:$B$310)+COUNTA(条幅4分の1!$B$11:$B$310),INDEX(条幅4分の1!$E$11:$E$310,520-COUNTA(半紙!$B$11:$B$310)-COUNTA(条幅!$B$11:$B$310)),"")))=0,"",IF(520&lt;=COUNTA(半紙!$B$11:$B$310),INDEX(半紙!$E$11:$E$310,520),IF(520&lt;=COUNTA(半紙!$B$11:$B$310)+COUNTA(条幅!$B$11:$B$310),INDEX(条幅!$E$11:$E$310,520-COUNTA(半紙!$B$11:$B$310)),IF(520&lt;=COUNTA(半紙!$B$11:$B$310)+COUNTA(条幅!$B$11:$B$310)+COUNTA(条幅4分の1!$B$11:$B$310),INDEX(条幅4分の1!$E$11:$E$310,520-COUNTA(半紙!$B$11:$B$310)-COUNTA(条幅!$B$11:$B$310)),""))))</f>
        <v/>
      </c>
      <c r="F525" s="38" t="str">
        <f>IF(IF(520&lt;=COUNTA(半紙!$B$11:$B$310),INDEX(半紙!$F$11:$F$310,520),IF(520&lt;=COUNTA(半紙!$B$11:$B$310)+COUNTA(条幅!$B$11:$B$310),INDEX(条幅!$F$11:$F$310,520-COUNTA(半紙!$B$11:$B$310)),IF(520&lt;=COUNTA(半紙!$B$11:$B$310)+COUNTA(条幅!$B$11:$B$310)+COUNTA(条幅4分の1!$B$11:$B$310),INDEX(条幅4分の1!$F$11:$F$310,520-COUNTA(半紙!$B$11:$B$310)-COUNTA(条幅!$B$11:$B$310)),"")))=0,"",IF(520&lt;=COUNTA(半紙!$B$11:$B$310),INDEX(半紙!$F$11:$F$310,520),IF(520&lt;=COUNTA(半紙!$B$11:$B$310)+COUNTA(条幅!$B$11:$B$310),INDEX(条幅!$F$11:$F$310,520-COUNTA(半紙!$B$11:$B$310)),IF(520&lt;=COUNTA(半紙!$B$11:$B$310)+COUNTA(条幅!$B$11:$B$310)+COUNTA(条幅4分の1!$B$11:$B$310),INDEX(条幅4分の1!$F$11:$F$310,520-COUNTA(半紙!$B$11:$B$310)-COUNTA(条幅!$B$11:$B$310)),""))))</f>
        <v/>
      </c>
      <c r="G525" s="38" t="str">
        <f>IF(IF(520&lt;=COUNTA(半紙!$B$11:$B$310),INDEX(半紙!$G$11:$G$310,520),IF(520&lt;=COUNTA(半紙!$B$11:$B$310)+COUNTA(条幅!$B$11:$B$310),INDEX(条幅!$G$11:$G$310,520-COUNTA(半紙!$B$11:$B$310)),IF(520&lt;=COUNTA(半紙!$B$11:$B$310)+COUNTA(条幅!$B$11:$B$310)+COUNTA(条幅4分の1!$B$11:$B$310),INDEX(条幅4分の1!$G$11:$G$310,520-COUNTA(半紙!$B$11:$B$310)-COUNTA(条幅!$B$11:$B$310)),"")))=0,"",IF(520&lt;=COUNTA(半紙!$B$11:$B$310),INDEX(半紙!$G$11:$G$310,520),IF(520&lt;=COUNTA(半紙!$B$11:$B$310)+COUNTA(条幅!$B$11:$B$310),INDEX(条幅!$G$11:$G$310,520-COUNTA(半紙!$B$11:$B$310)),IF(520&lt;=COUNTA(半紙!$B$11:$B$310)+COUNTA(条幅!$B$11:$B$310)+COUNTA(条幅4分の1!$B$11:$B$310),INDEX(条幅4分の1!$G$11:$G$310,520-COUNTA(半紙!$B$11:$B$310)-COUNTA(条幅!$B$11:$B$310)),""))))</f>
        <v/>
      </c>
      <c r="H525" s="38" t="str">
        <f>IF(IF(520&lt;=COUNTA(半紙!$B$11:$B$310),INDEX(半紙!$H$11:$H$310,520),IF(520&lt;=COUNTA(半紙!$B$11:$B$310)+COUNTA(条幅!$B$11:$B$310),INDEX(条幅!$H$11:$H$310,520-COUNTA(半紙!$B$11:$B$310)),IF(520&lt;=COUNTA(半紙!$B$11:$B$310)+COUNTA(条幅!$B$11:$B$310)+COUNTA(条幅4分の1!$B$11:$B$310),INDEX(条幅4分の1!$H$11:$H$310,520-COUNTA(半紙!$B$11:$B$310)-COUNTA(条幅!$B$11:$B$310)),"")))=0,"",IF(520&lt;=COUNTA(半紙!$B$11:$B$310),INDEX(半紙!$H$11:$H$310,520),IF(520&lt;=COUNTA(半紙!$B$11:$B$310)+COUNTA(条幅!$B$11:$B$310),INDEX(条幅!$H$11:$H$310,520-COUNTA(半紙!$B$11:$B$310)),IF(520&lt;=COUNTA(半紙!$B$11:$B$310)+COUNTA(条幅!$B$11:$B$310)+COUNTA(条幅4分の1!$B$11:$B$310),INDEX(条幅4分の1!$H$11:$H$310,520-COUNTA(半紙!$B$11:$B$310)-COUNTA(条幅!$B$11:$B$310)),""))))</f>
        <v/>
      </c>
      <c r="I525" s="38" t="str">
        <f>IF(IF(520&lt;=COUNTA(半紙!$B$11:$B$310),INDEX(半紙!$I$11:$I$310,520),IF(520&lt;=COUNTA(半紙!$B$11:$B$310)+COUNTA(条幅!$B$11:$B$310),INDEX(条幅!$I$11:$I$310,520-COUNTA(半紙!$B$11:$B$310)),IF(520&lt;=COUNTA(半紙!$B$11:$B$310)+COUNTA(条幅!$B$11:$B$310)+COUNTA(条幅4分の1!$B$11:$B$310),INDEX(条幅4分の1!$I$11:$I$310,520-COUNTA(半紙!$B$11:$B$310)-COUNTA(条幅!$B$11:$B$310)),"")))=0,"",IF(520&lt;=COUNTA(半紙!$B$11:$B$310),INDEX(半紙!$I$11:$I$310,520),IF(520&lt;=COUNTA(半紙!$B$11:$B$310)+COUNTA(条幅!$B$11:$B$310),INDEX(条幅!$I$11:$I$310,520-COUNTA(半紙!$B$11:$B$310)),IF(520&lt;=COUNTA(半紙!$B$11:$B$310)+COUNTA(条幅!$B$11:$B$310)+COUNTA(条幅4分の1!$B$11:$B$310),INDEX(条幅4分の1!$I$11:$I$310,520-COUNTA(半紙!$B$11:$B$310)-COUNTA(条幅!$B$11:$B$310)),""))))</f>
        <v/>
      </c>
      <c r="J525" s="38" t="str">
        <f>IF(IF(520&lt;=COUNTA(半紙!$B$11:$B$310),INDEX(半紙!$J$11:$J$310,520),IF(520&lt;=COUNTA(半紙!$B$11:$B$310)+COUNTA(条幅!$B$11:$B$310),INDEX(条幅!$J$11:$J$310,520-COUNTA(半紙!$B$11:$B$310)),IF(520&lt;=COUNTA(半紙!$B$11:$B$310)+COUNTA(条幅!$B$11:$B$310)+COUNTA(条幅4分の1!$B$11:$B$310),INDEX(条幅4分の1!$J$11:$J$310,520-COUNTA(半紙!$B$11:$B$310)-COUNTA(条幅!$B$11:$B$310)),"")))=0,"",IF(520&lt;=COUNTA(半紙!$B$11:$B$310),INDEX(半紙!$J$11:$J$310,520),IF(520&lt;=COUNTA(半紙!$B$11:$B$310)+COUNTA(条幅!$B$11:$B$310),INDEX(条幅!$J$11:$J$310,520-COUNTA(半紙!$B$11:$B$310)),IF(520&lt;=COUNTA(半紙!$B$11:$B$310)+COUNTA(条幅!$B$11:$B$310)+COUNTA(条幅4分の1!$B$11:$B$310),INDEX(条幅4分の1!$J$11:$J$310,520-COUNTA(半紙!$B$11:$B$310)-COUNTA(条幅!$B$11:$B$310)),""))))</f>
        <v/>
      </c>
      <c r="K525" s="38" t="str">
        <f>IF(IF(520&lt;=COUNTA(半紙!$B$11:$B$310),INDEX(半紙!$K$11:$K$310,520),IF(520&lt;=COUNTA(半紙!$B$11:$B$310)+COUNTA(条幅!$B$11:$B$310),INDEX(条幅!$K$11:$K$310,520-COUNTA(半紙!$B$11:$B$310)),IF(520&lt;=COUNTA(半紙!$B$11:$B$310)+COUNTA(条幅!$B$11:$B$310)+COUNTA(条幅4分の1!$B$11:$B$310),INDEX(条幅4分の1!$K$11:$K$310,520-COUNTA(半紙!$B$11:$B$310)-COUNTA(条幅!$B$11:$B$310)),"")))=0,"",IF(520&lt;=COUNTA(半紙!$B$11:$B$310),INDEX(半紙!$K$11:$K$310,520),IF(520&lt;=COUNTA(半紙!$B$11:$B$310)+COUNTA(条幅!$B$11:$B$310),INDEX(条幅!$K$11:$K$310,520-COUNTA(半紙!$B$11:$B$310)),IF(520&lt;=COUNTA(半紙!$B$11:$B$310)+COUNTA(条幅!$B$11:$B$310)+COUNTA(条幅4分の1!$B$11:$B$310),INDEX(条幅4分の1!$K$11:$K$310,520-COUNTA(半紙!$B$11:$B$310)-COUNTA(条幅!$B$11:$B$310)),""))))</f>
        <v/>
      </c>
      <c r="L525" s="48" t="str">
        <f>IF($B525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520))</f>
        <v/>
      </c>
    </row>
    <row r="526" spans="1:12" ht="15" customHeight="1">
      <c r="A526" s="37" t="str">
        <f>IF(521&lt;=COUNTA(半紙!$B$11:$B$310),"半紙",IF(521&lt;=COUNTA(半紙!$B$11:$B$310)+COUNTA(条幅!$B$11:$B$310),"条幅(半切)",IF(521&lt;=COUNTA(半紙!$B$11:$B$310)+COUNTA(条幅!$B$11:$B$310)+COUNTA(条幅4分の1!$B$11:$B$310),"条幅(1/4)","")))</f>
        <v/>
      </c>
      <c r="B526" s="38" t="str">
        <f>IF(IF(521&lt;=COUNTA(半紙!$B$11:$B$310),INDEX(半紙!$B$11:$B$310,521),IF(521&lt;=COUNTA(半紙!$B$11:$B$310)+COUNTA(条幅!$B$11:$B$310),INDEX(条幅!$B$11:$B$310,521-COUNTA(半紙!$B$11:$B$310)),IF(521&lt;=COUNTA(半紙!$B$11:$B$310)+COUNTA(条幅!$B$11:$B$310)+COUNTA(条幅4分の1!$B$11:$B$310),INDEX(条幅4分の1!$B$11:$B$310,521-COUNTA(半紙!$B$11:$B$310)-COUNTA(条幅!$B$11:$B$310)),"")))=0,"",IF(521&lt;=COUNTA(半紙!$B$11:$B$310),INDEX(半紙!$B$11:$B$310,521),IF(521&lt;=COUNTA(半紙!$B$11:$B$310)+COUNTA(条幅!$B$11:$B$310),INDEX(条幅!$B$11:$B$310,521-COUNTA(半紙!$B$11:$B$310)),IF(521&lt;=COUNTA(半紙!$B$11:$B$310)+COUNTA(条幅!$B$11:$B$310)+COUNTA(条幅4分の1!$B$11:$B$310),INDEX(条幅4分の1!$B$11:$B$310,521-COUNTA(半紙!$B$11:$B$310)-COUNTA(条幅!$B$11:$B$310)),""))))</f>
        <v/>
      </c>
      <c r="C526" s="38" t="str">
        <f>IF(IF(521&lt;=COUNTA(半紙!$B$11:$B$310),INDEX(半紙!$C$11:$C$310,521),IF(521&lt;=COUNTA(半紙!$B$11:$B$310)+COUNTA(条幅!$B$11:$B$310),INDEX(条幅!$C$11:$C$310,521-COUNTA(半紙!$B$11:$B$310)),IF(521&lt;=COUNTA(半紙!$B$11:$B$310)+COUNTA(条幅!$B$11:$B$310)+COUNTA(条幅4分の1!$B$11:$B$310),INDEX(条幅4分の1!$C$11:$C$310,521-COUNTA(半紙!$B$11:$B$310)-COUNTA(条幅!$B$11:$B$310)),"")))=0,"",IF(521&lt;=COUNTA(半紙!$B$11:$B$310),INDEX(半紙!$C$11:$C$310,521),IF(521&lt;=COUNTA(半紙!$B$11:$B$310)+COUNTA(条幅!$B$11:$B$310),INDEX(条幅!$C$11:$C$310,521-COUNTA(半紙!$B$11:$B$310)),IF(521&lt;=COUNTA(半紙!$B$11:$B$310)+COUNTA(条幅!$B$11:$B$310)+COUNTA(条幅4分の1!$B$11:$B$310),INDEX(条幅4分の1!$C$11:$C$310,521-COUNTA(半紙!$B$11:$B$310)-COUNTA(条幅!$B$11:$B$310)),""))))</f>
        <v/>
      </c>
      <c r="D526" s="38" t="str">
        <f>IF(IF(521&lt;=COUNTA(半紙!$B$11:$B$310),INDEX(半紙!$D$11:$D$310,521),IF(521&lt;=COUNTA(半紙!$B$11:$B$310)+COUNTA(条幅!$B$11:$B$310),INDEX(条幅!$D$11:$D$310,521-COUNTA(半紙!$B$11:$B$310)),IF(521&lt;=COUNTA(半紙!$B$11:$B$310)+COUNTA(条幅!$B$11:$B$310)+COUNTA(条幅4分の1!$B$11:$B$310),INDEX(条幅4分の1!$D$11:$D$310,521-COUNTA(半紙!$B$11:$B$310)-COUNTA(条幅!$B$11:$B$310)),"")))=0,"",IF(521&lt;=COUNTA(半紙!$B$11:$B$310),INDEX(半紙!$D$11:$D$310,521),IF(521&lt;=COUNTA(半紙!$B$11:$B$310)+COUNTA(条幅!$B$11:$B$310),INDEX(条幅!$D$11:$D$310,521-COUNTA(半紙!$B$11:$B$310)),IF(521&lt;=COUNTA(半紙!$B$11:$B$310)+COUNTA(条幅!$B$11:$B$310)+COUNTA(条幅4分の1!$B$11:$B$310),INDEX(条幅4分の1!$D$11:$D$310,521-COUNTA(半紙!$B$11:$B$310)-COUNTA(条幅!$B$11:$B$310)),""))))</f>
        <v/>
      </c>
      <c r="E526" s="38" t="str">
        <f>IF(IF(521&lt;=COUNTA(半紙!$B$11:$B$310),INDEX(半紙!$E$11:$E$310,521),IF(521&lt;=COUNTA(半紙!$B$11:$B$310)+COUNTA(条幅!$B$11:$B$310),INDEX(条幅!$E$11:$E$310,521-COUNTA(半紙!$B$11:$B$310)),IF(521&lt;=COUNTA(半紙!$B$11:$B$310)+COUNTA(条幅!$B$11:$B$310)+COUNTA(条幅4分の1!$B$11:$B$310),INDEX(条幅4分の1!$E$11:$E$310,521-COUNTA(半紙!$B$11:$B$310)-COUNTA(条幅!$B$11:$B$310)),"")))=0,"",IF(521&lt;=COUNTA(半紙!$B$11:$B$310),INDEX(半紙!$E$11:$E$310,521),IF(521&lt;=COUNTA(半紙!$B$11:$B$310)+COUNTA(条幅!$B$11:$B$310),INDEX(条幅!$E$11:$E$310,521-COUNTA(半紙!$B$11:$B$310)),IF(521&lt;=COUNTA(半紙!$B$11:$B$310)+COUNTA(条幅!$B$11:$B$310)+COUNTA(条幅4分の1!$B$11:$B$310),INDEX(条幅4分の1!$E$11:$E$310,521-COUNTA(半紙!$B$11:$B$310)-COUNTA(条幅!$B$11:$B$310)),""))))</f>
        <v/>
      </c>
      <c r="F526" s="38" t="str">
        <f>IF(IF(521&lt;=COUNTA(半紙!$B$11:$B$310),INDEX(半紙!$F$11:$F$310,521),IF(521&lt;=COUNTA(半紙!$B$11:$B$310)+COUNTA(条幅!$B$11:$B$310),INDEX(条幅!$F$11:$F$310,521-COUNTA(半紙!$B$11:$B$310)),IF(521&lt;=COUNTA(半紙!$B$11:$B$310)+COUNTA(条幅!$B$11:$B$310)+COUNTA(条幅4分の1!$B$11:$B$310),INDEX(条幅4分の1!$F$11:$F$310,521-COUNTA(半紙!$B$11:$B$310)-COUNTA(条幅!$B$11:$B$310)),"")))=0,"",IF(521&lt;=COUNTA(半紙!$B$11:$B$310),INDEX(半紙!$F$11:$F$310,521),IF(521&lt;=COUNTA(半紙!$B$11:$B$310)+COUNTA(条幅!$B$11:$B$310),INDEX(条幅!$F$11:$F$310,521-COUNTA(半紙!$B$11:$B$310)),IF(521&lt;=COUNTA(半紙!$B$11:$B$310)+COUNTA(条幅!$B$11:$B$310)+COUNTA(条幅4分の1!$B$11:$B$310),INDEX(条幅4分の1!$F$11:$F$310,521-COUNTA(半紙!$B$11:$B$310)-COUNTA(条幅!$B$11:$B$310)),""))))</f>
        <v/>
      </c>
      <c r="G526" s="38" t="str">
        <f>IF(IF(521&lt;=COUNTA(半紙!$B$11:$B$310),INDEX(半紙!$G$11:$G$310,521),IF(521&lt;=COUNTA(半紙!$B$11:$B$310)+COUNTA(条幅!$B$11:$B$310),INDEX(条幅!$G$11:$G$310,521-COUNTA(半紙!$B$11:$B$310)),IF(521&lt;=COUNTA(半紙!$B$11:$B$310)+COUNTA(条幅!$B$11:$B$310)+COUNTA(条幅4分の1!$B$11:$B$310),INDEX(条幅4分の1!$G$11:$G$310,521-COUNTA(半紙!$B$11:$B$310)-COUNTA(条幅!$B$11:$B$310)),"")))=0,"",IF(521&lt;=COUNTA(半紙!$B$11:$B$310),INDEX(半紙!$G$11:$G$310,521),IF(521&lt;=COUNTA(半紙!$B$11:$B$310)+COUNTA(条幅!$B$11:$B$310),INDEX(条幅!$G$11:$G$310,521-COUNTA(半紙!$B$11:$B$310)),IF(521&lt;=COUNTA(半紙!$B$11:$B$310)+COUNTA(条幅!$B$11:$B$310)+COUNTA(条幅4分の1!$B$11:$B$310),INDEX(条幅4分の1!$G$11:$G$310,521-COUNTA(半紙!$B$11:$B$310)-COUNTA(条幅!$B$11:$B$310)),""))))</f>
        <v/>
      </c>
      <c r="H526" s="38" t="str">
        <f>IF(IF(521&lt;=COUNTA(半紙!$B$11:$B$310),INDEX(半紙!$H$11:$H$310,521),IF(521&lt;=COUNTA(半紙!$B$11:$B$310)+COUNTA(条幅!$B$11:$B$310),INDEX(条幅!$H$11:$H$310,521-COUNTA(半紙!$B$11:$B$310)),IF(521&lt;=COUNTA(半紙!$B$11:$B$310)+COUNTA(条幅!$B$11:$B$310)+COUNTA(条幅4分の1!$B$11:$B$310),INDEX(条幅4分の1!$H$11:$H$310,521-COUNTA(半紙!$B$11:$B$310)-COUNTA(条幅!$B$11:$B$310)),"")))=0,"",IF(521&lt;=COUNTA(半紙!$B$11:$B$310),INDEX(半紙!$H$11:$H$310,521),IF(521&lt;=COUNTA(半紙!$B$11:$B$310)+COUNTA(条幅!$B$11:$B$310),INDEX(条幅!$H$11:$H$310,521-COUNTA(半紙!$B$11:$B$310)),IF(521&lt;=COUNTA(半紙!$B$11:$B$310)+COUNTA(条幅!$B$11:$B$310)+COUNTA(条幅4分の1!$B$11:$B$310),INDEX(条幅4分の1!$H$11:$H$310,521-COUNTA(半紙!$B$11:$B$310)-COUNTA(条幅!$B$11:$B$310)),""))))</f>
        <v/>
      </c>
      <c r="I526" s="38" t="str">
        <f>IF(IF(521&lt;=COUNTA(半紙!$B$11:$B$310),INDEX(半紙!$I$11:$I$310,521),IF(521&lt;=COUNTA(半紙!$B$11:$B$310)+COUNTA(条幅!$B$11:$B$310),INDEX(条幅!$I$11:$I$310,521-COUNTA(半紙!$B$11:$B$310)),IF(521&lt;=COUNTA(半紙!$B$11:$B$310)+COUNTA(条幅!$B$11:$B$310)+COUNTA(条幅4分の1!$B$11:$B$310),INDEX(条幅4分の1!$I$11:$I$310,521-COUNTA(半紙!$B$11:$B$310)-COUNTA(条幅!$B$11:$B$310)),"")))=0,"",IF(521&lt;=COUNTA(半紙!$B$11:$B$310),INDEX(半紙!$I$11:$I$310,521),IF(521&lt;=COUNTA(半紙!$B$11:$B$310)+COUNTA(条幅!$B$11:$B$310),INDEX(条幅!$I$11:$I$310,521-COUNTA(半紙!$B$11:$B$310)),IF(521&lt;=COUNTA(半紙!$B$11:$B$310)+COUNTA(条幅!$B$11:$B$310)+COUNTA(条幅4分の1!$B$11:$B$310),INDEX(条幅4分の1!$I$11:$I$310,521-COUNTA(半紙!$B$11:$B$310)-COUNTA(条幅!$B$11:$B$310)),""))))</f>
        <v/>
      </c>
      <c r="J526" s="38" t="str">
        <f>IF(IF(521&lt;=COUNTA(半紙!$B$11:$B$310),INDEX(半紙!$J$11:$J$310,521),IF(521&lt;=COUNTA(半紙!$B$11:$B$310)+COUNTA(条幅!$B$11:$B$310),INDEX(条幅!$J$11:$J$310,521-COUNTA(半紙!$B$11:$B$310)),IF(521&lt;=COUNTA(半紙!$B$11:$B$310)+COUNTA(条幅!$B$11:$B$310)+COUNTA(条幅4分の1!$B$11:$B$310),INDEX(条幅4分の1!$J$11:$J$310,521-COUNTA(半紙!$B$11:$B$310)-COUNTA(条幅!$B$11:$B$310)),"")))=0,"",IF(521&lt;=COUNTA(半紙!$B$11:$B$310),INDEX(半紙!$J$11:$J$310,521),IF(521&lt;=COUNTA(半紙!$B$11:$B$310)+COUNTA(条幅!$B$11:$B$310),INDEX(条幅!$J$11:$J$310,521-COUNTA(半紙!$B$11:$B$310)),IF(521&lt;=COUNTA(半紙!$B$11:$B$310)+COUNTA(条幅!$B$11:$B$310)+COUNTA(条幅4分の1!$B$11:$B$310),INDEX(条幅4分の1!$J$11:$J$310,521-COUNTA(半紙!$B$11:$B$310)-COUNTA(条幅!$B$11:$B$310)),""))))</f>
        <v/>
      </c>
      <c r="K526" s="38" t="str">
        <f>IF(IF(521&lt;=COUNTA(半紙!$B$11:$B$310),INDEX(半紙!$K$11:$K$310,521),IF(521&lt;=COUNTA(半紙!$B$11:$B$310)+COUNTA(条幅!$B$11:$B$310),INDEX(条幅!$K$11:$K$310,521-COUNTA(半紙!$B$11:$B$310)),IF(521&lt;=COUNTA(半紙!$B$11:$B$310)+COUNTA(条幅!$B$11:$B$310)+COUNTA(条幅4分の1!$B$11:$B$310),INDEX(条幅4分の1!$K$11:$K$310,521-COUNTA(半紙!$B$11:$B$310)-COUNTA(条幅!$B$11:$B$310)),"")))=0,"",IF(521&lt;=COUNTA(半紙!$B$11:$B$310),INDEX(半紙!$K$11:$K$310,521),IF(521&lt;=COUNTA(半紙!$B$11:$B$310)+COUNTA(条幅!$B$11:$B$310),INDEX(条幅!$K$11:$K$310,521-COUNTA(半紙!$B$11:$B$310)),IF(521&lt;=COUNTA(半紙!$B$11:$B$310)+COUNTA(条幅!$B$11:$B$310)+COUNTA(条幅4分の1!$B$11:$B$310),INDEX(条幅4分の1!$K$11:$K$310,521-COUNTA(半紙!$B$11:$B$310)-COUNTA(条幅!$B$11:$B$310)),""))))</f>
        <v/>
      </c>
      <c r="L526" s="48" t="str">
        <f>IF($B526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521))</f>
        <v/>
      </c>
    </row>
    <row r="527" spans="1:12" ht="15" customHeight="1">
      <c r="A527" s="37" t="str">
        <f>IF(522&lt;=COUNTA(半紙!$B$11:$B$310),"半紙",IF(522&lt;=COUNTA(半紙!$B$11:$B$310)+COUNTA(条幅!$B$11:$B$310),"条幅(半切)",IF(522&lt;=COUNTA(半紙!$B$11:$B$310)+COUNTA(条幅!$B$11:$B$310)+COUNTA(条幅4分の1!$B$11:$B$310),"条幅(1/4)","")))</f>
        <v/>
      </c>
      <c r="B527" s="38" t="str">
        <f>IF(IF(522&lt;=COUNTA(半紙!$B$11:$B$310),INDEX(半紙!$B$11:$B$310,522),IF(522&lt;=COUNTA(半紙!$B$11:$B$310)+COUNTA(条幅!$B$11:$B$310),INDEX(条幅!$B$11:$B$310,522-COUNTA(半紙!$B$11:$B$310)),IF(522&lt;=COUNTA(半紙!$B$11:$B$310)+COUNTA(条幅!$B$11:$B$310)+COUNTA(条幅4分の1!$B$11:$B$310),INDEX(条幅4分の1!$B$11:$B$310,522-COUNTA(半紙!$B$11:$B$310)-COUNTA(条幅!$B$11:$B$310)),"")))=0,"",IF(522&lt;=COUNTA(半紙!$B$11:$B$310),INDEX(半紙!$B$11:$B$310,522),IF(522&lt;=COUNTA(半紙!$B$11:$B$310)+COUNTA(条幅!$B$11:$B$310),INDEX(条幅!$B$11:$B$310,522-COUNTA(半紙!$B$11:$B$310)),IF(522&lt;=COUNTA(半紙!$B$11:$B$310)+COUNTA(条幅!$B$11:$B$310)+COUNTA(条幅4分の1!$B$11:$B$310),INDEX(条幅4分の1!$B$11:$B$310,522-COUNTA(半紙!$B$11:$B$310)-COUNTA(条幅!$B$11:$B$310)),""))))</f>
        <v/>
      </c>
      <c r="C527" s="38" t="str">
        <f>IF(IF(522&lt;=COUNTA(半紙!$B$11:$B$310),INDEX(半紙!$C$11:$C$310,522),IF(522&lt;=COUNTA(半紙!$B$11:$B$310)+COUNTA(条幅!$B$11:$B$310),INDEX(条幅!$C$11:$C$310,522-COUNTA(半紙!$B$11:$B$310)),IF(522&lt;=COUNTA(半紙!$B$11:$B$310)+COUNTA(条幅!$B$11:$B$310)+COUNTA(条幅4分の1!$B$11:$B$310),INDEX(条幅4分の1!$C$11:$C$310,522-COUNTA(半紙!$B$11:$B$310)-COUNTA(条幅!$B$11:$B$310)),"")))=0,"",IF(522&lt;=COUNTA(半紙!$B$11:$B$310),INDEX(半紙!$C$11:$C$310,522),IF(522&lt;=COUNTA(半紙!$B$11:$B$310)+COUNTA(条幅!$B$11:$B$310),INDEX(条幅!$C$11:$C$310,522-COUNTA(半紙!$B$11:$B$310)),IF(522&lt;=COUNTA(半紙!$B$11:$B$310)+COUNTA(条幅!$B$11:$B$310)+COUNTA(条幅4分の1!$B$11:$B$310),INDEX(条幅4分の1!$C$11:$C$310,522-COUNTA(半紙!$B$11:$B$310)-COUNTA(条幅!$B$11:$B$310)),""))))</f>
        <v/>
      </c>
      <c r="D527" s="38" t="str">
        <f>IF(IF(522&lt;=COUNTA(半紙!$B$11:$B$310),INDEX(半紙!$D$11:$D$310,522),IF(522&lt;=COUNTA(半紙!$B$11:$B$310)+COUNTA(条幅!$B$11:$B$310),INDEX(条幅!$D$11:$D$310,522-COUNTA(半紙!$B$11:$B$310)),IF(522&lt;=COUNTA(半紙!$B$11:$B$310)+COUNTA(条幅!$B$11:$B$310)+COUNTA(条幅4分の1!$B$11:$B$310),INDEX(条幅4分の1!$D$11:$D$310,522-COUNTA(半紙!$B$11:$B$310)-COUNTA(条幅!$B$11:$B$310)),"")))=0,"",IF(522&lt;=COUNTA(半紙!$B$11:$B$310),INDEX(半紙!$D$11:$D$310,522),IF(522&lt;=COUNTA(半紙!$B$11:$B$310)+COUNTA(条幅!$B$11:$B$310),INDEX(条幅!$D$11:$D$310,522-COUNTA(半紙!$B$11:$B$310)),IF(522&lt;=COUNTA(半紙!$B$11:$B$310)+COUNTA(条幅!$B$11:$B$310)+COUNTA(条幅4分の1!$B$11:$B$310),INDEX(条幅4分の1!$D$11:$D$310,522-COUNTA(半紙!$B$11:$B$310)-COUNTA(条幅!$B$11:$B$310)),""))))</f>
        <v/>
      </c>
      <c r="E527" s="38" t="str">
        <f>IF(IF(522&lt;=COUNTA(半紙!$B$11:$B$310),INDEX(半紙!$E$11:$E$310,522),IF(522&lt;=COUNTA(半紙!$B$11:$B$310)+COUNTA(条幅!$B$11:$B$310),INDEX(条幅!$E$11:$E$310,522-COUNTA(半紙!$B$11:$B$310)),IF(522&lt;=COUNTA(半紙!$B$11:$B$310)+COUNTA(条幅!$B$11:$B$310)+COUNTA(条幅4分の1!$B$11:$B$310),INDEX(条幅4分の1!$E$11:$E$310,522-COUNTA(半紙!$B$11:$B$310)-COUNTA(条幅!$B$11:$B$310)),"")))=0,"",IF(522&lt;=COUNTA(半紙!$B$11:$B$310),INDEX(半紙!$E$11:$E$310,522),IF(522&lt;=COUNTA(半紙!$B$11:$B$310)+COUNTA(条幅!$B$11:$B$310),INDEX(条幅!$E$11:$E$310,522-COUNTA(半紙!$B$11:$B$310)),IF(522&lt;=COUNTA(半紙!$B$11:$B$310)+COUNTA(条幅!$B$11:$B$310)+COUNTA(条幅4分の1!$B$11:$B$310),INDEX(条幅4分の1!$E$11:$E$310,522-COUNTA(半紙!$B$11:$B$310)-COUNTA(条幅!$B$11:$B$310)),""))))</f>
        <v/>
      </c>
      <c r="F527" s="38" t="str">
        <f>IF(IF(522&lt;=COUNTA(半紙!$B$11:$B$310),INDEX(半紙!$F$11:$F$310,522),IF(522&lt;=COUNTA(半紙!$B$11:$B$310)+COUNTA(条幅!$B$11:$B$310),INDEX(条幅!$F$11:$F$310,522-COUNTA(半紙!$B$11:$B$310)),IF(522&lt;=COUNTA(半紙!$B$11:$B$310)+COUNTA(条幅!$B$11:$B$310)+COUNTA(条幅4分の1!$B$11:$B$310),INDEX(条幅4分の1!$F$11:$F$310,522-COUNTA(半紙!$B$11:$B$310)-COUNTA(条幅!$B$11:$B$310)),"")))=0,"",IF(522&lt;=COUNTA(半紙!$B$11:$B$310),INDEX(半紙!$F$11:$F$310,522),IF(522&lt;=COUNTA(半紙!$B$11:$B$310)+COUNTA(条幅!$B$11:$B$310),INDEX(条幅!$F$11:$F$310,522-COUNTA(半紙!$B$11:$B$310)),IF(522&lt;=COUNTA(半紙!$B$11:$B$310)+COUNTA(条幅!$B$11:$B$310)+COUNTA(条幅4分の1!$B$11:$B$310),INDEX(条幅4分の1!$F$11:$F$310,522-COUNTA(半紙!$B$11:$B$310)-COUNTA(条幅!$B$11:$B$310)),""))))</f>
        <v/>
      </c>
      <c r="G527" s="38" t="str">
        <f>IF(IF(522&lt;=COUNTA(半紙!$B$11:$B$310),INDEX(半紙!$G$11:$G$310,522),IF(522&lt;=COUNTA(半紙!$B$11:$B$310)+COUNTA(条幅!$B$11:$B$310),INDEX(条幅!$G$11:$G$310,522-COUNTA(半紙!$B$11:$B$310)),IF(522&lt;=COUNTA(半紙!$B$11:$B$310)+COUNTA(条幅!$B$11:$B$310)+COUNTA(条幅4分の1!$B$11:$B$310),INDEX(条幅4分の1!$G$11:$G$310,522-COUNTA(半紙!$B$11:$B$310)-COUNTA(条幅!$B$11:$B$310)),"")))=0,"",IF(522&lt;=COUNTA(半紙!$B$11:$B$310),INDEX(半紙!$G$11:$G$310,522),IF(522&lt;=COUNTA(半紙!$B$11:$B$310)+COUNTA(条幅!$B$11:$B$310),INDEX(条幅!$G$11:$G$310,522-COUNTA(半紙!$B$11:$B$310)),IF(522&lt;=COUNTA(半紙!$B$11:$B$310)+COUNTA(条幅!$B$11:$B$310)+COUNTA(条幅4分の1!$B$11:$B$310),INDEX(条幅4分の1!$G$11:$G$310,522-COUNTA(半紙!$B$11:$B$310)-COUNTA(条幅!$B$11:$B$310)),""))))</f>
        <v/>
      </c>
      <c r="H527" s="38" t="str">
        <f>IF(IF(522&lt;=COUNTA(半紙!$B$11:$B$310),INDEX(半紙!$H$11:$H$310,522),IF(522&lt;=COUNTA(半紙!$B$11:$B$310)+COUNTA(条幅!$B$11:$B$310),INDEX(条幅!$H$11:$H$310,522-COUNTA(半紙!$B$11:$B$310)),IF(522&lt;=COUNTA(半紙!$B$11:$B$310)+COUNTA(条幅!$B$11:$B$310)+COUNTA(条幅4分の1!$B$11:$B$310),INDEX(条幅4分の1!$H$11:$H$310,522-COUNTA(半紙!$B$11:$B$310)-COUNTA(条幅!$B$11:$B$310)),"")))=0,"",IF(522&lt;=COUNTA(半紙!$B$11:$B$310),INDEX(半紙!$H$11:$H$310,522),IF(522&lt;=COUNTA(半紙!$B$11:$B$310)+COUNTA(条幅!$B$11:$B$310),INDEX(条幅!$H$11:$H$310,522-COUNTA(半紙!$B$11:$B$310)),IF(522&lt;=COUNTA(半紙!$B$11:$B$310)+COUNTA(条幅!$B$11:$B$310)+COUNTA(条幅4分の1!$B$11:$B$310),INDEX(条幅4分の1!$H$11:$H$310,522-COUNTA(半紙!$B$11:$B$310)-COUNTA(条幅!$B$11:$B$310)),""))))</f>
        <v/>
      </c>
      <c r="I527" s="38" t="str">
        <f>IF(IF(522&lt;=COUNTA(半紙!$B$11:$B$310),INDEX(半紙!$I$11:$I$310,522),IF(522&lt;=COUNTA(半紙!$B$11:$B$310)+COUNTA(条幅!$B$11:$B$310),INDEX(条幅!$I$11:$I$310,522-COUNTA(半紙!$B$11:$B$310)),IF(522&lt;=COUNTA(半紙!$B$11:$B$310)+COUNTA(条幅!$B$11:$B$310)+COUNTA(条幅4分の1!$B$11:$B$310),INDEX(条幅4分の1!$I$11:$I$310,522-COUNTA(半紙!$B$11:$B$310)-COUNTA(条幅!$B$11:$B$310)),"")))=0,"",IF(522&lt;=COUNTA(半紙!$B$11:$B$310),INDEX(半紙!$I$11:$I$310,522),IF(522&lt;=COUNTA(半紙!$B$11:$B$310)+COUNTA(条幅!$B$11:$B$310),INDEX(条幅!$I$11:$I$310,522-COUNTA(半紙!$B$11:$B$310)),IF(522&lt;=COUNTA(半紙!$B$11:$B$310)+COUNTA(条幅!$B$11:$B$310)+COUNTA(条幅4分の1!$B$11:$B$310),INDEX(条幅4分の1!$I$11:$I$310,522-COUNTA(半紙!$B$11:$B$310)-COUNTA(条幅!$B$11:$B$310)),""))))</f>
        <v/>
      </c>
      <c r="J527" s="38" t="str">
        <f>IF(IF(522&lt;=COUNTA(半紙!$B$11:$B$310),INDEX(半紙!$J$11:$J$310,522),IF(522&lt;=COUNTA(半紙!$B$11:$B$310)+COUNTA(条幅!$B$11:$B$310),INDEX(条幅!$J$11:$J$310,522-COUNTA(半紙!$B$11:$B$310)),IF(522&lt;=COUNTA(半紙!$B$11:$B$310)+COUNTA(条幅!$B$11:$B$310)+COUNTA(条幅4分の1!$B$11:$B$310),INDEX(条幅4分の1!$J$11:$J$310,522-COUNTA(半紙!$B$11:$B$310)-COUNTA(条幅!$B$11:$B$310)),"")))=0,"",IF(522&lt;=COUNTA(半紙!$B$11:$B$310),INDEX(半紙!$J$11:$J$310,522),IF(522&lt;=COUNTA(半紙!$B$11:$B$310)+COUNTA(条幅!$B$11:$B$310),INDEX(条幅!$J$11:$J$310,522-COUNTA(半紙!$B$11:$B$310)),IF(522&lt;=COUNTA(半紙!$B$11:$B$310)+COUNTA(条幅!$B$11:$B$310)+COUNTA(条幅4分の1!$B$11:$B$310),INDEX(条幅4分の1!$J$11:$J$310,522-COUNTA(半紙!$B$11:$B$310)-COUNTA(条幅!$B$11:$B$310)),""))))</f>
        <v/>
      </c>
      <c r="K527" s="38" t="str">
        <f>IF(IF(522&lt;=COUNTA(半紙!$B$11:$B$310),INDEX(半紙!$K$11:$K$310,522),IF(522&lt;=COUNTA(半紙!$B$11:$B$310)+COUNTA(条幅!$B$11:$B$310),INDEX(条幅!$K$11:$K$310,522-COUNTA(半紙!$B$11:$B$310)),IF(522&lt;=COUNTA(半紙!$B$11:$B$310)+COUNTA(条幅!$B$11:$B$310)+COUNTA(条幅4分の1!$B$11:$B$310),INDEX(条幅4分の1!$K$11:$K$310,522-COUNTA(半紙!$B$11:$B$310)-COUNTA(条幅!$B$11:$B$310)),"")))=0,"",IF(522&lt;=COUNTA(半紙!$B$11:$B$310),INDEX(半紙!$K$11:$K$310,522),IF(522&lt;=COUNTA(半紙!$B$11:$B$310)+COUNTA(条幅!$B$11:$B$310),INDEX(条幅!$K$11:$K$310,522-COUNTA(半紙!$B$11:$B$310)),IF(522&lt;=COUNTA(半紙!$B$11:$B$310)+COUNTA(条幅!$B$11:$B$310)+COUNTA(条幅4分の1!$B$11:$B$310),INDEX(条幅4分の1!$K$11:$K$310,522-COUNTA(半紙!$B$11:$B$310)-COUNTA(条幅!$B$11:$B$310)),""))))</f>
        <v/>
      </c>
      <c r="L527" s="48" t="str">
        <f>IF($B527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522))</f>
        <v/>
      </c>
    </row>
    <row r="528" spans="1:12" ht="15" customHeight="1">
      <c r="A528" s="37" t="str">
        <f>IF(523&lt;=COUNTA(半紙!$B$11:$B$310),"半紙",IF(523&lt;=COUNTA(半紙!$B$11:$B$310)+COUNTA(条幅!$B$11:$B$310),"条幅(半切)",IF(523&lt;=COUNTA(半紙!$B$11:$B$310)+COUNTA(条幅!$B$11:$B$310)+COUNTA(条幅4分の1!$B$11:$B$310),"条幅(1/4)","")))</f>
        <v/>
      </c>
      <c r="B528" s="38" t="str">
        <f>IF(IF(523&lt;=COUNTA(半紙!$B$11:$B$310),INDEX(半紙!$B$11:$B$310,523),IF(523&lt;=COUNTA(半紙!$B$11:$B$310)+COUNTA(条幅!$B$11:$B$310),INDEX(条幅!$B$11:$B$310,523-COUNTA(半紙!$B$11:$B$310)),IF(523&lt;=COUNTA(半紙!$B$11:$B$310)+COUNTA(条幅!$B$11:$B$310)+COUNTA(条幅4分の1!$B$11:$B$310),INDEX(条幅4分の1!$B$11:$B$310,523-COUNTA(半紙!$B$11:$B$310)-COUNTA(条幅!$B$11:$B$310)),"")))=0,"",IF(523&lt;=COUNTA(半紙!$B$11:$B$310),INDEX(半紙!$B$11:$B$310,523),IF(523&lt;=COUNTA(半紙!$B$11:$B$310)+COUNTA(条幅!$B$11:$B$310),INDEX(条幅!$B$11:$B$310,523-COUNTA(半紙!$B$11:$B$310)),IF(523&lt;=COUNTA(半紙!$B$11:$B$310)+COUNTA(条幅!$B$11:$B$310)+COUNTA(条幅4分の1!$B$11:$B$310),INDEX(条幅4分の1!$B$11:$B$310,523-COUNTA(半紙!$B$11:$B$310)-COUNTA(条幅!$B$11:$B$310)),""))))</f>
        <v/>
      </c>
      <c r="C528" s="38" t="str">
        <f>IF(IF(523&lt;=COUNTA(半紙!$B$11:$B$310),INDEX(半紙!$C$11:$C$310,523),IF(523&lt;=COUNTA(半紙!$B$11:$B$310)+COUNTA(条幅!$B$11:$B$310),INDEX(条幅!$C$11:$C$310,523-COUNTA(半紙!$B$11:$B$310)),IF(523&lt;=COUNTA(半紙!$B$11:$B$310)+COUNTA(条幅!$B$11:$B$310)+COUNTA(条幅4分の1!$B$11:$B$310),INDEX(条幅4分の1!$C$11:$C$310,523-COUNTA(半紙!$B$11:$B$310)-COUNTA(条幅!$B$11:$B$310)),"")))=0,"",IF(523&lt;=COUNTA(半紙!$B$11:$B$310),INDEX(半紙!$C$11:$C$310,523),IF(523&lt;=COUNTA(半紙!$B$11:$B$310)+COUNTA(条幅!$B$11:$B$310),INDEX(条幅!$C$11:$C$310,523-COUNTA(半紙!$B$11:$B$310)),IF(523&lt;=COUNTA(半紙!$B$11:$B$310)+COUNTA(条幅!$B$11:$B$310)+COUNTA(条幅4分の1!$B$11:$B$310),INDEX(条幅4分の1!$C$11:$C$310,523-COUNTA(半紙!$B$11:$B$310)-COUNTA(条幅!$B$11:$B$310)),""))))</f>
        <v/>
      </c>
      <c r="D528" s="38" t="str">
        <f>IF(IF(523&lt;=COUNTA(半紙!$B$11:$B$310),INDEX(半紙!$D$11:$D$310,523),IF(523&lt;=COUNTA(半紙!$B$11:$B$310)+COUNTA(条幅!$B$11:$B$310),INDEX(条幅!$D$11:$D$310,523-COUNTA(半紙!$B$11:$B$310)),IF(523&lt;=COUNTA(半紙!$B$11:$B$310)+COUNTA(条幅!$B$11:$B$310)+COUNTA(条幅4分の1!$B$11:$B$310),INDEX(条幅4分の1!$D$11:$D$310,523-COUNTA(半紙!$B$11:$B$310)-COUNTA(条幅!$B$11:$B$310)),"")))=0,"",IF(523&lt;=COUNTA(半紙!$B$11:$B$310),INDEX(半紙!$D$11:$D$310,523),IF(523&lt;=COUNTA(半紙!$B$11:$B$310)+COUNTA(条幅!$B$11:$B$310),INDEX(条幅!$D$11:$D$310,523-COUNTA(半紙!$B$11:$B$310)),IF(523&lt;=COUNTA(半紙!$B$11:$B$310)+COUNTA(条幅!$B$11:$B$310)+COUNTA(条幅4分の1!$B$11:$B$310),INDEX(条幅4分の1!$D$11:$D$310,523-COUNTA(半紙!$B$11:$B$310)-COUNTA(条幅!$B$11:$B$310)),""))))</f>
        <v/>
      </c>
      <c r="E528" s="38" t="str">
        <f>IF(IF(523&lt;=COUNTA(半紙!$B$11:$B$310),INDEX(半紙!$E$11:$E$310,523),IF(523&lt;=COUNTA(半紙!$B$11:$B$310)+COUNTA(条幅!$B$11:$B$310),INDEX(条幅!$E$11:$E$310,523-COUNTA(半紙!$B$11:$B$310)),IF(523&lt;=COUNTA(半紙!$B$11:$B$310)+COUNTA(条幅!$B$11:$B$310)+COUNTA(条幅4分の1!$B$11:$B$310),INDEX(条幅4分の1!$E$11:$E$310,523-COUNTA(半紙!$B$11:$B$310)-COUNTA(条幅!$B$11:$B$310)),"")))=0,"",IF(523&lt;=COUNTA(半紙!$B$11:$B$310),INDEX(半紙!$E$11:$E$310,523),IF(523&lt;=COUNTA(半紙!$B$11:$B$310)+COUNTA(条幅!$B$11:$B$310),INDEX(条幅!$E$11:$E$310,523-COUNTA(半紙!$B$11:$B$310)),IF(523&lt;=COUNTA(半紙!$B$11:$B$310)+COUNTA(条幅!$B$11:$B$310)+COUNTA(条幅4分の1!$B$11:$B$310),INDEX(条幅4分の1!$E$11:$E$310,523-COUNTA(半紙!$B$11:$B$310)-COUNTA(条幅!$B$11:$B$310)),""))))</f>
        <v/>
      </c>
      <c r="F528" s="38" t="str">
        <f>IF(IF(523&lt;=COUNTA(半紙!$B$11:$B$310),INDEX(半紙!$F$11:$F$310,523),IF(523&lt;=COUNTA(半紙!$B$11:$B$310)+COUNTA(条幅!$B$11:$B$310),INDEX(条幅!$F$11:$F$310,523-COUNTA(半紙!$B$11:$B$310)),IF(523&lt;=COUNTA(半紙!$B$11:$B$310)+COUNTA(条幅!$B$11:$B$310)+COUNTA(条幅4分の1!$B$11:$B$310),INDEX(条幅4分の1!$F$11:$F$310,523-COUNTA(半紙!$B$11:$B$310)-COUNTA(条幅!$B$11:$B$310)),"")))=0,"",IF(523&lt;=COUNTA(半紙!$B$11:$B$310),INDEX(半紙!$F$11:$F$310,523),IF(523&lt;=COUNTA(半紙!$B$11:$B$310)+COUNTA(条幅!$B$11:$B$310),INDEX(条幅!$F$11:$F$310,523-COUNTA(半紙!$B$11:$B$310)),IF(523&lt;=COUNTA(半紙!$B$11:$B$310)+COUNTA(条幅!$B$11:$B$310)+COUNTA(条幅4分の1!$B$11:$B$310),INDEX(条幅4分の1!$F$11:$F$310,523-COUNTA(半紙!$B$11:$B$310)-COUNTA(条幅!$B$11:$B$310)),""))))</f>
        <v/>
      </c>
      <c r="G528" s="38" t="str">
        <f>IF(IF(523&lt;=COUNTA(半紙!$B$11:$B$310),INDEX(半紙!$G$11:$G$310,523),IF(523&lt;=COUNTA(半紙!$B$11:$B$310)+COUNTA(条幅!$B$11:$B$310),INDEX(条幅!$G$11:$G$310,523-COUNTA(半紙!$B$11:$B$310)),IF(523&lt;=COUNTA(半紙!$B$11:$B$310)+COUNTA(条幅!$B$11:$B$310)+COUNTA(条幅4分の1!$B$11:$B$310),INDEX(条幅4分の1!$G$11:$G$310,523-COUNTA(半紙!$B$11:$B$310)-COUNTA(条幅!$B$11:$B$310)),"")))=0,"",IF(523&lt;=COUNTA(半紙!$B$11:$B$310),INDEX(半紙!$G$11:$G$310,523),IF(523&lt;=COUNTA(半紙!$B$11:$B$310)+COUNTA(条幅!$B$11:$B$310),INDEX(条幅!$G$11:$G$310,523-COUNTA(半紙!$B$11:$B$310)),IF(523&lt;=COUNTA(半紙!$B$11:$B$310)+COUNTA(条幅!$B$11:$B$310)+COUNTA(条幅4分の1!$B$11:$B$310),INDEX(条幅4分の1!$G$11:$G$310,523-COUNTA(半紙!$B$11:$B$310)-COUNTA(条幅!$B$11:$B$310)),""))))</f>
        <v/>
      </c>
      <c r="H528" s="38" t="str">
        <f>IF(IF(523&lt;=COUNTA(半紙!$B$11:$B$310),INDEX(半紙!$H$11:$H$310,523),IF(523&lt;=COUNTA(半紙!$B$11:$B$310)+COUNTA(条幅!$B$11:$B$310),INDEX(条幅!$H$11:$H$310,523-COUNTA(半紙!$B$11:$B$310)),IF(523&lt;=COUNTA(半紙!$B$11:$B$310)+COUNTA(条幅!$B$11:$B$310)+COUNTA(条幅4分の1!$B$11:$B$310),INDEX(条幅4分の1!$H$11:$H$310,523-COUNTA(半紙!$B$11:$B$310)-COUNTA(条幅!$B$11:$B$310)),"")))=0,"",IF(523&lt;=COUNTA(半紙!$B$11:$B$310),INDEX(半紙!$H$11:$H$310,523),IF(523&lt;=COUNTA(半紙!$B$11:$B$310)+COUNTA(条幅!$B$11:$B$310),INDEX(条幅!$H$11:$H$310,523-COUNTA(半紙!$B$11:$B$310)),IF(523&lt;=COUNTA(半紙!$B$11:$B$310)+COUNTA(条幅!$B$11:$B$310)+COUNTA(条幅4分の1!$B$11:$B$310),INDEX(条幅4分の1!$H$11:$H$310,523-COUNTA(半紙!$B$11:$B$310)-COUNTA(条幅!$B$11:$B$310)),""))))</f>
        <v/>
      </c>
      <c r="I528" s="38" t="str">
        <f>IF(IF(523&lt;=COUNTA(半紙!$B$11:$B$310),INDEX(半紙!$I$11:$I$310,523),IF(523&lt;=COUNTA(半紙!$B$11:$B$310)+COUNTA(条幅!$B$11:$B$310),INDEX(条幅!$I$11:$I$310,523-COUNTA(半紙!$B$11:$B$310)),IF(523&lt;=COUNTA(半紙!$B$11:$B$310)+COUNTA(条幅!$B$11:$B$310)+COUNTA(条幅4分の1!$B$11:$B$310),INDEX(条幅4分の1!$I$11:$I$310,523-COUNTA(半紙!$B$11:$B$310)-COUNTA(条幅!$B$11:$B$310)),"")))=0,"",IF(523&lt;=COUNTA(半紙!$B$11:$B$310),INDEX(半紙!$I$11:$I$310,523),IF(523&lt;=COUNTA(半紙!$B$11:$B$310)+COUNTA(条幅!$B$11:$B$310),INDEX(条幅!$I$11:$I$310,523-COUNTA(半紙!$B$11:$B$310)),IF(523&lt;=COUNTA(半紙!$B$11:$B$310)+COUNTA(条幅!$B$11:$B$310)+COUNTA(条幅4分の1!$B$11:$B$310),INDEX(条幅4分の1!$I$11:$I$310,523-COUNTA(半紙!$B$11:$B$310)-COUNTA(条幅!$B$11:$B$310)),""))))</f>
        <v/>
      </c>
      <c r="J528" s="38" t="str">
        <f>IF(IF(523&lt;=COUNTA(半紙!$B$11:$B$310),INDEX(半紙!$J$11:$J$310,523),IF(523&lt;=COUNTA(半紙!$B$11:$B$310)+COUNTA(条幅!$B$11:$B$310),INDEX(条幅!$J$11:$J$310,523-COUNTA(半紙!$B$11:$B$310)),IF(523&lt;=COUNTA(半紙!$B$11:$B$310)+COUNTA(条幅!$B$11:$B$310)+COUNTA(条幅4分の1!$B$11:$B$310),INDEX(条幅4分の1!$J$11:$J$310,523-COUNTA(半紙!$B$11:$B$310)-COUNTA(条幅!$B$11:$B$310)),"")))=0,"",IF(523&lt;=COUNTA(半紙!$B$11:$B$310),INDEX(半紙!$J$11:$J$310,523),IF(523&lt;=COUNTA(半紙!$B$11:$B$310)+COUNTA(条幅!$B$11:$B$310),INDEX(条幅!$J$11:$J$310,523-COUNTA(半紙!$B$11:$B$310)),IF(523&lt;=COUNTA(半紙!$B$11:$B$310)+COUNTA(条幅!$B$11:$B$310)+COUNTA(条幅4分の1!$B$11:$B$310),INDEX(条幅4分の1!$J$11:$J$310,523-COUNTA(半紙!$B$11:$B$310)-COUNTA(条幅!$B$11:$B$310)),""))))</f>
        <v/>
      </c>
      <c r="K528" s="38" t="str">
        <f>IF(IF(523&lt;=COUNTA(半紙!$B$11:$B$310),INDEX(半紙!$K$11:$K$310,523),IF(523&lt;=COUNTA(半紙!$B$11:$B$310)+COUNTA(条幅!$B$11:$B$310),INDEX(条幅!$K$11:$K$310,523-COUNTA(半紙!$B$11:$B$310)),IF(523&lt;=COUNTA(半紙!$B$11:$B$310)+COUNTA(条幅!$B$11:$B$310)+COUNTA(条幅4分の1!$B$11:$B$310),INDEX(条幅4分の1!$K$11:$K$310,523-COUNTA(半紙!$B$11:$B$310)-COUNTA(条幅!$B$11:$B$310)),"")))=0,"",IF(523&lt;=COUNTA(半紙!$B$11:$B$310),INDEX(半紙!$K$11:$K$310,523),IF(523&lt;=COUNTA(半紙!$B$11:$B$310)+COUNTA(条幅!$B$11:$B$310),INDEX(条幅!$K$11:$K$310,523-COUNTA(半紙!$B$11:$B$310)),IF(523&lt;=COUNTA(半紙!$B$11:$B$310)+COUNTA(条幅!$B$11:$B$310)+COUNTA(条幅4分の1!$B$11:$B$310),INDEX(条幅4分の1!$K$11:$K$310,523-COUNTA(半紙!$B$11:$B$310)-COUNTA(条幅!$B$11:$B$310)),""))))</f>
        <v/>
      </c>
      <c r="L528" s="48" t="str">
        <f>IF($B528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523))</f>
        <v/>
      </c>
    </row>
    <row r="529" spans="1:12" ht="15" customHeight="1">
      <c r="A529" s="37" t="str">
        <f>IF(524&lt;=COUNTA(半紙!$B$11:$B$310),"半紙",IF(524&lt;=COUNTA(半紙!$B$11:$B$310)+COUNTA(条幅!$B$11:$B$310),"条幅(半切)",IF(524&lt;=COUNTA(半紙!$B$11:$B$310)+COUNTA(条幅!$B$11:$B$310)+COUNTA(条幅4分の1!$B$11:$B$310),"条幅(1/4)","")))</f>
        <v/>
      </c>
      <c r="B529" s="38" t="str">
        <f>IF(IF(524&lt;=COUNTA(半紙!$B$11:$B$310),INDEX(半紙!$B$11:$B$310,524),IF(524&lt;=COUNTA(半紙!$B$11:$B$310)+COUNTA(条幅!$B$11:$B$310),INDEX(条幅!$B$11:$B$310,524-COUNTA(半紙!$B$11:$B$310)),IF(524&lt;=COUNTA(半紙!$B$11:$B$310)+COUNTA(条幅!$B$11:$B$310)+COUNTA(条幅4分の1!$B$11:$B$310),INDEX(条幅4分の1!$B$11:$B$310,524-COUNTA(半紙!$B$11:$B$310)-COUNTA(条幅!$B$11:$B$310)),"")))=0,"",IF(524&lt;=COUNTA(半紙!$B$11:$B$310),INDEX(半紙!$B$11:$B$310,524),IF(524&lt;=COUNTA(半紙!$B$11:$B$310)+COUNTA(条幅!$B$11:$B$310),INDEX(条幅!$B$11:$B$310,524-COUNTA(半紙!$B$11:$B$310)),IF(524&lt;=COUNTA(半紙!$B$11:$B$310)+COUNTA(条幅!$B$11:$B$310)+COUNTA(条幅4分の1!$B$11:$B$310),INDEX(条幅4分の1!$B$11:$B$310,524-COUNTA(半紙!$B$11:$B$310)-COUNTA(条幅!$B$11:$B$310)),""))))</f>
        <v/>
      </c>
      <c r="C529" s="38" t="str">
        <f>IF(IF(524&lt;=COUNTA(半紙!$B$11:$B$310),INDEX(半紙!$C$11:$C$310,524),IF(524&lt;=COUNTA(半紙!$B$11:$B$310)+COUNTA(条幅!$B$11:$B$310),INDEX(条幅!$C$11:$C$310,524-COUNTA(半紙!$B$11:$B$310)),IF(524&lt;=COUNTA(半紙!$B$11:$B$310)+COUNTA(条幅!$B$11:$B$310)+COUNTA(条幅4分の1!$B$11:$B$310),INDEX(条幅4分の1!$C$11:$C$310,524-COUNTA(半紙!$B$11:$B$310)-COUNTA(条幅!$B$11:$B$310)),"")))=0,"",IF(524&lt;=COUNTA(半紙!$B$11:$B$310),INDEX(半紙!$C$11:$C$310,524),IF(524&lt;=COUNTA(半紙!$B$11:$B$310)+COUNTA(条幅!$B$11:$B$310),INDEX(条幅!$C$11:$C$310,524-COUNTA(半紙!$B$11:$B$310)),IF(524&lt;=COUNTA(半紙!$B$11:$B$310)+COUNTA(条幅!$B$11:$B$310)+COUNTA(条幅4分の1!$B$11:$B$310),INDEX(条幅4分の1!$C$11:$C$310,524-COUNTA(半紙!$B$11:$B$310)-COUNTA(条幅!$B$11:$B$310)),""))))</f>
        <v/>
      </c>
      <c r="D529" s="38" t="str">
        <f>IF(IF(524&lt;=COUNTA(半紙!$B$11:$B$310),INDEX(半紙!$D$11:$D$310,524),IF(524&lt;=COUNTA(半紙!$B$11:$B$310)+COUNTA(条幅!$B$11:$B$310),INDEX(条幅!$D$11:$D$310,524-COUNTA(半紙!$B$11:$B$310)),IF(524&lt;=COUNTA(半紙!$B$11:$B$310)+COUNTA(条幅!$B$11:$B$310)+COUNTA(条幅4分の1!$B$11:$B$310),INDEX(条幅4分の1!$D$11:$D$310,524-COUNTA(半紙!$B$11:$B$310)-COUNTA(条幅!$B$11:$B$310)),"")))=0,"",IF(524&lt;=COUNTA(半紙!$B$11:$B$310),INDEX(半紙!$D$11:$D$310,524),IF(524&lt;=COUNTA(半紙!$B$11:$B$310)+COUNTA(条幅!$B$11:$B$310),INDEX(条幅!$D$11:$D$310,524-COUNTA(半紙!$B$11:$B$310)),IF(524&lt;=COUNTA(半紙!$B$11:$B$310)+COUNTA(条幅!$B$11:$B$310)+COUNTA(条幅4分の1!$B$11:$B$310),INDEX(条幅4分の1!$D$11:$D$310,524-COUNTA(半紙!$B$11:$B$310)-COUNTA(条幅!$B$11:$B$310)),""))))</f>
        <v/>
      </c>
      <c r="E529" s="38" t="str">
        <f>IF(IF(524&lt;=COUNTA(半紙!$B$11:$B$310),INDEX(半紙!$E$11:$E$310,524),IF(524&lt;=COUNTA(半紙!$B$11:$B$310)+COUNTA(条幅!$B$11:$B$310),INDEX(条幅!$E$11:$E$310,524-COUNTA(半紙!$B$11:$B$310)),IF(524&lt;=COUNTA(半紙!$B$11:$B$310)+COUNTA(条幅!$B$11:$B$310)+COUNTA(条幅4分の1!$B$11:$B$310),INDEX(条幅4分の1!$E$11:$E$310,524-COUNTA(半紙!$B$11:$B$310)-COUNTA(条幅!$B$11:$B$310)),"")))=0,"",IF(524&lt;=COUNTA(半紙!$B$11:$B$310),INDEX(半紙!$E$11:$E$310,524),IF(524&lt;=COUNTA(半紙!$B$11:$B$310)+COUNTA(条幅!$B$11:$B$310),INDEX(条幅!$E$11:$E$310,524-COUNTA(半紙!$B$11:$B$310)),IF(524&lt;=COUNTA(半紙!$B$11:$B$310)+COUNTA(条幅!$B$11:$B$310)+COUNTA(条幅4分の1!$B$11:$B$310),INDEX(条幅4分の1!$E$11:$E$310,524-COUNTA(半紙!$B$11:$B$310)-COUNTA(条幅!$B$11:$B$310)),""))))</f>
        <v/>
      </c>
      <c r="F529" s="38" t="str">
        <f>IF(IF(524&lt;=COUNTA(半紙!$B$11:$B$310),INDEX(半紙!$F$11:$F$310,524),IF(524&lt;=COUNTA(半紙!$B$11:$B$310)+COUNTA(条幅!$B$11:$B$310),INDEX(条幅!$F$11:$F$310,524-COUNTA(半紙!$B$11:$B$310)),IF(524&lt;=COUNTA(半紙!$B$11:$B$310)+COUNTA(条幅!$B$11:$B$310)+COUNTA(条幅4分の1!$B$11:$B$310),INDEX(条幅4分の1!$F$11:$F$310,524-COUNTA(半紙!$B$11:$B$310)-COUNTA(条幅!$B$11:$B$310)),"")))=0,"",IF(524&lt;=COUNTA(半紙!$B$11:$B$310),INDEX(半紙!$F$11:$F$310,524),IF(524&lt;=COUNTA(半紙!$B$11:$B$310)+COUNTA(条幅!$B$11:$B$310),INDEX(条幅!$F$11:$F$310,524-COUNTA(半紙!$B$11:$B$310)),IF(524&lt;=COUNTA(半紙!$B$11:$B$310)+COUNTA(条幅!$B$11:$B$310)+COUNTA(条幅4分の1!$B$11:$B$310),INDEX(条幅4分の1!$F$11:$F$310,524-COUNTA(半紙!$B$11:$B$310)-COUNTA(条幅!$B$11:$B$310)),""))))</f>
        <v/>
      </c>
      <c r="G529" s="38" t="str">
        <f>IF(IF(524&lt;=COUNTA(半紙!$B$11:$B$310),INDEX(半紙!$G$11:$G$310,524),IF(524&lt;=COUNTA(半紙!$B$11:$B$310)+COUNTA(条幅!$B$11:$B$310),INDEX(条幅!$G$11:$G$310,524-COUNTA(半紙!$B$11:$B$310)),IF(524&lt;=COUNTA(半紙!$B$11:$B$310)+COUNTA(条幅!$B$11:$B$310)+COUNTA(条幅4分の1!$B$11:$B$310),INDEX(条幅4分の1!$G$11:$G$310,524-COUNTA(半紙!$B$11:$B$310)-COUNTA(条幅!$B$11:$B$310)),"")))=0,"",IF(524&lt;=COUNTA(半紙!$B$11:$B$310),INDEX(半紙!$G$11:$G$310,524),IF(524&lt;=COUNTA(半紙!$B$11:$B$310)+COUNTA(条幅!$B$11:$B$310),INDEX(条幅!$G$11:$G$310,524-COUNTA(半紙!$B$11:$B$310)),IF(524&lt;=COUNTA(半紙!$B$11:$B$310)+COUNTA(条幅!$B$11:$B$310)+COUNTA(条幅4分の1!$B$11:$B$310),INDEX(条幅4分の1!$G$11:$G$310,524-COUNTA(半紙!$B$11:$B$310)-COUNTA(条幅!$B$11:$B$310)),""))))</f>
        <v/>
      </c>
      <c r="H529" s="38" t="str">
        <f>IF(IF(524&lt;=COUNTA(半紙!$B$11:$B$310),INDEX(半紙!$H$11:$H$310,524),IF(524&lt;=COUNTA(半紙!$B$11:$B$310)+COUNTA(条幅!$B$11:$B$310),INDEX(条幅!$H$11:$H$310,524-COUNTA(半紙!$B$11:$B$310)),IF(524&lt;=COUNTA(半紙!$B$11:$B$310)+COUNTA(条幅!$B$11:$B$310)+COUNTA(条幅4分の1!$B$11:$B$310),INDEX(条幅4分の1!$H$11:$H$310,524-COUNTA(半紙!$B$11:$B$310)-COUNTA(条幅!$B$11:$B$310)),"")))=0,"",IF(524&lt;=COUNTA(半紙!$B$11:$B$310),INDEX(半紙!$H$11:$H$310,524),IF(524&lt;=COUNTA(半紙!$B$11:$B$310)+COUNTA(条幅!$B$11:$B$310),INDEX(条幅!$H$11:$H$310,524-COUNTA(半紙!$B$11:$B$310)),IF(524&lt;=COUNTA(半紙!$B$11:$B$310)+COUNTA(条幅!$B$11:$B$310)+COUNTA(条幅4分の1!$B$11:$B$310),INDEX(条幅4分の1!$H$11:$H$310,524-COUNTA(半紙!$B$11:$B$310)-COUNTA(条幅!$B$11:$B$310)),""))))</f>
        <v/>
      </c>
      <c r="I529" s="38" t="str">
        <f>IF(IF(524&lt;=COUNTA(半紙!$B$11:$B$310),INDEX(半紙!$I$11:$I$310,524),IF(524&lt;=COUNTA(半紙!$B$11:$B$310)+COUNTA(条幅!$B$11:$B$310),INDEX(条幅!$I$11:$I$310,524-COUNTA(半紙!$B$11:$B$310)),IF(524&lt;=COUNTA(半紙!$B$11:$B$310)+COUNTA(条幅!$B$11:$B$310)+COUNTA(条幅4分の1!$B$11:$B$310),INDEX(条幅4分の1!$I$11:$I$310,524-COUNTA(半紙!$B$11:$B$310)-COUNTA(条幅!$B$11:$B$310)),"")))=0,"",IF(524&lt;=COUNTA(半紙!$B$11:$B$310),INDEX(半紙!$I$11:$I$310,524),IF(524&lt;=COUNTA(半紙!$B$11:$B$310)+COUNTA(条幅!$B$11:$B$310),INDEX(条幅!$I$11:$I$310,524-COUNTA(半紙!$B$11:$B$310)),IF(524&lt;=COUNTA(半紙!$B$11:$B$310)+COUNTA(条幅!$B$11:$B$310)+COUNTA(条幅4分の1!$B$11:$B$310),INDEX(条幅4分の1!$I$11:$I$310,524-COUNTA(半紙!$B$11:$B$310)-COUNTA(条幅!$B$11:$B$310)),""))))</f>
        <v/>
      </c>
      <c r="J529" s="38" t="str">
        <f>IF(IF(524&lt;=COUNTA(半紙!$B$11:$B$310),INDEX(半紙!$J$11:$J$310,524),IF(524&lt;=COUNTA(半紙!$B$11:$B$310)+COUNTA(条幅!$B$11:$B$310),INDEX(条幅!$J$11:$J$310,524-COUNTA(半紙!$B$11:$B$310)),IF(524&lt;=COUNTA(半紙!$B$11:$B$310)+COUNTA(条幅!$B$11:$B$310)+COUNTA(条幅4分の1!$B$11:$B$310),INDEX(条幅4分の1!$J$11:$J$310,524-COUNTA(半紙!$B$11:$B$310)-COUNTA(条幅!$B$11:$B$310)),"")))=0,"",IF(524&lt;=COUNTA(半紙!$B$11:$B$310),INDEX(半紙!$J$11:$J$310,524),IF(524&lt;=COUNTA(半紙!$B$11:$B$310)+COUNTA(条幅!$B$11:$B$310),INDEX(条幅!$J$11:$J$310,524-COUNTA(半紙!$B$11:$B$310)),IF(524&lt;=COUNTA(半紙!$B$11:$B$310)+COUNTA(条幅!$B$11:$B$310)+COUNTA(条幅4分の1!$B$11:$B$310),INDEX(条幅4分の1!$J$11:$J$310,524-COUNTA(半紙!$B$11:$B$310)-COUNTA(条幅!$B$11:$B$310)),""))))</f>
        <v/>
      </c>
      <c r="K529" s="38" t="str">
        <f>IF(IF(524&lt;=COUNTA(半紙!$B$11:$B$310),INDEX(半紙!$K$11:$K$310,524),IF(524&lt;=COUNTA(半紙!$B$11:$B$310)+COUNTA(条幅!$B$11:$B$310),INDEX(条幅!$K$11:$K$310,524-COUNTA(半紙!$B$11:$B$310)),IF(524&lt;=COUNTA(半紙!$B$11:$B$310)+COUNTA(条幅!$B$11:$B$310)+COUNTA(条幅4分の1!$B$11:$B$310),INDEX(条幅4分の1!$K$11:$K$310,524-COUNTA(半紙!$B$11:$B$310)-COUNTA(条幅!$B$11:$B$310)),"")))=0,"",IF(524&lt;=COUNTA(半紙!$B$11:$B$310),INDEX(半紙!$K$11:$K$310,524),IF(524&lt;=COUNTA(半紙!$B$11:$B$310)+COUNTA(条幅!$B$11:$B$310),INDEX(条幅!$K$11:$K$310,524-COUNTA(半紙!$B$11:$B$310)),IF(524&lt;=COUNTA(半紙!$B$11:$B$310)+COUNTA(条幅!$B$11:$B$310)+COUNTA(条幅4分の1!$B$11:$B$310),INDEX(条幅4分の1!$K$11:$K$310,524-COUNTA(半紙!$B$11:$B$310)-COUNTA(条幅!$B$11:$B$310)),""))))</f>
        <v/>
      </c>
      <c r="L529" s="48" t="str">
        <f>IF($B529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524))</f>
        <v/>
      </c>
    </row>
    <row r="530" spans="1:12" ht="15" customHeight="1">
      <c r="A530" s="37" t="str">
        <f>IF(525&lt;=COUNTA(半紙!$B$11:$B$310),"半紙",IF(525&lt;=COUNTA(半紙!$B$11:$B$310)+COUNTA(条幅!$B$11:$B$310),"条幅(半切)",IF(525&lt;=COUNTA(半紙!$B$11:$B$310)+COUNTA(条幅!$B$11:$B$310)+COUNTA(条幅4分の1!$B$11:$B$310),"条幅(1/4)","")))</f>
        <v/>
      </c>
      <c r="B530" s="38" t="str">
        <f>IF(IF(525&lt;=COUNTA(半紙!$B$11:$B$310),INDEX(半紙!$B$11:$B$310,525),IF(525&lt;=COUNTA(半紙!$B$11:$B$310)+COUNTA(条幅!$B$11:$B$310),INDEX(条幅!$B$11:$B$310,525-COUNTA(半紙!$B$11:$B$310)),IF(525&lt;=COUNTA(半紙!$B$11:$B$310)+COUNTA(条幅!$B$11:$B$310)+COUNTA(条幅4分の1!$B$11:$B$310),INDEX(条幅4分の1!$B$11:$B$310,525-COUNTA(半紙!$B$11:$B$310)-COUNTA(条幅!$B$11:$B$310)),"")))=0,"",IF(525&lt;=COUNTA(半紙!$B$11:$B$310),INDEX(半紙!$B$11:$B$310,525),IF(525&lt;=COUNTA(半紙!$B$11:$B$310)+COUNTA(条幅!$B$11:$B$310),INDEX(条幅!$B$11:$B$310,525-COUNTA(半紙!$B$11:$B$310)),IF(525&lt;=COUNTA(半紙!$B$11:$B$310)+COUNTA(条幅!$B$11:$B$310)+COUNTA(条幅4分の1!$B$11:$B$310),INDEX(条幅4分の1!$B$11:$B$310,525-COUNTA(半紙!$B$11:$B$310)-COUNTA(条幅!$B$11:$B$310)),""))))</f>
        <v/>
      </c>
      <c r="C530" s="38" t="str">
        <f>IF(IF(525&lt;=COUNTA(半紙!$B$11:$B$310),INDEX(半紙!$C$11:$C$310,525),IF(525&lt;=COUNTA(半紙!$B$11:$B$310)+COUNTA(条幅!$B$11:$B$310),INDEX(条幅!$C$11:$C$310,525-COUNTA(半紙!$B$11:$B$310)),IF(525&lt;=COUNTA(半紙!$B$11:$B$310)+COUNTA(条幅!$B$11:$B$310)+COUNTA(条幅4分の1!$B$11:$B$310),INDEX(条幅4分の1!$C$11:$C$310,525-COUNTA(半紙!$B$11:$B$310)-COUNTA(条幅!$B$11:$B$310)),"")))=0,"",IF(525&lt;=COUNTA(半紙!$B$11:$B$310),INDEX(半紙!$C$11:$C$310,525),IF(525&lt;=COUNTA(半紙!$B$11:$B$310)+COUNTA(条幅!$B$11:$B$310),INDEX(条幅!$C$11:$C$310,525-COUNTA(半紙!$B$11:$B$310)),IF(525&lt;=COUNTA(半紙!$B$11:$B$310)+COUNTA(条幅!$B$11:$B$310)+COUNTA(条幅4分の1!$B$11:$B$310),INDEX(条幅4分の1!$C$11:$C$310,525-COUNTA(半紙!$B$11:$B$310)-COUNTA(条幅!$B$11:$B$310)),""))))</f>
        <v/>
      </c>
      <c r="D530" s="38" t="str">
        <f>IF(IF(525&lt;=COUNTA(半紙!$B$11:$B$310),INDEX(半紙!$D$11:$D$310,525),IF(525&lt;=COUNTA(半紙!$B$11:$B$310)+COUNTA(条幅!$B$11:$B$310),INDEX(条幅!$D$11:$D$310,525-COUNTA(半紙!$B$11:$B$310)),IF(525&lt;=COUNTA(半紙!$B$11:$B$310)+COUNTA(条幅!$B$11:$B$310)+COUNTA(条幅4分の1!$B$11:$B$310),INDEX(条幅4分の1!$D$11:$D$310,525-COUNTA(半紙!$B$11:$B$310)-COUNTA(条幅!$B$11:$B$310)),"")))=0,"",IF(525&lt;=COUNTA(半紙!$B$11:$B$310),INDEX(半紙!$D$11:$D$310,525),IF(525&lt;=COUNTA(半紙!$B$11:$B$310)+COUNTA(条幅!$B$11:$B$310),INDEX(条幅!$D$11:$D$310,525-COUNTA(半紙!$B$11:$B$310)),IF(525&lt;=COUNTA(半紙!$B$11:$B$310)+COUNTA(条幅!$B$11:$B$310)+COUNTA(条幅4分の1!$B$11:$B$310),INDEX(条幅4分の1!$D$11:$D$310,525-COUNTA(半紙!$B$11:$B$310)-COUNTA(条幅!$B$11:$B$310)),""))))</f>
        <v/>
      </c>
      <c r="E530" s="38" t="str">
        <f>IF(IF(525&lt;=COUNTA(半紙!$B$11:$B$310),INDEX(半紙!$E$11:$E$310,525),IF(525&lt;=COUNTA(半紙!$B$11:$B$310)+COUNTA(条幅!$B$11:$B$310),INDEX(条幅!$E$11:$E$310,525-COUNTA(半紙!$B$11:$B$310)),IF(525&lt;=COUNTA(半紙!$B$11:$B$310)+COUNTA(条幅!$B$11:$B$310)+COUNTA(条幅4分の1!$B$11:$B$310),INDEX(条幅4分の1!$E$11:$E$310,525-COUNTA(半紙!$B$11:$B$310)-COUNTA(条幅!$B$11:$B$310)),"")))=0,"",IF(525&lt;=COUNTA(半紙!$B$11:$B$310),INDEX(半紙!$E$11:$E$310,525),IF(525&lt;=COUNTA(半紙!$B$11:$B$310)+COUNTA(条幅!$B$11:$B$310),INDEX(条幅!$E$11:$E$310,525-COUNTA(半紙!$B$11:$B$310)),IF(525&lt;=COUNTA(半紙!$B$11:$B$310)+COUNTA(条幅!$B$11:$B$310)+COUNTA(条幅4分の1!$B$11:$B$310),INDEX(条幅4分の1!$E$11:$E$310,525-COUNTA(半紙!$B$11:$B$310)-COUNTA(条幅!$B$11:$B$310)),""))))</f>
        <v/>
      </c>
      <c r="F530" s="38" t="str">
        <f>IF(IF(525&lt;=COUNTA(半紙!$B$11:$B$310),INDEX(半紙!$F$11:$F$310,525),IF(525&lt;=COUNTA(半紙!$B$11:$B$310)+COUNTA(条幅!$B$11:$B$310),INDEX(条幅!$F$11:$F$310,525-COUNTA(半紙!$B$11:$B$310)),IF(525&lt;=COUNTA(半紙!$B$11:$B$310)+COUNTA(条幅!$B$11:$B$310)+COUNTA(条幅4分の1!$B$11:$B$310),INDEX(条幅4分の1!$F$11:$F$310,525-COUNTA(半紙!$B$11:$B$310)-COUNTA(条幅!$B$11:$B$310)),"")))=0,"",IF(525&lt;=COUNTA(半紙!$B$11:$B$310),INDEX(半紙!$F$11:$F$310,525),IF(525&lt;=COUNTA(半紙!$B$11:$B$310)+COUNTA(条幅!$B$11:$B$310),INDEX(条幅!$F$11:$F$310,525-COUNTA(半紙!$B$11:$B$310)),IF(525&lt;=COUNTA(半紙!$B$11:$B$310)+COUNTA(条幅!$B$11:$B$310)+COUNTA(条幅4分の1!$B$11:$B$310),INDEX(条幅4分の1!$F$11:$F$310,525-COUNTA(半紙!$B$11:$B$310)-COUNTA(条幅!$B$11:$B$310)),""))))</f>
        <v/>
      </c>
      <c r="G530" s="38" t="str">
        <f>IF(IF(525&lt;=COUNTA(半紙!$B$11:$B$310),INDEX(半紙!$G$11:$G$310,525),IF(525&lt;=COUNTA(半紙!$B$11:$B$310)+COUNTA(条幅!$B$11:$B$310),INDEX(条幅!$G$11:$G$310,525-COUNTA(半紙!$B$11:$B$310)),IF(525&lt;=COUNTA(半紙!$B$11:$B$310)+COUNTA(条幅!$B$11:$B$310)+COUNTA(条幅4分の1!$B$11:$B$310),INDEX(条幅4分の1!$G$11:$G$310,525-COUNTA(半紙!$B$11:$B$310)-COUNTA(条幅!$B$11:$B$310)),"")))=0,"",IF(525&lt;=COUNTA(半紙!$B$11:$B$310),INDEX(半紙!$G$11:$G$310,525),IF(525&lt;=COUNTA(半紙!$B$11:$B$310)+COUNTA(条幅!$B$11:$B$310),INDEX(条幅!$G$11:$G$310,525-COUNTA(半紙!$B$11:$B$310)),IF(525&lt;=COUNTA(半紙!$B$11:$B$310)+COUNTA(条幅!$B$11:$B$310)+COUNTA(条幅4分の1!$B$11:$B$310),INDEX(条幅4分の1!$G$11:$G$310,525-COUNTA(半紙!$B$11:$B$310)-COUNTA(条幅!$B$11:$B$310)),""))))</f>
        <v/>
      </c>
      <c r="H530" s="38" t="str">
        <f>IF(IF(525&lt;=COUNTA(半紙!$B$11:$B$310),INDEX(半紙!$H$11:$H$310,525),IF(525&lt;=COUNTA(半紙!$B$11:$B$310)+COUNTA(条幅!$B$11:$B$310),INDEX(条幅!$H$11:$H$310,525-COUNTA(半紙!$B$11:$B$310)),IF(525&lt;=COUNTA(半紙!$B$11:$B$310)+COUNTA(条幅!$B$11:$B$310)+COUNTA(条幅4分の1!$B$11:$B$310),INDEX(条幅4分の1!$H$11:$H$310,525-COUNTA(半紙!$B$11:$B$310)-COUNTA(条幅!$B$11:$B$310)),"")))=0,"",IF(525&lt;=COUNTA(半紙!$B$11:$B$310),INDEX(半紙!$H$11:$H$310,525),IF(525&lt;=COUNTA(半紙!$B$11:$B$310)+COUNTA(条幅!$B$11:$B$310),INDEX(条幅!$H$11:$H$310,525-COUNTA(半紙!$B$11:$B$310)),IF(525&lt;=COUNTA(半紙!$B$11:$B$310)+COUNTA(条幅!$B$11:$B$310)+COUNTA(条幅4分の1!$B$11:$B$310),INDEX(条幅4分の1!$H$11:$H$310,525-COUNTA(半紙!$B$11:$B$310)-COUNTA(条幅!$B$11:$B$310)),""))))</f>
        <v/>
      </c>
      <c r="I530" s="38" t="str">
        <f>IF(IF(525&lt;=COUNTA(半紙!$B$11:$B$310),INDEX(半紙!$I$11:$I$310,525),IF(525&lt;=COUNTA(半紙!$B$11:$B$310)+COUNTA(条幅!$B$11:$B$310),INDEX(条幅!$I$11:$I$310,525-COUNTA(半紙!$B$11:$B$310)),IF(525&lt;=COUNTA(半紙!$B$11:$B$310)+COUNTA(条幅!$B$11:$B$310)+COUNTA(条幅4分の1!$B$11:$B$310),INDEX(条幅4分の1!$I$11:$I$310,525-COUNTA(半紙!$B$11:$B$310)-COUNTA(条幅!$B$11:$B$310)),"")))=0,"",IF(525&lt;=COUNTA(半紙!$B$11:$B$310),INDEX(半紙!$I$11:$I$310,525),IF(525&lt;=COUNTA(半紙!$B$11:$B$310)+COUNTA(条幅!$B$11:$B$310),INDEX(条幅!$I$11:$I$310,525-COUNTA(半紙!$B$11:$B$310)),IF(525&lt;=COUNTA(半紙!$B$11:$B$310)+COUNTA(条幅!$B$11:$B$310)+COUNTA(条幅4分の1!$B$11:$B$310),INDEX(条幅4分の1!$I$11:$I$310,525-COUNTA(半紙!$B$11:$B$310)-COUNTA(条幅!$B$11:$B$310)),""))))</f>
        <v/>
      </c>
      <c r="J530" s="38" t="str">
        <f>IF(IF(525&lt;=COUNTA(半紙!$B$11:$B$310),INDEX(半紙!$J$11:$J$310,525),IF(525&lt;=COUNTA(半紙!$B$11:$B$310)+COUNTA(条幅!$B$11:$B$310),INDEX(条幅!$J$11:$J$310,525-COUNTA(半紙!$B$11:$B$310)),IF(525&lt;=COUNTA(半紙!$B$11:$B$310)+COUNTA(条幅!$B$11:$B$310)+COUNTA(条幅4分の1!$B$11:$B$310),INDEX(条幅4分の1!$J$11:$J$310,525-COUNTA(半紙!$B$11:$B$310)-COUNTA(条幅!$B$11:$B$310)),"")))=0,"",IF(525&lt;=COUNTA(半紙!$B$11:$B$310),INDEX(半紙!$J$11:$J$310,525),IF(525&lt;=COUNTA(半紙!$B$11:$B$310)+COUNTA(条幅!$B$11:$B$310),INDEX(条幅!$J$11:$J$310,525-COUNTA(半紙!$B$11:$B$310)),IF(525&lt;=COUNTA(半紙!$B$11:$B$310)+COUNTA(条幅!$B$11:$B$310)+COUNTA(条幅4分の1!$B$11:$B$310),INDEX(条幅4分の1!$J$11:$J$310,525-COUNTA(半紙!$B$11:$B$310)-COUNTA(条幅!$B$11:$B$310)),""))))</f>
        <v/>
      </c>
      <c r="K530" s="38" t="str">
        <f>IF(IF(525&lt;=COUNTA(半紙!$B$11:$B$310),INDEX(半紙!$K$11:$K$310,525),IF(525&lt;=COUNTA(半紙!$B$11:$B$310)+COUNTA(条幅!$B$11:$B$310),INDEX(条幅!$K$11:$K$310,525-COUNTA(半紙!$B$11:$B$310)),IF(525&lt;=COUNTA(半紙!$B$11:$B$310)+COUNTA(条幅!$B$11:$B$310)+COUNTA(条幅4分の1!$B$11:$B$310),INDEX(条幅4分の1!$K$11:$K$310,525-COUNTA(半紙!$B$11:$B$310)-COUNTA(条幅!$B$11:$B$310)),"")))=0,"",IF(525&lt;=COUNTA(半紙!$B$11:$B$310),INDEX(半紙!$K$11:$K$310,525),IF(525&lt;=COUNTA(半紙!$B$11:$B$310)+COUNTA(条幅!$B$11:$B$310),INDEX(条幅!$K$11:$K$310,525-COUNTA(半紙!$B$11:$B$310)),IF(525&lt;=COUNTA(半紙!$B$11:$B$310)+COUNTA(条幅!$B$11:$B$310)+COUNTA(条幅4分の1!$B$11:$B$310),INDEX(条幅4分の1!$K$11:$K$310,525-COUNTA(半紙!$B$11:$B$310)-COUNTA(条幅!$B$11:$B$310)),""))))</f>
        <v/>
      </c>
      <c r="L530" s="48" t="str">
        <f>IF($B530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525))</f>
        <v/>
      </c>
    </row>
    <row r="531" spans="1:12" ht="15" customHeight="1">
      <c r="A531" s="37" t="str">
        <f>IF(526&lt;=COUNTA(半紙!$B$11:$B$310),"半紙",IF(526&lt;=COUNTA(半紙!$B$11:$B$310)+COUNTA(条幅!$B$11:$B$310),"条幅(半切)",IF(526&lt;=COUNTA(半紙!$B$11:$B$310)+COUNTA(条幅!$B$11:$B$310)+COUNTA(条幅4分の1!$B$11:$B$310),"条幅(1/4)","")))</f>
        <v/>
      </c>
      <c r="B531" s="38" t="str">
        <f>IF(IF(526&lt;=COUNTA(半紙!$B$11:$B$310),INDEX(半紙!$B$11:$B$310,526),IF(526&lt;=COUNTA(半紙!$B$11:$B$310)+COUNTA(条幅!$B$11:$B$310),INDEX(条幅!$B$11:$B$310,526-COUNTA(半紙!$B$11:$B$310)),IF(526&lt;=COUNTA(半紙!$B$11:$B$310)+COUNTA(条幅!$B$11:$B$310)+COUNTA(条幅4分の1!$B$11:$B$310),INDEX(条幅4分の1!$B$11:$B$310,526-COUNTA(半紙!$B$11:$B$310)-COUNTA(条幅!$B$11:$B$310)),"")))=0,"",IF(526&lt;=COUNTA(半紙!$B$11:$B$310),INDEX(半紙!$B$11:$B$310,526),IF(526&lt;=COUNTA(半紙!$B$11:$B$310)+COUNTA(条幅!$B$11:$B$310),INDEX(条幅!$B$11:$B$310,526-COUNTA(半紙!$B$11:$B$310)),IF(526&lt;=COUNTA(半紙!$B$11:$B$310)+COUNTA(条幅!$B$11:$B$310)+COUNTA(条幅4分の1!$B$11:$B$310),INDEX(条幅4分の1!$B$11:$B$310,526-COUNTA(半紙!$B$11:$B$310)-COUNTA(条幅!$B$11:$B$310)),""))))</f>
        <v/>
      </c>
      <c r="C531" s="38" t="str">
        <f>IF(IF(526&lt;=COUNTA(半紙!$B$11:$B$310),INDEX(半紙!$C$11:$C$310,526),IF(526&lt;=COUNTA(半紙!$B$11:$B$310)+COUNTA(条幅!$B$11:$B$310),INDEX(条幅!$C$11:$C$310,526-COUNTA(半紙!$B$11:$B$310)),IF(526&lt;=COUNTA(半紙!$B$11:$B$310)+COUNTA(条幅!$B$11:$B$310)+COUNTA(条幅4分の1!$B$11:$B$310),INDEX(条幅4分の1!$C$11:$C$310,526-COUNTA(半紙!$B$11:$B$310)-COUNTA(条幅!$B$11:$B$310)),"")))=0,"",IF(526&lt;=COUNTA(半紙!$B$11:$B$310),INDEX(半紙!$C$11:$C$310,526),IF(526&lt;=COUNTA(半紙!$B$11:$B$310)+COUNTA(条幅!$B$11:$B$310),INDEX(条幅!$C$11:$C$310,526-COUNTA(半紙!$B$11:$B$310)),IF(526&lt;=COUNTA(半紙!$B$11:$B$310)+COUNTA(条幅!$B$11:$B$310)+COUNTA(条幅4分の1!$B$11:$B$310),INDEX(条幅4分の1!$C$11:$C$310,526-COUNTA(半紙!$B$11:$B$310)-COUNTA(条幅!$B$11:$B$310)),""))))</f>
        <v/>
      </c>
      <c r="D531" s="38" t="str">
        <f>IF(IF(526&lt;=COUNTA(半紙!$B$11:$B$310),INDEX(半紙!$D$11:$D$310,526),IF(526&lt;=COUNTA(半紙!$B$11:$B$310)+COUNTA(条幅!$B$11:$B$310),INDEX(条幅!$D$11:$D$310,526-COUNTA(半紙!$B$11:$B$310)),IF(526&lt;=COUNTA(半紙!$B$11:$B$310)+COUNTA(条幅!$B$11:$B$310)+COUNTA(条幅4分の1!$B$11:$B$310),INDEX(条幅4分の1!$D$11:$D$310,526-COUNTA(半紙!$B$11:$B$310)-COUNTA(条幅!$B$11:$B$310)),"")))=0,"",IF(526&lt;=COUNTA(半紙!$B$11:$B$310),INDEX(半紙!$D$11:$D$310,526),IF(526&lt;=COUNTA(半紙!$B$11:$B$310)+COUNTA(条幅!$B$11:$B$310),INDEX(条幅!$D$11:$D$310,526-COUNTA(半紙!$B$11:$B$310)),IF(526&lt;=COUNTA(半紙!$B$11:$B$310)+COUNTA(条幅!$B$11:$B$310)+COUNTA(条幅4分の1!$B$11:$B$310),INDEX(条幅4分の1!$D$11:$D$310,526-COUNTA(半紙!$B$11:$B$310)-COUNTA(条幅!$B$11:$B$310)),""))))</f>
        <v/>
      </c>
      <c r="E531" s="38" t="str">
        <f>IF(IF(526&lt;=COUNTA(半紙!$B$11:$B$310),INDEX(半紙!$E$11:$E$310,526),IF(526&lt;=COUNTA(半紙!$B$11:$B$310)+COUNTA(条幅!$B$11:$B$310),INDEX(条幅!$E$11:$E$310,526-COUNTA(半紙!$B$11:$B$310)),IF(526&lt;=COUNTA(半紙!$B$11:$B$310)+COUNTA(条幅!$B$11:$B$310)+COUNTA(条幅4分の1!$B$11:$B$310),INDEX(条幅4分の1!$E$11:$E$310,526-COUNTA(半紙!$B$11:$B$310)-COUNTA(条幅!$B$11:$B$310)),"")))=0,"",IF(526&lt;=COUNTA(半紙!$B$11:$B$310),INDEX(半紙!$E$11:$E$310,526),IF(526&lt;=COUNTA(半紙!$B$11:$B$310)+COUNTA(条幅!$B$11:$B$310),INDEX(条幅!$E$11:$E$310,526-COUNTA(半紙!$B$11:$B$310)),IF(526&lt;=COUNTA(半紙!$B$11:$B$310)+COUNTA(条幅!$B$11:$B$310)+COUNTA(条幅4分の1!$B$11:$B$310),INDEX(条幅4分の1!$E$11:$E$310,526-COUNTA(半紙!$B$11:$B$310)-COUNTA(条幅!$B$11:$B$310)),""))))</f>
        <v/>
      </c>
      <c r="F531" s="38" t="str">
        <f>IF(IF(526&lt;=COUNTA(半紙!$B$11:$B$310),INDEX(半紙!$F$11:$F$310,526),IF(526&lt;=COUNTA(半紙!$B$11:$B$310)+COUNTA(条幅!$B$11:$B$310),INDEX(条幅!$F$11:$F$310,526-COUNTA(半紙!$B$11:$B$310)),IF(526&lt;=COUNTA(半紙!$B$11:$B$310)+COUNTA(条幅!$B$11:$B$310)+COUNTA(条幅4分の1!$B$11:$B$310),INDEX(条幅4分の1!$F$11:$F$310,526-COUNTA(半紙!$B$11:$B$310)-COUNTA(条幅!$B$11:$B$310)),"")))=0,"",IF(526&lt;=COUNTA(半紙!$B$11:$B$310),INDEX(半紙!$F$11:$F$310,526),IF(526&lt;=COUNTA(半紙!$B$11:$B$310)+COUNTA(条幅!$B$11:$B$310),INDEX(条幅!$F$11:$F$310,526-COUNTA(半紙!$B$11:$B$310)),IF(526&lt;=COUNTA(半紙!$B$11:$B$310)+COUNTA(条幅!$B$11:$B$310)+COUNTA(条幅4分の1!$B$11:$B$310),INDEX(条幅4分の1!$F$11:$F$310,526-COUNTA(半紙!$B$11:$B$310)-COUNTA(条幅!$B$11:$B$310)),""))))</f>
        <v/>
      </c>
      <c r="G531" s="38" t="str">
        <f>IF(IF(526&lt;=COUNTA(半紙!$B$11:$B$310),INDEX(半紙!$G$11:$G$310,526),IF(526&lt;=COUNTA(半紙!$B$11:$B$310)+COUNTA(条幅!$B$11:$B$310),INDEX(条幅!$G$11:$G$310,526-COUNTA(半紙!$B$11:$B$310)),IF(526&lt;=COUNTA(半紙!$B$11:$B$310)+COUNTA(条幅!$B$11:$B$310)+COUNTA(条幅4分の1!$B$11:$B$310),INDEX(条幅4分の1!$G$11:$G$310,526-COUNTA(半紙!$B$11:$B$310)-COUNTA(条幅!$B$11:$B$310)),"")))=0,"",IF(526&lt;=COUNTA(半紙!$B$11:$B$310),INDEX(半紙!$G$11:$G$310,526),IF(526&lt;=COUNTA(半紙!$B$11:$B$310)+COUNTA(条幅!$B$11:$B$310),INDEX(条幅!$G$11:$G$310,526-COUNTA(半紙!$B$11:$B$310)),IF(526&lt;=COUNTA(半紙!$B$11:$B$310)+COUNTA(条幅!$B$11:$B$310)+COUNTA(条幅4分の1!$B$11:$B$310),INDEX(条幅4分の1!$G$11:$G$310,526-COUNTA(半紙!$B$11:$B$310)-COUNTA(条幅!$B$11:$B$310)),""))))</f>
        <v/>
      </c>
      <c r="H531" s="38" t="str">
        <f>IF(IF(526&lt;=COUNTA(半紙!$B$11:$B$310),INDEX(半紙!$H$11:$H$310,526),IF(526&lt;=COUNTA(半紙!$B$11:$B$310)+COUNTA(条幅!$B$11:$B$310),INDEX(条幅!$H$11:$H$310,526-COUNTA(半紙!$B$11:$B$310)),IF(526&lt;=COUNTA(半紙!$B$11:$B$310)+COUNTA(条幅!$B$11:$B$310)+COUNTA(条幅4分の1!$B$11:$B$310),INDEX(条幅4分の1!$H$11:$H$310,526-COUNTA(半紙!$B$11:$B$310)-COUNTA(条幅!$B$11:$B$310)),"")))=0,"",IF(526&lt;=COUNTA(半紙!$B$11:$B$310),INDEX(半紙!$H$11:$H$310,526),IF(526&lt;=COUNTA(半紙!$B$11:$B$310)+COUNTA(条幅!$B$11:$B$310),INDEX(条幅!$H$11:$H$310,526-COUNTA(半紙!$B$11:$B$310)),IF(526&lt;=COUNTA(半紙!$B$11:$B$310)+COUNTA(条幅!$B$11:$B$310)+COUNTA(条幅4分の1!$B$11:$B$310),INDEX(条幅4分の1!$H$11:$H$310,526-COUNTA(半紙!$B$11:$B$310)-COUNTA(条幅!$B$11:$B$310)),""))))</f>
        <v/>
      </c>
      <c r="I531" s="38" t="str">
        <f>IF(IF(526&lt;=COUNTA(半紙!$B$11:$B$310),INDEX(半紙!$I$11:$I$310,526),IF(526&lt;=COUNTA(半紙!$B$11:$B$310)+COUNTA(条幅!$B$11:$B$310),INDEX(条幅!$I$11:$I$310,526-COUNTA(半紙!$B$11:$B$310)),IF(526&lt;=COUNTA(半紙!$B$11:$B$310)+COUNTA(条幅!$B$11:$B$310)+COUNTA(条幅4分の1!$B$11:$B$310),INDEX(条幅4分の1!$I$11:$I$310,526-COUNTA(半紙!$B$11:$B$310)-COUNTA(条幅!$B$11:$B$310)),"")))=0,"",IF(526&lt;=COUNTA(半紙!$B$11:$B$310),INDEX(半紙!$I$11:$I$310,526),IF(526&lt;=COUNTA(半紙!$B$11:$B$310)+COUNTA(条幅!$B$11:$B$310),INDEX(条幅!$I$11:$I$310,526-COUNTA(半紙!$B$11:$B$310)),IF(526&lt;=COUNTA(半紙!$B$11:$B$310)+COUNTA(条幅!$B$11:$B$310)+COUNTA(条幅4分の1!$B$11:$B$310),INDEX(条幅4分の1!$I$11:$I$310,526-COUNTA(半紙!$B$11:$B$310)-COUNTA(条幅!$B$11:$B$310)),""))))</f>
        <v/>
      </c>
      <c r="J531" s="38" t="str">
        <f>IF(IF(526&lt;=COUNTA(半紙!$B$11:$B$310),INDEX(半紙!$J$11:$J$310,526),IF(526&lt;=COUNTA(半紙!$B$11:$B$310)+COUNTA(条幅!$B$11:$B$310),INDEX(条幅!$J$11:$J$310,526-COUNTA(半紙!$B$11:$B$310)),IF(526&lt;=COUNTA(半紙!$B$11:$B$310)+COUNTA(条幅!$B$11:$B$310)+COUNTA(条幅4分の1!$B$11:$B$310),INDEX(条幅4分の1!$J$11:$J$310,526-COUNTA(半紙!$B$11:$B$310)-COUNTA(条幅!$B$11:$B$310)),"")))=0,"",IF(526&lt;=COUNTA(半紙!$B$11:$B$310),INDEX(半紙!$J$11:$J$310,526),IF(526&lt;=COUNTA(半紙!$B$11:$B$310)+COUNTA(条幅!$B$11:$B$310),INDEX(条幅!$J$11:$J$310,526-COUNTA(半紙!$B$11:$B$310)),IF(526&lt;=COUNTA(半紙!$B$11:$B$310)+COUNTA(条幅!$B$11:$B$310)+COUNTA(条幅4分の1!$B$11:$B$310),INDEX(条幅4分の1!$J$11:$J$310,526-COUNTA(半紙!$B$11:$B$310)-COUNTA(条幅!$B$11:$B$310)),""))))</f>
        <v/>
      </c>
      <c r="K531" s="38" t="str">
        <f>IF(IF(526&lt;=COUNTA(半紙!$B$11:$B$310),INDEX(半紙!$K$11:$K$310,526),IF(526&lt;=COUNTA(半紙!$B$11:$B$310)+COUNTA(条幅!$B$11:$B$310),INDEX(条幅!$K$11:$K$310,526-COUNTA(半紙!$B$11:$B$310)),IF(526&lt;=COUNTA(半紙!$B$11:$B$310)+COUNTA(条幅!$B$11:$B$310)+COUNTA(条幅4分の1!$B$11:$B$310),INDEX(条幅4分の1!$K$11:$K$310,526-COUNTA(半紙!$B$11:$B$310)-COUNTA(条幅!$B$11:$B$310)),"")))=0,"",IF(526&lt;=COUNTA(半紙!$B$11:$B$310),INDEX(半紙!$K$11:$K$310,526),IF(526&lt;=COUNTA(半紙!$B$11:$B$310)+COUNTA(条幅!$B$11:$B$310),INDEX(条幅!$K$11:$K$310,526-COUNTA(半紙!$B$11:$B$310)),IF(526&lt;=COUNTA(半紙!$B$11:$B$310)+COUNTA(条幅!$B$11:$B$310)+COUNTA(条幅4分の1!$B$11:$B$310),INDEX(条幅4分の1!$K$11:$K$310,526-COUNTA(半紙!$B$11:$B$310)-COUNTA(条幅!$B$11:$B$310)),""))))</f>
        <v/>
      </c>
      <c r="L531" s="48" t="str">
        <f>IF($B531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526))</f>
        <v/>
      </c>
    </row>
    <row r="532" spans="1:12" ht="15" customHeight="1">
      <c r="A532" s="37" t="str">
        <f>IF(527&lt;=COUNTA(半紙!$B$11:$B$310),"半紙",IF(527&lt;=COUNTA(半紙!$B$11:$B$310)+COUNTA(条幅!$B$11:$B$310),"条幅(半切)",IF(527&lt;=COUNTA(半紙!$B$11:$B$310)+COUNTA(条幅!$B$11:$B$310)+COUNTA(条幅4分の1!$B$11:$B$310),"条幅(1/4)","")))</f>
        <v/>
      </c>
      <c r="B532" s="38" t="str">
        <f>IF(IF(527&lt;=COUNTA(半紙!$B$11:$B$310),INDEX(半紙!$B$11:$B$310,527),IF(527&lt;=COUNTA(半紙!$B$11:$B$310)+COUNTA(条幅!$B$11:$B$310),INDEX(条幅!$B$11:$B$310,527-COUNTA(半紙!$B$11:$B$310)),IF(527&lt;=COUNTA(半紙!$B$11:$B$310)+COUNTA(条幅!$B$11:$B$310)+COUNTA(条幅4分の1!$B$11:$B$310),INDEX(条幅4分の1!$B$11:$B$310,527-COUNTA(半紙!$B$11:$B$310)-COUNTA(条幅!$B$11:$B$310)),"")))=0,"",IF(527&lt;=COUNTA(半紙!$B$11:$B$310),INDEX(半紙!$B$11:$B$310,527),IF(527&lt;=COUNTA(半紙!$B$11:$B$310)+COUNTA(条幅!$B$11:$B$310),INDEX(条幅!$B$11:$B$310,527-COUNTA(半紙!$B$11:$B$310)),IF(527&lt;=COUNTA(半紙!$B$11:$B$310)+COUNTA(条幅!$B$11:$B$310)+COUNTA(条幅4分の1!$B$11:$B$310),INDEX(条幅4分の1!$B$11:$B$310,527-COUNTA(半紙!$B$11:$B$310)-COUNTA(条幅!$B$11:$B$310)),""))))</f>
        <v/>
      </c>
      <c r="C532" s="38" t="str">
        <f>IF(IF(527&lt;=COUNTA(半紙!$B$11:$B$310),INDEX(半紙!$C$11:$C$310,527),IF(527&lt;=COUNTA(半紙!$B$11:$B$310)+COUNTA(条幅!$B$11:$B$310),INDEX(条幅!$C$11:$C$310,527-COUNTA(半紙!$B$11:$B$310)),IF(527&lt;=COUNTA(半紙!$B$11:$B$310)+COUNTA(条幅!$B$11:$B$310)+COUNTA(条幅4分の1!$B$11:$B$310),INDEX(条幅4分の1!$C$11:$C$310,527-COUNTA(半紙!$B$11:$B$310)-COUNTA(条幅!$B$11:$B$310)),"")))=0,"",IF(527&lt;=COUNTA(半紙!$B$11:$B$310),INDEX(半紙!$C$11:$C$310,527),IF(527&lt;=COUNTA(半紙!$B$11:$B$310)+COUNTA(条幅!$B$11:$B$310),INDEX(条幅!$C$11:$C$310,527-COUNTA(半紙!$B$11:$B$310)),IF(527&lt;=COUNTA(半紙!$B$11:$B$310)+COUNTA(条幅!$B$11:$B$310)+COUNTA(条幅4分の1!$B$11:$B$310),INDEX(条幅4分の1!$C$11:$C$310,527-COUNTA(半紙!$B$11:$B$310)-COUNTA(条幅!$B$11:$B$310)),""))))</f>
        <v/>
      </c>
      <c r="D532" s="38" t="str">
        <f>IF(IF(527&lt;=COUNTA(半紙!$B$11:$B$310),INDEX(半紙!$D$11:$D$310,527),IF(527&lt;=COUNTA(半紙!$B$11:$B$310)+COUNTA(条幅!$B$11:$B$310),INDEX(条幅!$D$11:$D$310,527-COUNTA(半紙!$B$11:$B$310)),IF(527&lt;=COUNTA(半紙!$B$11:$B$310)+COUNTA(条幅!$B$11:$B$310)+COUNTA(条幅4分の1!$B$11:$B$310),INDEX(条幅4分の1!$D$11:$D$310,527-COUNTA(半紙!$B$11:$B$310)-COUNTA(条幅!$B$11:$B$310)),"")))=0,"",IF(527&lt;=COUNTA(半紙!$B$11:$B$310),INDEX(半紙!$D$11:$D$310,527),IF(527&lt;=COUNTA(半紙!$B$11:$B$310)+COUNTA(条幅!$B$11:$B$310),INDEX(条幅!$D$11:$D$310,527-COUNTA(半紙!$B$11:$B$310)),IF(527&lt;=COUNTA(半紙!$B$11:$B$310)+COUNTA(条幅!$B$11:$B$310)+COUNTA(条幅4分の1!$B$11:$B$310),INDEX(条幅4分の1!$D$11:$D$310,527-COUNTA(半紙!$B$11:$B$310)-COUNTA(条幅!$B$11:$B$310)),""))))</f>
        <v/>
      </c>
      <c r="E532" s="38" t="str">
        <f>IF(IF(527&lt;=COUNTA(半紙!$B$11:$B$310),INDEX(半紙!$E$11:$E$310,527),IF(527&lt;=COUNTA(半紙!$B$11:$B$310)+COUNTA(条幅!$B$11:$B$310),INDEX(条幅!$E$11:$E$310,527-COUNTA(半紙!$B$11:$B$310)),IF(527&lt;=COUNTA(半紙!$B$11:$B$310)+COUNTA(条幅!$B$11:$B$310)+COUNTA(条幅4分の1!$B$11:$B$310),INDEX(条幅4分の1!$E$11:$E$310,527-COUNTA(半紙!$B$11:$B$310)-COUNTA(条幅!$B$11:$B$310)),"")))=0,"",IF(527&lt;=COUNTA(半紙!$B$11:$B$310),INDEX(半紙!$E$11:$E$310,527),IF(527&lt;=COUNTA(半紙!$B$11:$B$310)+COUNTA(条幅!$B$11:$B$310),INDEX(条幅!$E$11:$E$310,527-COUNTA(半紙!$B$11:$B$310)),IF(527&lt;=COUNTA(半紙!$B$11:$B$310)+COUNTA(条幅!$B$11:$B$310)+COUNTA(条幅4分の1!$B$11:$B$310),INDEX(条幅4分の1!$E$11:$E$310,527-COUNTA(半紙!$B$11:$B$310)-COUNTA(条幅!$B$11:$B$310)),""))))</f>
        <v/>
      </c>
      <c r="F532" s="38" t="str">
        <f>IF(IF(527&lt;=COUNTA(半紙!$B$11:$B$310),INDEX(半紙!$F$11:$F$310,527),IF(527&lt;=COUNTA(半紙!$B$11:$B$310)+COUNTA(条幅!$B$11:$B$310),INDEX(条幅!$F$11:$F$310,527-COUNTA(半紙!$B$11:$B$310)),IF(527&lt;=COUNTA(半紙!$B$11:$B$310)+COUNTA(条幅!$B$11:$B$310)+COUNTA(条幅4分の1!$B$11:$B$310),INDEX(条幅4分の1!$F$11:$F$310,527-COUNTA(半紙!$B$11:$B$310)-COUNTA(条幅!$B$11:$B$310)),"")))=0,"",IF(527&lt;=COUNTA(半紙!$B$11:$B$310),INDEX(半紙!$F$11:$F$310,527),IF(527&lt;=COUNTA(半紙!$B$11:$B$310)+COUNTA(条幅!$B$11:$B$310),INDEX(条幅!$F$11:$F$310,527-COUNTA(半紙!$B$11:$B$310)),IF(527&lt;=COUNTA(半紙!$B$11:$B$310)+COUNTA(条幅!$B$11:$B$310)+COUNTA(条幅4分の1!$B$11:$B$310),INDEX(条幅4分の1!$F$11:$F$310,527-COUNTA(半紙!$B$11:$B$310)-COUNTA(条幅!$B$11:$B$310)),""))))</f>
        <v/>
      </c>
      <c r="G532" s="38" t="str">
        <f>IF(IF(527&lt;=COUNTA(半紙!$B$11:$B$310),INDEX(半紙!$G$11:$G$310,527),IF(527&lt;=COUNTA(半紙!$B$11:$B$310)+COUNTA(条幅!$B$11:$B$310),INDEX(条幅!$G$11:$G$310,527-COUNTA(半紙!$B$11:$B$310)),IF(527&lt;=COUNTA(半紙!$B$11:$B$310)+COUNTA(条幅!$B$11:$B$310)+COUNTA(条幅4分の1!$B$11:$B$310),INDEX(条幅4分の1!$G$11:$G$310,527-COUNTA(半紙!$B$11:$B$310)-COUNTA(条幅!$B$11:$B$310)),"")))=0,"",IF(527&lt;=COUNTA(半紙!$B$11:$B$310),INDEX(半紙!$G$11:$G$310,527),IF(527&lt;=COUNTA(半紙!$B$11:$B$310)+COUNTA(条幅!$B$11:$B$310),INDEX(条幅!$G$11:$G$310,527-COUNTA(半紙!$B$11:$B$310)),IF(527&lt;=COUNTA(半紙!$B$11:$B$310)+COUNTA(条幅!$B$11:$B$310)+COUNTA(条幅4分の1!$B$11:$B$310),INDEX(条幅4分の1!$G$11:$G$310,527-COUNTA(半紙!$B$11:$B$310)-COUNTA(条幅!$B$11:$B$310)),""))))</f>
        <v/>
      </c>
      <c r="H532" s="38" t="str">
        <f>IF(IF(527&lt;=COUNTA(半紙!$B$11:$B$310),INDEX(半紙!$H$11:$H$310,527),IF(527&lt;=COUNTA(半紙!$B$11:$B$310)+COUNTA(条幅!$B$11:$B$310),INDEX(条幅!$H$11:$H$310,527-COUNTA(半紙!$B$11:$B$310)),IF(527&lt;=COUNTA(半紙!$B$11:$B$310)+COUNTA(条幅!$B$11:$B$310)+COUNTA(条幅4分の1!$B$11:$B$310),INDEX(条幅4分の1!$H$11:$H$310,527-COUNTA(半紙!$B$11:$B$310)-COUNTA(条幅!$B$11:$B$310)),"")))=0,"",IF(527&lt;=COUNTA(半紙!$B$11:$B$310),INDEX(半紙!$H$11:$H$310,527),IF(527&lt;=COUNTA(半紙!$B$11:$B$310)+COUNTA(条幅!$B$11:$B$310),INDEX(条幅!$H$11:$H$310,527-COUNTA(半紙!$B$11:$B$310)),IF(527&lt;=COUNTA(半紙!$B$11:$B$310)+COUNTA(条幅!$B$11:$B$310)+COUNTA(条幅4分の1!$B$11:$B$310),INDEX(条幅4分の1!$H$11:$H$310,527-COUNTA(半紙!$B$11:$B$310)-COUNTA(条幅!$B$11:$B$310)),""))))</f>
        <v/>
      </c>
      <c r="I532" s="38" t="str">
        <f>IF(IF(527&lt;=COUNTA(半紙!$B$11:$B$310),INDEX(半紙!$I$11:$I$310,527),IF(527&lt;=COUNTA(半紙!$B$11:$B$310)+COUNTA(条幅!$B$11:$B$310),INDEX(条幅!$I$11:$I$310,527-COUNTA(半紙!$B$11:$B$310)),IF(527&lt;=COUNTA(半紙!$B$11:$B$310)+COUNTA(条幅!$B$11:$B$310)+COUNTA(条幅4分の1!$B$11:$B$310),INDEX(条幅4分の1!$I$11:$I$310,527-COUNTA(半紙!$B$11:$B$310)-COUNTA(条幅!$B$11:$B$310)),"")))=0,"",IF(527&lt;=COUNTA(半紙!$B$11:$B$310),INDEX(半紙!$I$11:$I$310,527),IF(527&lt;=COUNTA(半紙!$B$11:$B$310)+COUNTA(条幅!$B$11:$B$310),INDEX(条幅!$I$11:$I$310,527-COUNTA(半紙!$B$11:$B$310)),IF(527&lt;=COUNTA(半紙!$B$11:$B$310)+COUNTA(条幅!$B$11:$B$310)+COUNTA(条幅4分の1!$B$11:$B$310),INDEX(条幅4分の1!$I$11:$I$310,527-COUNTA(半紙!$B$11:$B$310)-COUNTA(条幅!$B$11:$B$310)),""))))</f>
        <v/>
      </c>
      <c r="J532" s="38" t="str">
        <f>IF(IF(527&lt;=COUNTA(半紙!$B$11:$B$310),INDEX(半紙!$J$11:$J$310,527),IF(527&lt;=COUNTA(半紙!$B$11:$B$310)+COUNTA(条幅!$B$11:$B$310),INDEX(条幅!$J$11:$J$310,527-COUNTA(半紙!$B$11:$B$310)),IF(527&lt;=COUNTA(半紙!$B$11:$B$310)+COUNTA(条幅!$B$11:$B$310)+COUNTA(条幅4分の1!$B$11:$B$310),INDEX(条幅4分の1!$J$11:$J$310,527-COUNTA(半紙!$B$11:$B$310)-COUNTA(条幅!$B$11:$B$310)),"")))=0,"",IF(527&lt;=COUNTA(半紙!$B$11:$B$310),INDEX(半紙!$J$11:$J$310,527),IF(527&lt;=COUNTA(半紙!$B$11:$B$310)+COUNTA(条幅!$B$11:$B$310),INDEX(条幅!$J$11:$J$310,527-COUNTA(半紙!$B$11:$B$310)),IF(527&lt;=COUNTA(半紙!$B$11:$B$310)+COUNTA(条幅!$B$11:$B$310)+COUNTA(条幅4分の1!$B$11:$B$310),INDEX(条幅4分の1!$J$11:$J$310,527-COUNTA(半紙!$B$11:$B$310)-COUNTA(条幅!$B$11:$B$310)),""))))</f>
        <v/>
      </c>
      <c r="K532" s="38" t="str">
        <f>IF(IF(527&lt;=COUNTA(半紙!$B$11:$B$310),INDEX(半紙!$K$11:$K$310,527),IF(527&lt;=COUNTA(半紙!$B$11:$B$310)+COUNTA(条幅!$B$11:$B$310),INDEX(条幅!$K$11:$K$310,527-COUNTA(半紙!$B$11:$B$310)),IF(527&lt;=COUNTA(半紙!$B$11:$B$310)+COUNTA(条幅!$B$11:$B$310)+COUNTA(条幅4分の1!$B$11:$B$310),INDEX(条幅4分の1!$K$11:$K$310,527-COUNTA(半紙!$B$11:$B$310)-COUNTA(条幅!$B$11:$B$310)),"")))=0,"",IF(527&lt;=COUNTA(半紙!$B$11:$B$310),INDEX(半紙!$K$11:$K$310,527),IF(527&lt;=COUNTA(半紙!$B$11:$B$310)+COUNTA(条幅!$B$11:$B$310),INDEX(条幅!$K$11:$K$310,527-COUNTA(半紙!$B$11:$B$310)),IF(527&lt;=COUNTA(半紙!$B$11:$B$310)+COUNTA(条幅!$B$11:$B$310)+COUNTA(条幅4分の1!$B$11:$B$310),INDEX(条幅4分の1!$K$11:$K$310,527-COUNTA(半紙!$B$11:$B$310)-COUNTA(条幅!$B$11:$B$310)),""))))</f>
        <v/>
      </c>
      <c r="L532" s="48" t="str">
        <f>IF($B532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527))</f>
        <v/>
      </c>
    </row>
    <row r="533" spans="1:12" ht="15" customHeight="1">
      <c r="A533" s="37" t="str">
        <f>IF(528&lt;=COUNTA(半紙!$B$11:$B$310),"半紙",IF(528&lt;=COUNTA(半紙!$B$11:$B$310)+COUNTA(条幅!$B$11:$B$310),"条幅(半切)",IF(528&lt;=COUNTA(半紙!$B$11:$B$310)+COUNTA(条幅!$B$11:$B$310)+COUNTA(条幅4分の1!$B$11:$B$310),"条幅(1/4)","")))</f>
        <v/>
      </c>
      <c r="B533" s="38" t="str">
        <f>IF(IF(528&lt;=COUNTA(半紙!$B$11:$B$310),INDEX(半紙!$B$11:$B$310,528),IF(528&lt;=COUNTA(半紙!$B$11:$B$310)+COUNTA(条幅!$B$11:$B$310),INDEX(条幅!$B$11:$B$310,528-COUNTA(半紙!$B$11:$B$310)),IF(528&lt;=COUNTA(半紙!$B$11:$B$310)+COUNTA(条幅!$B$11:$B$310)+COUNTA(条幅4分の1!$B$11:$B$310),INDEX(条幅4分の1!$B$11:$B$310,528-COUNTA(半紙!$B$11:$B$310)-COUNTA(条幅!$B$11:$B$310)),"")))=0,"",IF(528&lt;=COUNTA(半紙!$B$11:$B$310),INDEX(半紙!$B$11:$B$310,528),IF(528&lt;=COUNTA(半紙!$B$11:$B$310)+COUNTA(条幅!$B$11:$B$310),INDEX(条幅!$B$11:$B$310,528-COUNTA(半紙!$B$11:$B$310)),IF(528&lt;=COUNTA(半紙!$B$11:$B$310)+COUNTA(条幅!$B$11:$B$310)+COUNTA(条幅4分の1!$B$11:$B$310),INDEX(条幅4分の1!$B$11:$B$310,528-COUNTA(半紙!$B$11:$B$310)-COUNTA(条幅!$B$11:$B$310)),""))))</f>
        <v/>
      </c>
      <c r="C533" s="38" t="str">
        <f>IF(IF(528&lt;=COUNTA(半紙!$B$11:$B$310),INDEX(半紙!$C$11:$C$310,528),IF(528&lt;=COUNTA(半紙!$B$11:$B$310)+COUNTA(条幅!$B$11:$B$310),INDEX(条幅!$C$11:$C$310,528-COUNTA(半紙!$B$11:$B$310)),IF(528&lt;=COUNTA(半紙!$B$11:$B$310)+COUNTA(条幅!$B$11:$B$310)+COUNTA(条幅4分の1!$B$11:$B$310),INDEX(条幅4分の1!$C$11:$C$310,528-COUNTA(半紙!$B$11:$B$310)-COUNTA(条幅!$B$11:$B$310)),"")))=0,"",IF(528&lt;=COUNTA(半紙!$B$11:$B$310),INDEX(半紙!$C$11:$C$310,528),IF(528&lt;=COUNTA(半紙!$B$11:$B$310)+COUNTA(条幅!$B$11:$B$310),INDEX(条幅!$C$11:$C$310,528-COUNTA(半紙!$B$11:$B$310)),IF(528&lt;=COUNTA(半紙!$B$11:$B$310)+COUNTA(条幅!$B$11:$B$310)+COUNTA(条幅4分の1!$B$11:$B$310),INDEX(条幅4分の1!$C$11:$C$310,528-COUNTA(半紙!$B$11:$B$310)-COUNTA(条幅!$B$11:$B$310)),""))))</f>
        <v/>
      </c>
      <c r="D533" s="38" t="str">
        <f>IF(IF(528&lt;=COUNTA(半紙!$B$11:$B$310),INDEX(半紙!$D$11:$D$310,528),IF(528&lt;=COUNTA(半紙!$B$11:$B$310)+COUNTA(条幅!$B$11:$B$310),INDEX(条幅!$D$11:$D$310,528-COUNTA(半紙!$B$11:$B$310)),IF(528&lt;=COUNTA(半紙!$B$11:$B$310)+COUNTA(条幅!$B$11:$B$310)+COUNTA(条幅4分の1!$B$11:$B$310),INDEX(条幅4分の1!$D$11:$D$310,528-COUNTA(半紙!$B$11:$B$310)-COUNTA(条幅!$B$11:$B$310)),"")))=0,"",IF(528&lt;=COUNTA(半紙!$B$11:$B$310),INDEX(半紙!$D$11:$D$310,528),IF(528&lt;=COUNTA(半紙!$B$11:$B$310)+COUNTA(条幅!$B$11:$B$310),INDEX(条幅!$D$11:$D$310,528-COUNTA(半紙!$B$11:$B$310)),IF(528&lt;=COUNTA(半紙!$B$11:$B$310)+COUNTA(条幅!$B$11:$B$310)+COUNTA(条幅4分の1!$B$11:$B$310),INDEX(条幅4分の1!$D$11:$D$310,528-COUNTA(半紙!$B$11:$B$310)-COUNTA(条幅!$B$11:$B$310)),""))))</f>
        <v/>
      </c>
      <c r="E533" s="38" t="str">
        <f>IF(IF(528&lt;=COUNTA(半紙!$B$11:$B$310),INDEX(半紙!$E$11:$E$310,528),IF(528&lt;=COUNTA(半紙!$B$11:$B$310)+COUNTA(条幅!$B$11:$B$310),INDEX(条幅!$E$11:$E$310,528-COUNTA(半紙!$B$11:$B$310)),IF(528&lt;=COUNTA(半紙!$B$11:$B$310)+COUNTA(条幅!$B$11:$B$310)+COUNTA(条幅4分の1!$B$11:$B$310),INDEX(条幅4分の1!$E$11:$E$310,528-COUNTA(半紙!$B$11:$B$310)-COUNTA(条幅!$B$11:$B$310)),"")))=0,"",IF(528&lt;=COUNTA(半紙!$B$11:$B$310),INDEX(半紙!$E$11:$E$310,528),IF(528&lt;=COUNTA(半紙!$B$11:$B$310)+COUNTA(条幅!$B$11:$B$310),INDEX(条幅!$E$11:$E$310,528-COUNTA(半紙!$B$11:$B$310)),IF(528&lt;=COUNTA(半紙!$B$11:$B$310)+COUNTA(条幅!$B$11:$B$310)+COUNTA(条幅4分の1!$B$11:$B$310),INDEX(条幅4分の1!$E$11:$E$310,528-COUNTA(半紙!$B$11:$B$310)-COUNTA(条幅!$B$11:$B$310)),""))))</f>
        <v/>
      </c>
      <c r="F533" s="38" t="str">
        <f>IF(IF(528&lt;=COUNTA(半紙!$B$11:$B$310),INDEX(半紙!$F$11:$F$310,528),IF(528&lt;=COUNTA(半紙!$B$11:$B$310)+COUNTA(条幅!$B$11:$B$310),INDEX(条幅!$F$11:$F$310,528-COUNTA(半紙!$B$11:$B$310)),IF(528&lt;=COUNTA(半紙!$B$11:$B$310)+COUNTA(条幅!$B$11:$B$310)+COUNTA(条幅4分の1!$B$11:$B$310),INDEX(条幅4分の1!$F$11:$F$310,528-COUNTA(半紙!$B$11:$B$310)-COUNTA(条幅!$B$11:$B$310)),"")))=0,"",IF(528&lt;=COUNTA(半紙!$B$11:$B$310),INDEX(半紙!$F$11:$F$310,528),IF(528&lt;=COUNTA(半紙!$B$11:$B$310)+COUNTA(条幅!$B$11:$B$310),INDEX(条幅!$F$11:$F$310,528-COUNTA(半紙!$B$11:$B$310)),IF(528&lt;=COUNTA(半紙!$B$11:$B$310)+COUNTA(条幅!$B$11:$B$310)+COUNTA(条幅4分の1!$B$11:$B$310),INDEX(条幅4分の1!$F$11:$F$310,528-COUNTA(半紙!$B$11:$B$310)-COUNTA(条幅!$B$11:$B$310)),""))))</f>
        <v/>
      </c>
      <c r="G533" s="38" t="str">
        <f>IF(IF(528&lt;=COUNTA(半紙!$B$11:$B$310),INDEX(半紙!$G$11:$G$310,528),IF(528&lt;=COUNTA(半紙!$B$11:$B$310)+COUNTA(条幅!$B$11:$B$310),INDEX(条幅!$G$11:$G$310,528-COUNTA(半紙!$B$11:$B$310)),IF(528&lt;=COUNTA(半紙!$B$11:$B$310)+COUNTA(条幅!$B$11:$B$310)+COUNTA(条幅4分の1!$B$11:$B$310),INDEX(条幅4分の1!$G$11:$G$310,528-COUNTA(半紙!$B$11:$B$310)-COUNTA(条幅!$B$11:$B$310)),"")))=0,"",IF(528&lt;=COUNTA(半紙!$B$11:$B$310),INDEX(半紙!$G$11:$G$310,528),IF(528&lt;=COUNTA(半紙!$B$11:$B$310)+COUNTA(条幅!$B$11:$B$310),INDEX(条幅!$G$11:$G$310,528-COUNTA(半紙!$B$11:$B$310)),IF(528&lt;=COUNTA(半紙!$B$11:$B$310)+COUNTA(条幅!$B$11:$B$310)+COUNTA(条幅4分の1!$B$11:$B$310),INDEX(条幅4分の1!$G$11:$G$310,528-COUNTA(半紙!$B$11:$B$310)-COUNTA(条幅!$B$11:$B$310)),""))))</f>
        <v/>
      </c>
      <c r="H533" s="38" t="str">
        <f>IF(IF(528&lt;=COUNTA(半紙!$B$11:$B$310),INDEX(半紙!$H$11:$H$310,528),IF(528&lt;=COUNTA(半紙!$B$11:$B$310)+COUNTA(条幅!$B$11:$B$310),INDEX(条幅!$H$11:$H$310,528-COUNTA(半紙!$B$11:$B$310)),IF(528&lt;=COUNTA(半紙!$B$11:$B$310)+COUNTA(条幅!$B$11:$B$310)+COUNTA(条幅4分の1!$B$11:$B$310),INDEX(条幅4分の1!$H$11:$H$310,528-COUNTA(半紙!$B$11:$B$310)-COUNTA(条幅!$B$11:$B$310)),"")))=0,"",IF(528&lt;=COUNTA(半紙!$B$11:$B$310),INDEX(半紙!$H$11:$H$310,528),IF(528&lt;=COUNTA(半紙!$B$11:$B$310)+COUNTA(条幅!$B$11:$B$310),INDEX(条幅!$H$11:$H$310,528-COUNTA(半紙!$B$11:$B$310)),IF(528&lt;=COUNTA(半紙!$B$11:$B$310)+COUNTA(条幅!$B$11:$B$310)+COUNTA(条幅4分の1!$B$11:$B$310),INDEX(条幅4分の1!$H$11:$H$310,528-COUNTA(半紙!$B$11:$B$310)-COUNTA(条幅!$B$11:$B$310)),""))))</f>
        <v/>
      </c>
      <c r="I533" s="38" t="str">
        <f>IF(IF(528&lt;=COUNTA(半紙!$B$11:$B$310),INDEX(半紙!$I$11:$I$310,528),IF(528&lt;=COUNTA(半紙!$B$11:$B$310)+COUNTA(条幅!$B$11:$B$310),INDEX(条幅!$I$11:$I$310,528-COUNTA(半紙!$B$11:$B$310)),IF(528&lt;=COUNTA(半紙!$B$11:$B$310)+COUNTA(条幅!$B$11:$B$310)+COUNTA(条幅4分の1!$B$11:$B$310),INDEX(条幅4分の1!$I$11:$I$310,528-COUNTA(半紙!$B$11:$B$310)-COUNTA(条幅!$B$11:$B$310)),"")))=0,"",IF(528&lt;=COUNTA(半紙!$B$11:$B$310),INDEX(半紙!$I$11:$I$310,528),IF(528&lt;=COUNTA(半紙!$B$11:$B$310)+COUNTA(条幅!$B$11:$B$310),INDEX(条幅!$I$11:$I$310,528-COUNTA(半紙!$B$11:$B$310)),IF(528&lt;=COUNTA(半紙!$B$11:$B$310)+COUNTA(条幅!$B$11:$B$310)+COUNTA(条幅4分の1!$B$11:$B$310),INDEX(条幅4分の1!$I$11:$I$310,528-COUNTA(半紙!$B$11:$B$310)-COUNTA(条幅!$B$11:$B$310)),""))))</f>
        <v/>
      </c>
      <c r="J533" s="38" t="str">
        <f>IF(IF(528&lt;=COUNTA(半紙!$B$11:$B$310),INDEX(半紙!$J$11:$J$310,528),IF(528&lt;=COUNTA(半紙!$B$11:$B$310)+COUNTA(条幅!$B$11:$B$310),INDEX(条幅!$J$11:$J$310,528-COUNTA(半紙!$B$11:$B$310)),IF(528&lt;=COUNTA(半紙!$B$11:$B$310)+COUNTA(条幅!$B$11:$B$310)+COUNTA(条幅4分の1!$B$11:$B$310),INDEX(条幅4分の1!$J$11:$J$310,528-COUNTA(半紙!$B$11:$B$310)-COUNTA(条幅!$B$11:$B$310)),"")))=0,"",IF(528&lt;=COUNTA(半紙!$B$11:$B$310),INDEX(半紙!$J$11:$J$310,528),IF(528&lt;=COUNTA(半紙!$B$11:$B$310)+COUNTA(条幅!$B$11:$B$310),INDEX(条幅!$J$11:$J$310,528-COUNTA(半紙!$B$11:$B$310)),IF(528&lt;=COUNTA(半紙!$B$11:$B$310)+COUNTA(条幅!$B$11:$B$310)+COUNTA(条幅4分の1!$B$11:$B$310),INDEX(条幅4分の1!$J$11:$J$310,528-COUNTA(半紙!$B$11:$B$310)-COUNTA(条幅!$B$11:$B$310)),""))))</f>
        <v/>
      </c>
      <c r="K533" s="38" t="str">
        <f>IF(IF(528&lt;=COUNTA(半紙!$B$11:$B$310),INDEX(半紙!$K$11:$K$310,528),IF(528&lt;=COUNTA(半紙!$B$11:$B$310)+COUNTA(条幅!$B$11:$B$310),INDEX(条幅!$K$11:$K$310,528-COUNTA(半紙!$B$11:$B$310)),IF(528&lt;=COUNTA(半紙!$B$11:$B$310)+COUNTA(条幅!$B$11:$B$310)+COUNTA(条幅4分の1!$B$11:$B$310),INDEX(条幅4分の1!$K$11:$K$310,528-COUNTA(半紙!$B$11:$B$310)-COUNTA(条幅!$B$11:$B$310)),"")))=0,"",IF(528&lt;=COUNTA(半紙!$B$11:$B$310),INDEX(半紙!$K$11:$K$310,528),IF(528&lt;=COUNTA(半紙!$B$11:$B$310)+COUNTA(条幅!$B$11:$B$310),INDEX(条幅!$K$11:$K$310,528-COUNTA(半紙!$B$11:$B$310)),IF(528&lt;=COUNTA(半紙!$B$11:$B$310)+COUNTA(条幅!$B$11:$B$310)+COUNTA(条幅4分の1!$B$11:$B$310),INDEX(条幅4分の1!$K$11:$K$310,528-COUNTA(半紙!$B$11:$B$310)-COUNTA(条幅!$B$11:$B$310)),""))))</f>
        <v/>
      </c>
      <c r="L533" s="48" t="str">
        <f>IF($B533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528))</f>
        <v/>
      </c>
    </row>
    <row r="534" spans="1:12" ht="15" customHeight="1">
      <c r="A534" s="37" t="str">
        <f>IF(529&lt;=COUNTA(半紙!$B$11:$B$310),"半紙",IF(529&lt;=COUNTA(半紙!$B$11:$B$310)+COUNTA(条幅!$B$11:$B$310),"条幅(半切)",IF(529&lt;=COUNTA(半紙!$B$11:$B$310)+COUNTA(条幅!$B$11:$B$310)+COUNTA(条幅4分の1!$B$11:$B$310),"条幅(1/4)","")))</f>
        <v/>
      </c>
      <c r="B534" s="38" t="str">
        <f>IF(IF(529&lt;=COUNTA(半紙!$B$11:$B$310),INDEX(半紙!$B$11:$B$310,529),IF(529&lt;=COUNTA(半紙!$B$11:$B$310)+COUNTA(条幅!$B$11:$B$310),INDEX(条幅!$B$11:$B$310,529-COUNTA(半紙!$B$11:$B$310)),IF(529&lt;=COUNTA(半紙!$B$11:$B$310)+COUNTA(条幅!$B$11:$B$310)+COUNTA(条幅4分の1!$B$11:$B$310),INDEX(条幅4分の1!$B$11:$B$310,529-COUNTA(半紙!$B$11:$B$310)-COUNTA(条幅!$B$11:$B$310)),"")))=0,"",IF(529&lt;=COUNTA(半紙!$B$11:$B$310),INDEX(半紙!$B$11:$B$310,529),IF(529&lt;=COUNTA(半紙!$B$11:$B$310)+COUNTA(条幅!$B$11:$B$310),INDEX(条幅!$B$11:$B$310,529-COUNTA(半紙!$B$11:$B$310)),IF(529&lt;=COUNTA(半紙!$B$11:$B$310)+COUNTA(条幅!$B$11:$B$310)+COUNTA(条幅4分の1!$B$11:$B$310),INDEX(条幅4分の1!$B$11:$B$310,529-COUNTA(半紙!$B$11:$B$310)-COUNTA(条幅!$B$11:$B$310)),""))))</f>
        <v/>
      </c>
      <c r="C534" s="38" t="str">
        <f>IF(IF(529&lt;=COUNTA(半紙!$B$11:$B$310),INDEX(半紙!$C$11:$C$310,529),IF(529&lt;=COUNTA(半紙!$B$11:$B$310)+COUNTA(条幅!$B$11:$B$310),INDEX(条幅!$C$11:$C$310,529-COUNTA(半紙!$B$11:$B$310)),IF(529&lt;=COUNTA(半紙!$B$11:$B$310)+COUNTA(条幅!$B$11:$B$310)+COUNTA(条幅4分の1!$B$11:$B$310),INDEX(条幅4分の1!$C$11:$C$310,529-COUNTA(半紙!$B$11:$B$310)-COUNTA(条幅!$B$11:$B$310)),"")))=0,"",IF(529&lt;=COUNTA(半紙!$B$11:$B$310),INDEX(半紙!$C$11:$C$310,529),IF(529&lt;=COUNTA(半紙!$B$11:$B$310)+COUNTA(条幅!$B$11:$B$310),INDEX(条幅!$C$11:$C$310,529-COUNTA(半紙!$B$11:$B$310)),IF(529&lt;=COUNTA(半紙!$B$11:$B$310)+COUNTA(条幅!$B$11:$B$310)+COUNTA(条幅4分の1!$B$11:$B$310),INDEX(条幅4分の1!$C$11:$C$310,529-COUNTA(半紙!$B$11:$B$310)-COUNTA(条幅!$B$11:$B$310)),""))))</f>
        <v/>
      </c>
      <c r="D534" s="38" t="str">
        <f>IF(IF(529&lt;=COUNTA(半紙!$B$11:$B$310),INDEX(半紙!$D$11:$D$310,529),IF(529&lt;=COUNTA(半紙!$B$11:$B$310)+COUNTA(条幅!$B$11:$B$310),INDEX(条幅!$D$11:$D$310,529-COUNTA(半紙!$B$11:$B$310)),IF(529&lt;=COUNTA(半紙!$B$11:$B$310)+COUNTA(条幅!$B$11:$B$310)+COUNTA(条幅4分の1!$B$11:$B$310),INDEX(条幅4分の1!$D$11:$D$310,529-COUNTA(半紙!$B$11:$B$310)-COUNTA(条幅!$B$11:$B$310)),"")))=0,"",IF(529&lt;=COUNTA(半紙!$B$11:$B$310),INDEX(半紙!$D$11:$D$310,529),IF(529&lt;=COUNTA(半紙!$B$11:$B$310)+COUNTA(条幅!$B$11:$B$310),INDEX(条幅!$D$11:$D$310,529-COUNTA(半紙!$B$11:$B$310)),IF(529&lt;=COUNTA(半紙!$B$11:$B$310)+COUNTA(条幅!$B$11:$B$310)+COUNTA(条幅4分の1!$B$11:$B$310),INDEX(条幅4分の1!$D$11:$D$310,529-COUNTA(半紙!$B$11:$B$310)-COUNTA(条幅!$B$11:$B$310)),""))))</f>
        <v/>
      </c>
      <c r="E534" s="38" t="str">
        <f>IF(IF(529&lt;=COUNTA(半紙!$B$11:$B$310),INDEX(半紙!$E$11:$E$310,529),IF(529&lt;=COUNTA(半紙!$B$11:$B$310)+COUNTA(条幅!$B$11:$B$310),INDEX(条幅!$E$11:$E$310,529-COUNTA(半紙!$B$11:$B$310)),IF(529&lt;=COUNTA(半紙!$B$11:$B$310)+COUNTA(条幅!$B$11:$B$310)+COUNTA(条幅4分の1!$B$11:$B$310),INDEX(条幅4分の1!$E$11:$E$310,529-COUNTA(半紙!$B$11:$B$310)-COUNTA(条幅!$B$11:$B$310)),"")))=0,"",IF(529&lt;=COUNTA(半紙!$B$11:$B$310),INDEX(半紙!$E$11:$E$310,529),IF(529&lt;=COUNTA(半紙!$B$11:$B$310)+COUNTA(条幅!$B$11:$B$310),INDEX(条幅!$E$11:$E$310,529-COUNTA(半紙!$B$11:$B$310)),IF(529&lt;=COUNTA(半紙!$B$11:$B$310)+COUNTA(条幅!$B$11:$B$310)+COUNTA(条幅4分の1!$B$11:$B$310),INDEX(条幅4分の1!$E$11:$E$310,529-COUNTA(半紙!$B$11:$B$310)-COUNTA(条幅!$B$11:$B$310)),""))))</f>
        <v/>
      </c>
      <c r="F534" s="38" t="str">
        <f>IF(IF(529&lt;=COUNTA(半紙!$B$11:$B$310),INDEX(半紙!$F$11:$F$310,529),IF(529&lt;=COUNTA(半紙!$B$11:$B$310)+COUNTA(条幅!$B$11:$B$310),INDEX(条幅!$F$11:$F$310,529-COUNTA(半紙!$B$11:$B$310)),IF(529&lt;=COUNTA(半紙!$B$11:$B$310)+COUNTA(条幅!$B$11:$B$310)+COUNTA(条幅4分の1!$B$11:$B$310),INDEX(条幅4分の1!$F$11:$F$310,529-COUNTA(半紙!$B$11:$B$310)-COUNTA(条幅!$B$11:$B$310)),"")))=0,"",IF(529&lt;=COUNTA(半紙!$B$11:$B$310),INDEX(半紙!$F$11:$F$310,529),IF(529&lt;=COUNTA(半紙!$B$11:$B$310)+COUNTA(条幅!$B$11:$B$310),INDEX(条幅!$F$11:$F$310,529-COUNTA(半紙!$B$11:$B$310)),IF(529&lt;=COUNTA(半紙!$B$11:$B$310)+COUNTA(条幅!$B$11:$B$310)+COUNTA(条幅4分の1!$B$11:$B$310),INDEX(条幅4分の1!$F$11:$F$310,529-COUNTA(半紙!$B$11:$B$310)-COUNTA(条幅!$B$11:$B$310)),""))))</f>
        <v/>
      </c>
      <c r="G534" s="38" t="str">
        <f>IF(IF(529&lt;=COUNTA(半紙!$B$11:$B$310),INDEX(半紙!$G$11:$G$310,529),IF(529&lt;=COUNTA(半紙!$B$11:$B$310)+COUNTA(条幅!$B$11:$B$310),INDEX(条幅!$G$11:$G$310,529-COUNTA(半紙!$B$11:$B$310)),IF(529&lt;=COUNTA(半紙!$B$11:$B$310)+COUNTA(条幅!$B$11:$B$310)+COUNTA(条幅4分の1!$B$11:$B$310),INDEX(条幅4分の1!$G$11:$G$310,529-COUNTA(半紙!$B$11:$B$310)-COUNTA(条幅!$B$11:$B$310)),"")))=0,"",IF(529&lt;=COUNTA(半紙!$B$11:$B$310),INDEX(半紙!$G$11:$G$310,529),IF(529&lt;=COUNTA(半紙!$B$11:$B$310)+COUNTA(条幅!$B$11:$B$310),INDEX(条幅!$G$11:$G$310,529-COUNTA(半紙!$B$11:$B$310)),IF(529&lt;=COUNTA(半紙!$B$11:$B$310)+COUNTA(条幅!$B$11:$B$310)+COUNTA(条幅4分の1!$B$11:$B$310),INDEX(条幅4分の1!$G$11:$G$310,529-COUNTA(半紙!$B$11:$B$310)-COUNTA(条幅!$B$11:$B$310)),""))))</f>
        <v/>
      </c>
      <c r="H534" s="38" t="str">
        <f>IF(IF(529&lt;=COUNTA(半紙!$B$11:$B$310),INDEX(半紙!$H$11:$H$310,529),IF(529&lt;=COUNTA(半紙!$B$11:$B$310)+COUNTA(条幅!$B$11:$B$310),INDEX(条幅!$H$11:$H$310,529-COUNTA(半紙!$B$11:$B$310)),IF(529&lt;=COUNTA(半紙!$B$11:$B$310)+COUNTA(条幅!$B$11:$B$310)+COUNTA(条幅4分の1!$B$11:$B$310),INDEX(条幅4分の1!$H$11:$H$310,529-COUNTA(半紙!$B$11:$B$310)-COUNTA(条幅!$B$11:$B$310)),"")))=0,"",IF(529&lt;=COUNTA(半紙!$B$11:$B$310),INDEX(半紙!$H$11:$H$310,529),IF(529&lt;=COUNTA(半紙!$B$11:$B$310)+COUNTA(条幅!$B$11:$B$310),INDEX(条幅!$H$11:$H$310,529-COUNTA(半紙!$B$11:$B$310)),IF(529&lt;=COUNTA(半紙!$B$11:$B$310)+COUNTA(条幅!$B$11:$B$310)+COUNTA(条幅4分の1!$B$11:$B$310),INDEX(条幅4分の1!$H$11:$H$310,529-COUNTA(半紙!$B$11:$B$310)-COUNTA(条幅!$B$11:$B$310)),""))))</f>
        <v/>
      </c>
      <c r="I534" s="38" t="str">
        <f>IF(IF(529&lt;=COUNTA(半紙!$B$11:$B$310),INDEX(半紙!$I$11:$I$310,529),IF(529&lt;=COUNTA(半紙!$B$11:$B$310)+COUNTA(条幅!$B$11:$B$310),INDEX(条幅!$I$11:$I$310,529-COUNTA(半紙!$B$11:$B$310)),IF(529&lt;=COUNTA(半紙!$B$11:$B$310)+COUNTA(条幅!$B$11:$B$310)+COUNTA(条幅4分の1!$B$11:$B$310),INDEX(条幅4分の1!$I$11:$I$310,529-COUNTA(半紙!$B$11:$B$310)-COUNTA(条幅!$B$11:$B$310)),"")))=0,"",IF(529&lt;=COUNTA(半紙!$B$11:$B$310),INDEX(半紙!$I$11:$I$310,529),IF(529&lt;=COUNTA(半紙!$B$11:$B$310)+COUNTA(条幅!$B$11:$B$310),INDEX(条幅!$I$11:$I$310,529-COUNTA(半紙!$B$11:$B$310)),IF(529&lt;=COUNTA(半紙!$B$11:$B$310)+COUNTA(条幅!$B$11:$B$310)+COUNTA(条幅4分の1!$B$11:$B$310),INDEX(条幅4分の1!$I$11:$I$310,529-COUNTA(半紙!$B$11:$B$310)-COUNTA(条幅!$B$11:$B$310)),""))))</f>
        <v/>
      </c>
      <c r="J534" s="38" t="str">
        <f>IF(IF(529&lt;=COUNTA(半紙!$B$11:$B$310),INDEX(半紙!$J$11:$J$310,529),IF(529&lt;=COUNTA(半紙!$B$11:$B$310)+COUNTA(条幅!$B$11:$B$310),INDEX(条幅!$J$11:$J$310,529-COUNTA(半紙!$B$11:$B$310)),IF(529&lt;=COUNTA(半紙!$B$11:$B$310)+COUNTA(条幅!$B$11:$B$310)+COUNTA(条幅4分の1!$B$11:$B$310),INDEX(条幅4分の1!$J$11:$J$310,529-COUNTA(半紙!$B$11:$B$310)-COUNTA(条幅!$B$11:$B$310)),"")))=0,"",IF(529&lt;=COUNTA(半紙!$B$11:$B$310),INDEX(半紙!$J$11:$J$310,529),IF(529&lt;=COUNTA(半紙!$B$11:$B$310)+COUNTA(条幅!$B$11:$B$310),INDEX(条幅!$J$11:$J$310,529-COUNTA(半紙!$B$11:$B$310)),IF(529&lt;=COUNTA(半紙!$B$11:$B$310)+COUNTA(条幅!$B$11:$B$310)+COUNTA(条幅4分の1!$B$11:$B$310),INDEX(条幅4分の1!$J$11:$J$310,529-COUNTA(半紙!$B$11:$B$310)-COUNTA(条幅!$B$11:$B$310)),""))))</f>
        <v/>
      </c>
      <c r="K534" s="38" t="str">
        <f>IF(IF(529&lt;=COUNTA(半紙!$B$11:$B$310),INDEX(半紙!$K$11:$K$310,529),IF(529&lt;=COUNTA(半紙!$B$11:$B$310)+COUNTA(条幅!$B$11:$B$310),INDEX(条幅!$K$11:$K$310,529-COUNTA(半紙!$B$11:$B$310)),IF(529&lt;=COUNTA(半紙!$B$11:$B$310)+COUNTA(条幅!$B$11:$B$310)+COUNTA(条幅4分の1!$B$11:$B$310),INDEX(条幅4分の1!$K$11:$K$310,529-COUNTA(半紙!$B$11:$B$310)-COUNTA(条幅!$B$11:$B$310)),"")))=0,"",IF(529&lt;=COUNTA(半紙!$B$11:$B$310),INDEX(半紙!$K$11:$K$310,529),IF(529&lt;=COUNTA(半紙!$B$11:$B$310)+COUNTA(条幅!$B$11:$B$310),INDEX(条幅!$K$11:$K$310,529-COUNTA(半紙!$B$11:$B$310)),IF(529&lt;=COUNTA(半紙!$B$11:$B$310)+COUNTA(条幅!$B$11:$B$310)+COUNTA(条幅4分の1!$B$11:$B$310),INDEX(条幅4分の1!$K$11:$K$310,529-COUNTA(半紙!$B$11:$B$310)-COUNTA(条幅!$B$11:$B$310)),""))))</f>
        <v/>
      </c>
      <c r="L534" s="48" t="str">
        <f>IF($B534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529))</f>
        <v/>
      </c>
    </row>
    <row r="535" spans="1:12" ht="15" customHeight="1">
      <c r="A535" s="37" t="str">
        <f>IF(530&lt;=COUNTA(半紙!$B$11:$B$310),"半紙",IF(530&lt;=COUNTA(半紙!$B$11:$B$310)+COUNTA(条幅!$B$11:$B$310),"条幅(半切)",IF(530&lt;=COUNTA(半紙!$B$11:$B$310)+COUNTA(条幅!$B$11:$B$310)+COUNTA(条幅4分の1!$B$11:$B$310),"条幅(1/4)","")))</f>
        <v/>
      </c>
      <c r="B535" s="38" t="str">
        <f>IF(IF(530&lt;=COUNTA(半紙!$B$11:$B$310),INDEX(半紙!$B$11:$B$310,530),IF(530&lt;=COUNTA(半紙!$B$11:$B$310)+COUNTA(条幅!$B$11:$B$310),INDEX(条幅!$B$11:$B$310,530-COUNTA(半紙!$B$11:$B$310)),IF(530&lt;=COUNTA(半紙!$B$11:$B$310)+COUNTA(条幅!$B$11:$B$310)+COUNTA(条幅4分の1!$B$11:$B$310),INDEX(条幅4分の1!$B$11:$B$310,530-COUNTA(半紙!$B$11:$B$310)-COUNTA(条幅!$B$11:$B$310)),"")))=0,"",IF(530&lt;=COUNTA(半紙!$B$11:$B$310),INDEX(半紙!$B$11:$B$310,530),IF(530&lt;=COUNTA(半紙!$B$11:$B$310)+COUNTA(条幅!$B$11:$B$310),INDEX(条幅!$B$11:$B$310,530-COUNTA(半紙!$B$11:$B$310)),IF(530&lt;=COUNTA(半紙!$B$11:$B$310)+COUNTA(条幅!$B$11:$B$310)+COUNTA(条幅4分の1!$B$11:$B$310),INDEX(条幅4分の1!$B$11:$B$310,530-COUNTA(半紙!$B$11:$B$310)-COUNTA(条幅!$B$11:$B$310)),""))))</f>
        <v/>
      </c>
      <c r="C535" s="38" t="str">
        <f>IF(IF(530&lt;=COUNTA(半紙!$B$11:$B$310),INDEX(半紙!$C$11:$C$310,530),IF(530&lt;=COUNTA(半紙!$B$11:$B$310)+COUNTA(条幅!$B$11:$B$310),INDEX(条幅!$C$11:$C$310,530-COUNTA(半紙!$B$11:$B$310)),IF(530&lt;=COUNTA(半紙!$B$11:$B$310)+COUNTA(条幅!$B$11:$B$310)+COUNTA(条幅4分の1!$B$11:$B$310),INDEX(条幅4分の1!$C$11:$C$310,530-COUNTA(半紙!$B$11:$B$310)-COUNTA(条幅!$B$11:$B$310)),"")))=0,"",IF(530&lt;=COUNTA(半紙!$B$11:$B$310),INDEX(半紙!$C$11:$C$310,530),IF(530&lt;=COUNTA(半紙!$B$11:$B$310)+COUNTA(条幅!$B$11:$B$310),INDEX(条幅!$C$11:$C$310,530-COUNTA(半紙!$B$11:$B$310)),IF(530&lt;=COUNTA(半紙!$B$11:$B$310)+COUNTA(条幅!$B$11:$B$310)+COUNTA(条幅4分の1!$B$11:$B$310),INDEX(条幅4分の1!$C$11:$C$310,530-COUNTA(半紙!$B$11:$B$310)-COUNTA(条幅!$B$11:$B$310)),""))))</f>
        <v/>
      </c>
      <c r="D535" s="38" t="str">
        <f>IF(IF(530&lt;=COUNTA(半紙!$B$11:$B$310),INDEX(半紙!$D$11:$D$310,530),IF(530&lt;=COUNTA(半紙!$B$11:$B$310)+COUNTA(条幅!$B$11:$B$310),INDEX(条幅!$D$11:$D$310,530-COUNTA(半紙!$B$11:$B$310)),IF(530&lt;=COUNTA(半紙!$B$11:$B$310)+COUNTA(条幅!$B$11:$B$310)+COUNTA(条幅4分の1!$B$11:$B$310),INDEX(条幅4分の1!$D$11:$D$310,530-COUNTA(半紙!$B$11:$B$310)-COUNTA(条幅!$B$11:$B$310)),"")))=0,"",IF(530&lt;=COUNTA(半紙!$B$11:$B$310),INDEX(半紙!$D$11:$D$310,530),IF(530&lt;=COUNTA(半紙!$B$11:$B$310)+COUNTA(条幅!$B$11:$B$310),INDEX(条幅!$D$11:$D$310,530-COUNTA(半紙!$B$11:$B$310)),IF(530&lt;=COUNTA(半紙!$B$11:$B$310)+COUNTA(条幅!$B$11:$B$310)+COUNTA(条幅4分の1!$B$11:$B$310),INDEX(条幅4分の1!$D$11:$D$310,530-COUNTA(半紙!$B$11:$B$310)-COUNTA(条幅!$B$11:$B$310)),""))))</f>
        <v/>
      </c>
      <c r="E535" s="38" t="str">
        <f>IF(IF(530&lt;=COUNTA(半紙!$B$11:$B$310),INDEX(半紙!$E$11:$E$310,530),IF(530&lt;=COUNTA(半紙!$B$11:$B$310)+COUNTA(条幅!$B$11:$B$310),INDEX(条幅!$E$11:$E$310,530-COUNTA(半紙!$B$11:$B$310)),IF(530&lt;=COUNTA(半紙!$B$11:$B$310)+COUNTA(条幅!$B$11:$B$310)+COUNTA(条幅4分の1!$B$11:$B$310),INDEX(条幅4分の1!$E$11:$E$310,530-COUNTA(半紙!$B$11:$B$310)-COUNTA(条幅!$B$11:$B$310)),"")))=0,"",IF(530&lt;=COUNTA(半紙!$B$11:$B$310),INDEX(半紙!$E$11:$E$310,530),IF(530&lt;=COUNTA(半紙!$B$11:$B$310)+COUNTA(条幅!$B$11:$B$310),INDEX(条幅!$E$11:$E$310,530-COUNTA(半紙!$B$11:$B$310)),IF(530&lt;=COUNTA(半紙!$B$11:$B$310)+COUNTA(条幅!$B$11:$B$310)+COUNTA(条幅4分の1!$B$11:$B$310),INDEX(条幅4分の1!$E$11:$E$310,530-COUNTA(半紙!$B$11:$B$310)-COUNTA(条幅!$B$11:$B$310)),""))))</f>
        <v/>
      </c>
      <c r="F535" s="38" t="str">
        <f>IF(IF(530&lt;=COUNTA(半紙!$B$11:$B$310),INDEX(半紙!$F$11:$F$310,530),IF(530&lt;=COUNTA(半紙!$B$11:$B$310)+COUNTA(条幅!$B$11:$B$310),INDEX(条幅!$F$11:$F$310,530-COUNTA(半紙!$B$11:$B$310)),IF(530&lt;=COUNTA(半紙!$B$11:$B$310)+COUNTA(条幅!$B$11:$B$310)+COUNTA(条幅4分の1!$B$11:$B$310),INDEX(条幅4分の1!$F$11:$F$310,530-COUNTA(半紙!$B$11:$B$310)-COUNTA(条幅!$B$11:$B$310)),"")))=0,"",IF(530&lt;=COUNTA(半紙!$B$11:$B$310),INDEX(半紙!$F$11:$F$310,530),IF(530&lt;=COUNTA(半紙!$B$11:$B$310)+COUNTA(条幅!$B$11:$B$310),INDEX(条幅!$F$11:$F$310,530-COUNTA(半紙!$B$11:$B$310)),IF(530&lt;=COUNTA(半紙!$B$11:$B$310)+COUNTA(条幅!$B$11:$B$310)+COUNTA(条幅4分の1!$B$11:$B$310),INDEX(条幅4分の1!$F$11:$F$310,530-COUNTA(半紙!$B$11:$B$310)-COUNTA(条幅!$B$11:$B$310)),""))))</f>
        <v/>
      </c>
      <c r="G535" s="38" t="str">
        <f>IF(IF(530&lt;=COUNTA(半紙!$B$11:$B$310),INDEX(半紙!$G$11:$G$310,530),IF(530&lt;=COUNTA(半紙!$B$11:$B$310)+COUNTA(条幅!$B$11:$B$310),INDEX(条幅!$G$11:$G$310,530-COUNTA(半紙!$B$11:$B$310)),IF(530&lt;=COUNTA(半紙!$B$11:$B$310)+COUNTA(条幅!$B$11:$B$310)+COUNTA(条幅4分の1!$B$11:$B$310),INDEX(条幅4分の1!$G$11:$G$310,530-COUNTA(半紙!$B$11:$B$310)-COUNTA(条幅!$B$11:$B$310)),"")))=0,"",IF(530&lt;=COUNTA(半紙!$B$11:$B$310),INDEX(半紙!$G$11:$G$310,530),IF(530&lt;=COUNTA(半紙!$B$11:$B$310)+COUNTA(条幅!$B$11:$B$310),INDEX(条幅!$G$11:$G$310,530-COUNTA(半紙!$B$11:$B$310)),IF(530&lt;=COUNTA(半紙!$B$11:$B$310)+COUNTA(条幅!$B$11:$B$310)+COUNTA(条幅4分の1!$B$11:$B$310),INDEX(条幅4分の1!$G$11:$G$310,530-COUNTA(半紙!$B$11:$B$310)-COUNTA(条幅!$B$11:$B$310)),""))))</f>
        <v/>
      </c>
      <c r="H535" s="38" t="str">
        <f>IF(IF(530&lt;=COUNTA(半紙!$B$11:$B$310),INDEX(半紙!$H$11:$H$310,530),IF(530&lt;=COUNTA(半紙!$B$11:$B$310)+COUNTA(条幅!$B$11:$B$310),INDEX(条幅!$H$11:$H$310,530-COUNTA(半紙!$B$11:$B$310)),IF(530&lt;=COUNTA(半紙!$B$11:$B$310)+COUNTA(条幅!$B$11:$B$310)+COUNTA(条幅4分の1!$B$11:$B$310),INDEX(条幅4分の1!$H$11:$H$310,530-COUNTA(半紙!$B$11:$B$310)-COUNTA(条幅!$B$11:$B$310)),"")))=0,"",IF(530&lt;=COUNTA(半紙!$B$11:$B$310),INDEX(半紙!$H$11:$H$310,530),IF(530&lt;=COUNTA(半紙!$B$11:$B$310)+COUNTA(条幅!$B$11:$B$310),INDEX(条幅!$H$11:$H$310,530-COUNTA(半紙!$B$11:$B$310)),IF(530&lt;=COUNTA(半紙!$B$11:$B$310)+COUNTA(条幅!$B$11:$B$310)+COUNTA(条幅4分の1!$B$11:$B$310),INDEX(条幅4分の1!$H$11:$H$310,530-COUNTA(半紙!$B$11:$B$310)-COUNTA(条幅!$B$11:$B$310)),""))))</f>
        <v/>
      </c>
      <c r="I535" s="38" t="str">
        <f>IF(IF(530&lt;=COUNTA(半紙!$B$11:$B$310),INDEX(半紙!$I$11:$I$310,530),IF(530&lt;=COUNTA(半紙!$B$11:$B$310)+COUNTA(条幅!$B$11:$B$310),INDEX(条幅!$I$11:$I$310,530-COUNTA(半紙!$B$11:$B$310)),IF(530&lt;=COUNTA(半紙!$B$11:$B$310)+COUNTA(条幅!$B$11:$B$310)+COUNTA(条幅4分の1!$B$11:$B$310),INDEX(条幅4分の1!$I$11:$I$310,530-COUNTA(半紙!$B$11:$B$310)-COUNTA(条幅!$B$11:$B$310)),"")))=0,"",IF(530&lt;=COUNTA(半紙!$B$11:$B$310),INDEX(半紙!$I$11:$I$310,530),IF(530&lt;=COUNTA(半紙!$B$11:$B$310)+COUNTA(条幅!$B$11:$B$310),INDEX(条幅!$I$11:$I$310,530-COUNTA(半紙!$B$11:$B$310)),IF(530&lt;=COUNTA(半紙!$B$11:$B$310)+COUNTA(条幅!$B$11:$B$310)+COUNTA(条幅4分の1!$B$11:$B$310),INDEX(条幅4分の1!$I$11:$I$310,530-COUNTA(半紙!$B$11:$B$310)-COUNTA(条幅!$B$11:$B$310)),""))))</f>
        <v/>
      </c>
      <c r="J535" s="38" t="str">
        <f>IF(IF(530&lt;=COUNTA(半紙!$B$11:$B$310),INDEX(半紙!$J$11:$J$310,530),IF(530&lt;=COUNTA(半紙!$B$11:$B$310)+COUNTA(条幅!$B$11:$B$310),INDEX(条幅!$J$11:$J$310,530-COUNTA(半紙!$B$11:$B$310)),IF(530&lt;=COUNTA(半紙!$B$11:$B$310)+COUNTA(条幅!$B$11:$B$310)+COUNTA(条幅4分の1!$B$11:$B$310),INDEX(条幅4分の1!$J$11:$J$310,530-COUNTA(半紙!$B$11:$B$310)-COUNTA(条幅!$B$11:$B$310)),"")))=0,"",IF(530&lt;=COUNTA(半紙!$B$11:$B$310),INDEX(半紙!$J$11:$J$310,530),IF(530&lt;=COUNTA(半紙!$B$11:$B$310)+COUNTA(条幅!$B$11:$B$310),INDEX(条幅!$J$11:$J$310,530-COUNTA(半紙!$B$11:$B$310)),IF(530&lt;=COUNTA(半紙!$B$11:$B$310)+COUNTA(条幅!$B$11:$B$310)+COUNTA(条幅4分の1!$B$11:$B$310),INDEX(条幅4分の1!$J$11:$J$310,530-COUNTA(半紙!$B$11:$B$310)-COUNTA(条幅!$B$11:$B$310)),""))))</f>
        <v/>
      </c>
      <c r="K535" s="38" t="str">
        <f>IF(IF(530&lt;=COUNTA(半紙!$B$11:$B$310),INDEX(半紙!$K$11:$K$310,530),IF(530&lt;=COUNTA(半紙!$B$11:$B$310)+COUNTA(条幅!$B$11:$B$310),INDEX(条幅!$K$11:$K$310,530-COUNTA(半紙!$B$11:$B$310)),IF(530&lt;=COUNTA(半紙!$B$11:$B$310)+COUNTA(条幅!$B$11:$B$310)+COUNTA(条幅4分の1!$B$11:$B$310),INDEX(条幅4分の1!$K$11:$K$310,530-COUNTA(半紙!$B$11:$B$310)-COUNTA(条幅!$B$11:$B$310)),"")))=0,"",IF(530&lt;=COUNTA(半紙!$B$11:$B$310),INDEX(半紙!$K$11:$K$310,530),IF(530&lt;=COUNTA(半紙!$B$11:$B$310)+COUNTA(条幅!$B$11:$B$310),INDEX(条幅!$K$11:$K$310,530-COUNTA(半紙!$B$11:$B$310)),IF(530&lt;=COUNTA(半紙!$B$11:$B$310)+COUNTA(条幅!$B$11:$B$310)+COUNTA(条幅4分の1!$B$11:$B$310),INDEX(条幅4分の1!$K$11:$K$310,530-COUNTA(半紙!$B$11:$B$310)-COUNTA(条幅!$B$11:$B$310)),""))))</f>
        <v/>
      </c>
      <c r="L535" s="48" t="str">
        <f>IF($B535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530))</f>
        <v/>
      </c>
    </row>
    <row r="536" spans="1:12" ht="15" customHeight="1">
      <c r="A536" s="37" t="str">
        <f>IF(531&lt;=COUNTA(半紙!$B$11:$B$310),"半紙",IF(531&lt;=COUNTA(半紙!$B$11:$B$310)+COUNTA(条幅!$B$11:$B$310),"条幅(半切)",IF(531&lt;=COUNTA(半紙!$B$11:$B$310)+COUNTA(条幅!$B$11:$B$310)+COUNTA(条幅4分の1!$B$11:$B$310),"条幅(1/4)","")))</f>
        <v/>
      </c>
      <c r="B536" s="38" t="str">
        <f>IF(IF(531&lt;=COUNTA(半紙!$B$11:$B$310),INDEX(半紙!$B$11:$B$310,531),IF(531&lt;=COUNTA(半紙!$B$11:$B$310)+COUNTA(条幅!$B$11:$B$310),INDEX(条幅!$B$11:$B$310,531-COUNTA(半紙!$B$11:$B$310)),IF(531&lt;=COUNTA(半紙!$B$11:$B$310)+COUNTA(条幅!$B$11:$B$310)+COUNTA(条幅4分の1!$B$11:$B$310),INDEX(条幅4分の1!$B$11:$B$310,531-COUNTA(半紙!$B$11:$B$310)-COUNTA(条幅!$B$11:$B$310)),"")))=0,"",IF(531&lt;=COUNTA(半紙!$B$11:$B$310),INDEX(半紙!$B$11:$B$310,531),IF(531&lt;=COUNTA(半紙!$B$11:$B$310)+COUNTA(条幅!$B$11:$B$310),INDEX(条幅!$B$11:$B$310,531-COUNTA(半紙!$B$11:$B$310)),IF(531&lt;=COUNTA(半紙!$B$11:$B$310)+COUNTA(条幅!$B$11:$B$310)+COUNTA(条幅4分の1!$B$11:$B$310),INDEX(条幅4分の1!$B$11:$B$310,531-COUNTA(半紙!$B$11:$B$310)-COUNTA(条幅!$B$11:$B$310)),""))))</f>
        <v/>
      </c>
      <c r="C536" s="38" t="str">
        <f>IF(IF(531&lt;=COUNTA(半紙!$B$11:$B$310),INDEX(半紙!$C$11:$C$310,531),IF(531&lt;=COUNTA(半紙!$B$11:$B$310)+COUNTA(条幅!$B$11:$B$310),INDEX(条幅!$C$11:$C$310,531-COUNTA(半紙!$B$11:$B$310)),IF(531&lt;=COUNTA(半紙!$B$11:$B$310)+COUNTA(条幅!$B$11:$B$310)+COUNTA(条幅4分の1!$B$11:$B$310),INDEX(条幅4分の1!$C$11:$C$310,531-COUNTA(半紙!$B$11:$B$310)-COUNTA(条幅!$B$11:$B$310)),"")))=0,"",IF(531&lt;=COUNTA(半紙!$B$11:$B$310),INDEX(半紙!$C$11:$C$310,531),IF(531&lt;=COUNTA(半紙!$B$11:$B$310)+COUNTA(条幅!$B$11:$B$310),INDEX(条幅!$C$11:$C$310,531-COUNTA(半紙!$B$11:$B$310)),IF(531&lt;=COUNTA(半紙!$B$11:$B$310)+COUNTA(条幅!$B$11:$B$310)+COUNTA(条幅4分の1!$B$11:$B$310),INDEX(条幅4分の1!$C$11:$C$310,531-COUNTA(半紙!$B$11:$B$310)-COUNTA(条幅!$B$11:$B$310)),""))))</f>
        <v/>
      </c>
      <c r="D536" s="38" t="str">
        <f>IF(IF(531&lt;=COUNTA(半紙!$B$11:$B$310),INDEX(半紙!$D$11:$D$310,531),IF(531&lt;=COUNTA(半紙!$B$11:$B$310)+COUNTA(条幅!$B$11:$B$310),INDEX(条幅!$D$11:$D$310,531-COUNTA(半紙!$B$11:$B$310)),IF(531&lt;=COUNTA(半紙!$B$11:$B$310)+COUNTA(条幅!$B$11:$B$310)+COUNTA(条幅4分の1!$B$11:$B$310),INDEX(条幅4分の1!$D$11:$D$310,531-COUNTA(半紙!$B$11:$B$310)-COUNTA(条幅!$B$11:$B$310)),"")))=0,"",IF(531&lt;=COUNTA(半紙!$B$11:$B$310),INDEX(半紙!$D$11:$D$310,531),IF(531&lt;=COUNTA(半紙!$B$11:$B$310)+COUNTA(条幅!$B$11:$B$310),INDEX(条幅!$D$11:$D$310,531-COUNTA(半紙!$B$11:$B$310)),IF(531&lt;=COUNTA(半紙!$B$11:$B$310)+COUNTA(条幅!$B$11:$B$310)+COUNTA(条幅4分の1!$B$11:$B$310),INDEX(条幅4分の1!$D$11:$D$310,531-COUNTA(半紙!$B$11:$B$310)-COUNTA(条幅!$B$11:$B$310)),""))))</f>
        <v/>
      </c>
      <c r="E536" s="38" t="str">
        <f>IF(IF(531&lt;=COUNTA(半紙!$B$11:$B$310),INDEX(半紙!$E$11:$E$310,531),IF(531&lt;=COUNTA(半紙!$B$11:$B$310)+COUNTA(条幅!$B$11:$B$310),INDEX(条幅!$E$11:$E$310,531-COUNTA(半紙!$B$11:$B$310)),IF(531&lt;=COUNTA(半紙!$B$11:$B$310)+COUNTA(条幅!$B$11:$B$310)+COUNTA(条幅4分の1!$B$11:$B$310),INDEX(条幅4分の1!$E$11:$E$310,531-COUNTA(半紙!$B$11:$B$310)-COUNTA(条幅!$B$11:$B$310)),"")))=0,"",IF(531&lt;=COUNTA(半紙!$B$11:$B$310),INDEX(半紙!$E$11:$E$310,531),IF(531&lt;=COUNTA(半紙!$B$11:$B$310)+COUNTA(条幅!$B$11:$B$310),INDEX(条幅!$E$11:$E$310,531-COUNTA(半紙!$B$11:$B$310)),IF(531&lt;=COUNTA(半紙!$B$11:$B$310)+COUNTA(条幅!$B$11:$B$310)+COUNTA(条幅4分の1!$B$11:$B$310),INDEX(条幅4分の1!$E$11:$E$310,531-COUNTA(半紙!$B$11:$B$310)-COUNTA(条幅!$B$11:$B$310)),""))))</f>
        <v/>
      </c>
      <c r="F536" s="38" t="str">
        <f>IF(IF(531&lt;=COUNTA(半紙!$B$11:$B$310),INDEX(半紙!$F$11:$F$310,531),IF(531&lt;=COUNTA(半紙!$B$11:$B$310)+COUNTA(条幅!$B$11:$B$310),INDEX(条幅!$F$11:$F$310,531-COUNTA(半紙!$B$11:$B$310)),IF(531&lt;=COUNTA(半紙!$B$11:$B$310)+COUNTA(条幅!$B$11:$B$310)+COUNTA(条幅4分の1!$B$11:$B$310),INDEX(条幅4分の1!$F$11:$F$310,531-COUNTA(半紙!$B$11:$B$310)-COUNTA(条幅!$B$11:$B$310)),"")))=0,"",IF(531&lt;=COUNTA(半紙!$B$11:$B$310),INDEX(半紙!$F$11:$F$310,531),IF(531&lt;=COUNTA(半紙!$B$11:$B$310)+COUNTA(条幅!$B$11:$B$310),INDEX(条幅!$F$11:$F$310,531-COUNTA(半紙!$B$11:$B$310)),IF(531&lt;=COUNTA(半紙!$B$11:$B$310)+COUNTA(条幅!$B$11:$B$310)+COUNTA(条幅4分の1!$B$11:$B$310),INDEX(条幅4分の1!$F$11:$F$310,531-COUNTA(半紙!$B$11:$B$310)-COUNTA(条幅!$B$11:$B$310)),""))))</f>
        <v/>
      </c>
      <c r="G536" s="38" t="str">
        <f>IF(IF(531&lt;=COUNTA(半紙!$B$11:$B$310),INDEX(半紙!$G$11:$G$310,531),IF(531&lt;=COUNTA(半紙!$B$11:$B$310)+COUNTA(条幅!$B$11:$B$310),INDEX(条幅!$G$11:$G$310,531-COUNTA(半紙!$B$11:$B$310)),IF(531&lt;=COUNTA(半紙!$B$11:$B$310)+COUNTA(条幅!$B$11:$B$310)+COUNTA(条幅4分の1!$B$11:$B$310),INDEX(条幅4分の1!$G$11:$G$310,531-COUNTA(半紙!$B$11:$B$310)-COUNTA(条幅!$B$11:$B$310)),"")))=0,"",IF(531&lt;=COUNTA(半紙!$B$11:$B$310),INDEX(半紙!$G$11:$G$310,531),IF(531&lt;=COUNTA(半紙!$B$11:$B$310)+COUNTA(条幅!$B$11:$B$310),INDEX(条幅!$G$11:$G$310,531-COUNTA(半紙!$B$11:$B$310)),IF(531&lt;=COUNTA(半紙!$B$11:$B$310)+COUNTA(条幅!$B$11:$B$310)+COUNTA(条幅4分の1!$B$11:$B$310),INDEX(条幅4分の1!$G$11:$G$310,531-COUNTA(半紙!$B$11:$B$310)-COUNTA(条幅!$B$11:$B$310)),""))))</f>
        <v/>
      </c>
      <c r="H536" s="38" t="str">
        <f>IF(IF(531&lt;=COUNTA(半紙!$B$11:$B$310),INDEX(半紙!$H$11:$H$310,531),IF(531&lt;=COUNTA(半紙!$B$11:$B$310)+COUNTA(条幅!$B$11:$B$310),INDEX(条幅!$H$11:$H$310,531-COUNTA(半紙!$B$11:$B$310)),IF(531&lt;=COUNTA(半紙!$B$11:$B$310)+COUNTA(条幅!$B$11:$B$310)+COUNTA(条幅4分の1!$B$11:$B$310),INDEX(条幅4分の1!$H$11:$H$310,531-COUNTA(半紙!$B$11:$B$310)-COUNTA(条幅!$B$11:$B$310)),"")))=0,"",IF(531&lt;=COUNTA(半紙!$B$11:$B$310),INDEX(半紙!$H$11:$H$310,531),IF(531&lt;=COUNTA(半紙!$B$11:$B$310)+COUNTA(条幅!$B$11:$B$310),INDEX(条幅!$H$11:$H$310,531-COUNTA(半紙!$B$11:$B$310)),IF(531&lt;=COUNTA(半紙!$B$11:$B$310)+COUNTA(条幅!$B$11:$B$310)+COUNTA(条幅4分の1!$B$11:$B$310),INDEX(条幅4分の1!$H$11:$H$310,531-COUNTA(半紙!$B$11:$B$310)-COUNTA(条幅!$B$11:$B$310)),""))))</f>
        <v/>
      </c>
      <c r="I536" s="38" t="str">
        <f>IF(IF(531&lt;=COUNTA(半紙!$B$11:$B$310),INDEX(半紙!$I$11:$I$310,531),IF(531&lt;=COUNTA(半紙!$B$11:$B$310)+COUNTA(条幅!$B$11:$B$310),INDEX(条幅!$I$11:$I$310,531-COUNTA(半紙!$B$11:$B$310)),IF(531&lt;=COUNTA(半紙!$B$11:$B$310)+COUNTA(条幅!$B$11:$B$310)+COUNTA(条幅4分の1!$B$11:$B$310),INDEX(条幅4分の1!$I$11:$I$310,531-COUNTA(半紙!$B$11:$B$310)-COUNTA(条幅!$B$11:$B$310)),"")))=0,"",IF(531&lt;=COUNTA(半紙!$B$11:$B$310),INDEX(半紙!$I$11:$I$310,531),IF(531&lt;=COUNTA(半紙!$B$11:$B$310)+COUNTA(条幅!$B$11:$B$310),INDEX(条幅!$I$11:$I$310,531-COUNTA(半紙!$B$11:$B$310)),IF(531&lt;=COUNTA(半紙!$B$11:$B$310)+COUNTA(条幅!$B$11:$B$310)+COUNTA(条幅4分の1!$B$11:$B$310),INDEX(条幅4分の1!$I$11:$I$310,531-COUNTA(半紙!$B$11:$B$310)-COUNTA(条幅!$B$11:$B$310)),""))))</f>
        <v/>
      </c>
      <c r="J536" s="38" t="str">
        <f>IF(IF(531&lt;=COUNTA(半紙!$B$11:$B$310),INDEX(半紙!$J$11:$J$310,531),IF(531&lt;=COUNTA(半紙!$B$11:$B$310)+COUNTA(条幅!$B$11:$B$310),INDEX(条幅!$J$11:$J$310,531-COUNTA(半紙!$B$11:$B$310)),IF(531&lt;=COUNTA(半紙!$B$11:$B$310)+COUNTA(条幅!$B$11:$B$310)+COUNTA(条幅4分の1!$B$11:$B$310),INDEX(条幅4分の1!$J$11:$J$310,531-COUNTA(半紙!$B$11:$B$310)-COUNTA(条幅!$B$11:$B$310)),"")))=0,"",IF(531&lt;=COUNTA(半紙!$B$11:$B$310),INDEX(半紙!$J$11:$J$310,531),IF(531&lt;=COUNTA(半紙!$B$11:$B$310)+COUNTA(条幅!$B$11:$B$310),INDEX(条幅!$J$11:$J$310,531-COUNTA(半紙!$B$11:$B$310)),IF(531&lt;=COUNTA(半紙!$B$11:$B$310)+COUNTA(条幅!$B$11:$B$310)+COUNTA(条幅4分の1!$B$11:$B$310),INDEX(条幅4分の1!$J$11:$J$310,531-COUNTA(半紙!$B$11:$B$310)-COUNTA(条幅!$B$11:$B$310)),""))))</f>
        <v/>
      </c>
      <c r="K536" s="38" t="str">
        <f>IF(IF(531&lt;=COUNTA(半紙!$B$11:$B$310),INDEX(半紙!$K$11:$K$310,531),IF(531&lt;=COUNTA(半紙!$B$11:$B$310)+COUNTA(条幅!$B$11:$B$310),INDEX(条幅!$K$11:$K$310,531-COUNTA(半紙!$B$11:$B$310)),IF(531&lt;=COUNTA(半紙!$B$11:$B$310)+COUNTA(条幅!$B$11:$B$310)+COUNTA(条幅4分の1!$B$11:$B$310),INDEX(条幅4分の1!$K$11:$K$310,531-COUNTA(半紙!$B$11:$B$310)-COUNTA(条幅!$B$11:$B$310)),"")))=0,"",IF(531&lt;=COUNTA(半紙!$B$11:$B$310),INDEX(半紙!$K$11:$K$310,531),IF(531&lt;=COUNTA(半紙!$B$11:$B$310)+COUNTA(条幅!$B$11:$B$310),INDEX(条幅!$K$11:$K$310,531-COUNTA(半紙!$B$11:$B$310)),IF(531&lt;=COUNTA(半紙!$B$11:$B$310)+COUNTA(条幅!$B$11:$B$310)+COUNTA(条幅4分の1!$B$11:$B$310),INDEX(条幅4分の1!$K$11:$K$310,531-COUNTA(半紙!$B$11:$B$310)-COUNTA(条幅!$B$11:$B$310)),""))))</f>
        <v/>
      </c>
      <c r="L536" s="48" t="str">
        <f>IF($B536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531))</f>
        <v/>
      </c>
    </row>
    <row r="537" spans="1:12" ht="15" customHeight="1">
      <c r="A537" s="37" t="str">
        <f>IF(532&lt;=COUNTA(半紙!$B$11:$B$310),"半紙",IF(532&lt;=COUNTA(半紙!$B$11:$B$310)+COUNTA(条幅!$B$11:$B$310),"条幅(半切)",IF(532&lt;=COUNTA(半紙!$B$11:$B$310)+COUNTA(条幅!$B$11:$B$310)+COUNTA(条幅4分の1!$B$11:$B$310),"条幅(1/4)","")))</f>
        <v/>
      </c>
      <c r="B537" s="38" t="str">
        <f>IF(IF(532&lt;=COUNTA(半紙!$B$11:$B$310),INDEX(半紙!$B$11:$B$310,532),IF(532&lt;=COUNTA(半紙!$B$11:$B$310)+COUNTA(条幅!$B$11:$B$310),INDEX(条幅!$B$11:$B$310,532-COUNTA(半紙!$B$11:$B$310)),IF(532&lt;=COUNTA(半紙!$B$11:$B$310)+COUNTA(条幅!$B$11:$B$310)+COUNTA(条幅4分の1!$B$11:$B$310),INDEX(条幅4分の1!$B$11:$B$310,532-COUNTA(半紙!$B$11:$B$310)-COUNTA(条幅!$B$11:$B$310)),"")))=0,"",IF(532&lt;=COUNTA(半紙!$B$11:$B$310),INDEX(半紙!$B$11:$B$310,532),IF(532&lt;=COUNTA(半紙!$B$11:$B$310)+COUNTA(条幅!$B$11:$B$310),INDEX(条幅!$B$11:$B$310,532-COUNTA(半紙!$B$11:$B$310)),IF(532&lt;=COUNTA(半紙!$B$11:$B$310)+COUNTA(条幅!$B$11:$B$310)+COUNTA(条幅4分の1!$B$11:$B$310),INDEX(条幅4分の1!$B$11:$B$310,532-COUNTA(半紙!$B$11:$B$310)-COUNTA(条幅!$B$11:$B$310)),""))))</f>
        <v/>
      </c>
      <c r="C537" s="38" t="str">
        <f>IF(IF(532&lt;=COUNTA(半紙!$B$11:$B$310),INDEX(半紙!$C$11:$C$310,532),IF(532&lt;=COUNTA(半紙!$B$11:$B$310)+COUNTA(条幅!$B$11:$B$310),INDEX(条幅!$C$11:$C$310,532-COUNTA(半紙!$B$11:$B$310)),IF(532&lt;=COUNTA(半紙!$B$11:$B$310)+COUNTA(条幅!$B$11:$B$310)+COUNTA(条幅4分の1!$B$11:$B$310),INDEX(条幅4分の1!$C$11:$C$310,532-COUNTA(半紙!$B$11:$B$310)-COUNTA(条幅!$B$11:$B$310)),"")))=0,"",IF(532&lt;=COUNTA(半紙!$B$11:$B$310),INDEX(半紙!$C$11:$C$310,532),IF(532&lt;=COUNTA(半紙!$B$11:$B$310)+COUNTA(条幅!$B$11:$B$310),INDEX(条幅!$C$11:$C$310,532-COUNTA(半紙!$B$11:$B$310)),IF(532&lt;=COUNTA(半紙!$B$11:$B$310)+COUNTA(条幅!$B$11:$B$310)+COUNTA(条幅4分の1!$B$11:$B$310),INDEX(条幅4分の1!$C$11:$C$310,532-COUNTA(半紙!$B$11:$B$310)-COUNTA(条幅!$B$11:$B$310)),""))))</f>
        <v/>
      </c>
      <c r="D537" s="38" t="str">
        <f>IF(IF(532&lt;=COUNTA(半紙!$B$11:$B$310),INDEX(半紙!$D$11:$D$310,532),IF(532&lt;=COUNTA(半紙!$B$11:$B$310)+COUNTA(条幅!$B$11:$B$310),INDEX(条幅!$D$11:$D$310,532-COUNTA(半紙!$B$11:$B$310)),IF(532&lt;=COUNTA(半紙!$B$11:$B$310)+COUNTA(条幅!$B$11:$B$310)+COUNTA(条幅4分の1!$B$11:$B$310),INDEX(条幅4分の1!$D$11:$D$310,532-COUNTA(半紙!$B$11:$B$310)-COUNTA(条幅!$B$11:$B$310)),"")))=0,"",IF(532&lt;=COUNTA(半紙!$B$11:$B$310),INDEX(半紙!$D$11:$D$310,532),IF(532&lt;=COUNTA(半紙!$B$11:$B$310)+COUNTA(条幅!$B$11:$B$310),INDEX(条幅!$D$11:$D$310,532-COUNTA(半紙!$B$11:$B$310)),IF(532&lt;=COUNTA(半紙!$B$11:$B$310)+COUNTA(条幅!$B$11:$B$310)+COUNTA(条幅4分の1!$B$11:$B$310),INDEX(条幅4分の1!$D$11:$D$310,532-COUNTA(半紙!$B$11:$B$310)-COUNTA(条幅!$B$11:$B$310)),""))))</f>
        <v/>
      </c>
      <c r="E537" s="38" t="str">
        <f>IF(IF(532&lt;=COUNTA(半紙!$B$11:$B$310),INDEX(半紙!$E$11:$E$310,532),IF(532&lt;=COUNTA(半紙!$B$11:$B$310)+COUNTA(条幅!$B$11:$B$310),INDEX(条幅!$E$11:$E$310,532-COUNTA(半紙!$B$11:$B$310)),IF(532&lt;=COUNTA(半紙!$B$11:$B$310)+COUNTA(条幅!$B$11:$B$310)+COUNTA(条幅4分の1!$B$11:$B$310),INDEX(条幅4分の1!$E$11:$E$310,532-COUNTA(半紙!$B$11:$B$310)-COUNTA(条幅!$B$11:$B$310)),"")))=0,"",IF(532&lt;=COUNTA(半紙!$B$11:$B$310),INDEX(半紙!$E$11:$E$310,532),IF(532&lt;=COUNTA(半紙!$B$11:$B$310)+COUNTA(条幅!$B$11:$B$310),INDEX(条幅!$E$11:$E$310,532-COUNTA(半紙!$B$11:$B$310)),IF(532&lt;=COUNTA(半紙!$B$11:$B$310)+COUNTA(条幅!$B$11:$B$310)+COUNTA(条幅4分の1!$B$11:$B$310),INDEX(条幅4分の1!$E$11:$E$310,532-COUNTA(半紙!$B$11:$B$310)-COUNTA(条幅!$B$11:$B$310)),""))))</f>
        <v/>
      </c>
      <c r="F537" s="38" t="str">
        <f>IF(IF(532&lt;=COUNTA(半紙!$B$11:$B$310),INDEX(半紙!$F$11:$F$310,532),IF(532&lt;=COUNTA(半紙!$B$11:$B$310)+COUNTA(条幅!$B$11:$B$310),INDEX(条幅!$F$11:$F$310,532-COUNTA(半紙!$B$11:$B$310)),IF(532&lt;=COUNTA(半紙!$B$11:$B$310)+COUNTA(条幅!$B$11:$B$310)+COUNTA(条幅4分の1!$B$11:$B$310),INDEX(条幅4分の1!$F$11:$F$310,532-COUNTA(半紙!$B$11:$B$310)-COUNTA(条幅!$B$11:$B$310)),"")))=0,"",IF(532&lt;=COUNTA(半紙!$B$11:$B$310),INDEX(半紙!$F$11:$F$310,532),IF(532&lt;=COUNTA(半紙!$B$11:$B$310)+COUNTA(条幅!$B$11:$B$310),INDEX(条幅!$F$11:$F$310,532-COUNTA(半紙!$B$11:$B$310)),IF(532&lt;=COUNTA(半紙!$B$11:$B$310)+COUNTA(条幅!$B$11:$B$310)+COUNTA(条幅4分の1!$B$11:$B$310),INDEX(条幅4分の1!$F$11:$F$310,532-COUNTA(半紙!$B$11:$B$310)-COUNTA(条幅!$B$11:$B$310)),""))))</f>
        <v/>
      </c>
      <c r="G537" s="38" t="str">
        <f>IF(IF(532&lt;=COUNTA(半紙!$B$11:$B$310),INDEX(半紙!$G$11:$G$310,532),IF(532&lt;=COUNTA(半紙!$B$11:$B$310)+COUNTA(条幅!$B$11:$B$310),INDEX(条幅!$G$11:$G$310,532-COUNTA(半紙!$B$11:$B$310)),IF(532&lt;=COUNTA(半紙!$B$11:$B$310)+COUNTA(条幅!$B$11:$B$310)+COUNTA(条幅4分の1!$B$11:$B$310),INDEX(条幅4分の1!$G$11:$G$310,532-COUNTA(半紙!$B$11:$B$310)-COUNTA(条幅!$B$11:$B$310)),"")))=0,"",IF(532&lt;=COUNTA(半紙!$B$11:$B$310),INDEX(半紙!$G$11:$G$310,532),IF(532&lt;=COUNTA(半紙!$B$11:$B$310)+COUNTA(条幅!$B$11:$B$310),INDEX(条幅!$G$11:$G$310,532-COUNTA(半紙!$B$11:$B$310)),IF(532&lt;=COUNTA(半紙!$B$11:$B$310)+COUNTA(条幅!$B$11:$B$310)+COUNTA(条幅4分の1!$B$11:$B$310),INDEX(条幅4分の1!$G$11:$G$310,532-COUNTA(半紙!$B$11:$B$310)-COUNTA(条幅!$B$11:$B$310)),""))))</f>
        <v/>
      </c>
      <c r="H537" s="38" t="str">
        <f>IF(IF(532&lt;=COUNTA(半紙!$B$11:$B$310),INDEX(半紙!$H$11:$H$310,532),IF(532&lt;=COUNTA(半紙!$B$11:$B$310)+COUNTA(条幅!$B$11:$B$310),INDEX(条幅!$H$11:$H$310,532-COUNTA(半紙!$B$11:$B$310)),IF(532&lt;=COUNTA(半紙!$B$11:$B$310)+COUNTA(条幅!$B$11:$B$310)+COUNTA(条幅4分の1!$B$11:$B$310),INDEX(条幅4分の1!$H$11:$H$310,532-COUNTA(半紙!$B$11:$B$310)-COUNTA(条幅!$B$11:$B$310)),"")))=0,"",IF(532&lt;=COUNTA(半紙!$B$11:$B$310),INDEX(半紙!$H$11:$H$310,532),IF(532&lt;=COUNTA(半紙!$B$11:$B$310)+COUNTA(条幅!$B$11:$B$310),INDEX(条幅!$H$11:$H$310,532-COUNTA(半紙!$B$11:$B$310)),IF(532&lt;=COUNTA(半紙!$B$11:$B$310)+COUNTA(条幅!$B$11:$B$310)+COUNTA(条幅4分の1!$B$11:$B$310),INDEX(条幅4分の1!$H$11:$H$310,532-COUNTA(半紙!$B$11:$B$310)-COUNTA(条幅!$B$11:$B$310)),""))))</f>
        <v/>
      </c>
      <c r="I537" s="38" t="str">
        <f>IF(IF(532&lt;=COUNTA(半紙!$B$11:$B$310),INDEX(半紙!$I$11:$I$310,532),IF(532&lt;=COUNTA(半紙!$B$11:$B$310)+COUNTA(条幅!$B$11:$B$310),INDEX(条幅!$I$11:$I$310,532-COUNTA(半紙!$B$11:$B$310)),IF(532&lt;=COUNTA(半紙!$B$11:$B$310)+COUNTA(条幅!$B$11:$B$310)+COUNTA(条幅4分の1!$B$11:$B$310),INDEX(条幅4分の1!$I$11:$I$310,532-COUNTA(半紙!$B$11:$B$310)-COUNTA(条幅!$B$11:$B$310)),"")))=0,"",IF(532&lt;=COUNTA(半紙!$B$11:$B$310),INDEX(半紙!$I$11:$I$310,532),IF(532&lt;=COUNTA(半紙!$B$11:$B$310)+COUNTA(条幅!$B$11:$B$310),INDEX(条幅!$I$11:$I$310,532-COUNTA(半紙!$B$11:$B$310)),IF(532&lt;=COUNTA(半紙!$B$11:$B$310)+COUNTA(条幅!$B$11:$B$310)+COUNTA(条幅4分の1!$B$11:$B$310),INDEX(条幅4分の1!$I$11:$I$310,532-COUNTA(半紙!$B$11:$B$310)-COUNTA(条幅!$B$11:$B$310)),""))))</f>
        <v/>
      </c>
      <c r="J537" s="38" t="str">
        <f>IF(IF(532&lt;=COUNTA(半紙!$B$11:$B$310),INDEX(半紙!$J$11:$J$310,532),IF(532&lt;=COUNTA(半紙!$B$11:$B$310)+COUNTA(条幅!$B$11:$B$310),INDEX(条幅!$J$11:$J$310,532-COUNTA(半紙!$B$11:$B$310)),IF(532&lt;=COUNTA(半紙!$B$11:$B$310)+COUNTA(条幅!$B$11:$B$310)+COUNTA(条幅4分の1!$B$11:$B$310),INDEX(条幅4分の1!$J$11:$J$310,532-COUNTA(半紙!$B$11:$B$310)-COUNTA(条幅!$B$11:$B$310)),"")))=0,"",IF(532&lt;=COUNTA(半紙!$B$11:$B$310),INDEX(半紙!$J$11:$J$310,532),IF(532&lt;=COUNTA(半紙!$B$11:$B$310)+COUNTA(条幅!$B$11:$B$310),INDEX(条幅!$J$11:$J$310,532-COUNTA(半紙!$B$11:$B$310)),IF(532&lt;=COUNTA(半紙!$B$11:$B$310)+COUNTA(条幅!$B$11:$B$310)+COUNTA(条幅4分の1!$B$11:$B$310),INDEX(条幅4分の1!$J$11:$J$310,532-COUNTA(半紙!$B$11:$B$310)-COUNTA(条幅!$B$11:$B$310)),""))))</f>
        <v/>
      </c>
      <c r="K537" s="38" t="str">
        <f>IF(IF(532&lt;=COUNTA(半紙!$B$11:$B$310),INDEX(半紙!$K$11:$K$310,532),IF(532&lt;=COUNTA(半紙!$B$11:$B$310)+COUNTA(条幅!$B$11:$B$310),INDEX(条幅!$K$11:$K$310,532-COUNTA(半紙!$B$11:$B$310)),IF(532&lt;=COUNTA(半紙!$B$11:$B$310)+COUNTA(条幅!$B$11:$B$310)+COUNTA(条幅4分の1!$B$11:$B$310),INDEX(条幅4分の1!$K$11:$K$310,532-COUNTA(半紙!$B$11:$B$310)-COUNTA(条幅!$B$11:$B$310)),"")))=0,"",IF(532&lt;=COUNTA(半紙!$B$11:$B$310),INDEX(半紙!$K$11:$K$310,532),IF(532&lt;=COUNTA(半紙!$B$11:$B$310)+COUNTA(条幅!$B$11:$B$310),INDEX(条幅!$K$11:$K$310,532-COUNTA(半紙!$B$11:$B$310)),IF(532&lt;=COUNTA(半紙!$B$11:$B$310)+COUNTA(条幅!$B$11:$B$310)+COUNTA(条幅4分の1!$B$11:$B$310),INDEX(条幅4分の1!$K$11:$K$310,532-COUNTA(半紙!$B$11:$B$310)-COUNTA(条幅!$B$11:$B$310)),""))))</f>
        <v/>
      </c>
      <c r="L537" s="48" t="str">
        <f>IF($B537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532))</f>
        <v/>
      </c>
    </row>
    <row r="538" spans="1:12" ht="15" customHeight="1">
      <c r="A538" s="37" t="str">
        <f>IF(533&lt;=COUNTA(半紙!$B$11:$B$310),"半紙",IF(533&lt;=COUNTA(半紙!$B$11:$B$310)+COUNTA(条幅!$B$11:$B$310),"条幅(半切)",IF(533&lt;=COUNTA(半紙!$B$11:$B$310)+COUNTA(条幅!$B$11:$B$310)+COUNTA(条幅4分の1!$B$11:$B$310),"条幅(1/4)","")))</f>
        <v/>
      </c>
      <c r="B538" s="38" t="str">
        <f>IF(IF(533&lt;=COUNTA(半紙!$B$11:$B$310),INDEX(半紙!$B$11:$B$310,533),IF(533&lt;=COUNTA(半紙!$B$11:$B$310)+COUNTA(条幅!$B$11:$B$310),INDEX(条幅!$B$11:$B$310,533-COUNTA(半紙!$B$11:$B$310)),IF(533&lt;=COUNTA(半紙!$B$11:$B$310)+COUNTA(条幅!$B$11:$B$310)+COUNTA(条幅4分の1!$B$11:$B$310),INDEX(条幅4分の1!$B$11:$B$310,533-COUNTA(半紙!$B$11:$B$310)-COUNTA(条幅!$B$11:$B$310)),"")))=0,"",IF(533&lt;=COUNTA(半紙!$B$11:$B$310),INDEX(半紙!$B$11:$B$310,533),IF(533&lt;=COUNTA(半紙!$B$11:$B$310)+COUNTA(条幅!$B$11:$B$310),INDEX(条幅!$B$11:$B$310,533-COUNTA(半紙!$B$11:$B$310)),IF(533&lt;=COUNTA(半紙!$B$11:$B$310)+COUNTA(条幅!$B$11:$B$310)+COUNTA(条幅4分の1!$B$11:$B$310),INDEX(条幅4分の1!$B$11:$B$310,533-COUNTA(半紙!$B$11:$B$310)-COUNTA(条幅!$B$11:$B$310)),""))))</f>
        <v/>
      </c>
      <c r="C538" s="38" t="str">
        <f>IF(IF(533&lt;=COUNTA(半紙!$B$11:$B$310),INDEX(半紙!$C$11:$C$310,533),IF(533&lt;=COUNTA(半紙!$B$11:$B$310)+COUNTA(条幅!$B$11:$B$310),INDEX(条幅!$C$11:$C$310,533-COUNTA(半紙!$B$11:$B$310)),IF(533&lt;=COUNTA(半紙!$B$11:$B$310)+COUNTA(条幅!$B$11:$B$310)+COUNTA(条幅4分の1!$B$11:$B$310),INDEX(条幅4分の1!$C$11:$C$310,533-COUNTA(半紙!$B$11:$B$310)-COUNTA(条幅!$B$11:$B$310)),"")))=0,"",IF(533&lt;=COUNTA(半紙!$B$11:$B$310),INDEX(半紙!$C$11:$C$310,533),IF(533&lt;=COUNTA(半紙!$B$11:$B$310)+COUNTA(条幅!$B$11:$B$310),INDEX(条幅!$C$11:$C$310,533-COUNTA(半紙!$B$11:$B$310)),IF(533&lt;=COUNTA(半紙!$B$11:$B$310)+COUNTA(条幅!$B$11:$B$310)+COUNTA(条幅4分の1!$B$11:$B$310),INDEX(条幅4分の1!$C$11:$C$310,533-COUNTA(半紙!$B$11:$B$310)-COUNTA(条幅!$B$11:$B$310)),""))))</f>
        <v/>
      </c>
      <c r="D538" s="38" t="str">
        <f>IF(IF(533&lt;=COUNTA(半紙!$B$11:$B$310),INDEX(半紙!$D$11:$D$310,533),IF(533&lt;=COUNTA(半紙!$B$11:$B$310)+COUNTA(条幅!$B$11:$B$310),INDEX(条幅!$D$11:$D$310,533-COUNTA(半紙!$B$11:$B$310)),IF(533&lt;=COUNTA(半紙!$B$11:$B$310)+COUNTA(条幅!$B$11:$B$310)+COUNTA(条幅4分の1!$B$11:$B$310),INDEX(条幅4分の1!$D$11:$D$310,533-COUNTA(半紙!$B$11:$B$310)-COUNTA(条幅!$B$11:$B$310)),"")))=0,"",IF(533&lt;=COUNTA(半紙!$B$11:$B$310),INDEX(半紙!$D$11:$D$310,533),IF(533&lt;=COUNTA(半紙!$B$11:$B$310)+COUNTA(条幅!$B$11:$B$310),INDEX(条幅!$D$11:$D$310,533-COUNTA(半紙!$B$11:$B$310)),IF(533&lt;=COUNTA(半紙!$B$11:$B$310)+COUNTA(条幅!$B$11:$B$310)+COUNTA(条幅4分の1!$B$11:$B$310),INDEX(条幅4分の1!$D$11:$D$310,533-COUNTA(半紙!$B$11:$B$310)-COUNTA(条幅!$B$11:$B$310)),""))))</f>
        <v/>
      </c>
      <c r="E538" s="38" t="str">
        <f>IF(IF(533&lt;=COUNTA(半紙!$B$11:$B$310),INDEX(半紙!$E$11:$E$310,533),IF(533&lt;=COUNTA(半紙!$B$11:$B$310)+COUNTA(条幅!$B$11:$B$310),INDEX(条幅!$E$11:$E$310,533-COUNTA(半紙!$B$11:$B$310)),IF(533&lt;=COUNTA(半紙!$B$11:$B$310)+COUNTA(条幅!$B$11:$B$310)+COUNTA(条幅4分の1!$B$11:$B$310),INDEX(条幅4分の1!$E$11:$E$310,533-COUNTA(半紙!$B$11:$B$310)-COUNTA(条幅!$B$11:$B$310)),"")))=0,"",IF(533&lt;=COUNTA(半紙!$B$11:$B$310),INDEX(半紙!$E$11:$E$310,533),IF(533&lt;=COUNTA(半紙!$B$11:$B$310)+COUNTA(条幅!$B$11:$B$310),INDEX(条幅!$E$11:$E$310,533-COUNTA(半紙!$B$11:$B$310)),IF(533&lt;=COUNTA(半紙!$B$11:$B$310)+COUNTA(条幅!$B$11:$B$310)+COUNTA(条幅4分の1!$B$11:$B$310),INDEX(条幅4分の1!$E$11:$E$310,533-COUNTA(半紙!$B$11:$B$310)-COUNTA(条幅!$B$11:$B$310)),""))))</f>
        <v/>
      </c>
      <c r="F538" s="38" t="str">
        <f>IF(IF(533&lt;=COUNTA(半紙!$B$11:$B$310),INDEX(半紙!$F$11:$F$310,533),IF(533&lt;=COUNTA(半紙!$B$11:$B$310)+COUNTA(条幅!$B$11:$B$310),INDEX(条幅!$F$11:$F$310,533-COUNTA(半紙!$B$11:$B$310)),IF(533&lt;=COUNTA(半紙!$B$11:$B$310)+COUNTA(条幅!$B$11:$B$310)+COUNTA(条幅4分の1!$B$11:$B$310),INDEX(条幅4分の1!$F$11:$F$310,533-COUNTA(半紙!$B$11:$B$310)-COUNTA(条幅!$B$11:$B$310)),"")))=0,"",IF(533&lt;=COUNTA(半紙!$B$11:$B$310),INDEX(半紙!$F$11:$F$310,533),IF(533&lt;=COUNTA(半紙!$B$11:$B$310)+COUNTA(条幅!$B$11:$B$310),INDEX(条幅!$F$11:$F$310,533-COUNTA(半紙!$B$11:$B$310)),IF(533&lt;=COUNTA(半紙!$B$11:$B$310)+COUNTA(条幅!$B$11:$B$310)+COUNTA(条幅4分の1!$B$11:$B$310),INDEX(条幅4分の1!$F$11:$F$310,533-COUNTA(半紙!$B$11:$B$310)-COUNTA(条幅!$B$11:$B$310)),""))))</f>
        <v/>
      </c>
      <c r="G538" s="38" t="str">
        <f>IF(IF(533&lt;=COUNTA(半紙!$B$11:$B$310),INDEX(半紙!$G$11:$G$310,533),IF(533&lt;=COUNTA(半紙!$B$11:$B$310)+COUNTA(条幅!$B$11:$B$310),INDEX(条幅!$G$11:$G$310,533-COUNTA(半紙!$B$11:$B$310)),IF(533&lt;=COUNTA(半紙!$B$11:$B$310)+COUNTA(条幅!$B$11:$B$310)+COUNTA(条幅4分の1!$B$11:$B$310),INDEX(条幅4分の1!$G$11:$G$310,533-COUNTA(半紙!$B$11:$B$310)-COUNTA(条幅!$B$11:$B$310)),"")))=0,"",IF(533&lt;=COUNTA(半紙!$B$11:$B$310),INDEX(半紙!$G$11:$G$310,533),IF(533&lt;=COUNTA(半紙!$B$11:$B$310)+COUNTA(条幅!$B$11:$B$310),INDEX(条幅!$G$11:$G$310,533-COUNTA(半紙!$B$11:$B$310)),IF(533&lt;=COUNTA(半紙!$B$11:$B$310)+COUNTA(条幅!$B$11:$B$310)+COUNTA(条幅4分の1!$B$11:$B$310),INDEX(条幅4分の1!$G$11:$G$310,533-COUNTA(半紙!$B$11:$B$310)-COUNTA(条幅!$B$11:$B$310)),""))))</f>
        <v/>
      </c>
      <c r="H538" s="38" t="str">
        <f>IF(IF(533&lt;=COUNTA(半紙!$B$11:$B$310),INDEX(半紙!$H$11:$H$310,533),IF(533&lt;=COUNTA(半紙!$B$11:$B$310)+COUNTA(条幅!$B$11:$B$310),INDEX(条幅!$H$11:$H$310,533-COUNTA(半紙!$B$11:$B$310)),IF(533&lt;=COUNTA(半紙!$B$11:$B$310)+COUNTA(条幅!$B$11:$B$310)+COUNTA(条幅4分の1!$B$11:$B$310),INDEX(条幅4分の1!$H$11:$H$310,533-COUNTA(半紙!$B$11:$B$310)-COUNTA(条幅!$B$11:$B$310)),"")))=0,"",IF(533&lt;=COUNTA(半紙!$B$11:$B$310),INDEX(半紙!$H$11:$H$310,533),IF(533&lt;=COUNTA(半紙!$B$11:$B$310)+COUNTA(条幅!$B$11:$B$310),INDEX(条幅!$H$11:$H$310,533-COUNTA(半紙!$B$11:$B$310)),IF(533&lt;=COUNTA(半紙!$B$11:$B$310)+COUNTA(条幅!$B$11:$B$310)+COUNTA(条幅4分の1!$B$11:$B$310),INDEX(条幅4分の1!$H$11:$H$310,533-COUNTA(半紙!$B$11:$B$310)-COUNTA(条幅!$B$11:$B$310)),""))))</f>
        <v/>
      </c>
      <c r="I538" s="38" t="str">
        <f>IF(IF(533&lt;=COUNTA(半紙!$B$11:$B$310),INDEX(半紙!$I$11:$I$310,533),IF(533&lt;=COUNTA(半紙!$B$11:$B$310)+COUNTA(条幅!$B$11:$B$310),INDEX(条幅!$I$11:$I$310,533-COUNTA(半紙!$B$11:$B$310)),IF(533&lt;=COUNTA(半紙!$B$11:$B$310)+COUNTA(条幅!$B$11:$B$310)+COUNTA(条幅4分の1!$B$11:$B$310),INDEX(条幅4分の1!$I$11:$I$310,533-COUNTA(半紙!$B$11:$B$310)-COUNTA(条幅!$B$11:$B$310)),"")))=0,"",IF(533&lt;=COUNTA(半紙!$B$11:$B$310),INDEX(半紙!$I$11:$I$310,533),IF(533&lt;=COUNTA(半紙!$B$11:$B$310)+COUNTA(条幅!$B$11:$B$310),INDEX(条幅!$I$11:$I$310,533-COUNTA(半紙!$B$11:$B$310)),IF(533&lt;=COUNTA(半紙!$B$11:$B$310)+COUNTA(条幅!$B$11:$B$310)+COUNTA(条幅4分の1!$B$11:$B$310),INDEX(条幅4分の1!$I$11:$I$310,533-COUNTA(半紙!$B$11:$B$310)-COUNTA(条幅!$B$11:$B$310)),""))))</f>
        <v/>
      </c>
      <c r="J538" s="38" t="str">
        <f>IF(IF(533&lt;=COUNTA(半紙!$B$11:$B$310),INDEX(半紙!$J$11:$J$310,533),IF(533&lt;=COUNTA(半紙!$B$11:$B$310)+COUNTA(条幅!$B$11:$B$310),INDEX(条幅!$J$11:$J$310,533-COUNTA(半紙!$B$11:$B$310)),IF(533&lt;=COUNTA(半紙!$B$11:$B$310)+COUNTA(条幅!$B$11:$B$310)+COUNTA(条幅4分の1!$B$11:$B$310),INDEX(条幅4分の1!$J$11:$J$310,533-COUNTA(半紙!$B$11:$B$310)-COUNTA(条幅!$B$11:$B$310)),"")))=0,"",IF(533&lt;=COUNTA(半紙!$B$11:$B$310),INDEX(半紙!$J$11:$J$310,533),IF(533&lt;=COUNTA(半紙!$B$11:$B$310)+COUNTA(条幅!$B$11:$B$310),INDEX(条幅!$J$11:$J$310,533-COUNTA(半紙!$B$11:$B$310)),IF(533&lt;=COUNTA(半紙!$B$11:$B$310)+COUNTA(条幅!$B$11:$B$310)+COUNTA(条幅4分の1!$B$11:$B$310),INDEX(条幅4分の1!$J$11:$J$310,533-COUNTA(半紙!$B$11:$B$310)-COUNTA(条幅!$B$11:$B$310)),""))))</f>
        <v/>
      </c>
      <c r="K538" s="38" t="str">
        <f>IF(IF(533&lt;=COUNTA(半紙!$B$11:$B$310),INDEX(半紙!$K$11:$K$310,533),IF(533&lt;=COUNTA(半紙!$B$11:$B$310)+COUNTA(条幅!$B$11:$B$310),INDEX(条幅!$K$11:$K$310,533-COUNTA(半紙!$B$11:$B$310)),IF(533&lt;=COUNTA(半紙!$B$11:$B$310)+COUNTA(条幅!$B$11:$B$310)+COUNTA(条幅4分の1!$B$11:$B$310),INDEX(条幅4分の1!$K$11:$K$310,533-COUNTA(半紙!$B$11:$B$310)-COUNTA(条幅!$B$11:$B$310)),"")))=0,"",IF(533&lt;=COUNTA(半紙!$B$11:$B$310),INDEX(半紙!$K$11:$K$310,533),IF(533&lt;=COUNTA(半紙!$B$11:$B$310)+COUNTA(条幅!$B$11:$B$310),INDEX(条幅!$K$11:$K$310,533-COUNTA(半紙!$B$11:$B$310)),IF(533&lt;=COUNTA(半紙!$B$11:$B$310)+COUNTA(条幅!$B$11:$B$310)+COUNTA(条幅4分の1!$B$11:$B$310),INDEX(条幅4分の1!$K$11:$K$310,533-COUNTA(半紙!$B$11:$B$310)-COUNTA(条幅!$B$11:$B$310)),""))))</f>
        <v/>
      </c>
      <c r="L538" s="48" t="str">
        <f>IF($B538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533))</f>
        <v/>
      </c>
    </row>
    <row r="539" spans="1:12" ht="15" customHeight="1">
      <c r="A539" s="37" t="str">
        <f>IF(534&lt;=COUNTA(半紙!$B$11:$B$310),"半紙",IF(534&lt;=COUNTA(半紙!$B$11:$B$310)+COUNTA(条幅!$B$11:$B$310),"条幅(半切)",IF(534&lt;=COUNTA(半紙!$B$11:$B$310)+COUNTA(条幅!$B$11:$B$310)+COUNTA(条幅4分の1!$B$11:$B$310),"条幅(1/4)","")))</f>
        <v/>
      </c>
      <c r="B539" s="38" t="str">
        <f>IF(IF(534&lt;=COUNTA(半紙!$B$11:$B$310),INDEX(半紙!$B$11:$B$310,534),IF(534&lt;=COUNTA(半紙!$B$11:$B$310)+COUNTA(条幅!$B$11:$B$310),INDEX(条幅!$B$11:$B$310,534-COUNTA(半紙!$B$11:$B$310)),IF(534&lt;=COUNTA(半紙!$B$11:$B$310)+COUNTA(条幅!$B$11:$B$310)+COUNTA(条幅4分の1!$B$11:$B$310),INDEX(条幅4分の1!$B$11:$B$310,534-COUNTA(半紙!$B$11:$B$310)-COUNTA(条幅!$B$11:$B$310)),"")))=0,"",IF(534&lt;=COUNTA(半紙!$B$11:$B$310),INDEX(半紙!$B$11:$B$310,534),IF(534&lt;=COUNTA(半紙!$B$11:$B$310)+COUNTA(条幅!$B$11:$B$310),INDEX(条幅!$B$11:$B$310,534-COUNTA(半紙!$B$11:$B$310)),IF(534&lt;=COUNTA(半紙!$B$11:$B$310)+COUNTA(条幅!$B$11:$B$310)+COUNTA(条幅4分の1!$B$11:$B$310),INDEX(条幅4分の1!$B$11:$B$310,534-COUNTA(半紙!$B$11:$B$310)-COUNTA(条幅!$B$11:$B$310)),""))))</f>
        <v/>
      </c>
      <c r="C539" s="38" t="str">
        <f>IF(IF(534&lt;=COUNTA(半紙!$B$11:$B$310),INDEX(半紙!$C$11:$C$310,534),IF(534&lt;=COUNTA(半紙!$B$11:$B$310)+COUNTA(条幅!$B$11:$B$310),INDEX(条幅!$C$11:$C$310,534-COUNTA(半紙!$B$11:$B$310)),IF(534&lt;=COUNTA(半紙!$B$11:$B$310)+COUNTA(条幅!$B$11:$B$310)+COUNTA(条幅4分の1!$B$11:$B$310),INDEX(条幅4分の1!$C$11:$C$310,534-COUNTA(半紙!$B$11:$B$310)-COUNTA(条幅!$B$11:$B$310)),"")))=0,"",IF(534&lt;=COUNTA(半紙!$B$11:$B$310),INDEX(半紙!$C$11:$C$310,534),IF(534&lt;=COUNTA(半紙!$B$11:$B$310)+COUNTA(条幅!$B$11:$B$310),INDEX(条幅!$C$11:$C$310,534-COUNTA(半紙!$B$11:$B$310)),IF(534&lt;=COUNTA(半紙!$B$11:$B$310)+COUNTA(条幅!$B$11:$B$310)+COUNTA(条幅4分の1!$B$11:$B$310),INDEX(条幅4分の1!$C$11:$C$310,534-COUNTA(半紙!$B$11:$B$310)-COUNTA(条幅!$B$11:$B$310)),""))))</f>
        <v/>
      </c>
      <c r="D539" s="38" t="str">
        <f>IF(IF(534&lt;=COUNTA(半紙!$B$11:$B$310),INDEX(半紙!$D$11:$D$310,534),IF(534&lt;=COUNTA(半紙!$B$11:$B$310)+COUNTA(条幅!$B$11:$B$310),INDEX(条幅!$D$11:$D$310,534-COUNTA(半紙!$B$11:$B$310)),IF(534&lt;=COUNTA(半紙!$B$11:$B$310)+COUNTA(条幅!$B$11:$B$310)+COUNTA(条幅4分の1!$B$11:$B$310),INDEX(条幅4分の1!$D$11:$D$310,534-COUNTA(半紙!$B$11:$B$310)-COUNTA(条幅!$B$11:$B$310)),"")))=0,"",IF(534&lt;=COUNTA(半紙!$B$11:$B$310),INDEX(半紙!$D$11:$D$310,534),IF(534&lt;=COUNTA(半紙!$B$11:$B$310)+COUNTA(条幅!$B$11:$B$310),INDEX(条幅!$D$11:$D$310,534-COUNTA(半紙!$B$11:$B$310)),IF(534&lt;=COUNTA(半紙!$B$11:$B$310)+COUNTA(条幅!$B$11:$B$310)+COUNTA(条幅4分の1!$B$11:$B$310),INDEX(条幅4分の1!$D$11:$D$310,534-COUNTA(半紙!$B$11:$B$310)-COUNTA(条幅!$B$11:$B$310)),""))))</f>
        <v/>
      </c>
      <c r="E539" s="38" t="str">
        <f>IF(IF(534&lt;=COUNTA(半紙!$B$11:$B$310),INDEX(半紙!$E$11:$E$310,534),IF(534&lt;=COUNTA(半紙!$B$11:$B$310)+COUNTA(条幅!$B$11:$B$310),INDEX(条幅!$E$11:$E$310,534-COUNTA(半紙!$B$11:$B$310)),IF(534&lt;=COUNTA(半紙!$B$11:$B$310)+COUNTA(条幅!$B$11:$B$310)+COUNTA(条幅4分の1!$B$11:$B$310),INDEX(条幅4分の1!$E$11:$E$310,534-COUNTA(半紙!$B$11:$B$310)-COUNTA(条幅!$B$11:$B$310)),"")))=0,"",IF(534&lt;=COUNTA(半紙!$B$11:$B$310),INDEX(半紙!$E$11:$E$310,534),IF(534&lt;=COUNTA(半紙!$B$11:$B$310)+COUNTA(条幅!$B$11:$B$310),INDEX(条幅!$E$11:$E$310,534-COUNTA(半紙!$B$11:$B$310)),IF(534&lt;=COUNTA(半紙!$B$11:$B$310)+COUNTA(条幅!$B$11:$B$310)+COUNTA(条幅4分の1!$B$11:$B$310),INDEX(条幅4分の1!$E$11:$E$310,534-COUNTA(半紙!$B$11:$B$310)-COUNTA(条幅!$B$11:$B$310)),""))))</f>
        <v/>
      </c>
      <c r="F539" s="38" t="str">
        <f>IF(IF(534&lt;=COUNTA(半紙!$B$11:$B$310),INDEX(半紙!$F$11:$F$310,534),IF(534&lt;=COUNTA(半紙!$B$11:$B$310)+COUNTA(条幅!$B$11:$B$310),INDEX(条幅!$F$11:$F$310,534-COUNTA(半紙!$B$11:$B$310)),IF(534&lt;=COUNTA(半紙!$B$11:$B$310)+COUNTA(条幅!$B$11:$B$310)+COUNTA(条幅4分の1!$B$11:$B$310),INDEX(条幅4分の1!$F$11:$F$310,534-COUNTA(半紙!$B$11:$B$310)-COUNTA(条幅!$B$11:$B$310)),"")))=0,"",IF(534&lt;=COUNTA(半紙!$B$11:$B$310),INDEX(半紙!$F$11:$F$310,534),IF(534&lt;=COUNTA(半紙!$B$11:$B$310)+COUNTA(条幅!$B$11:$B$310),INDEX(条幅!$F$11:$F$310,534-COUNTA(半紙!$B$11:$B$310)),IF(534&lt;=COUNTA(半紙!$B$11:$B$310)+COUNTA(条幅!$B$11:$B$310)+COUNTA(条幅4分の1!$B$11:$B$310),INDEX(条幅4分の1!$F$11:$F$310,534-COUNTA(半紙!$B$11:$B$310)-COUNTA(条幅!$B$11:$B$310)),""))))</f>
        <v/>
      </c>
      <c r="G539" s="38" t="str">
        <f>IF(IF(534&lt;=COUNTA(半紙!$B$11:$B$310),INDEX(半紙!$G$11:$G$310,534),IF(534&lt;=COUNTA(半紙!$B$11:$B$310)+COUNTA(条幅!$B$11:$B$310),INDEX(条幅!$G$11:$G$310,534-COUNTA(半紙!$B$11:$B$310)),IF(534&lt;=COUNTA(半紙!$B$11:$B$310)+COUNTA(条幅!$B$11:$B$310)+COUNTA(条幅4分の1!$B$11:$B$310),INDEX(条幅4分の1!$G$11:$G$310,534-COUNTA(半紙!$B$11:$B$310)-COUNTA(条幅!$B$11:$B$310)),"")))=0,"",IF(534&lt;=COUNTA(半紙!$B$11:$B$310),INDEX(半紙!$G$11:$G$310,534),IF(534&lt;=COUNTA(半紙!$B$11:$B$310)+COUNTA(条幅!$B$11:$B$310),INDEX(条幅!$G$11:$G$310,534-COUNTA(半紙!$B$11:$B$310)),IF(534&lt;=COUNTA(半紙!$B$11:$B$310)+COUNTA(条幅!$B$11:$B$310)+COUNTA(条幅4分の1!$B$11:$B$310),INDEX(条幅4分の1!$G$11:$G$310,534-COUNTA(半紙!$B$11:$B$310)-COUNTA(条幅!$B$11:$B$310)),""))))</f>
        <v/>
      </c>
      <c r="H539" s="38" t="str">
        <f>IF(IF(534&lt;=COUNTA(半紙!$B$11:$B$310),INDEX(半紙!$H$11:$H$310,534),IF(534&lt;=COUNTA(半紙!$B$11:$B$310)+COUNTA(条幅!$B$11:$B$310),INDEX(条幅!$H$11:$H$310,534-COUNTA(半紙!$B$11:$B$310)),IF(534&lt;=COUNTA(半紙!$B$11:$B$310)+COUNTA(条幅!$B$11:$B$310)+COUNTA(条幅4分の1!$B$11:$B$310),INDEX(条幅4分の1!$H$11:$H$310,534-COUNTA(半紙!$B$11:$B$310)-COUNTA(条幅!$B$11:$B$310)),"")))=0,"",IF(534&lt;=COUNTA(半紙!$B$11:$B$310),INDEX(半紙!$H$11:$H$310,534),IF(534&lt;=COUNTA(半紙!$B$11:$B$310)+COUNTA(条幅!$B$11:$B$310),INDEX(条幅!$H$11:$H$310,534-COUNTA(半紙!$B$11:$B$310)),IF(534&lt;=COUNTA(半紙!$B$11:$B$310)+COUNTA(条幅!$B$11:$B$310)+COUNTA(条幅4分の1!$B$11:$B$310),INDEX(条幅4分の1!$H$11:$H$310,534-COUNTA(半紙!$B$11:$B$310)-COUNTA(条幅!$B$11:$B$310)),""))))</f>
        <v/>
      </c>
      <c r="I539" s="38" t="str">
        <f>IF(IF(534&lt;=COUNTA(半紙!$B$11:$B$310),INDEX(半紙!$I$11:$I$310,534),IF(534&lt;=COUNTA(半紙!$B$11:$B$310)+COUNTA(条幅!$B$11:$B$310),INDEX(条幅!$I$11:$I$310,534-COUNTA(半紙!$B$11:$B$310)),IF(534&lt;=COUNTA(半紙!$B$11:$B$310)+COUNTA(条幅!$B$11:$B$310)+COUNTA(条幅4分の1!$B$11:$B$310),INDEX(条幅4分の1!$I$11:$I$310,534-COUNTA(半紙!$B$11:$B$310)-COUNTA(条幅!$B$11:$B$310)),"")))=0,"",IF(534&lt;=COUNTA(半紙!$B$11:$B$310),INDEX(半紙!$I$11:$I$310,534),IF(534&lt;=COUNTA(半紙!$B$11:$B$310)+COUNTA(条幅!$B$11:$B$310),INDEX(条幅!$I$11:$I$310,534-COUNTA(半紙!$B$11:$B$310)),IF(534&lt;=COUNTA(半紙!$B$11:$B$310)+COUNTA(条幅!$B$11:$B$310)+COUNTA(条幅4分の1!$B$11:$B$310),INDEX(条幅4分の1!$I$11:$I$310,534-COUNTA(半紙!$B$11:$B$310)-COUNTA(条幅!$B$11:$B$310)),""))))</f>
        <v/>
      </c>
      <c r="J539" s="38" t="str">
        <f>IF(IF(534&lt;=COUNTA(半紙!$B$11:$B$310),INDEX(半紙!$J$11:$J$310,534),IF(534&lt;=COUNTA(半紙!$B$11:$B$310)+COUNTA(条幅!$B$11:$B$310),INDEX(条幅!$J$11:$J$310,534-COUNTA(半紙!$B$11:$B$310)),IF(534&lt;=COUNTA(半紙!$B$11:$B$310)+COUNTA(条幅!$B$11:$B$310)+COUNTA(条幅4分の1!$B$11:$B$310),INDEX(条幅4分の1!$J$11:$J$310,534-COUNTA(半紙!$B$11:$B$310)-COUNTA(条幅!$B$11:$B$310)),"")))=0,"",IF(534&lt;=COUNTA(半紙!$B$11:$B$310),INDEX(半紙!$J$11:$J$310,534),IF(534&lt;=COUNTA(半紙!$B$11:$B$310)+COUNTA(条幅!$B$11:$B$310),INDEX(条幅!$J$11:$J$310,534-COUNTA(半紙!$B$11:$B$310)),IF(534&lt;=COUNTA(半紙!$B$11:$B$310)+COUNTA(条幅!$B$11:$B$310)+COUNTA(条幅4分の1!$B$11:$B$310),INDEX(条幅4分の1!$J$11:$J$310,534-COUNTA(半紙!$B$11:$B$310)-COUNTA(条幅!$B$11:$B$310)),""))))</f>
        <v/>
      </c>
      <c r="K539" s="38" t="str">
        <f>IF(IF(534&lt;=COUNTA(半紙!$B$11:$B$310),INDEX(半紙!$K$11:$K$310,534),IF(534&lt;=COUNTA(半紙!$B$11:$B$310)+COUNTA(条幅!$B$11:$B$310),INDEX(条幅!$K$11:$K$310,534-COUNTA(半紙!$B$11:$B$310)),IF(534&lt;=COUNTA(半紙!$B$11:$B$310)+COUNTA(条幅!$B$11:$B$310)+COUNTA(条幅4分の1!$B$11:$B$310),INDEX(条幅4分の1!$K$11:$K$310,534-COUNTA(半紙!$B$11:$B$310)-COUNTA(条幅!$B$11:$B$310)),"")))=0,"",IF(534&lt;=COUNTA(半紙!$B$11:$B$310),INDEX(半紙!$K$11:$K$310,534),IF(534&lt;=COUNTA(半紙!$B$11:$B$310)+COUNTA(条幅!$B$11:$B$310),INDEX(条幅!$K$11:$K$310,534-COUNTA(半紙!$B$11:$B$310)),IF(534&lt;=COUNTA(半紙!$B$11:$B$310)+COUNTA(条幅!$B$11:$B$310)+COUNTA(条幅4分の1!$B$11:$B$310),INDEX(条幅4分の1!$K$11:$K$310,534-COUNTA(半紙!$B$11:$B$310)-COUNTA(条幅!$B$11:$B$310)),""))))</f>
        <v/>
      </c>
      <c r="L539" s="48" t="str">
        <f>IF($B539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534))</f>
        <v/>
      </c>
    </row>
    <row r="540" spans="1:12" ht="15" customHeight="1">
      <c r="A540" s="37" t="str">
        <f>IF(535&lt;=COUNTA(半紙!$B$11:$B$310),"半紙",IF(535&lt;=COUNTA(半紙!$B$11:$B$310)+COUNTA(条幅!$B$11:$B$310),"条幅(半切)",IF(535&lt;=COUNTA(半紙!$B$11:$B$310)+COUNTA(条幅!$B$11:$B$310)+COUNTA(条幅4分の1!$B$11:$B$310),"条幅(1/4)","")))</f>
        <v/>
      </c>
      <c r="B540" s="38" t="str">
        <f>IF(IF(535&lt;=COUNTA(半紙!$B$11:$B$310),INDEX(半紙!$B$11:$B$310,535),IF(535&lt;=COUNTA(半紙!$B$11:$B$310)+COUNTA(条幅!$B$11:$B$310),INDEX(条幅!$B$11:$B$310,535-COUNTA(半紙!$B$11:$B$310)),IF(535&lt;=COUNTA(半紙!$B$11:$B$310)+COUNTA(条幅!$B$11:$B$310)+COUNTA(条幅4分の1!$B$11:$B$310),INDEX(条幅4分の1!$B$11:$B$310,535-COUNTA(半紙!$B$11:$B$310)-COUNTA(条幅!$B$11:$B$310)),"")))=0,"",IF(535&lt;=COUNTA(半紙!$B$11:$B$310),INDEX(半紙!$B$11:$B$310,535),IF(535&lt;=COUNTA(半紙!$B$11:$B$310)+COUNTA(条幅!$B$11:$B$310),INDEX(条幅!$B$11:$B$310,535-COUNTA(半紙!$B$11:$B$310)),IF(535&lt;=COUNTA(半紙!$B$11:$B$310)+COUNTA(条幅!$B$11:$B$310)+COUNTA(条幅4分の1!$B$11:$B$310),INDEX(条幅4分の1!$B$11:$B$310,535-COUNTA(半紙!$B$11:$B$310)-COUNTA(条幅!$B$11:$B$310)),""))))</f>
        <v/>
      </c>
      <c r="C540" s="38" t="str">
        <f>IF(IF(535&lt;=COUNTA(半紙!$B$11:$B$310),INDEX(半紙!$C$11:$C$310,535),IF(535&lt;=COUNTA(半紙!$B$11:$B$310)+COUNTA(条幅!$B$11:$B$310),INDEX(条幅!$C$11:$C$310,535-COUNTA(半紙!$B$11:$B$310)),IF(535&lt;=COUNTA(半紙!$B$11:$B$310)+COUNTA(条幅!$B$11:$B$310)+COUNTA(条幅4分の1!$B$11:$B$310),INDEX(条幅4分の1!$C$11:$C$310,535-COUNTA(半紙!$B$11:$B$310)-COUNTA(条幅!$B$11:$B$310)),"")))=0,"",IF(535&lt;=COUNTA(半紙!$B$11:$B$310),INDEX(半紙!$C$11:$C$310,535),IF(535&lt;=COUNTA(半紙!$B$11:$B$310)+COUNTA(条幅!$B$11:$B$310),INDEX(条幅!$C$11:$C$310,535-COUNTA(半紙!$B$11:$B$310)),IF(535&lt;=COUNTA(半紙!$B$11:$B$310)+COUNTA(条幅!$B$11:$B$310)+COUNTA(条幅4分の1!$B$11:$B$310),INDEX(条幅4分の1!$C$11:$C$310,535-COUNTA(半紙!$B$11:$B$310)-COUNTA(条幅!$B$11:$B$310)),""))))</f>
        <v/>
      </c>
      <c r="D540" s="38" t="str">
        <f>IF(IF(535&lt;=COUNTA(半紙!$B$11:$B$310),INDEX(半紙!$D$11:$D$310,535),IF(535&lt;=COUNTA(半紙!$B$11:$B$310)+COUNTA(条幅!$B$11:$B$310),INDEX(条幅!$D$11:$D$310,535-COUNTA(半紙!$B$11:$B$310)),IF(535&lt;=COUNTA(半紙!$B$11:$B$310)+COUNTA(条幅!$B$11:$B$310)+COUNTA(条幅4分の1!$B$11:$B$310),INDEX(条幅4分の1!$D$11:$D$310,535-COUNTA(半紙!$B$11:$B$310)-COUNTA(条幅!$B$11:$B$310)),"")))=0,"",IF(535&lt;=COUNTA(半紙!$B$11:$B$310),INDEX(半紙!$D$11:$D$310,535),IF(535&lt;=COUNTA(半紙!$B$11:$B$310)+COUNTA(条幅!$B$11:$B$310),INDEX(条幅!$D$11:$D$310,535-COUNTA(半紙!$B$11:$B$310)),IF(535&lt;=COUNTA(半紙!$B$11:$B$310)+COUNTA(条幅!$B$11:$B$310)+COUNTA(条幅4分の1!$B$11:$B$310),INDEX(条幅4分の1!$D$11:$D$310,535-COUNTA(半紙!$B$11:$B$310)-COUNTA(条幅!$B$11:$B$310)),""))))</f>
        <v/>
      </c>
      <c r="E540" s="38" t="str">
        <f>IF(IF(535&lt;=COUNTA(半紙!$B$11:$B$310),INDEX(半紙!$E$11:$E$310,535),IF(535&lt;=COUNTA(半紙!$B$11:$B$310)+COUNTA(条幅!$B$11:$B$310),INDEX(条幅!$E$11:$E$310,535-COUNTA(半紙!$B$11:$B$310)),IF(535&lt;=COUNTA(半紙!$B$11:$B$310)+COUNTA(条幅!$B$11:$B$310)+COUNTA(条幅4分の1!$B$11:$B$310),INDEX(条幅4分の1!$E$11:$E$310,535-COUNTA(半紙!$B$11:$B$310)-COUNTA(条幅!$B$11:$B$310)),"")))=0,"",IF(535&lt;=COUNTA(半紙!$B$11:$B$310),INDEX(半紙!$E$11:$E$310,535),IF(535&lt;=COUNTA(半紙!$B$11:$B$310)+COUNTA(条幅!$B$11:$B$310),INDEX(条幅!$E$11:$E$310,535-COUNTA(半紙!$B$11:$B$310)),IF(535&lt;=COUNTA(半紙!$B$11:$B$310)+COUNTA(条幅!$B$11:$B$310)+COUNTA(条幅4分の1!$B$11:$B$310),INDEX(条幅4分の1!$E$11:$E$310,535-COUNTA(半紙!$B$11:$B$310)-COUNTA(条幅!$B$11:$B$310)),""))))</f>
        <v/>
      </c>
      <c r="F540" s="38" t="str">
        <f>IF(IF(535&lt;=COUNTA(半紙!$B$11:$B$310),INDEX(半紙!$F$11:$F$310,535),IF(535&lt;=COUNTA(半紙!$B$11:$B$310)+COUNTA(条幅!$B$11:$B$310),INDEX(条幅!$F$11:$F$310,535-COUNTA(半紙!$B$11:$B$310)),IF(535&lt;=COUNTA(半紙!$B$11:$B$310)+COUNTA(条幅!$B$11:$B$310)+COUNTA(条幅4分の1!$B$11:$B$310),INDEX(条幅4分の1!$F$11:$F$310,535-COUNTA(半紙!$B$11:$B$310)-COUNTA(条幅!$B$11:$B$310)),"")))=0,"",IF(535&lt;=COUNTA(半紙!$B$11:$B$310),INDEX(半紙!$F$11:$F$310,535),IF(535&lt;=COUNTA(半紙!$B$11:$B$310)+COUNTA(条幅!$B$11:$B$310),INDEX(条幅!$F$11:$F$310,535-COUNTA(半紙!$B$11:$B$310)),IF(535&lt;=COUNTA(半紙!$B$11:$B$310)+COUNTA(条幅!$B$11:$B$310)+COUNTA(条幅4分の1!$B$11:$B$310),INDEX(条幅4分の1!$F$11:$F$310,535-COUNTA(半紙!$B$11:$B$310)-COUNTA(条幅!$B$11:$B$310)),""))))</f>
        <v/>
      </c>
      <c r="G540" s="38" t="str">
        <f>IF(IF(535&lt;=COUNTA(半紙!$B$11:$B$310),INDEX(半紙!$G$11:$G$310,535),IF(535&lt;=COUNTA(半紙!$B$11:$B$310)+COUNTA(条幅!$B$11:$B$310),INDEX(条幅!$G$11:$G$310,535-COUNTA(半紙!$B$11:$B$310)),IF(535&lt;=COUNTA(半紙!$B$11:$B$310)+COUNTA(条幅!$B$11:$B$310)+COUNTA(条幅4分の1!$B$11:$B$310),INDEX(条幅4分の1!$G$11:$G$310,535-COUNTA(半紙!$B$11:$B$310)-COUNTA(条幅!$B$11:$B$310)),"")))=0,"",IF(535&lt;=COUNTA(半紙!$B$11:$B$310),INDEX(半紙!$G$11:$G$310,535),IF(535&lt;=COUNTA(半紙!$B$11:$B$310)+COUNTA(条幅!$B$11:$B$310),INDEX(条幅!$G$11:$G$310,535-COUNTA(半紙!$B$11:$B$310)),IF(535&lt;=COUNTA(半紙!$B$11:$B$310)+COUNTA(条幅!$B$11:$B$310)+COUNTA(条幅4分の1!$B$11:$B$310),INDEX(条幅4分の1!$G$11:$G$310,535-COUNTA(半紙!$B$11:$B$310)-COUNTA(条幅!$B$11:$B$310)),""))))</f>
        <v/>
      </c>
      <c r="H540" s="38" t="str">
        <f>IF(IF(535&lt;=COUNTA(半紙!$B$11:$B$310),INDEX(半紙!$H$11:$H$310,535),IF(535&lt;=COUNTA(半紙!$B$11:$B$310)+COUNTA(条幅!$B$11:$B$310),INDEX(条幅!$H$11:$H$310,535-COUNTA(半紙!$B$11:$B$310)),IF(535&lt;=COUNTA(半紙!$B$11:$B$310)+COUNTA(条幅!$B$11:$B$310)+COUNTA(条幅4分の1!$B$11:$B$310),INDEX(条幅4分の1!$H$11:$H$310,535-COUNTA(半紙!$B$11:$B$310)-COUNTA(条幅!$B$11:$B$310)),"")))=0,"",IF(535&lt;=COUNTA(半紙!$B$11:$B$310),INDEX(半紙!$H$11:$H$310,535),IF(535&lt;=COUNTA(半紙!$B$11:$B$310)+COUNTA(条幅!$B$11:$B$310),INDEX(条幅!$H$11:$H$310,535-COUNTA(半紙!$B$11:$B$310)),IF(535&lt;=COUNTA(半紙!$B$11:$B$310)+COUNTA(条幅!$B$11:$B$310)+COUNTA(条幅4分の1!$B$11:$B$310),INDEX(条幅4分の1!$H$11:$H$310,535-COUNTA(半紙!$B$11:$B$310)-COUNTA(条幅!$B$11:$B$310)),""))))</f>
        <v/>
      </c>
      <c r="I540" s="38" t="str">
        <f>IF(IF(535&lt;=COUNTA(半紙!$B$11:$B$310),INDEX(半紙!$I$11:$I$310,535),IF(535&lt;=COUNTA(半紙!$B$11:$B$310)+COUNTA(条幅!$B$11:$B$310),INDEX(条幅!$I$11:$I$310,535-COUNTA(半紙!$B$11:$B$310)),IF(535&lt;=COUNTA(半紙!$B$11:$B$310)+COUNTA(条幅!$B$11:$B$310)+COUNTA(条幅4分の1!$B$11:$B$310),INDEX(条幅4分の1!$I$11:$I$310,535-COUNTA(半紙!$B$11:$B$310)-COUNTA(条幅!$B$11:$B$310)),"")))=0,"",IF(535&lt;=COUNTA(半紙!$B$11:$B$310),INDEX(半紙!$I$11:$I$310,535),IF(535&lt;=COUNTA(半紙!$B$11:$B$310)+COUNTA(条幅!$B$11:$B$310),INDEX(条幅!$I$11:$I$310,535-COUNTA(半紙!$B$11:$B$310)),IF(535&lt;=COUNTA(半紙!$B$11:$B$310)+COUNTA(条幅!$B$11:$B$310)+COUNTA(条幅4分の1!$B$11:$B$310),INDEX(条幅4分の1!$I$11:$I$310,535-COUNTA(半紙!$B$11:$B$310)-COUNTA(条幅!$B$11:$B$310)),""))))</f>
        <v/>
      </c>
      <c r="J540" s="38" t="str">
        <f>IF(IF(535&lt;=COUNTA(半紙!$B$11:$B$310),INDEX(半紙!$J$11:$J$310,535),IF(535&lt;=COUNTA(半紙!$B$11:$B$310)+COUNTA(条幅!$B$11:$B$310),INDEX(条幅!$J$11:$J$310,535-COUNTA(半紙!$B$11:$B$310)),IF(535&lt;=COUNTA(半紙!$B$11:$B$310)+COUNTA(条幅!$B$11:$B$310)+COUNTA(条幅4分の1!$B$11:$B$310),INDEX(条幅4分の1!$J$11:$J$310,535-COUNTA(半紙!$B$11:$B$310)-COUNTA(条幅!$B$11:$B$310)),"")))=0,"",IF(535&lt;=COUNTA(半紙!$B$11:$B$310),INDEX(半紙!$J$11:$J$310,535),IF(535&lt;=COUNTA(半紙!$B$11:$B$310)+COUNTA(条幅!$B$11:$B$310),INDEX(条幅!$J$11:$J$310,535-COUNTA(半紙!$B$11:$B$310)),IF(535&lt;=COUNTA(半紙!$B$11:$B$310)+COUNTA(条幅!$B$11:$B$310)+COUNTA(条幅4分の1!$B$11:$B$310),INDEX(条幅4分の1!$J$11:$J$310,535-COUNTA(半紙!$B$11:$B$310)-COUNTA(条幅!$B$11:$B$310)),""))))</f>
        <v/>
      </c>
      <c r="K540" s="38" t="str">
        <f>IF(IF(535&lt;=COUNTA(半紙!$B$11:$B$310),INDEX(半紙!$K$11:$K$310,535),IF(535&lt;=COUNTA(半紙!$B$11:$B$310)+COUNTA(条幅!$B$11:$B$310),INDEX(条幅!$K$11:$K$310,535-COUNTA(半紙!$B$11:$B$310)),IF(535&lt;=COUNTA(半紙!$B$11:$B$310)+COUNTA(条幅!$B$11:$B$310)+COUNTA(条幅4分の1!$B$11:$B$310),INDEX(条幅4分の1!$K$11:$K$310,535-COUNTA(半紙!$B$11:$B$310)-COUNTA(条幅!$B$11:$B$310)),"")))=0,"",IF(535&lt;=COUNTA(半紙!$B$11:$B$310),INDEX(半紙!$K$11:$K$310,535),IF(535&lt;=COUNTA(半紙!$B$11:$B$310)+COUNTA(条幅!$B$11:$B$310),INDEX(条幅!$K$11:$K$310,535-COUNTA(半紙!$B$11:$B$310)),IF(535&lt;=COUNTA(半紙!$B$11:$B$310)+COUNTA(条幅!$B$11:$B$310)+COUNTA(条幅4分の1!$B$11:$B$310),INDEX(条幅4分の1!$K$11:$K$310,535-COUNTA(半紙!$B$11:$B$310)-COUNTA(条幅!$B$11:$B$310)),""))))</f>
        <v/>
      </c>
      <c r="L540" s="48" t="str">
        <f>IF($B540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535))</f>
        <v/>
      </c>
    </row>
    <row r="541" spans="1:12" ht="15" customHeight="1">
      <c r="A541" s="37" t="str">
        <f>IF(536&lt;=COUNTA(半紙!$B$11:$B$310),"半紙",IF(536&lt;=COUNTA(半紙!$B$11:$B$310)+COUNTA(条幅!$B$11:$B$310),"条幅(半切)",IF(536&lt;=COUNTA(半紙!$B$11:$B$310)+COUNTA(条幅!$B$11:$B$310)+COUNTA(条幅4分の1!$B$11:$B$310),"条幅(1/4)","")))</f>
        <v/>
      </c>
      <c r="B541" s="38" t="str">
        <f>IF(IF(536&lt;=COUNTA(半紙!$B$11:$B$310),INDEX(半紙!$B$11:$B$310,536),IF(536&lt;=COUNTA(半紙!$B$11:$B$310)+COUNTA(条幅!$B$11:$B$310),INDEX(条幅!$B$11:$B$310,536-COUNTA(半紙!$B$11:$B$310)),IF(536&lt;=COUNTA(半紙!$B$11:$B$310)+COUNTA(条幅!$B$11:$B$310)+COUNTA(条幅4分の1!$B$11:$B$310),INDEX(条幅4分の1!$B$11:$B$310,536-COUNTA(半紙!$B$11:$B$310)-COUNTA(条幅!$B$11:$B$310)),"")))=0,"",IF(536&lt;=COUNTA(半紙!$B$11:$B$310),INDEX(半紙!$B$11:$B$310,536),IF(536&lt;=COUNTA(半紙!$B$11:$B$310)+COUNTA(条幅!$B$11:$B$310),INDEX(条幅!$B$11:$B$310,536-COUNTA(半紙!$B$11:$B$310)),IF(536&lt;=COUNTA(半紙!$B$11:$B$310)+COUNTA(条幅!$B$11:$B$310)+COUNTA(条幅4分の1!$B$11:$B$310),INDEX(条幅4分の1!$B$11:$B$310,536-COUNTA(半紙!$B$11:$B$310)-COUNTA(条幅!$B$11:$B$310)),""))))</f>
        <v/>
      </c>
      <c r="C541" s="38" t="str">
        <f>IF(IF(536&lt;=COUNTA(半紙!$B$11:$B$310),INDEX(半紙!$C$11:$C$310,536),IF(536&lt;=COUNTA(半紙!$B$11:$B$310)+COUNTA(条幅!$B$11:$B$310),INDEX(条幅!$C$11:$C$310,536-COUNTA(半紙!$B$11:$B$310)),IF(536&lt;=COUNTA(半紙!$B$11:$B$310)+COUNTA(条幅!$B$11:$B$310)+COUNTA(条幅4分の1!$B$11:$B$310),INDEX(条幅4分の1!$C$11:$C$310,536-COUNTA(半紙!$B$11:$B$310)-COUNTA(条幅!$B$11:$B$310)),"")))=0,"",IF(536&lt;=COUNTA(半紙!$B$11:$B$310),INDEX(半紙!$C$11:$C$310,536),IF(536&lt;=COUNTA(半紙!$B$11:$B$310)+COUNTA(条幅!$B$11:$B$310),INDEX(条幅!$C$11:$C$310,536-COUNTA(半紙!$B$11:$B$310)),IF(536&lt;=COUNTA(半紙!$B$11:$B$310)+COUNTA(条幅!$B$11:$B$310)+COUNTA(条幅4分の1!$B$11:$B$310),INDEX(条幅4分の1!$C$11:$C$310,536-COUNTA(半紙!$B$11:$B$310)-COUNTA(条幅!$B$11:$B$310)),""))))</f>
        <v/>
      </c>
      <c r="D541" s="38" t="str">
        <f>IF(IF(536&lt;=COUNTA(半紙!$B$11:$B$310),INDEX(半紙!$D$11:$D$310,536),IF(536&lt;=COUNTA(半紙!$B$11:$B$310)+COUNTA(条幅!$B$11:$B$310),INDEX(条幅!$D$11:$D$310,536-COUNTA(半紙!$B$11:$B$310)),IF(536&lt;=COUNTA(半紙!$B$11:$B$310)+COUNTA(条幅!$B$11:$B$310)+COUNTA(条幅4分の1!$B$11:$B$310),INDEX(条幅4分の1!$D$11:$D$310,536-COUNTA(半紙!$B$11:$B$310)-COUNTA(条幅!$B$11:$B$310)),"")))=0,"",IF(536&lt;=COUNTA(半紙!$B$11:$B$310),INDEX(半紙!$D$11:$D$310,536),IF(536&lt;=COUNTA(半紙!$B$11:$B$310)+COUNTA(条幅!$B$11:$B$310),INDEX(条幅!$D$11:$D$310,536-COUNTA(半紙!$B$11:$B$310)),IF(536&lt;=COUNTA(半紙!$B$11:$B$310)+COUNTA(条幅!$B$11:$B$310)+COUNTA(条幅4分の1!$B$11:$B$310),INDEX(条幅4分の1!$D$11:$D$310,536-COUNTA(半紙!$B$11:$B$310)-COUNTA(条幅!$B$11:$B$310)),""))))</f>
        <v/>
      </c>
      <c r="E541" s="38" t="str">
        <f>IF(IF(536&lt;=COUNTA(半紙!$B$11:$B$310),INDEX(半紙!$E$11:$E$310,536),IF(536&lt;=COUNTA(半紙!$B$11:$B$310)+COUNTA(条幅!$B$11:$B$310),INDEX(条幅!$E$11:$E$310,536-COUNTA(半紙!$B$11:$B$310)),IF(536&lt;=COUNTA(半紙!$B$11:$B$310)+COUNTA(条幅!$B$11:$B$310)+COUNTA(条幅4分の1!$B$11:$B$310),INDEX(条幅4分の1!$E$11:$E$310,536-COUNTA(半紙!$B$11:$B$310)-COUNTA(条幅!$B$11:$B$310)),"")))=0,"",IF(536&lt;=COUNTA(半紙!$B$11:$B$310),INDEX(半紙!$E$11:$E$310,536),IF(536&lt;=COUNTA(半紙!$B$11:$B$310)+COUNTA(条幅!$B$11:$B$310),INDEX(条幅!$E$11:$E$310,536-COUNTA(半紙!$B$11:$B$310)),IF(536&lt;=COUNTA(半紙!$B$11:$B$310)+COUNTA(条幅!$B$11:$B$310)+COUNTA(条幅4分の1!$B$11:$B$310),INDEX(条幅4分の1!$E$11:$E$310,536-COUNTA(半紙!$B$11:$B$310)-COUNTA(条幅!$B$11:$B$310)),""))))</f>
        <v/>
      </c>
      <c r="F541" s="38" t="str">
        <f>IF(IF(536&lt;=COUNTA(半紙!$B$11:$B$310),INDEX(半紙!$F$11:$F$310,536),IF(536&lt;=COUNTA(半紙!$B$11:$B$310)+COUNTA(条幅!$B$11:$B$310),INDEX(条幅!$F$11:$F$310,536-COUNTA(半紙!$B$11:$B$310)),IF(536&lt;=COUNTA(半紙!$B$11:$B$310)+COUNTA(条幅!$B$11:$B$310)+COUNTA(条幅4分の1!$B$11:$B$310),INDEX(条幅4分の1!$F$11:$F$310,536-COUNTA(半紙!$B$11:$B$310)-COUNTA(条幅!$B$11:$B$310)),"")))=0,"",IF(536&lt;=COUNTA(半紙!$B$11:$B$310),INDEX(半紙!$F$11:$F$310,536),IF(536&lt;=COUNTA(半紙!$B$11:$B$310)+COUNTA(条幅!$B$11:$B$310),INDEX(条幅!$F$11:$F$310,536-COUNTA(半紙!$B$11:$B$310)),IF(536&lt;=COUNTA(半紙!$B$11:$B$310)+COUNTA(条幅!$B$11:$B$310)+COUNTA(条幅4分の1!$B$11:$B$310),INDEX(条幅4分の1!$F$11:$F$310,536-COUNTA(半紙!$B$11:$B$310)-COUNTA(条幅!$B$11:$B$310)),""))))</f>
        <v/>
      </c>
      <c r="G541" s="38" t="str">
        <f>IF(IF(536&lt;=COUNTA(半紙!$B$11:$B$310),INDEX(半紙!$G$11:$G$310,536),IF(536&lt;=COUNTA(半紙!$B$11:$B$310)+COUNTA(条幅!$B$11:$B$310),INDEX(条幅!$G$11:$G$310,536-COUNTA(半紙!$B$11:$B$310)),IF(536&lt;=COUNTA(半紙!$B$11:$B$310)+COUNTA(条幅!$B$11:$B$310)+COUNTA(条幅4分の1!$B$11:$B$310),INDEX(条幅4分の1!$G$11:$G$310,536-COUNTA(半紙!$B$11:$B$310)-COUNTA(条幅!$B$11:$B$310)),"")))=0,"",IF(536&lt;=COUNTA(半紙!$B$11:$B$310),INDEX(半紙!$G$11:$G$310,536),IF(536&lt;=COUNTA(半紙!$B$11:$B$310)+COUNTA(条幅!$B$11:$B$310),INDEX(条幅!$G$11:$G$310,536-COUNTA(半紙!$B$11:$B$310)),IF(536&lt;=COUNTA(半紙!$B$11:$B$310)+COUNTA(条幅!$B$11:$B$310)+COUNTA(条幅4分の1!$B$11:$B$310),INDEX(条幅4分の1!$G$11:$G$310,536-COUNTA(半紙!$B$11:$B$310)-COUNTA(条幅!$B$11:$B$310)),""))))</f>
        <v/>
      </c>
      <c r="H541" s="38" t="str">
        <f>IF(IF(536&lt;=COUNTA(半紙!$B$11:$B$310),INDEX(半紙!$H$11:$H$310,536),IF(536&lt;=COUNTA(半紙!$B$11:$B$310)+COUNTA(条幅!$B$11:$B$310),INDEX(条幅!$H$11:$H$310,536-COUNTA(半紙!$B$11:$B$310)),IF(536&lt;=COUNTA(半紙!$B$11:$B$310)+COUNTA(条幅!$B$11:$B$310)+COUNTA(条幅4分の1!$B$11:$B$310),INDEX(条幅4分の1!$H$11:$H$310,536-COUNTA(半紙!$B$11:$B$310)-COUNTA(条幅!$B$11:$B$310)),"")))=0,"",IF(536&lt;=COUNTA(半紙!$B$11:$B$310),INDEX(半紙!$H$11:$H$310,536),IF(536&lt;=COUNTA(半紙!$B$11:$B$310)+COUNTA(条幅!$B$11:$B$310),INDEX(条幅!$H$11:$H$310,536-COUNTA(半紙!$B$11:$B$310)),IF(536&lt;=COUNTA(半紙!$B$11:$B$310)+COUNTA(条幅!$B$11:$B$310)+COUNTA(条幅4分の1!$B$11:$B$310),INDEX(条幅4分の1!$H$11:$H$310,536-COUNTA(半紙!$B$11:$B$310)-COUNTA(条幅!$B$11:$B$310)),""))))</f>
        <v/>
      </c>
      <c r="I541" s="38" t="str">
        <f>IF(IF(536&lt;=COUNTA(半紙!$B$11:$B$310),INDEX(半紙!$I$11:$I$310,536),IF(536&lt;=COUNTA(半紙!$B$11:$B$310)+COUNTA(条幅!$B$11:$B$310),INDEX(条幅!$I$11:$I$310,536-COUNTA(半紙!$B$11:$B$310)),IF(536&lt;=COUNTA(半紙!$B$11:$B$310)+COUNTA(条幅!$B$11:$B$310)+COUNTA(条幅4分の1!$B$11:$B$310),INDEX(条幅4分の1!$I$11:$I$310,536-COUNTA(半紙!$B$11:$B$310)-COUNTA(条幅!$B$11:$B$310)),"")))=0,"",IF(536&lt;=COUNTA(半紙!$B$11:$B$310),INDEX(半紙!$I$11:$I$310,536),IF(536&lt;=COUNTA(半紙!$B$11:$B$310)+COUNTA(条幅!$B$11:$B$310),INDEX(条幅!$I$11:$I$310,536-COUNTA(半紙!$B$11:$B$310)),IF(536&lt;=COUNTA(半紙!$B$11:$B$310)+COUNTA(条幅!$B$11:$B$310)+COUNTA(条幅4分の1!$B$11:$B$310),INDEX(条幅4分の1!$I$11:$I$310,536-COUNTA(半紙!$B$11:$B$310)-COUNTA(条幅!$B$11:$B$310)),""))))</f>
        <v/>
      </c>
      <c r="J541" s="38" t="str">
        <f>IF(IF(536&lt;=COUNTA(半紙!$B$11:$B$310),INDEX(半紙!$J$11:$J$310,536),IF(536&lt;=COUNTA(半紙!$B$11:$B$310)+COUNTA(条幅!$B$11:$B$310),INDEX(条幅!$J$11:$J$310,536-COUNTA(半紙!$B$11:$B$310)),IF(536&lt;=COUNTA(半紙!$B$11:$B$310)+COUNTA(条幅!$B$11:$B$310)+COUNTA(条幅4分の1!$B$11:$B$310),INDEX(条幅4分の1!$J$11:$J$310,536-COUNTA(半紙!$B$11:$B$310)-COUNTA(条幅!$B$11:$B$310)),"")))=0,"",IF(536&lt;=COUNTA(半紙!$B$11:$B$310),INDEX(半紙!$J$11:$J$310,536),IF(536&lt;=COUNTA(半紙!$B$11:$B$310)+COUNTA(条幅!$B$11:$B$310),INDEX(条幅!$J$11:$J$310,536-COUNTA(半紙!$B$11:$B$310)),IF(536&lt;=COUNTA(半紙!$B$11:$B$310)+COUNTA(条幅!$B$11:$B$310)+COUNTA(条幅4分の1!$B$11:$B$310),INDEX(条幅4分の1!$J$11:$J$310,536-COUNTA(半紙!$B$11:$B$310)-COUNTA(条幅!$B$11:$B$310)),""))))</f>
        <v/>
      </c>
      <c r="K541" s="38" t="str">
        <f>IF(IF(536&lt;=COUNTA(半紙!$B$11:$B$310),INDEX(半紙!$K$11:$K$310,536),IF(536&lt;=COUNTA(半紙!$B$11:$B$310)+COUNTA(条幅!$B$11:$B$310),INDEX(条幅!$K$11:$K$310,536-COUNTA(半紙!$B$11:$B$310)),IF(536&lt;=COUNTA(半紙!$B$11:$B$310)+COUNTA(条幅!$B$11:$B$310)+COUNTA(条幅4分の1!$B$11:$B$310),INDEX(条幅4分の1!$K$11:$K$310,536-COUNTA(半紙!$B$11:$B$310)-COUNTA(条幅!$B$11:$B$310)),"")))=0,"",IF(536&lt;=COUNTA(半紙!$B$11:$B$310),INDEX(半紙!$K$11:$K$310,536),IF(536&lt;=COUNTA(半紙!$B$11:$B$310)+COUNTA(条幅!$B$11:$B$310),INDEX(条幅!$K$11:$K$310,536-COUNTA(半紙!$B$11:$B$310)),IF(536&lt;=COUNTA(半紙!$B$11:$B$310)+COUNTA(条幅!$B$11:$B$310)+COUNTA(条幅4分の1!$B$11:$B$310),INDEX(条幅4分の1!$K$11:$K$310,536-COUNTA(半紙!$B$11:$B$310)-COUNTA(条幅!$B$11:$B$310)),""))))</f>
        <v/>
      </c>
      <c r="L541" s="48" t="str">
        <f>IF($B541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536))</f>
        <v/>
      </c>
    </row>
    <row r="542" spans="1:12" ht="15" customHeight="1">
      <c r="A542" s="37" t="str">
        <f>IF(537&lt;=COUNTA(半紙!$B$11:$B$310),"半紙",IF(537&lt;=COUNTA(半紙!$B$11:$B$310)+COUNTA(条幅!$B$11:$B$310),"条幅(半切)",IF(537&lt;=COUNTA(半紙!$B$11:$B$310)+COUNTA(条幅!$B$11:$B$310)+COUNTA(条幅4分の1!$B$11:$B$310),"条幅(1/4)","")))</f>
        <v/>
      </c>
      <c r="B542" s="38" t="str">
        <f>IF(IF(537&lt;=COUNTA(半紙!$B$11:$B$310),INDEX(半紙!$B$11:$B$310,537),IF(537&lt;=COUNTA(半紙!$B$11:$B$310)+COUNTA(条幅!$B$11:$B$310),INDEX(条幅!$B$11:$B$310,537-COUNTA(半紙!$B$11:$B$310)),IF(537&lt;=COUNTA(半紙!$B$11:$B$310)+COUNTA(条幅!$B$11:$B$310)+COUNTA(条幅4分の1!$B$11:$B$310),INDEX(条幅4分の1!$B$11:$B$310,537-COUNTA(半紙!$B$11:$B$310)-COUNTA(条幅!$B$11:$B$310)),"")))=0,"",IF(537&lt;=COUNTA(半紙!$B$11:$B$310),INDEX(半紙!$B$11:$B$310,537),IF(537&lt;=COUNTA(半紙!$B$11:$B$310)+COUNTA(条幅!$B$11:$B$310),INDEX(条幅!$B$11:$B$310,537-COUNTA(半紙!$B$11:$B$310)),IF(537&lt;=COUNTA(半紙!$B$11:$B$310)+COUNTA(条幅!$B$11:$B$310)+COUNTA(条幅4分の1!$B$11:$B$310),INDEX(条幅4分の1!$B$11:$B$310,537-COUNTA(半紙!$B$11:$B$310)-COUNTA(条幅!$B$11:$B$310)),""))))</f>
        <v/>
      </c>
      <c r="C542" s="38" t="str">
        <f>IF(IF(537&lt;=COUNTA(半紙!$B$11:$B$310),INDEX(半紙!$C$11:$C$310,537),IF(537&lt;=COUNTA(半紙!$B$11:$B$310)+COUNTA(条幅!$B$11:$B$310),INDEX(条幅!$C$11:$C$310,537-COUNTA(半紙!$B$11:$B$310)),IF(537&lt;=COUNTA(半紙!$B$11:$B$310)+COUNTA(条幅!$B$11:$B$310)+COUNTA(条幅4分の1!$B$11:$B$310),INDEX(条幅4分の1!$C$11:$C$310,537-COUNTA(半紙!$B$11:$B$310)-COUNTA(条幅!$B$11:$B$310)),"")))=0,"",IF(537&lt;=COUNTA(半紙!$B$11:$B$310),INDEX(半紙!$C$11:$C$310,537),IF(537&lt;=COUNTA(半紙!$B$11:$B$310)+COUNTA(条幅!$B$11:$B$310),INDEX(条幅!$C$11:$C$310,537-COUNTA(半紙!$B$11:$B$310)),IF(537&lt;=COUNTA(半紙!$B$11:$B$310)+COUNTA(条幅!$B$11:$B$310)+COUNTA(条幅4分の1!$B$11:$B$310),INDEX(条幅4分の1!$C$11:$C$310,537-COUNTA(半紙!$B$11:$B$310)-COUNTA(条幅!$B$11:$B$310)),""))))</f>
        <v/>
      </c>
      <c r="D542" s="38" t="str">
        <f>IF(IF(537&lt;=COUNTA(半紙!$B$11:$B$310),INDEX(半紙!$D$11:$D$310,537),IF(537&lt;=COUNTA(半紙!$B$11:$B$310)+COUNTA(条幅!$B$11:$B$310),INDEX(条幅!$D$11:$D$310,537-COUNTA(半紙!$B$11:$B$310)),IF(537&lt;=COUNTA(半紙!$B$11:$B$310)+COUNTA(条幅!$B$11:$B$310)+COUNTA(条幅4分の1!$B$11:$B$310),INDEX(条幅4分の1!$D$11:$D$310,537-COUNTA(半紙!$B$11:$B$310)-COUNTA(条幅!$B$11:$B$310)),"")))=0,"",IF(537&lt;=COUNTA(半紙!$B$11:$B$310),INDEX(半紙!$D$11:$D$310,537),IF(537&lt;=COUNTA(半紙!$B$11:$B$310)+COUNTA(条幅!$B$11:$B$310),INDEX(条幅!$D$11:$D$310,537-COUNTA(半紙!$B$11:$B$310)),IF(537&lt;=COUNTA(半紙!$B$11:$B$310)+COUNTA(条幅!$B$11:$B$310)+COUNTA(条幅4分の1!$B$11:$B$310),INDEX(条幅4分の1!$D$11:$D$310,537-COUNTA(半紙!$B$11:$B$310)-COUNTA(条幅!$B$11:$B$310)),""))))</f>
        <v/>
      </c>
      <c r="E542" s="38" t="str">
        <f>IF(IF(537&lt;=COUNTA(半紙!$B$11:$B$310),INDEX(半紙!$E$11:$E$310,537),IF(537&lt;=COUNTA(半紙!$B$11:$B$310)+COUNTA(条幅!$B$11:$B$310),INDEX(条幅!$E$11:$E$310,537-COUNTA(半紙!$B$11:$B$310)),IF(537&lt;=COUNTA(半紙!$B$11:$B$310)+COUNTA(条幅!$B$11:$B$310)+COUNTA(条幅4分の1!$B$11:$B$310),INDEX(条幅4分の1!$E$11:$E$310,537-COUNTA(半紙!$B$11:$B$310)-COUNTA(条幅!$B$11:$B$310)),"")))=0,"",IF(537&lt;=COUNTA(半紙!$B$11:$B$310),INDEX(半紙!$E$11:$E$310,537),IF(537&lt;=COUNTA(半紙!$B$11:$B$310)+COUNTA(条幅!$B$11:$B$310),INDEX(条幅!$E$11:$E$310,537-COUNTA(半紙!$B$11:$B$310)),IF(537&lt;=COUNTA(半紙!$B$11:$B$310)+COUNTA(条幅!$B$11:$B$310)+COUNTA(条幅4分の1!$B$11:$B$310),INDEX(条幅4分の1!$E$11:$E$310,537-COUNTA(半紙!$B$11:$B$310)-COUNTA(条幅!$B$11:$B$310)),""))))</f>
        <v/>
      </c>
      <c r="F542" s="38" t="str">
        <f>IF(IF(537&lt;=COUNTA(半紙!$B$11:$B$310),INDEX(半紙!$F$11:$F$310,537),IF(537&lt;=COUNTA(半紙!$B$11:$B$310)+COUNTA(条幅!$B$11:$B$310),INDEX(条幅!$F$11:$F$310,537-COUNTA(半紙!$B$11:$B$310)),IF(537&lt;=COUNTA(半紙!$B$11:$B$310)+COUNTA(条幅!$B$11:$B$310)+COUNTA(条幅4分の1!$B$11:$B$310),INDEX(条幅4分の1!$F$11:$F$310,537-COUNTA(半紙!$B$11:$B$310)-COUNTA(条幅!$B$11:$B$310)),"")))=0,"",IF(537&lt;=COUNTA(半紙!$B$11:$B$310),INDEX(半紙!$F$11:$F$310,537),IF(537&lt;=COUNTA(半紙!$B$11:$B$310)+COUNTA(条幅!$B$11:$B$310),INDEX(条幅!$F$11:$F$310,537-COUNTA(半紙!$B$11:$B$310)),IF(537&lt;=COUNTA(半紙!$B$11:$B$310)+COUNTA(条幅!$B$11:$B$310)+COUNTA(条幅4分の1!$B$11:$B$310),INDEX(条幅4分の1!$F$11:$F$310,537-COUNTA(半紙!$B$11:$B$310)-COUNTA(条幅!$B$11:$B$310)),""))))</f>
        <v/>
      </c>
      <c r="G542" s="38" t="str">
        <f>IF(IF(537&lt;=COUNTA(半紙!$B$11:$B$310),INDEX(半紙!$G$11:$G$310,537),IF(537&lt;=COUNTA(半紙!$B$11:$B$310)+COUNTA(条幅!$B$11:$B$310),INDEX(条幅!$G$11:$G$310,537-COUNTA(半紙!$B$11:$B$310)),IF(537&lt;=COUNTA(半紙!$B$11:$B$310)+COUNTA(条幅!$B$11:$B$310)+COUNTA(条幅4分の1!$B$11:$B$310),INDEX(条幅4分の1!$G$11:$G$310,537-COUNTA(半紙!$B$11:$B$310)-COUNTA(条幅!$B$11:$B$310)),"")))=0,"",IF(537&lt;=COUNTA(半紙!$B$11:$B$310),INDEX(半紙!$G$11:$G$310,537),IF(537&lt;=COUNTA(半紙!$B$11:$B$310)+COUNTA(条幅!$B$11:$B$310),INDEX(条幅!$G$11:$G$310,537-COUNTA(半紙!$B$11:$B$310)),IF(537&lt;=COUNTA(半紙!$B$11:$B$310)+COUNTA(条幅!$B$11:$B$310)+COUNTA(条幅4分の1!$B$11:$B$310),INDEX(条幅4分の1!$G$11:$G$310,537-COUNTA(半紙!$B$11:$B$310)-COUNTA(条幅!$B$11:$B$310)),""))))</f>
        <v/>
      </c>
      <c r="H542" s="38" t="str">
        <f>IF(IF(537&lt;=COUNTA(半紙!$B$11:$B$310),INDEX(半紙!$H$11:$H$310,537),IF(537&lt;=COUNTA(半紙!$B$11:$B$310)+COUNTA(条幅!$B$11:$B$310),INDEX(条幅!$H$11:$H$310,537-COUNTA(半紙!$B$11:$B$310)),IF(537&lt;=COUNTA(半紙!$B$11:$B$310)+COUNTA(条幅!$B$11:$B$310)+COUNTA(条幅4分の1!$B$11:$B$310),INDEX(条幅4分の1!$H$11:$H$310,537-COUNTA(半紙!$B$11:$B$310)-COUNTA(条幅!$B$11:$B$310)),"")))=0,"",IF(537&lt;=COUNTA(半紙!$B$11:$B$310),INDEX(半紙!$H$11:$H$310,537),IF(537&lt;=COUNTA(半紙!$B$11:$B$310)+COUNTA(条幅!$B$11:$B$310),INDEX(条幅!$H$11:$H$310,537-COUNTA(半紙!$B$11:$B$310)),IF(537&lt;=COUNTA(半紙!$B$11:$B$310)+COUNTA(条幅!$B$11:$B$310)+COUNTA(条幅4分の1!$B$11:$B$310),INDEX(条幅4分の1!$H$11:$H$310,537-COUNTA(半紙!$B$11:$B$310)-COUNTA(条幅!$B$11:$B$310)),""))))</f>
        <v/>
      </c>
      <c r="I542" s="38" t="str">
        <f>IF(IF(537&lt;=COUNTA(半紙!$B$11:$B$310),INDEX(半紙!$I$11:$I$310,537),IF(537&lt;=COUNTA(半紙!$B$11:$B$310)+COUNTA(条幅!$B$11:$B$310),INDEX(条幅!$I$11:$I$310,537-COUNTA(半紙!$B$11:$B$310)),IF(537&lt;=COUNTA(半紙!$B$11:$B$310)+COUNTA(条幅!$B$11:$B$310)+COUNTA(条幅4分の1!$B$11:$B$310),INDEX(条幅4分の1!$I$11:$I$310,537-COUNTA(半紙!$B$11:$B$310)-COUNTA(条幅!$B$11:$B$310)),"")))=0,"",IF(537&lt;=COUNTA(半紙!$B$11:$B$310),INDEX(半紙!$I$11:$I$310,537),IF(537&lt;=COUNTA(半紙!$B$11:$B$310)+COUNTA(条幅!$B$11:$B$310),INDEX(条幅!$I$11:$I$310,537-COUNTA(半紙!$B$11:$B$310)),IF(537&lt;=COUNTA(半紙!$B$11:$B$310)+COUNTA(条幅!$B$11:$B$310)+COUNTA(条幅4分の1!$B$11:$B$310),INDEX(条幅4分の1!$I$11:$I$310,537-COUNTA(半紙!$B$11:$B$310)-COUNTA(条幅!$B$11:$B$310)),""))))</f>
        <v/>
      </c>
      <c r="J542" s="38" t="str">
        <f>IF(IF(537&lt;=COUNTA(半紙!$B$11:$B$310),INDEX(半紙!$J$11:$J$310,537),IF(537&lt;=COUNTA(半紙!$B$11:$B$310)+COUNTA(条幅!$B$11:$B$310),INDEX(条幅!$J$11:$J$310,537-COUNTA(半紙!$B$11:$B$310)),IF(537&lt;=COUNTA(半紙!$B$11:$B$310)+COUNTA(条幅!$B$11:$B$310)+COUNTA(条幅4分の1!$B$11:$B$310),INDEX(条幅4分の1!$J$11:$J$310,537-COUNTA(半紙!$B$11:$B$310)-COUNTA(条幅!$B$11:$B$310)),"")))=0,"",IF(537&lt;=COUNTA(半紙!$B$11:$B$310),INDEX(半紙!$J$11:$J$310,537),IF(537&lt;=COUNTA(半紙!$B$11:$B$310)+COUNTA(条幅!$B$11:$B$310),INDEX(条幅!$J$11:$J$310,537-COUNTA(半紙!$B$11:$B$310)),IF(537&lt;=COUNTA(半紙!$B$11:$B$310)+COUNTA(条幅!$B$11:$B$310)+COUNTA(条幅4分の1!$B$11:$B$310),INDEX(条幅4分の1!$J$11:$J$310,537-COUNTA(半紙!$B$11:$B$310)-COUNTA(条幅!$B$11:$B$310)),""))))</f>
        <v/>
      </c>
      <c r="K542" s="38" t="str">
        <f>IF(IF(537&lt;=COUNTA(半紙!$B$11:$B$310),INDEX(半紙!$K$11:$K$310,537),IF(537&lt;=COUNTA(半紙!$B$11:$B$310)+COUNTA(条幅!$B$11:$B$310),INDEX(条幅!$K$11:$K$310,537-COUNTA(半紙!$B$11:$B$310)),IF(537&lt;=COUNTA(半紙!$B$11:$B$310)+COUNTA(条幅!$B$11:$B$310)+COUNTA(条幅4分の1!$B$11:$B$310),INDEX(条幅4分の1!$K$11:$K$310,537-COUNTA(半紙!$B$11:$B$310)-COUNTA(条幅!$B$11:$B$310)),"")))=0,"",IF(537&lt;=COUNTA(半紙!$B$11:$B$310),INDEX(半紙!$K$11:$K$310,537),IF(537&lt;=COUNTA(半紙!$B$11:$B$310)+COUNTA(条幅!$B$11:$B$310),INDEX(条幅!$K$11:$K$310,537-COUNTA(半紙!$B$11:$B$310)),IF(537&lt;=COUNTA(半紙!$B$11:$B$310)+COUNTA(条幅!$B$11:$B$310)+COUNTA(条幅4分の1!$B$11:$B$310),INDEX(条幅4分の1!$K$11:$K$310,537-COUNTA(半紙!$B$11:$B$310)-COUNTA(条幅!$B$11:$B$310)),""))))</f>
        <v/>
      </c>
      <c r="L542" s="48" t="str">
        <f>IF($B542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537))</f>
        <v/>
      </c>
    </row>
    <row r="543" spans="1:12" ht="15" customHeight="1">
      <c r="A543" s="37" t="str">
        <f>IF(538&lt;=COUNTA(半紙!$B$11:$B$310),"半紙",IF(538&lt;=COUNTA(半紙!$B$11:$B$310)+COUNTA(条幅!$B$11:$B$310),"条幅(半切)",IF(538&lt;=COUNTA(半紙!$B$11:$B$310)+COUNTA(条幅!$B$11:$B$310)+COUNTA(条幅4分の1!$B$11:$B$310),"条幅(1/4)","")))</f>
        <v/>
      </c>
      <c r="B543" s="38" t="str">
        <f>IF(IF(538&lt;=COUNTA(半紙!$B$11:$B$310),INDEX(半紙!$B$11:$B$310,538),IF(538&lt;=COUNTA(半紙!$B$11:$B$310)+COUNTA(条幅!$B$11:$B$310),INDEX(条幅!$B$11:$B$310,538-COUNTA(半紙!$B$11:$B$310)),IF(538&lt;=COUNTA(半紙!$B$11:$B$310)+COUNTA(条幅!$B$11:$B$310)+COUNTA(条幅4分の1!$B$11:$B$310),INDEX(条幅4分の1!$B$11:$B$310,538-COUNTA(半紙!$B$11:$B$310)-COUNTA(条幅!$B$11:$B$310)),"")))=0,"",IF(538&lt;=COUNTA(半紙!$B$11:$B$310),INDEX(半紙!$B$11:$B$310,538),IF(538&lt;=COUNTA(半紙!$B$11:$B$310)+COUNTA(条幅!$B$11:$B$310),INDEX(条幅!$B$11:$B$310,538-COUNTA(半紙!$B$11:$B$310)),IF(538&lt;=COUNTA(半紙!$B$11:$B$310)+COUNTA(条幅!$B$11:$B$310)+COUNTA(条幅4分の1!$B$11:$B$310),INDEX(条幅4分の1!$B$11:$B$310,538-COUNTA(半紙!$B$11:$B$310)-COUNTA(条幅!$B$11:$B$310)),""))))</f>
        <v/>
      </c>
      <c r="C543" s="38" t="str">
        <f>IF(IF(538&lt;=COUNTA(半紙!$B$11:$B$310),INDEX(半紙!$C$11:$C$310,538),IF(538&lt;=COUNTA(半紙!$B$11:$B$310)+COUNTA(条幅!$B$11:$B$310),INDEX(条幅!$C$11:$C$310,538-COUNTA(半紙!$B$11:$B$310)),IF(538&lt;=COUNTA(半紙!$B$11:$B$310)+COUNTA(条幅!$B$11:$B$310)+COUNTA(条幅4分の1!$B$11:$B$310),INDEX(条幅4分の1!$C$11:$C$310,538-COUNTA(半紙!$B$11:$B$310)-COUNTA(条幅!$B$11:$B$310)),"")))=0,"",IF(538&lt;=COUNTA(半紙!$B$11:$B$310),INDEX(半紙!$C$11:$C$310,538),IF(538&lt;=COUNTA(半紙!$B$11:$B$310)+COUNTA(条幅!$B$11:$B$310),INDEX(条幅!$C$11:$C$310,538-COUNTA(半紙!$B$11:$B$310)),IF(538&lt;=COUNTA(半紙!$B$11:$B$310)+COUNTA(条幅!$B$11:$B$310)+COUNTA(条幅4分の1!$B$11:$B$310),INDEX(条幅4分の1!$C$11:$C$310,538-COUNTA(半紙!$B$11:$B$310)-COUNTA(条幅!$B$11:$B$310)),""))))</f>
        <v/>
      </c>
      <c r="D543" s="38" t="str">
        <f>IF(IF(538&lt;=COUNTA(半紙!$B$11:$B$310),INDEX(半紙!$D$11:$D$310,538),IF(538&lt;=COUNTA(半紙!$B$11:$B$310)+COUNTA(条幅!$B$11:$B$310),INDEX(条幅!$D$11:$D$310,538-COUNTA(半紙!$B$11:$B$310)),IF(538&lt;=COUNTA(半紙!$B$11:$B$310)+COUNTA(条幅!$B$11:$B$310)+COUNTA(条幅4分の1!$B$11:$B$310),INDEX(条幅4分の1!$D$11:$D$310,538-COUNTA(半紙!$B$11:$B$310)-COUNTA(条幅!$B$11:$B$310)),"")))=0,"",IF(538&lt;=COUNTA(半紙!$B$11:$B$310),INDEX(半紙!$D$11:$D$310,538),IF(538&lt;=COUNTA(半紙!$B$11:$B$310)+COUNTA(条幅!$B$11:$B$310),INDEX(条幅!$D$11:$D$310,538-COUNTA(半紙!$B$11:$B$310)),IF(538&lt;=COUNTA(半紙!$B$11:$B$310)+COUNTA(条幅!$B$11:$B$310)+COUNTA(条幅4分の1!$B$11:$B$310),INDEX(条幅4分の1!$D$11:$D$310,538-COUNTA(半紙!$B$11:$B$310)-COUNTA(条幅!$B$11:$B$310)),""))))</f>
        <v/>
      </c>
      <c r="E543" s="38" t="str">
        <f>IF(IF(538&lt;=COUNTA(半紙!$B$11:$B$310),INDEX(半紙!$E$11:$E$310,538),IF(538&lt;=COUNTA(半紙!$B$11:$B$310)+COUNTA(条幅!$B$11:$B$310),INDEX(条幅!$E$11:$E$310,538-COUNTA(半紙!$B$11:$B$310)),IF(538&lt;=COUNTA(半紙!$B$11:$B$310)+COUNTA(条幅!$B$11:$B$310)+COUNTA(条幅4分の1!$B$11:$B$310),INDEX(条幅4分の1!$E$11:$E$310,538-COUNTA(半紙!$B$11:$B$310)-COUNTA(条幅!$B$11:$B$310)),"")))=0,"",IF(538&lt;=COUNTA(半紙!$B$11:$B$310),INDEX(半紙!$E$11:$E$310,538),IF(538&lt;=COUNTA(半紙!$B$11:$B$310)+COUNTA(条幅!$B$11:$B$310),INDEX(条幅!$E$11:$E$310,538-COUNTA(半紙!$B$11:$B$310)),IF(538&lt;=COUNTA(半紙!$B$11:$B$310)+COUNTA(条幅!$B$11:$B$310)+COUNTA(条幅4分の1!$B$11:$B$310),INDEX(条幅4分の1!$E$11:$E$310,538-COUNTA(半紙!$B$11:$B$310)-COUNTA(条幅!$B$11:$B$310)),""))))</f>
        <v/>
      </c>
      <c r="F543" s="38" t="str">
        <f>IF(IF(538&lt;=COUNTA(半紙!$B$11:$B$310),INDEX(半紙!$F$11:$F$310,538),IF(538&lt;=COUNTA(半紙!$B$11:$B$310)+COUNTA(条幅!$B$11:$B$310),INDEX(条幅!$F$11:$F$310,538-COUNTA(半紙!$B$11:$B$310)),IF(538&lt;=COUNTA(半紙!$B$11:$B$310)+COUNTA(条幅!$B$11:$B$310)+COUNTA(条幅4分の1!$B$11:$B$310),INDEX(条幅4分の1!$F$11:$F$310,538-COUNTA(半紙!$B$11:$B$310)-COUNTA(条幅!$B$11:$B$310)),"")))=0,"",IF(538&lt;=COUNTA(半紙!$B$11:$B$310),INDEX(半紙!$F$11:$F$310,538),IF(538&lt;=COUNTA(半紙!$B$11:$B$310)+COUNTA(条幅!$B$11:$B$310),INDEX(条幅!$F$11:$F$310,538-COUNTA(半紙!$B$11:$B$310)),IF(538&lt;=COUNTA(半紙!$B$11:$B$310)+COUNTA(条幅!$B$11:$B$310)+COUNTA(条幅4分の1!$B$11:$B$310),INDEX(条幅4分の1!$F$11:$F$310,538-COUNTA(半紙!$B$11:$B$310)-COUNTA(条幅!$B$11:$B$310)),""))))</f>
        <v/>
      </c>
      <c r="G543" s="38" t="str">
        <f>IF(IF(538&lt;=COUNTA(半紙!$B$11:$B$310),INDEX(半紙!$G$11:$G$310,538),IF(538&lt;=COUNTA(半紙!$B$11:$B$310)+COUNTA(条幅!$B$11:$B$310),INDEX(条幅!$G$11:$G$310,538-COUNTA(半紙!$B$11:$B$310)),IF(538&lt;=COUNTA(半紙!$B$11:$B$310)+COUNTA(条幅!$B$11:$B$310)+COUNTA(条幅4分の1!$B$11:$B$310),INDEX(条幅4分の1!$G$11:$G$310,538-COUNTA(半紙!$B$11:$B$310)-COUNTA(条幅!$B$11:$B$310)),"")))=0,"",IF(538&lt;=COUNTA(半紙!$B$11:$B$310),INDEX(半紙!$G$11:$G$310,538),IF(538&lt;=COUNTA(半紙!$B$11:$B$310)+COUNTA(条幅!$B$11:$B$310),INDEX(条幅!$G$11:$G$310,538-COUNTA(半紙!$B$11:$B$310)),IF(538&lt;=COUNTA(半紙!$B$11:$B$310)+COUNTA(条幅!$B$11:$B$310)+COUNTA(条幅4分の1!$B$11:$B$310),INDEX(条幅4分の1!$G$11:$G$310,538-COUNTA(半紙!$B$11:$B$310)-COUNTA(条幅!$B$11:$B$310)),""))))</f>
        <v/>
      </c>
      <c r="H543" s="38" t="str">
        <f>IF(IF(538&lt;=COUNTA(半紙!$B$11:$B$310),INDEX(半紙!$H$11:$H$310,538),IF(538&lt;=COUNTA(半紙!$B$11:$B$310)+COUNTA(条幅!$B$11:$B$310),INDEX(条幅!$H$11:$H$310,538-COUNTA(半紙!$B$11:$B$310)),IF(538&lt;=COUNTA(半紙!$B$11:$B$310)+COUNTA(条幅!$B$11:$B$310)+COUNTA(条幅4分の1!$B$11:$B$310),INDEX(条幅4分の1!$H$11:$H$310,538-COUNTA(半紙!$B$11:$B$310)-COUNTA(条幅!$B$11:$B$310)),"")))=0,"",IF(538&lt;=COUNTA(半紙!$B$11:$B$310),INDEX(半紙!$H$11:$H$310,538),IF(538&lt;=COUNTA(半紙!$B$11:$B$310)+COUNTA(条幅!$B$11:$B$310),INDEX(条幅!$H$11:$H$310,538-COUNTA(半紙!$B$11:$B$310)),IF(538&lt;=COUNTA(半紙!$B$11:$B$310)+COUNTA(条幅!$B$11:$B$310)+COUNTA(条幅4分の1!$B$11:$B$310),INDEX(条幅4分の1!$H$11:$H$310,538-COUNTA(半紙!$B$11:$B$310)-COUNTA(条幅!$B$11:$B$310)),""))))</f>
        <v/>
      </c>
      <c r="I543" s="38" t="str">
        <f>IF(IF(538&lt;=COUNTA(半紙!$B$11:$B$310),INDEX(半紙!$I$11:$I$310,538),IF(538&lt;=COUNTA(半紙!$B$11:$B$310)+COUNTA(条幅!$B$11:$B$310),INDEX(条幅!$I$11:$I$310,538-COUNTA(半紙!$B$11:$B$310)),IF(538&lt;=COUNTA(半紙!$B$11:$B$310)+COUNTA(条幅!$B$11:$B$310)+COUNTA(条幅4分の1!$B$11:$B$310),INDEX(条幅4分の1!$I$11:$I$310,538-COUNTA(半紙!$B$11:$B$310)-COUNTA(条幅!$B$11:$B$310)),"")))=0,"",IF(538&lt;=COUNTA(半紙!$B$11:$B$310),INDEX(半紙!$I$11:$I$310,538),IF(538&lt;=COUNTA(半紙!$B$11:$B$310)+COUNTA(条幅!$B$11:$B$310),INDEX(条幅!$I$11:$I$310,538-COUNTA(半紙!$B$11:$B$310)),IF(538&lt;=COUNTA(半紙!$B$11:$B$310)+COUNTA(条幅!$B$11:$B$310)+COUNTA(条幅4分の1!$B$11:$B$310),INDEX(条幅4分の1!$I$11:$I$310,538-COUNTA(半紙!$B$11:$B$310)-COUNTA(条幅!$B$11:$B$310)),""))))</f>
        <v/>
      </c>
      <c r="J543" s="38" t="str">
        <f>IF(IF(538&lt;=COUNTA(半紙!$B$11:$B$310),INDEX(半紙!$J$11:$J$310,538),IF(538&lt;=COUNTA(半紙!$B$11:$B$310)+COUNTA(条幅!$B$11:$B$310),INDEX(条幅!$J$11:$J$310,538-COUNTA(半紙!$B$11:$B$310)),IF(538&lt;=COUNTA(半紙!$B$11:$B$310)+COUNTA(条幅!$B$11:$B$310)+COUNTA(条幅4分の1!$B$11:$B$310),INDEX(条幅4分の1!$J$11:$J$310,538-COUNTA(半紙!$B$11:$B$310)-COUNTA(条幅!$B$11:$B$310)),"")))=0,"",IF(538&lt;=COUNTA(半紙!$B$11:$B$310),INDEX(半紙!$J$11:$J$310,538),IF(538&lt;=COUNTA(半紙!$B$11:$B$310)+COUNTA(条幅!$B$11:$B$310),INDEX(条幅!$J$11:$J$310,538-COUNTA(半紙!$B$11:$B$310)),IF(538&lt;=COUNTA(半紙!$B$11:$B$310)+COUNTA(条幅!$B$11:$B$310)+COUNTA(条幅4分の1!$B$11:$B$310),INDEX(条幅4分の1!$J$11:$J$310,538-COUNTA(半紙!$B$11:$B$310)-COUNTA(条幅!$B$11:$B$310)),""))))</f>
        <v/>
      </c>
      <c r="K543" s="38" t="str">
        <f>IF(IF(538&lt;=COUNTA(半紙!$B$11:$B$310),INDEX(半紙!$K$11:$K$310,538),IF(538&lt;=COUNTA(半紙!$B$11:$B$310)+COUNTA(条幅!$B$11:$B$310),INDEX(条幅!$K$11:$K$310,538-COUNTA(半紙!$B$11:$B$310)),IF(538&lt;=COUNTA(半紙!$B$11:$B$310)+COUNTA(条幅!$B$11:$B$310)+COUNTA(条幅4分の1!$B$11:$B$310),INDEX(条幅4分の1!$K$11:$K$310,538-COUNTA(半紙!$B$11:$B$310)-COUNTA(条幅!$B$11:$B$310)),"")))=0,"",IF(538&lt;=COUNTA(半紙!$B$11:$B$310),INDEX(半紙!$K$11:$K$310,538),IF(538&lt;=COUNTA(半紙!$B$11:$B$310)+COUNTA(条幅!$B$11:$B$310),INDEX(条幅!$K$11:$K$310,538-COUNTA(半紙!$B$11:$B$310)),IF(538&lt;=COUNTA(半紙!$B$11:$B$310)+COUNTA(条幅!$B$11:$B$310)+COUNTA(条幅4分の1!$B$11:$B$310),INDEX(条幅4分の1!$K$11:$K$310,538-COUNTA(半紙!$B$11:$B$310)-COUNTA(条幅!$B$11:$B$310)),""))))</f>
        <v/>
      </c>
      <c r="L543" s="48" t="str">
        <f>IF($B543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538))</f>
        <v/>
      </c>
    </row>
    <row r="544" spans="1:12" ht="15" customHeight="1">
      <c r="A544" s="37" t="str">
        <f>IF(539&lt;=COUNTA(半紙!$B$11:$B$310),"半紙",IF(539&lt;=COUNTA(半紙!$B$11:$B$310)+COUNTA(条幅!$B$11:$B$310),"条幅(半切)",IF(539&lt;=COUNTA(半紙!$B$11:$B$310)+COUNTA(条幅!$B$11:$B$310)+COUNTA(条幅4分の1!$B$11:$B$310),"条幅(1/4)","")))</f>
        <v/>
      </c>
      <c r="B544" s="38" t="str">
        <f>IF(IF(539&lt;=COUNTA(半紙!$B$11:$B$310),INDEX(半紙!$B$11:$B$310,539),IF(539&lt;=COUNTA(半紙!$B$11:$B$310)+COUNTA(条幅!$B$11:$B$310),INDEX(条幅!$B$11:$B$310,539-COUNTA(半紙!$B$11:$B$310)),IF(539&lt;=COUNTA(半紙!$B$11:$B$310)+COUNTA(条幅!$B$11:$B$310)+COUNTA(条幅4分の1!$B$11:$B$310),INDEX(条幅4分の1!$B$11:$B$310,539-COUNTA(半紙!$B$11:$B$310)-COUNTA(条幅!$B$11:$B$310)),"")))=0,"",IF(539&lt;=COUNTA(半紙!$B$11:$B$310),INDEX(半紙!$B$11:$B$310,539),IF(539&lt;=COUNTA(半紙!$B$11:$B$310)+COUNTA(条幅!$B$11:$B$310),INDEX(条幅!$B$11:$B$310,539-COUNTA(半紙!$B$11:$B$310)),IF(539&lt;=COUNTA(半紙!$B$11:$B$310)+COUNTA(条幅!$B$11:$B$310)+COUNTA(条幅4分の1!$B$11:$B$310),INDEX(条幅4分の1!$B$11:$B$310,539-COUNTA(半紙!$B$11:$B$310)-COUNTA(条幅!$B$11:$B$310)),""))))</f>
        <v/>
      </c>
      <c r="C544" s="38" t="str">
        <f>IF(IF(539&lt;=COUNTA(半紙!$B$11:$B$310),INDEX(半紙!$C$11:$C$310,539),IF(539&lt;=COUNTA(半紙!$B$11:$B$310)+COUNTA(条幅!$B$11:$B$310),INDEX(条幅!$C$11:$C$310,539-COUNTA(半紙!$B$11:$B$310)),IF(539&lt;=COUNTA(半紙!$B$11:$B$310)+COUNTA(条幅!$B$11:$B$310)+COUNTA(条幅4分の1!$B$11:$B$310),INDEX(条幅4分の1!$C$11:$C$310,539-COUNTA(半紙!$B$11:$B$310)-COUNTA(条幅!$B$11:$B$310)),"")))=0,"",IF(539&lt;=COUNTA(半紙!$B$11:$B$310),INDEX(半紙!$C$11:$C$310,539),IF(539&lt;=COUNTA(半紙!$B$11:$B$310)+COUNTA(条幅!$B$11:$B$310),INDEX(条幅!$C$11:$C$310,539-COUNTA(半紙!$B$11:$B$310)),IF(539&lt;=COUNTA(半紙!$B$11:$B$310)+COUNTA(条幅!$B$11:$B$310)+COUNTA(条幅4分の1!$B$11:$B$310),INDEX(条幅4分の1!$C$11:$C$310,539-COUNTA(半紙!$B$11:$B$310)-COUNTA(条幅!$B$11:$B$310)),""))))</f>
        <v/>
      </c>
      <c r="D544" s="38" t="str">
        <f>IF(IF(539&lt;=COUNTA(半紙!$B$11:$B$310),INDEX(半紙!$D$11:$D$310,539),IF(539&lt;=COUNTA(半紙!$B$11:$B$310)+COUNTA(条幅!$B$11:$B$310),INDEX(条幅!$D$11:$D$310,539-COUNTA(半紙!$B$11:$B$310)),IF(539&lt;=COUNTA(半紙!$B$11:$B$310)+COUNTA(条幅!$B$11:$B$310)+COUNTA(条幅4分の1!$B$11:$B$310),INDEX(条幅4分の1!$D$11:$D$310,539-COUNTA(半紙!$B$11:$B$310)-COUNTA(条幅!$B$11:$B$310)),"")))=0,"",IF(539&lt;=COUNTA(半紙!$B$11:$B$310),INDEX(半紙!$D$11:$D$310,539),IF(539&lt;=COUNTA(半紙!$B$11:$B$310)+COUNTA(条幅!$B$11:$B$310),INDEX(条幅!$D$11:$D$310,539-COUNTA(半紙!$B$11:$B$310)),IF(539&lt;=COUNTA(半紙!$B$11:$B$310)+COUNTA(条幅!$B$11:$B$310)+COUNTA(条幅4分の1!$B$11:$B$310),INDEX(条幅4分の1!$D$11:$D$310,539-COUNTA(半紙!$B$11:$B$310)-COUNTA(条幅!$B$11:$B$310)),""))))</f>
        <v/>
      </c>
      <c r="E544" s="38" t="str">
        <f>IF(IF(539&lt;=COUNTA(半紙!$B$11:$B$310),INDEX(半紙!$E$11:$E$310,539),IF(539&lt;=COUNTA(半紙!$B$11:$B$310)+COUNTA(条幅!$B$11:$B$310),INDEX(条幅!$E$11:$E$310,539-COUNTA(半紙!$B$11:$B$310)),IF(539&lt;=COUNTA(半紙!$B$11:$B$310)+COUNTA(条幅!$B$11:$B$310)+COUNTA(条幅4分の1!$B$11:$B$310),INDEX(条幅4分の1!$E$11:$E$310,539-COUNTA(半紙!$B$11:$B$310)-COUNTA(条幅!$B$11:$B$310)),"")))=0,"",IF(539&lt;=COUNTA(半紙!$B$11:$B$310),INDEX(半紙!$E$11:$E$310,539),IF(539&lt;=COUNTA(半紙!$B$11:$B$310)+COUNTA(条幅!$B$11:$B$310),INDEX(条幅!$E$11:$E$310,539-COUNTA(半紙!$B$11:$B$310)),IF(539&lt;=COUNTA(半紙!$B$11:$B$310)+COUNTA(条幅!$B$11:$B$310)+COUNTA(条幅4分の1!$B$11:$B$310),INDEX(条幅4分の1!$E$11:$E$310,539-COUNTA(半紙!$B$11:$B$310)-COUNTA(条幅!$B$11:$B$310)),""))))</f>
        <v/>
      </c>
      <c r="F544" s="38" t="str">
        <f>IF(IF(539&lt;=COUNTA(半紙!$B$11:$B$310),INDEX(半紙!$F$11:$F$310,539),IF(539&lt;=COUNTA(半紙!$B$11:$B$310)+COUNTA(条幅!$B$11:$B$310),INDEX(条幅!$F$11:$F$310,539-COUNTA(半紙!$B$11:$B$310)),IF(539&lt;=COUNTA(半紙!$B$11:$B$310)+COUNTA(条幅!$B$11:$B$310)+COUNTA(条幅4分の1!$B$11:$B$310),INDEX(条幅4分の1!$F$11:$F$310,539-COUNTA(半紙!$B$11:$B$310)-COUNTA(条幅!$B$11:$B$310)),"")))=0,"",IF(539&lt;=COUNTA(半紙!$B$11:$B$310),INDEX(半紙!$F$11:$F$310,539),IF(539&lt;=COUNTA(半紙!$B$11:$B$310)+COUNTA(条幅!$B$11:$B$310),INDEX(条幅!$F$11:$F$310,539-COUNTA(半紙!$B$11:$B$310)),IF(539&lt;=COUNTA(半紙!$B$11:$B$310)+COUNTA(条幅!$B$11:$B$310)+COUNTA(条幅4分の1!$B$11:$B$310),INDEX(条幅4分の1!$F$11:$F$310,539-COUNTA(半紙!$B$11:$B$310)-COUNTA(条幅!$B$11:$B$310)),""))))</f>
        <v/>
      </c>
      <c r="G544" s="38" t="str">
        <f>IF(IF(539&lt;=COUNTA(半紙!$B$11:$B$310),INDEX(半紙!$G$11:$G$310,539),IF(539&lt;=COUNTA(半紙!$B$11:$B$310)+COUNTA(条幅!$B$11:$B$310),INDEX(条幅!$G$11:$G$310,539-COUNTA(半紙!$B$11:$B$310)),IF(539&lt;=COUNTA(半紙!$B$11:$B$310)+COUNTA(条幅!$B$11:$B$310)+COUNTA(条幅4分の1!$B$11:$B$310),INDEX(条幅4分の1!$G$11:$G$310,539-COUNTA(半紙!$B$11:$B$310)-COUNTA(条幅!$B$11:$B$310)),"")))=0,"",IF(539&lt;=COUNTA(半紙!$B$11:$B$310),INDEX(半紙!$G$11:$G$310,539),IF(539&lt;=COUNTA(半紙!$B$11:$B$310)+COUNTA(条幅!$B$11:$B$310),INDEX(条幅!$G$11:$G$310,539-COUNTA(半紙!$B$11:$B$310)),IF(539&lt;=COUNTA(半紙!$B$11:$B$310)+COUNTA(条幅!$B$11:$B$310)+COUNTA(条幅4分の1!$B$11:$B$310),INDEX(条幅4分の1!$G$11:$G$310,539-COUNTA(半紙!$B$11:$B$310)-COUNTA(条幅!$B$11:$B$310)),""))))</f>
        <v/>
      </c>
      <c r="H544" s="38" t="str">
        <f>IF(IF(539&lt;=COUNTA(半紙!$B$11:$B$310),INDEX(半紙!$H$11:$H$310,539),IF(539&lt;=COUNTA(半紙!$B$11:$B$310)+COUNTA(条幅!$B$11:$B$310),INDEX(条幅!$H$11:$H$310,539-COUNTA(半紙!$B$11:$B$310)),IF(539&lt;=COUNTA(半紙!$B$11:$B$310)+COUNTA(条幅!$B$11:$B$310)+COUNTA(条幅4分の1!$B$11:$B$310),INDEX(条幅4分の1!$H$11:$H$310,539-COUNTA(半紙!$B$11:$B$310)-COUNTA(条幅!$B$11:$B$310)),"")))=0,"",IF(539&lt;=COUNTA(半紙!$B$11:$B$310),INDEX(半紙!$H$11:$H$310,539),IF(539&lt;=COUNTA(半紙!$B$11:$B$310)+COUNTA(条幅!$B$11:$B$310),INDEX(条幅!$H$11:$H$310,539-COUNTA(半紙!$B$11:$B$310)),IF(539&lt;=COUNTA(半紙!$B$11:$B$310)+COUNTA(条幅!$B$11:$B$310)+COUNTA(条幅4分の1!$B$11:$B$310),INDEX(条幅4分の1!$H$11:$H$310,539-COUNTA(半紙!$B$11:$B$310)-COUNTA(条幅!$B$11:$B$310)),""))))</f>
        <v/>
      </c>
      <c r="I544" s="38" t="str">
        <f>IF(IF(539&lt;=COUNTA(半紙!$B$11:$B$310),INDEX(半紙!$I$11:$I$310,539),IF(539&lt;=COUNTA(半紙!$B$11:$B$310)+COUNTA(条幅!$B$11:$B$310),INDEX(条幅!$I$11:$I$310,539-COUNTA(半紙!$B$11:$B$310)),IF(539&lt;=COUNTA(半紙!$B$11:$B$310)+COUNTA(条幅!$B$11:$B$310)+COUNTA(条幅4分の1!$B$11:$B$310),INDEX(条幅4分の1!$I$11:$I$310,539-COUNTA(半紙!$B$11:$B$310)-COUNTA(条幅!$B$11:$B$310)),"")))=0,"",IF(539&lt;=COUNTA(半紙!$B$11:$B$310),INDEX(半紙!$I$11:$I$310,539),IF(539&lt;=COUNTA(半紙!$B$11:$B$310)+COUNTA(条幅!$B$11:$B$310),INDEX(条幅!$I$11:$I$310,539-COUNTA(半紙!$B$11:$B$310)),IF(539&lt;=COUNTA(半紙!$B$11:$B$310)+COUNTA(条幅!$B$11:$B$310)+COUNTA(条幅4分の1!$B$11:$B$310),INDEX(条幅4分の1!$I$11:$I$310,539-COUNTA(半紙!$B$11:$B$310)-COUNTA(条幅!$B$11:$B$310)),""))))</f>
        <v/>
      </c>
      <c r="J544" s="38" t="str">
        <f>IF(IF(539&lt;=COUNTA(半紙!$B$11:$B$310),INDEX(半紙!$J$11:$J$310,539),IF(539&lt;=COUNTA(半紙!$B$11:$B$310)+COUNTA(条幅!$B$11:$B$310),INDEX(条幅!$J$11:$J$310,539-COUNTA(半紙!$B$11:$B$310)),IF(539&lt;=COUNTA(半紙!$B$11:$B$310)+COUNTA(条幅!$B$11:$B$310)+COUNTA(条幅4分の1!$B$11:$B$310),INDEX(条幅4分の1!$J$11:$J$310,539-COUNTA(半紙!$B$11:$B$310)-COUNTA(条幅!$B$11:$B$310)),"")))=0,"",IF(539&lt;=COUNTA(半紙!$B$11:$B$310),INDEX(半紙!$J$11:$J$310,539),IF(539&lt;=COUNTA(半紙!$B$11:$B$310)+COUNTA(条幅!$B$11:$B$310),INDEX(条幅!$J$11:$J$310,539-COUNTA(半紙!$B$11:$B$310)),IF(539&lt;=COUNTA(半紙!$B$11:$B$310)+COUNTA(条幅!$B$11:$B$310)+COUNTA(条幅4分の1!$B$11:$B$310),INDEX(条幅4分の1!$J$11:$J$310,539-COUNTA(半紙!$B$11:$B$310)-COUNTA(条幅!$B$11:$B$310)),""))))</f>
        <v/>
      </c>
      <c r="K544" s="38" t="str">
        <f>IF(IF(539&lt;=COUNTA(半紙!$B$11:$B$310),INDEX(半紙!$K$11:$K$310,539),IF(539&lt;=COUNTA(半紙!$B$11:$B$310)+COUNTA(条幅!$B$11:$B$310),INDEX(条幅!$K$11:$K$310,539-COUNTA(半紙!$B$11:$B$310)),IF(539&lt;=COUNTA(半紙!$B$11:$B$310)+COUNTA(条幅!$B$11:$B$310)+COUNTA(条幅4分の1!$B$11:$B$310),INDEX(条幅4分の1!$K$11:$K$310,539-COUNTA(半紙!$B$11:$B$310)-COUNTA(条幅!$B$11:$B$310)),"")))=0,"",IF(539&lt;=COUNTA(半紙!$B$11:$B$310),INDEX(半紙!$K$11:$K$310,539),IF(539&lt;=COUNTA(半紙!$B$11:$B$310)+COUNTA(条幅!$B$11:$B$310),INDEX(条幅!$K$11:$K$310,539-COUNTA(半紙!$B$11:$B$310)),IF(539&lt;=COUNTA(半紙!$B$11:$B$310)+COUNTA(条幅!$B$11:$B$310)+COUNTA(条幅4分の1!$B$11:$B$310),INDEX(条幅4分の1!$K$11:$K$310,539-COUNTA(半紙!$B$11:$B$310)-COUNTA(条幅!$B$11:$B$310)),""))))</f>
        <v/>
      </c>
      <c r="L544" s="48" t="str">
        <f>IF($B544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539))</f>
        <v/>
      </c>
    </row>
    <row r="545" spans="1:12" ht="15" customHeight="1">
      <c r="A545" s="37" t="str">
        <f>IF(540&lt;=COUNTA(半紙!$B$11:$B$310),"半紙",IF(540&lt;=COUNTA(半紙!$B$11:$B$310)+COUNTA(条幅!$B$11:$B$310),"条幅(半切)",IF(540&lt;=COUNTA(半紙!$B$11:$B$310)+COUNTA(条幅!$B$11:$B$310)+COUNTA(条幅4分の1!$B$11:$B$310),"条幅(1/4)","")))</f>
        <v/>
      </c>
      <c r="B545" s="38" t="str">
        <f>IF(IF(540&lt;=COUNTA(半紙!$B$11:$B$310),INDEX(半紙!$B$11:$B$310,540),IF(540&lt;=COUNTA(半紙!$B$11:$B$310)+COUNTA(条幅!$B$11:$B$310),INDEX(条幅!$B$11:$B$310,540-COUNTA(半紙!$B$11:$B$310)),IF(540&lt;=COUNTA(半紙!$B$11:$B$310)+COUNTA(条幅!$B$11:$B$310)+COUNTA(条幅4分の1!$B$11:$B$310),INDEX(条幅4分の1!$B$11:$B$310,540-COUNTA(半紙!$B$11:$B$310)-COUNTA(条幅!$B$11:$B$310)),"")))=0,"",IF(540&lt;=COUNTA(半紙!$B$11:$B$310),INDEX(半紙!$B$11:$B$310,540),IF(540&lt;=COUNTA(半紙!$B$11:$B$310)+COUNTA(条幅!$B$11:$B$310),INDEX(条幅!$B$11:$B$310,540-COUNTA(半紙!$B$11:$B$310)),IF(540&lt;=COUNTA(半紙!$B$11:$B$310)+COUNTA(条幅!$B$11:$B$310)+COUNTA(条幅4分の1!$B$11:$B$310),INDEX(条幅4分の1!$B$11:$B$310,540-COUNTA(半紙!$B$11:$B$310)-COUNTA(条幅!$B$11:$B$310)),""))))</f>
        <v/>
      </c>
      <c r="C545" s="38" t="str">
        <f>IF(IF(540&lt;=COUNTA(半紙!$B$11:$B$310),INDEX(半紙!$C$11:$C$310,540),IF(540&lt;=COUNTA(半紙!$B$11:$B$310)+COUNTA(条幅!$B$11:$B$310),INDEX(条幅!$C$11:$C$310,540-COUNTA(半紙!$B$11:$B$310)),IF(540&lt;=COUNTA(半紙!$B$11:$B$310)+COUNTA(条幅!$B$11:$B$310)+COUNTA(条幅4分の1!$B$11:$B$310),INDEX(条幅4分の1!$C$11:$C$310,540-COUNTA(半紙!$B$11:$B$310)-COUNTA(条幅!$B$11:$B$310)),"")))=0,"",IF(540&lt;=COUNTA(半紙!$B$11:$B$310),INDEX(半紙!$C$11:$C$310,540),IF(540&lt;=COUNTA(半紙!$B$11:$B$310)+COUNTA(条幅!$B$11:$B$310),INDEX(条幅!$C$11:$C$310,540-COUNTA(半紙!$B$11:$B$310)),IF(540&lt;=COUNTA(半紙!$B$11:$B$310)+COUNTA(条幅!$B$11:$B$310)+COUNTA(条幅4分の1!$B$11:$B$310),INDEX(条幅4分の1!$C$11:$C$310,540-COUNTA(半紙!$B$11:$B$310)-COUNTA(条幅!$B$11:$B$310)),""))))</f>
        <v/>
      </c>
      <c r="D545" s="38" t="str">
        <f>IF(IF(540&lt;=COUNTA(半紙!$B$11:$B$310),INDEX(半紙!$D$11:$D$310,540),IF(540&lt;=COUNTA(半紙!$B$11:$B$310)+COUNTA(条幅!$B$11:$B$310),INDEX(条幅!$D$11:$D$310,540-COUNTA(半紙!$B$11:$B$310)),IF(540&lt;=COUNTA(半紙!$B$11:$B$310)+COUNTA(条幅!$B$11:$B$310)+COUNTA(条幅4分の1!$B$11:$B$310),INDEX(条幅4分の1!$D$11:$D$310,540-COUNTA(半紙!$B$11:$B$310)-COUNTA(条幅!$B$11:$B$310)),"")))=0,"",IF(540&lt;=COUNTA(半紙!$B$11:$B$310),INDEX(半紙!$D$11:$D$310,540),IF(540&lt;=COUNTA(半紙!$B$11:$B$310)+COUNTA(条幅!$B$11:$B$310),INDEX(条幅!$D$11:$D$310,540-COUNTA(半紙!$B$11:$B$310)),IF(540&lt;=COUNTA(半紙!$B$11:$B$310)+COUNTA(条幅!$B$11:$B$310)+COUNTA(条幅4分の1!$B$11:$B$310),INDEX(条幅4分の1!$D$11:$D$310,540-COUNTA(半紙!$B$11:$B$310)-COUNTA(条幅!$B$11:$B$310)),""))))</f>
        <v/>
      </c>
      <c r="E545" s="38" t="str">
        <f>IF(IF(540&lt;=COUNTA(半紙!$B$11:$B$310),INDEX(半紙!$E$11:$E$310,540),IF(540&lt;=COUNTA(半紙!$B$11:$B$310)+COUNTA(条幅!$B$11:$B$310),INDEX(条幅!$E$11:$E$310,540-COUNTA(半紙!$B$11:$B$310)),IF(540&lt;=COUNTA(半紙!$B$11:$B$310)+COUNTA(条幅!$B$11:$B$310)+COUNTA(条幅4分の1!$B$11:$B$310),INDEX(条幅4分の1!$E$11:$E$310,540-COUNTA(半紙!$B$11:$B$310)-COUNTA(条幅!$B$11:$B$310)),"")))=0,"",IF(540&lt;=COUNTA(半紙!$B$11:$B$310),INDEX(半紙!$E$11:$E$310,540),IF(540&lt;=COUNTA(半紙!$B$11:$B$310)+COUNTA(条幅!$B$11:$B$310),INDEX(条幅!$E$11:$E$310,540-COUNTA(半紙!$B$11:$B$310)),IF(540&lt;=COUNTA(半紙!$B$11:$B$310)+COUNTA(条幅!$B$11:$B$310)+COUNTA(条幅4分の1!$B$11:$B$310),INDEX(条幅4分の1!$E$11:$E$310,540-COUNTA(半紙!$B$11:$B$310)-COUNTA(条幅!$B$11:$B$310)),""))))</f>
        <v/>
      </c>
      <c r="F545" s="38" t="str">
        <f>IF(IF(540&lt;=COUNTA(半紙!$B$11:$B$310),INDEX(半紙!$F$11:$F$310,540),IF(540&lt;=COUNTA(半紙!$B$11:$B$310)+COUNTA(条幅!$B$11:$B$310),INDEX(条幅!$F$11:$F$310,540-COUNTA(半紙!$B$11:$B$310)),IF(540&lt;=COUNTA(半紙!$B$11:$B$310)+COUNTA(条幅!$B$11:$B$310)+COUNTA(条幅4分の1!$B$11:$B$310),INDEX(条幅4分の1!$F$11:$F$310,540-COUNTA(半紙!$B$11:$B$310)-COUNTA(条幅!$B$11:$B$310)),"")))=0,"",IF(540&lt;=COUNTA(半紙!$B$11:$B$310),INDEX(半紙!$F$11:$F$310,540),IF(540&lt;=COUNTA(半紙!$B$11:$B$310)+COUNTA(条幅!$B$11:$B$310),INDEX(条幅!$F$11:$F$310,540-COUNTA(半紙!$B$11:$B$310)),IF(540&lt;=COUNTA(半紙!$B$11:$B$310)+COUNTA(条幅!$B$11:$B$310)+COUNTA(条幅4分の1!$B$11:$B$310),INDEX(条幅4分の1!$F$11:$F$310,540-COUNTA(半紙!$B$11:$B$310)-COUNTA(条幅!$B$11:$B$310)),""))))</f>
        <v/>
      </c>
      <c r="G545" s="38" t="str">
        <f>IF(IF(540&lt;=COUNTA(半紙!$B$11:$B$310),INDEX(半紙!$G$11:$G$310,540),IF(540&lt;=COUNTA(半紙!$B$11:$B$310)+COUNTA(条幅!$B$11:$B$310),INDEX(条幅!$G$11:$G$310,540-COUNTA(半紙!$B$11:$B$310)),IF(540&lt;=COUNTA(半紙!$B$11:$B$310)+COUNTA(条幅!$B$11:$B$310)+COUNTA(条幅4分の1!$B$11:$B$310),INDEX(条幅4分の1!$G$11:$G$310,540-COUNTA(半紙!$B$11:$B$310)-COUNTA(条幅!$B$11:$B$310)),"")))=0,"",IF(540&lt;=COUNTA(半紙!$B$11:$B$310),INDEX(半紙!$G$11:$G$310,540),IF(540&lt;=COUNTA(半紙!$B$11:$B$310)+COUNTA(条幅!$B$11:$B$310),INDEX(条幅!$G$11:$G$310,540-COUNTA(半紙!$B$11:$B$310)),IF(540&lt;=COUNTA(半紙!$B$11:$B$310)+COUNTA(条幅!$B$11:$B$310)+COUNTA(条幅4分の1!$B$11:$B$310),INDEX(条幅4分の1!$G$11:$G$310,540-COUNTA(半紙!$B$11:$B$310)-COUNTA(条幅!$B$11:$B$310)),""))))</f>
        <v/>
      </c>
      <c r="H545" s="38" t="str">
        <f>IF(IF(540&lt;=COUNTA(半紙!$B$11:$B$310),INDEX(半紙!$H$11:$H$310,540),IF(540&lt;=COUNTA(半紙!$B$11:$B$310)+COUNTA(条幅!$B$11:$B$310),INDEX(条幅!$H$11:$H$310,540-COUNTA(半紙!$B$11:$B$310)),IF(540&lt;=COUNTA(半紙!$B$11:$B$310)+COUNTA(条幅!$B$11:$B$310)+COUNTA(条幅4分の1!$B$11:$B$310),INDEX(条幅4分の1!$H$11:$H$310,540-COUNTA(半紙!$B$11:$B$310)-COUNTA(条幅!$B$11:$B$310)),"")))=0,"",IF(540&lt;=COUNTA(半紙!$B$11:$B$310),INDEX(半紙!$H$11:$H$310,540),IF(540&lt;=COUNTA(半紙!$B$11:$B$310)+COUNTA(条幅!$B$11:$B$310),INDEX(条幅!$H$11:$H$310,540-COUNTA(半紙!$B$11:$B$310)),IF(540&lt;=COUNTA(半紙!$B$11:$B$310)+COUNTA(条幅!$B$11:$B$310)+COUNTA(条幅4分の1!$B$11:$B$310),INDEX(条幅4分の1!$H$11:$H$310,540-COUNTA(半紙!$B$11:$B$310)-COUNTA(条幅!$B$11:$B$310)),""))))</f>
        <v/>
      </c>
      <c r="I545" s="38" t="str">
        <f>IF(IF(540&lt;=COUNTA(半紙!$B$11:$B$310),INDEX(半紙!$I$11:$I$310,540),IF(540&lt;=COUNTA(半紙!$B$11:$B$310)+COUNTA(条幅!$B$11:$B$310),INDEX(条幅!$I$11:$I$310,540-COUNTA(半紙!$B$11:$B$310)),IF(540&lt;=COUNTA(半紙!$B$11:$B$310)+COUNTA(条幅!$B$11:$B$310)+COUNTA(条幅4分の1!$B$11:$B$310),INDEX(条幅4分の1!$I$11:$I$310,540-COUNTA(半紙!$B$11:$B$310)-COUNTA(条幅!$B$11:$B$310)),"")))=0,"",IF(540&lt;=COUNTA(半紙!$B$11:$B$310),INDEX(半紙!$I$11:$I$310,540),IF(540&lt;=COUNTA(半紙!$B$11:$B$310)+COUNTA(条幅!$B$11:$B$310),INDEX(条幅!$I$11:$I$310,540-COUNTA(半紙!$B$11:$B$310)),IF(540&lt;=COUNTA(半紙!$B$11:$B$310)+COUNTA(条幅!$B$11:$B$310)+COUNTA(条幅4分の1!$B$11:$B$310),INDEX(条幅4分の1!$I$11:$I$310,540-COUNTA(半紙!$B$11:$B$310)-COUNTA(条幅!$B$11:$B$310)),""))))</f>
        <v/>
      </c>
      <c r="J545" s="38" t="str">
        <f>IF(IF(540&lt;=COUNTA(半紙!$B$11:$B$310),INDEX(半紙!$J$11:$J$310,540),IF(540&lt;=COUNTA(半紙!$B$11:$B$310)+COUNTA(条幅!$B$11:$B$310),INDEX(条幅!$J$11:$J$310,540-COUNTA(半紙!$B$11:$B$310)),IF(540&lt;=COUNTA(半紙!$B$11:$B$310)+COUNTA(条幅!$B$11:$B$310)+COUNTA(条幅4分の1!$B$11:$B$310),INDEX(条幅4分の1!$J$11:$J$310,540-COUNTA(半紙!$B$11:$B$310)-COUNTA(条幅!$B$11:$B$310)),"")))=0,"",IF(540&lt;=COUNTA(半紙!$B$11:$B$310),INDEX(半紙!$J$11:$J$310,540),IF(540&lt;=COUNTA(半紙!$B$11:$B$310)+COUNTA(条幅!$B$11:$B$310),INDEX(条幅!$J$11:$J$310,540-COUNTA(半紙!$B$11:$B$310)),IF(540&lt;=COUNTA(半紙!$B$11:$B$310)+COUNTA(条幅!$B$11:$B$310)+COUNTA(条幅4分の1!$B$11:$B$310),INDEX(条幅4分の1!$J$11:$J$310,540-COUNTA(半紙!$B$11:$B$310)-COUNTA(条幅!$B$11:$B$310)),""))))</f>
        <v/>
      </c>
      <c r="K545" s="38" t="str">
        <f>IF(IF(540&lt;=COUNTA(半紙!$B$11:$B$310),INDEX(半紙!$K$11:$K$310,540),IF(540&lt;=COUNTA(半紙!$B$11:$B$310)+COUNTA(条幅!$B$11:$B$310),INDEX(条幅!$K$11:$K$310,540-COUNTA(半紙!$B$11:$B$310)),IF(540&lt;=COUNTA(半紙!$B$11:$B$310)+COUNTA(条幅!$B$11:$B$310)+COUNTA(条幅4分の1!$B$11:$B$310),INDEX(条幅4分の1!$K$11:$K$310,540-COUNTA(半紙!$B$11:$B$310)-COUNTA(条幅!$B$11:$B$310)),"")))=0,"",IF(540&lt;=COUNTA(半紙!$B$11:$B$310),INDEX(半紙!$K$11:$K$310,540),IF(540&lt;=COUNTA(半紙!$B$11:$B$310)+COUNTA(条幅!$B$11:$B$310),INDEX(条幅!$K$11:$K$310,540-COUNTA(半紙!$B$11:$B$310)),IF(540&lt;=COUNTA(半紙!$B$11:$B$310)+COUNTA(条幅!$B$11:$B$310)+COUNTA(条幅4分の1!$B$11:$B$310),INDEX(条幅4分の1!$K$11:$K$310,540-COUNTA(半紙!$B$11:$B$310)-COUNTA(条幅!$B$11:$B$310)),""))))</f>
        <v/>
      </c>
      <c r="L545" s="48" t="str">
        <f>IF($B545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540))</f>
        <v/>
      </c>
    </row>
    <row r="546" spans="1:12" ht="15" customHeight="1">
      <c r="A546" s="37" t="str">
        <f>IF(541&lt;=COUNTA(半紙!$B$11:$B$310),"半紙",IF(541&lt;=COUNTA(半紙!$B$11:$B$310)+COUNTA(条幅!$B$11:$B$310),"条幅(半切)",IF(541&lt;=COUNTA(半紙!$B$11:$B$310)+COUNTA(条幅!$B$11:$B$310)+COUNTA(条幅4分の1!$B$11:$B$310),"条幅(1/4)","")))</f>
        <v/>
      </c>
      <c r="B546" s="38" t="str">
        <f>IF(IF(541&lt;=COUNTA(半紙!$B$11:$B$310),INDEX(半紙!$B$11:$B$310,541),IF(541&lt;=COUNTA(半紙!$B$11:$B$310)+COUNTA(条幅!$B$11:$B$310),INDEX(条幅!$B$11:$B$310,541-COUNTA(半紙!$B$11:$B$310)),IF(541&lt;=COUNTA(半紙!$B$11:$B$310)+COUNTA(条幅!$B$11:$B$310)+COUNTA(条幅4分の1!$B$11:$B$310),INDEX(条幅4分の1!$B$11:$B$310,541-COUNTA(半紙!$B$11:$B$310)-COUNTA(条幅!$B$11:$B$310)),"")))=0,"",IF(541&lt;=COUNTA(半紙!$B$11:$B$310),INDEX(半紙!$B$11:$B$310,541),IF(541&lt;=COUNTA(半紙!$B$11:$B$310)+COUNTA(条幅!$B$11:$B$310),INDEX(条幅!$B$11:$B$310,541-COUNTA(半紙!$B$11:$B$310)),IF(541&lt;=COUNTA(半紙!$B$11:$B$310)+COUNTA(条幅!$B$11:$B$310)+COUNTA(条幅4分の1!$B$11:$B$310),INDEX(条幅4分の1!$B$11:$B$310,541-COUNTA(半紙!$B$11:$B$310)-COUNTA(条幅!$B$11:$B$310)),""))))</f>
        <v/>
      </c>
      <c r="C546" s="38" t="str">
        <f>IF(IF(541&lt;=COUNTA(半紙!$B$11:$B$310),INDEX(半紙!$C$11:$C$310,541),IF(541&lt;=COUNTA(半紙!$B$11:$B$310)+COUNTA(条幅!$B$11:$B$310),INDEX(条幅!$C$11:$C$310,541-COUNTA(半紙!$B$11:$B$310)),IF(541&lt;=COUNTA(半紙!$B$11:$B$310)+COUNTA(条幅!$B$11:$B$310)+COUNTA(条幅4分の1!$B$11:$B$310),INDEX(条幅4分の1!$C$11:$C$310,541-COUNTA(半紙!$B$11:$B$310)-COUNTA(条幅!$B$11:$B$310)),"")))=0,"",IF(541&lt;=COUNTA(半紙!$B$11:$B$310),INDEX(半紙!$C$11:$C$310,541),IF(541&lt;=COUNTA(半紙!$B$11:$B$310)+COUNTA(条幅!$B$11:$B$310),INDEX(条幅!$C$11:$C$310,541-COUNTA(半紙!$B$11:$B$310)),IF(541&lt;=COUNTA(半紙!$B$11:$B$310)+COUNTA(条幅!$B$11:$B$310)+COUNTA(条幅4分の1!$B$11:$B$310),INDEX(条幅4分の1!$C$11:$C$310,541-COUNTA(半紙!$B$11:$B$310)-COUNTA(条幅!$B$11:$B$310)),""))))</f>
        <v/>
      </c>
      <c r="D546" s="38" t="str">
        <f>IF(IF(541&lt;=COUNTA(半紙!$B$11:$B$310),INDEX(半紙!$D$11:$D$310,541),IF(541&lt;=COUNTA(半紙!$B$11:$B$310)+COUNTA(条幅!$B$11:$B$310),INDEX(条幅!$D$11:$D$310,541-COUNTA(半紙!$B$11:$B$310)),IF(541&lt;=COUNTA(半紙!$B$11:$B$310)+COUNTA(条幅!$B$11:$B$310)+COUNTA(条幅4分の1!$B$11:$B$310),INDEX(条幅4分の1!$D$11:$D$310,541-COUNTA(半紙!$B$11:$B$310)-COUNTA(条幅!$B$11:$B$310)),"")))=0,"",IF(541&lt;=COUNTA(半紙!$B$11:$B$310),INDEX(半紙!$D$11:$D$310,541),IF(541&lt;=COUNTA(半紙!$B$11:$B$310)+COUNTA(条幅!$B$11:$B$310),INDEX(条幅!$D$11:$D$310,541-COUNTA(半紙!$B$11:$B$310)),IF(541&lt;=COUNTA(半紙!$B$11:$B$310)+COUNTA(条幅!$B$11:$B$310)+COUNTA(条幅4分の1!$B$11:$B$310),INDEX(条幅4分の1!$D$11:$D$310,541-COUNTA(半紙!$B$11:$B$310)-COUNTA(条幅!$B$11:$B$310)),""))))</f>
        <v/>
      </c>
      <c r="E546" s="38" t="str">
        <f>IF(IF(541&lt;=COUNTA(半紙!$B$11:$B$310),INDEX(半紙!$E$11:$E$310,541),IF(541&lt;=COUNTA(半紙!$B$11:$B$310)+COUNTA(条幅!$B$11:$B$310),INDEX(条幅!$E$11:$E$310,541-COUNTA(半紙!$B$11:$B$310)),IF(541&lt;=COUNTA(半紙!$B$11:$B$310)+COUNTA(条幅!$B$11:$B$310)+COUNTA(条幅4分の1!$B$11:$B$310),INDEX(条幅4分の1!$E$11:$E$310,541-COUNTA(半紙!$B$11:$B$310)-COUNTA(条幅!$B$11:$B$310)),"")))=0,"",IF(541&lt;=COUNTA(半紙!$B$11:$B$310),INDEX(半紙!$E$11:$E$310,541),IF(541&lt;=COUNTA(半紙!$B$11:$B$310)+COUNTA(条幅!$B$11:$B$310),INDEX(条幅!$E$11:$E$310,541-COUNTA(半紙!$B$11:$B$310)),IF(541&lt;=COUNTA(半紙!$B$11:$B$310)+COUNTA(条幅!$B$11:$B$310)+COUNTA(条幅4分の1!$B$11:$B$310),INDEX(条幅4分の1!$E$11:$E$310,541-COUNTA(半紙!$B$11:$B$310)-COUNTA(条幅!$B$11:$B$310)),""))))</f>
        <v/>
      </c>
      <c r="F546" s="38" t="str">
        <f>IF(IF(541&lt;=COUNTA(半紙!$B$11:$B$310),INDEX(半紙!$F$11:$F$310,541),IF(541&lt;=COUNTA(半紙!$B$11:$B$310)+COUNTA(条幅!$B$11:$B$310),INDEX(条幅!$F$11:$F$310,541-COUNTA(半紙!$B$11:$B$310)),IF(541&lt;=COUNTA(半紙!$B$11:$B$310)+COUNTA(条幅!$B$11:$B$310)+COUNTA(条幅4分の1!$B$11:$B$310),INDEX(条幅4分の1!$F$11:$F$310,541-COUNTA(半紙!$B$11:$B$310)-COUNTA(条幅!$B$11:$B$310)),"")))=0,"",IF(541&lt;=COUNTA(半紙!$B$11:$B$310),INDEX(半紙!$F$11:$F$310,541),IF(541&lt;=COUNTA(半紙!$B$11:$B$310)+COUNTA(条幅!$B$11:$B$310),INDEX(条幅!$F$11:$F$310,541-COUNTA(半紙!$B$11:$B$310)),IF(541&lt;=COUNTA(半紙!$B$11:$B$310)+COUNTA(条幅!$B$11:$B$310)+COUNTA(条幅4分の1!$B$11:$B$310),INDEX(条幅4分の1!$F$11:$F$310,541-COUNTA(半紙!$B$11:$B$310)-COUNTA(条幅!$B$11:$B$310)),""))))</f>
        <v/>
      </c>
      <c r="G546" s="38" t="str">
        <f>IF(IF(541&lt;=COUNTA(半紙!$B$11:$B$310),INDEX(半紙!$G$11:$G$310,541),IF(541&lt;=COUNTA(半紙!$B$11:$B$310)+COUNTA(条幅!$B$11:$B$310),INDEX(条幅!$G$11:$G$310,541-COUNTA(半紙!$B$11:$B$310)),IF(541&lt;=COUNTA(半紙!$B$11:$B$310)+COUNTA(条幅!$B$11:$B$310)+COUNTA(条幅4分の1!$B$11:$B$310),INDEX(条幅4分の1!$G$11:$G$310,541-COUNTA(半紙!$B$11:$B$310)-COUNTA(条幅!$B$11:$B$310)),"")))=0,"",IF(541&lt;=COUNTA(半紙!$B$11:$B$310),INDEX(半紙!$G$11:$G$310,541),IF(541&lt;=COUNTA(半紙!$B$11:$B$310)+COUNTA(条幅!$B$11:$B$310),INDEX(条幅!$G$11:$G$310,541-COUNTA(半紙!$B$11:$B$310)),IF(541&lt;=COUNTA(半紙!$B$11:$B$310)+COUNTA(条幅!$B$11:$B$310)+COUNTA(条幅4分の1!$B$11:$B$310),INDEX(条幅4分の1!$G$11:$G$310,541-COUNTA(半紙!$B$11:$B$310)-COUNTA(条幅!$B$11:$B$310)),""))))</f>
        <v/>
      </c>
      <c r="H546" s="38" t="str">
        <f>IF(IF(541&lt;=COUNTA(半紙!$B$11:$B$310),INDEX(半紙!$H$11:$H$310,541),IF(541&lt;=COUNTA(半紙!$B$11:$B$310)+COUNTA(条幅!$B$11:$B$310),INDEX(条幅!$H$11:$H$310,541-COUNTA(半紙!$B$11:$B$310)),IF(541&lt;=COUNTA(半紙!$B$11:$B$310)+COUNTA(条幅!$B$11:$B$310)+COUNTA(条幅4分の1!$B$11:$B$310),INDEX(条幅4分の1!$H$11:$H$310,541-COUNTA(半紙!$B$11:$B$310)-COUNTA(条幅!$B$11:$B$310)),"")))=0,"",IF(541&lt;=COUNTA(半紙!$B$11:$B$310),INDEX(半紙!$H$11:$H$310,541),IF(541&lt;=COUNTA(半紙!$B$11:$B$310)+COUNTA(条幅!$B$11:$B$310),INDEX(条幅!$H$11:$H$310,541-COUNTA(半紙!$B$11:$B$310)),IF(541&lt;=COUNTA(半紙!$B$11:$B$310)+COUNTA(条幅!$B$11:$B$310)+COUNTA(条幅4分の1!$B$11:$B$310),INDEX(条幅4分の1!$H$11:$H$310,541-COUNTA(半紙!$B$11:$B$310)-COUNTA(条幅!$B$11:$B$310)),""))))</f>
        <v/>
      </c>
      <c r="I546" s="38" t="str">
        <f>IF(IF(541&lt;=COUNTA(半紙!$B$11:$B$310),INDEX(半紙!$I$11:$I$310,541),IF(541&lt;=COUNTA(半紙!$B$11:$B$310)+COUNTA(条幅!$B$11:$B$310),INDEX(条幅!$I$11:$I$310,541-COUNTA(半紙!$B$11:$B$310)),IF(541&lt;=COUNTA(半紙!$B$11:$B$310)+COUNTA(条幅!$B$11:$B$310)+COUNTA(条幅4分の1!$B$11:$B$310),INDEX(条幅4分の1!$I$11:$I$310,541-COUNTA(半紙!$B$11:$B$310)-COUNTA(条幅!$B$11:$B$310)),"")))=0,"",IF(541&lt;=COUNTA(半紙!$B$11:$B$310),INDEX(半紙!$I$11:$I$310,541),IF(541&lt;=COUNTA(半紙!$B$11:$B$310)+COUNTA(条幅!$B$11:$B$310),INDEX(条幅!$I$11:$I$310,541-COUNTA(半紙!$B$11:$B$310)),IF(541&lt;=COUNTA(半紙!$B$11:$B$310)+COUNTA(条幅!$B$11:$B$310)+COUNTA(条幅4分の1!$B$11:$B$310),INDEX(条幅4分の1!$I$11:$I$310,541-COUNTA(半紙!$B$11:$B$310)-COUNTA(条幅!$B$11:$B$310)),""))))</f>
        <v/>
      </c>
      <c r="J546" s="38" t="str">
        <f>IF(IF(541&lt;=COUNTA(半紙!$B$11:$B$310),INDEX(半紙!$J$11:$J$310,541),IF(541&lt;=COUNTA(半紙!$B$11:$B$310)+COUNTA(条幅!$B$11:$B$310),INDEX(条幅!$J$11:$J$310,541-COUNTA(半紙!$B$11:$B$310)),IF(541&lt;=COUNTA(半紙!$B$11:$B$310)+COUNTA(条幅!$B$11:$B$310)+COUNTA(条幅4分の1!$B$11:$B$310),INDEX(条幅4分の1!$J$11:$J$310,541-COUNTA(半紙!$B$11:$B$310)-COUNTA(条幅!$B$11:$B$310)),"")))=0,"",IF(541&lt;=COUNTA(半紙!$B$11:$B$310),INDEX(半紙!$J$11:$J$310,541),IF(541&lt;=COUNTA(半紙!$B$11:$B$310)+COUNTA(条幅!$B$11:$B$310),INDEX(条幅!$J$11:$J$310,541-COUNTA(半紙!$B$11:$B$310)),IF(541&lt;=COUNTA(半紙!$B$11:$B$310)+COUNTA(条幅!$B$11:$B$310)+COUNTA(条幅4分の1!$B$11:$B$310),INDEX(条幅4分の1!$J$11:$J$310,541-COUNTA(半紙!$B$11:$B$310)-COUNTA(条幅!$B$11:$B$310)),""))))</f>
        <v/>
      </c>
      <c r="K546" s="38" t="str">
        <f>IF(IF(541&lt;=COUNTA(半紙!$B$11:$B$310),INDEX(半紙!$K$11:$K$310,541),IF(541&lt;=COUNTA(半紙!$B$11:$B$310)+COUNTA(条幅!$B$11:$B$310),INDEX(条幅!$K$11:$K$310,541-COUNTA(半紙!$B$11:$B$310)),IF(541&lt;=COUNTA(半紙!$B$11:$B$310)+COUNTA(条幅!$B$11:$B$310)+COUNTA(条幅4分の1!$B$11:$B$310),INDEX(条幅4分の1!$K$11:$K$310,541-COUNTA(半紙!$B$11:$B$310)-COUNTA(条幅!$B$11:$B$310)),"")))=0,"",IF(541&lt;=COUNTA(半紙!$B$11:$B$310),INDEX(半紙!$K$11:$K$310,541),IF(541&lt;=COUNTA(半紙!$B$11:$B$310)+COUNTA(条幅!$B$11:$B$310),INDEX(条幅!$K$11:$K$310,541-COUNTA(半紙!$B$11:$B$310)),IF(541&lt;=COUNTA(半紙!$B$11:$B$310)+COUNTA(条幅!$B$11:$B$310)+COUNTA(条幅4分の1!$B$11:$B$310),INDEX(条幅4分の1!$K$11:$K$310,541-COUNTA(半紙!$B$11:$B$310)-COUNTA(条幅!$B$11:$B$310)),""))))</f>
        <v/>
      </c>
      <c r="L546" s="48" t="str">
        <f>IF($B546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541))</f>
        <v/>
      </c>
    </row>
    <row r="547" spans="1:12" ht="15" customHeight="1">
      <c r="A547" s="37" t="str">
        <f>IF(542&lt;=COUNTA(半紙!$B$11:$B$310),"半紙",IF(542&lt;=COUNTA(半紙!$B$11:$B$310)+COUNTA(条幅!$B$11:$B$310),"条幅(半切)",IF(542&lt;=COUNTA(半紙!$B$11:$B$310)+COUNTA(条幅!$B$11:$B$310)+COUNTA(条幅4分の1!$B$11:$B$310),"条幅(1/4)","")))</f>
        <v/>
      </c>
      <c r="B547" s="38" t="str">
        <f>IF(IF(542&lt;=COUNTA(半紙!$B$11:$B$310),INDEX(半紙!$B$11:$B$310,542),IF(542&lt;=COUNTA(半紙!$B$11:$B$310)+COUNTA(条幅!$B$11:$B$310),INDEX(条幅!$B$11:$B$310,542-COUNTA(半紙!$B$11:$B$310)),IF(542&lt;=COUNTA(半紙!$B$11:$B$310)+COUNTA(条幅!$B$11:$B$310)+COUNTA(条幅4分の1!$B$11:$B$310),INDEX(条幅4分の1!$B$11:$B$310,542-COUNTA(半紙!$B$11:$B$310)-COUNTA(条幅!$B$11:$B$310)),"")))=0,"",IF(542&lt;=COUNTA(半紙!$B$11:$B$310),INDEX(半紙!$B$11:$B$310,542),IF(542&lt;=COUNTA(半紙!$B$11:$B$310)+COUNTA(条幅!$B$11:$B$310),INDEX(条幅!$B$11:$B$310,542-COUNTA(半紙!$B$11:$B$310)),IF(542&lt;=COUNTA(半紙!$B$11:$B$310)+COUNTA(条幅!$B$11:$B$310)+COUNTA(条幅4分の1!$B$11:$B$310),INDEX(条幅4分の1!$B$11:$B$310,542-COUNTA(半紙!$B$11:$B$310)-COUNTA(条幅!$B$11:$B$310)),""))))</f>
        <v/>
      </c>
      <c r="C547" s="38" t="str">
        <f>IF(IF(542&lt;=COUNTA(半紙!$B$11:$B$310),INDEX(半紙!$C$11:$C$310,542),IF(542&lt;=COUNTA(半紙!$B$11:$B$310)+COUNTA(条幅!$B$11:$B$310),INDEX(条幅!$C$11:$C$310,542-COUNTA(半紙!$B$11:$B$310)),IF(542&lt;=COUNTA(半紙!$B$11:$B$310)+COUNTA(条幅!$B$11:$B$310)+COUNTA(条幅4分の1!$B$11:$B$310),INDEX(条幅4分の1!$C$11:$C$310,542-COUNTA(半紙!$B$11:$B$310)-COUNTA(条幅!$B$11:$B$310)),"")))=0,"",IF(542&lt;=COUNTA(半紙!$B$11:$B$310),INDEX(半紙!$C$11:$C$310,542),IF(542&lt;=COUNTA(半紙!$B$11:$B$310)+COUNTA(条幅!$B$11:$B$310),INDEX(条幅!$C$11:$C$310,542-COUNTA(半紙!$B$11:$B$310)),IF(542&lt;=COUNTA(半紙!$B$11:$B$310)+COUNTA(条幅!$B$11:$B$310)+COUNTA(条幅4分の1!$B$11:$B$310),INDEX(条幅4分の1!$C$11:$C$310,542-COUNTA(半紙!$B$11:$B$310)-COUNTA(条幅!$B$11:$B$310)),""))))</f>
        <v/>
      </c>
      <c r="D547" s="38" t="str">
        <f>IF(IF(542&lt;=COUNTA(半紙!$B$11:$B$310),INDEX(半紙!$D$11:$D$310,542),IF(542&lt;=COUNTA(半紙!$B$11:$B$310)+COUNTA(条幅!$B$11:$B$310),INDEX(条幅!$D$11:$D$310,542-COUNTA(半紙!$B$11:$B$310)),IF(542&lt;=COUNTA(半紙!$B$11:$B$310)+COUNTA(条幅!$B$11:$B$310)+COUNTA(条幅4分の1!$B$11:$B$310),INDEX(条幅4分の1!$D$11:$D$310,542-COUNTA(半紙!$B$11:$B$310)-COUNTA(条幅!$B$11:$B$310)),"")))=0,"",IF(542&lt;=COUNTA(半紙!$B$11:$B$310),INDEX(半紙!$D$11:$D$310,542),IF(542&lt;=COUNTA(半紙!$B$11:$B$310)+COUNTA(条幅!$B$11:$B$310),INDEX(条幅!$D$11:$D$310,542-COUNTA(半紙!$B$11:$B$310)),IF(542&lt;=COUNTA(半紙!$B$11:$B$310)+COUNTA(条幅!$B$11:$B$310)+COUNTA(条幅4分の1!$B$11:$B$310),INDEX(条幅4分の1!$D$11:$D$310,542-COUNTA(半紙!$B$11:$B$310)-COUNTA(条幅!$B$11:$B$310)),""))))</f>
        <v/>
      </c>
      <c r="E547" s="38" t="str">
        <f>IF(IF(542&lt;=COUNTA(半紙!$B$11:$B$310),INDEX(半紙!$E$11:$E$310,542),IF(542&lt;=COUNTA(半紙!$B$11:$B$310)+COUNTA(条幅!$B$11:$B$310),INDEX(条幅!$E$11:$E$310,542-COUNTA(半紙!$B$11:$B$310)),IF(542&lt;=COUNTA(半紙!$B$11:$B$310)+COUNTA(条幅!$B$11:$B$310)+COUNTA(条幅4分の1!$B$11:$B$310),INDEX(条幅4分の1!$E$11:$E$310,542-COUNTA(半紙!$B$11:$B$310)-COUNTA(条幅!$B$11:$B$310)),"")))=0,"",IF(542&lt;=COUNTA(半紙!$B$11:$B$310),INDEX(半紙!$E$11:$E$310,542),IF(542&lt;=COUNTA(半紙!$B$11:$B$310)+COUNTA(条幅!$B$11:$B$310),INDEX(条幅!$E$11:$E$310,542-COUNTA(半紙!$B$11:$B$310)),IF(542&lt;=COUNTA(半紙!$B$11:$B$310)+COUNTA(条幅!$B$11:$B$310)+COUNTA(条幅4分の1!$B$11:$B$310),INDEX(条幅4分の1!$E$11:$E$310,542-COUNTA(半紙!$B$11:$B$310)-COUNTA(条幅!$B$11:$B$310)),""))))</f>
        <v/>
      </c>
      <c r="F547" s="38" t="str">
        <f>IF(IF(542&lt;=COUNTA(半紙!$B$11:$B$310),INDEX(半紙!$F$11:$F$310,542),IF(542&lt;=COUNTA(半紙!$B$11:$B$310)+COUNTA(条幅!$B$11:$B$310),INDEX(条幅!$F$11:$F$310,542-COUNTA(半紙!$B$11:$B$310)),IF(542&lt;=COUNTA(半紙!$B$11:$B$310)+COUNTA(条幅!$B$11:$B$310)+COUNTA(条幅4分の1!$B$11:$B$310),INDEX(条幅4分の1!$F$11:$F$310,542-COUNTA(半紙!$B$11:$B$310)-COUNTA(条幅!$B$11:$B$310)),"")))=0,"",IF(542&lt;=COUNTA(半紙!$B$11:$B$310),INDEX(半紙!$F$11:$F$310,542),IF(542&lt;=COUNTA(半紙!$B$11:$B$310)+COUNTA(条幅!$B$11:$B$310),INDEX(条幅!$F$11:$F$310,542-COUNTA(半紙!$B$11:$B$310)),IF(542&lt;=COUNTA(半紙!$B$11:$B$310)+COUNTA(条幅!$B$11:$B$310)+COUNTA(条幅4分の1!$B$11:$B$310),INDEX(条幅4分の1!$F$11:$F$310,542-COUNTA(半紙!$B$11:$B$310)-COUNTA(条幅!$B$11:$B$310)),""))))</f>
        <v/>
      </c>
      <c r="G547" s="38" t="str">
        <f>IF(IF(542&lt;=COUNTA(半紙!$B$11:$B$310),INDEX(半紙!$G$11:$G$310,542),IF(542&lt;=COUNTA(半紙!$B$11:$B$310)+COUNTA(条幅!$B$11:$B$310),INDEX(条幅!$G$11:$G$310,542-COUNTA(半紙!$B$11:$B$310)),IF(542&lt;=COUNTA(半紙!$B$11:$B$310)+COUNTA(条幅!$B$11:$B$310)+COUNTA(条幅4分の1!$B$11:$B$310),INDEX(条幅4分の1!$G$11:$G$310,542-COUNTA(半紙!$B$11:$B$310)-COUNTA(条幅!$B$11:$B$310)),"")))=0,"",IF(542&lt;=COUNTA(半紙!$B$11:$B$310),INDEX(半紙!$G$11:$G$310,542),IF(542&lt;=COUNTA(半紙!$B$11:$B$310)+COUNTA(条幅!$B$11:$B$310),INDEX(条幅!$G$11:$G$310,542-COUNTA(半紙!$B$11:$B$310)),IF(542&lt;=COUNTA(半紙!$B$11:$B$310)+COUNTA(条幅!$B$11:$B$310)+COUNTA(条幅4分の1!$B$11:$B$310),INDEX(条幅4分の1!$G$11:$G$310,542-COUNTA(半紙!$B$11:$B$310)-COUNTA(条幅!$B$11:$B$310)),""))))</f>
        <v/>
      </c>
      <c r="H547" s="38" t="str">
        <f>IF(IF(542&lt;=COUNTA(半紙!$B$11:$B$310),INDEX(半紙!$H$11:$H$310,542),IF(542&lt;=COUNTA(半紙!$B$11:$B$310)+COUNTA(条幅!$B$11:$B$310),INDEX(条幅!$H$11:$H$310,542-COUNTA(半紙!$B$11:$B$310)),IF(542&lt;=COUNTA(半紙!$B$11:$B$310)+COUNTA(条幅!$B$11:$B$310)+COUNTA(条幅4分の1!$B$11:$B$310),INDEX(条幅4分の1!$H$11:$H$310,542-COUNTA(半紙!$B$11:$B$310)-COUNTA(条幅!$B$11:$B$310)),"")))=0,"",IF(542&lt;=COUNTA(半紙!$B$11:$B$310),INDEX(半紙!$H$11:$H$310,542),IF(542&lt;=COUNTA(半紙!$B$11:$B$310)+COUNTA(条幅!$B$11:$B$310),INDEX(条幅!$H$11:$H$310,542-COUNTA(半紙!$B$11:$B$310)),IF(542&lt;=COUNTA(半紙!$B$11:$B$310)+COUNTA(条幅!$B$11:$B$310)+COUNTA(条幅4分の1!$B$11:$B$310),INDEX(条幅4分の1!$H$11:$H$310,542-COUNTA(半紙!$B$11:$B$310)-COUNTA(条幅!$B$11:$B$310)),""))))</f>
        <v/>
      </c>
      <c r="I547" s="38" t="str">
        <f>IF(IF(542&lt;=COUNTA(半紙!$B$11:$B$310),INDEX(半紙!$I$11:$I$310,542),IF(542&lt;=COUNTA(半紙!$B$11:$B$310)+COUNTA(条幅!$B$11:$B$310),INDEX(条幅!$I$11:$I$310,542-COUNTA(半紙!$B$11:$B$310)),IF(542&lt;=COUNTA(半紙!$B$11:$B$310)+COUNTA(条幅!$B$11:$B$310)+COUNTA(条幅4分の1!$B$11:$B$310),INDEX(条幅4分の1!$I$11:$I$310,542-COUNTA(半紙!$B$11:$B$310)-COUNTA(条幅!$B$11:$B$310)),"")))=0,"",IF(542&lt;=COUNTA(半紙!$B$11:$B$310),INDEX(半紙!$I$11:$I$310,542),IF(542&lt;=COUNTA(半紙!$B$11:$B$310)+COUNTA(条幅!$B$11:$B$310),INDEX(条幅!$I$11:$I$310,542-COUNTA(半紙!$B$11:$B$310)),IF(542&lt;=COUNTA(半紙!$B$11:$B$310)+COUNTA(条幅!$B$11:$B$310)+COUNTA(条幅4分の1!$B$11:$B$310),INDEX(条幅4分の1!$I$11:$I$310,542-COUNTA(半紙!$B$11:$B$310)-COUNTA(条幅!$B$11:$B$310)),""))))</f>
        <v/>
      </c>
      <c r="J547" s="38" t="str">
        <f>IF(IF(542&lt;=COUNTA(半紙!$B$11:$B$310),INDEX(半紙!$J$11:$J$310,542),IF(542&lt;=COUNTA(半紙!$B$11:$B$310)+COUNTA(条幅!$B$11:$B$310),INDEX(条幅!$J$11:$J$310,542-COUNTA(半紙!$B$11:$B$310)),IF(542&lt;=COUNTA(半紙!$B$11:$B$310)+COUNTA(条幅!$B$11:$B$310)+COUNTA(条幅4分の1!$B$11:$B$310),INDEX(条幅4分の1!$J$11:$J$310,542-COUNTA(半紙!$B$11:$B$310)-COUNTA(条幅!$B$11:$B$310)),"")))=0,"",IF(542&lt;=COUNTA(半紙!$B$11:$B$310),INDEX(半紙!$J$11:$J$310,542),IF(542&lt;=COUNTA(半紙!$B$11:$B$310)+COUNTA(条幅!$B$11:$B$310),INDEX(条幅!$J$11:$J$310,542-COUNTA(半紙!$B$11:$B$310)),IF(542&lt;=COUNTA(半紙!$B$11:$B$310)+COUNTA(条幅!$B$11:$B$310)+COUNTA(条幅4分の1!$B$11:$B$310),INDEX(条幅4分の1!$J$11:$J$310,542-COUNTA(半紙!$B$11:$B$310)-COUNTA(条幅!$B$11:$B$310)),""))))</f>
        <v/>
      </c>
      <c r="K547" s="38" t="str">
        <f>IF(IF(542&lt;=COUNTA(半紙!$B$11:$B$310),INDEX(半紙!$K$11:$K$310,542),IF(542&lt;=COUNTA(半紙!$B$11:$B$310)+COUNTA(条幅!$B$11:$B$310),INDEX(条幅!$K$11:$K$310,542-COUNTA(半紙!$B$11:$B$310)),IF(542&lt;=COUNTA(半紙!$B$11:$B$310)+COUNTA(条幅!$B$11:$B$310)+COUNTA(条幅4分の1!$B$11:$B$310),INDEX(条幅4分の1!$K$11:$K$310,542-COUNTA(半紙!$B$11:$B$310)-COUNTA(条幅!$B$11:$B$310)),"")))=0,"",IF(542&lt;=COUNTA(半紙!$B$11:$B$310),INDEX(半紙!$K$11:$K$310,542),IF(542&lt;=COUNTA(半紙!$B$11:$B$310)+COUNTA(条幅!$B$11:$B$310),INDEX(条幅!$K$11:$K$310,542-COUNTA(半紙!$B$11:$B$310)),IF(542&lt;=COUNTA(半紙!$B$11:$B$310)+COUNTA(条幅!$B$11:$B$310)+COUNTA(条幅4分の1!$B$11:$B$310),INDEX(条幅4分の1!$K$11:$K$310,542-COUNTA(半紙!$B$11:$B$310)-COUNTA(条幅!$B$11:$B$310)),""))))</f>
        <v/>
      </c>
      <c r="L547" s="48" t="str">
        <f>IF($B547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542))</f>
        <v/>
      </c>
    </row>
    <row r="548" spans="1:12" ht="15" customHeight="1">
      <c r="A548" s="37" t="str">
        <f>IF(543&lt;=COUNTA(半紙!$B$11:$B$310),"半紙",IF(543&lt;=COUNTA(半紙!$B$11:$B$310)+COUNTA(条幅!$B$11:$B$310),"条幅(半切)",IF(543&lt;=COUNTA(半紙!$B$11:$B$310)+COUNTA(条幅!$B$11:$B$310)+COUNTA(条幅4分の1!$B$11:$B$310),"条幅(1/4)","")))</f>
        <v/>
      </c>
      <c r="B548" s="38" t="str">
        <f>IF(IF(543&lt;=COUNTA(半紙!$B$11:$B$310),INDEX(半紙!$B$11:$B$310,543),IF(543&lt;=COUNTA(半紙!$B$11:$B$310)+COUNTA(条幅!$B$11:$B$310),INDEX(条幅!$B$11:$B$310,543-COUNTA(半紙!$B$11:$B$310)),IF(543&lt;=COUNTA(半紙!$B$11:$B$310)+COUNTA(条幅!$B$11:$B$310)+COUNTA(条幅4分の1!$B$11:$B$310),INDEX(条幅4分の1!$B$11:$B$310,543-COUNTA(半紙!$B$11:$B$310)-COUNTA(条幅!$B$11:$B$310)),"")))=0,"",IF(543&lt;=COUNTA(半紙!$B$11:$B$310),INDEX(半紙!$B$11:$B$310,543),IF(543&lt;=COUNTA(半紙!$B$11:$B$310)+COUNTA(条幅!$B$11:$B$310),INDEX(条幅!$B$11:$B$310,543-COUNTA(半紙!$B$11:$B$310)),IF(543&lt;=COUNTA(半紙!$B$11:$B$310)+COUNTA(条幅!$B$11:$B$310)+COUNTA(条幅4分の1!$B$11:$B$310),INDEX(条幅4分の1!$B$11:$B$310,543-COUNTA(半紙!$B$11:$B$310)-COUNTA(条幅!$B$11:$B$310)),""))))</f>
        <v/>
      </c>
      <c r="C548" s="38" t="str">
        <f>IF(IF(543&lt;=COUNTA(半紙!$B$11:$B$310),INDEX(半紙!$C$11:$C$310,543),IF(543&lt;=COUNTA(半紙!$B$11:$B$310)+COUNTA(条幅!$B$11:$B$310),INDEX(条幅!$C$11:$C$310,543-COUNTA(半紙!$B$11:$B$310)),IF(543&lt;=COUNTA(半紙!$B$11:$B$310)+COUNTA(条幅!$B$11:$B$310)+COUNTA(条幅4分の1!$B$11:$B$310),INDEX(条幅4分の1!$C$11:$C$310,543-COUNTA(半紙!$B$11:$B$310)-COUNTA(条幅!$B$11:$B$310)),"")))=0,"",IF(543&lt;=COUNTA(半紙!$B$11:$B$310),INDEX(半紙!$C$11:$C$310,543),IF(543&lt;=COUNTA(半紙!$B$11:$B$310)+COUNTA(条幅!$B$11:$B$310),INDEX(条幅!$C$11:$C$310,543-COUNTA(半紙!$B$11:$B$310)),IF(543&lt;=COUNTA(半紙!$B$11:$B$310)+COUNTA(条幅!$B$11:$B$310)+COUNTA(条幅4分の1!$B$11:$B$310),INDEX(条幅4分の1!$C$11:$C$310,543-COUNTA(半紙!$B$11:$B$310)-COUNTA(条幅!$B$11:$B$310)),""))))</f>
        <v/>
      </c>
      <c r="D548" s="38" t="str">
        <f>IF(IF(543&lt;=COUNTA(半紙!$B$11:$B$310),INDEX(半紙!$D$11:$D$310,543),IF(543&lt;=COUNTA(半紙!$B$11:$B$310)+COUNTA(条幅!$B$11:$B$310),INDEX(条幅!$D$11:$D$310,543-COUNTA(半紙!$B$11:$B$310)),IF(543&lt;=COUNTA(半紙!$B$11:$B$310)+COUNTA(条幅!$B$11:$B$310)+COUNTA(条幅4分の1!$B$11:$B$310),INDEX(条幅4分の1!$D$11:$D$310,543-COUNTA(半紙!$B$11:$B$310)-COUNTA(条幅!$B$11:$B$310)),"")))=0,"",IF(543&lt;=COUNTA(半紙!$B$11:$B$310),INDEX(半紙!$D$11:$D$310,543),IF(543&lt;=COUNTA(半紙!$B$11:$B$310)+COUNTA(条幅!$B$11:$B$310),INDEX(条幅!$D$11:$D$310,543-COUNTA(半紙!$B$11:$B$310)),IF(543&lt;=COUNTA(半紙!$B$11:$B$310)+COUNTA(条幅!$B$11:$B$310)+COUNTA(条幅4分の1!$B$11:$B$310),INDEX(条幅4分の1!$D$11:$D$310,543-COUNTA(半紙!$B$11:$B$310)-COUNTA(条幅!$B$11:$B$310)),""))))</f>
        <v/>
      </c>
      <c r="E548" s="38" t="str">
        <f>IF(IF(543&lt;=COUNTA(半紙!$B$11:$B$310),INDEX(半紙!$E$11:$E$310,543),IF(543&lt;=COUNTA(半紙!$B$11:$B$310)+COUNTA(条幅!$B$11:$B$310),INDEX(条幅!$E$11:$E$310,543-COUNTA(半紙!$B$11:$B$310)),IF(543&lt;=COUNTA(半紙!$B$11:$B$310)+COUNTA(条幅!$B$11:$B$310)+COUNTA(条幅4分の1!$B$11:$B$310),INDEX(条幅4分の1!$E$11:$E$310,543-COUNTA(半紙!$B$11:$B$310)-COUNTA(条幅!$B$11:$B$310)),"")))=0,"",IF(543&lt;=COUNTA(半紙!$B$11:$B$310),INDEX(半紙!$E$11:$E$310,543),IF(543&lt;=COUNTA(半紙!$B$11:$B$310)+COUNTA(条幅!$B$11:$B$310),INDEX(条幅!$E$11:$E$310,543-COUNTA(半紙!$B$11:$B$310)),IF(543&lt;=COUNTA(半紙!$B$11:$B$310)+COUNTA(条幅!$B$11:$B$310)+COUNTA(条幅4分の1!$B$11:$B$310),INDEX(条幅4分の1!$E$11:$E$310,543-COUNTA(半紙!$B$11:$B$310)-COUNTA(条幅!$B$11:$B$310)),""))))</f>
        <v/>
      </c>
      <c r="F548" s="38" t="str">
        <f>IF(IF(543&lt;=COUNTA(半紙!$B$11:$B$310),INDEX(半紙!$F$11:$F$310,543),IF(543&lt;=COUNTA(半紙!$B$11:$B$310)+COUNTA(条幅!$B$11:$B$310),INDEX(条幅!$F$11:$F$310,543-COUNTA(半紙!$B$11:$B$310)),IF(543&lt;=COUNTA(半紙!$B$11:$B$310)+COUNTA(条幅!$B$11:$B$310)+COUNTA(条幅4分の1!$B$11:$B$310),INDEX(条幅4分の1!$F$11:$F$310,543-COUNTA(半紙!$B$11:$B$310)-COUNTA(条幅!$B$11:$B$310)),"")))=0,"",IF(543&lt;=COUNTA(半紙!$B$11:$B$310),INDEX(半紙!$F$11:$F$310,543),IF(543&lt;=COUNTA(半紙!$B$11:$B$310)+COUNTA(条幅!$B$11:$B$310),INDEX(条幅!$F$11:$F$310,543-COUNTA(半紙!$B$11:$B$310)),IF(543&lt;=COUNTA(半紙!$B$11:$B$310)+COUNTA(条幅!$B$11:$B$310)+COUNTA(条幅4分の1!$B$11:$B$310),INDEX(条幅4分の1!$F$11:$F$310,543-COUNTA(半紙!$B$11:$B$310)-COUNTA(条幅!$B$11:$B$310)),""))))</f>
        <v/>
      </c>
      <c r="G548" s="38" t="str">
        <f>IF(IF(543&lt;=COUNTA(半紙!$B$11:$B$310),INDEX(半紙!$G$11:$G$310,543),IF(543&lt;=COUNTA(半紙!$B$11:$B$310)+COUNTA(条幅!$B$11:$B$310),INDEX(条幅!$G$11:$G$310,543-COUNTA(半紙!$B$11:$B$310)),IF(543&lt;=COUNTA(半紙!$B$11:$B$310)+COUNTA(条幅!$B$11:$B$310)+COUNTA(条幅4分の1!$B$11:$B$310),INDEX(条幅4分の1!$G$11:$G$310,543-COUNTA(半紙!$B$11:$B$310)-COUNTA(条幅!$B$11:$B$310)),"")))=0,"",IF(543&lt;=COUNTA(半紙!$B$11:$B$310),INDEX(半紙!$G$11:$G$310,543),IF(543&lt;=COUNTA(半紙!$B$11:$B$310)+COUNTA(条幅!$B$11:$B$310),INDEX(条幅!$G$11:$G$310,543-COUNTA(半紙!$B$11:$B$310)),IF(543&lt;=COUNTA(半紙!$B$11:$B$310)+COUNTA(条幅!$B$11:$B$310)+COUNTA(条幅4分の1!$B$11:$B$310),INDEX(条幅4分の1!$G$11:$G$310,543-COUNTA(半紙!$B$11:$B$310)-COUNTA(条幅!$B$11:$B$310)),""))))</f>
        <v/>
      </c>
      <c r="H548" s="38" t="str">
        <f>IF(IF(543&lt;=COUNTA(半紙!$B$11:$B$310),INDEX(半紙!$H$11:$H$310,543),IF(543&lt;=COUNTA(半紙!$B$11:$B$310)+COUNTA(条幅!$B$11:$B$310),INDEX(条幅!$H$11:$H$310,543-COUNTA(半紙!$B$11:$B$310)),IF(543&lt;=COUNTA(半紙!$B$11:$B$310)+COUNTA(条幅!$B$11:$B$310)+COUNTA(条幅4分の1!$B$11:$B$310),INDEX(条幅4分の1!$H$11:$H$310,543-COUNTA(半紙!$B$11:$B$310)-COUNTA(条幅!$B$11:$B$310)),"")))=0,"",IF(543&lt;=COUNTA(半紙!$B$11:$B$310),INDEX(半紙!$H$11:$H$310,543),IF(543&lt;=COUNTA(半紙!$B$11:$B$310)+COUNTA(条幅!$B$11:$B$310),INDEX(条幅!$H$11:$H$310,543-COUNTA(半紙!$B$11:$B$310)),IF(543&lt;=COUNTA(半紙!$B$11:$B$310)+COUNTA(条幅!$B$11:$B$310)+COUNTA(条幅4分の1!$B$11:$B$310),INDEX(条幅4分の1!$H$11:$H$310,543-COUNTA(半紙!$B$11:$B$310)-COUNTA(条幅!$B$11:$B$310)),""))))</f>
        <v/>
      </c>
      <c r="I548" s="38" t="str">
        <f>IF(IF(543&lt;=COUNTA(半紙!$B$11:$B$310),INDEX(半紙!$I$11:$I$310,543),IF(543&lt;=COUNTA(半紙!$B$11:$B$310)+COUNTA(条幅!$B$11:$B$310),INDEX(条幅!$I$11:$I$310,543-COUNTA(半紙!$B$11:$B$310)),IF(543&lt;=COUNTA(半紙!$B$11:$B$310)+COUNTA(条幅!$B$11:$B$310)+COUNTA(条幅4分の1!$B$11:$B$310),INDEX(条幅4分の1!$I$11:$I$310,543-COUNTA(半紙!$B$11:$B$310)-COUNTA(条幅!$B$11:$B$310)),"")))=0,"",IF(543&lt;=COUNTA(半紙!$B$11:$B$310),INDEX(半紙!$I$11:$I$310,543),IF(543&lt;=COUNTA(半紙!$B$11:$B$310)+COUNTA(条幅!$B$11:$B$310),INDEX(条幅!$I$11:$I$310,543-COUNTA(半紙!$B$11:$B$310)),IF(543&lt;=COUNTA(半紙!$B$11:$B$310)+COUNTA(条幅!$B$11:$B$310)+COUNTA(条幅4分の1!$B$11:$B$310),INDEX(条幅4分の1!$I$11:$I$310,543-COUNTA(半紙!$B$11:$B$310)-COUNTA(条幅!$B$11:$B$310)),""))))</f>
        <v/>
      </c>
      <c r="J548" s="38" t="str">
        <f>IF(IF(543&lt;=COUNTA(半紙!$B$11:$B$310),INDEX(半紙!$J$11:$J$310,543),IF(543&lt;=COUNTA(半紙!$B$11:$B$310)+COUNTA(条幅!$B$11:$B$310),INDEX(条幅!$J$11:$J$310,543-COUNTA(半紙!$B$11:$B$310)),IF(543&lt;=COUNTA(半紙!$B$11:$B$310)+COUNTA(条幅!$B$11:$B$310)+COUNTA(条幅4分の1!$B$11:$B$310),INDEX(条幅4分の1!$J$11:$J$310,543-COUNTA(半紙!$B$11:$B$310)-COUNTA(条幅!$B$11:$B$310)),"")))=0,"",IF(543&lt;=COUNTA(半紙!$B$11:$B$310),INDEX(半紙!$J$11:$J$310,543),IF(543&lt;=COUNTA(半紙!$B$11:$B$310)+COUNTA(条幅!$B$11:$B$310),INDEX(条幅!$J$11:$J$310,543-COUNTA(半紙!$B$11:$B$310)),IF(543&lt;=COUNTA(半紙!$B$11:$B$310)+COUNTA(条幅!$B$11:$B$310)+COUNTA(条幅4分の1!$B$11:$B$310),INDEX(条幅4分の1!$J$11:$J$310,543-COUNTA(半紙!$B$11:$B$310)-COUNTA(条幅!$B$11:$B$310)),""))))</f>
        <v/>
      </c>
      <c r="K548" s="38" t="str">
        <f>IF(IF(543&lt;=COUNTA(半紙!$B$11:$B$310),INDEX(半紙!$K$11:$K$310,543),IF(543&lt;=COUNTA(半紙!$B$11:$B$310)+COUNTA(条幅!$B$11:$B$310),INDEX(条幅!$K$11:$K$310,543-COUNTA(半紙!$B$11:$B$310)),IF(543&lt;=COUNTA(半紙!$B$11:$B$310)+COUNTA(条幅!$B$11:$B$310)+COUNTA(条幅4分の1!$B$11:$B$310),INDEX(条幅4分の1!$K$11:$K$310,543-COUNTA(半紙!$B$11:$B$310)-COUNTA(条幅!$B$11:$B$310)),"")))=0,"",IF(543&lt;=COUNTA(半紙!$B$11:$B$310),INDEX(半紙!$K$11:$K$310,543),IF(543&lt;=COUNTA(半紙!$B$11:$B$310)+COUNTA(条幅!$B$11:$B$310),INDEX(条幅!$K$11:$K$310,543-COUNTA(半紙!$B$11:$B$310)),IF(543&lt;=COUNTA(半紙!$B$11:$B$310)+COUNTA(条幅!$B$11:$B$310)+COUNTA(条幅4分の1!$B$11:$B$310),INDEX(条幅4分の1!$K$11:$K$310,543-COUNTA(半紙!$B$11:$B$310)-COUNTA(条幅!$B$11:$B$310)),""))))</f>
        <v/>
      </c>
      <c r="L548" s="48" t="str">
        <f>IF($B548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543))</f>
        <v/>
      </c>
    </row>
    <row r="549" spans="1:12" ht="15" customHeight="1">
      <c r="A549" s="37" t="str">
        <f>IF(544&lt;=COUNTA(半紙!$B$11:$B$310),"半紙",IF(544&lt;=COUNTA(半紙!$B$11:$B$310)+COUNTA(条幅!$B$11:$B$310),"条幅(半切)",IF(544&lt;=COUNTA(半紙!$B$11:$B$310)+COUNTA(条幅!$B$11:$B$310)+COUNTA(条幅4分の1!$B$11:$B$310),"条幅(1/4)","")))</f>
        <v/>
      </c>
      <c r="B549" s="38" t="str">
        <f>IF(IF(544&lt;=COUNTA(半紙!$B$11:$B$310),INDEX(半紙!$B$11:$B$310,544),IF(544&lt;=COUNTA(半紙!$B$11:$B$310)+COUNTA(条幅!$B$11:$B$310),INDEX(条幅!$B$11:$B$310,544-COUNTA(半紙!$B$11:$B$310)),IF(544&lt;=COUNTA(半紙!$B$11:$B$310)+COUNTA(条幅!$B$11:$B$310)+COUNTA(条幅4分の1!$B$11:$B$310),INDEX(条幅4分の1!$B$11:$B$310,544-COUNTA(半紙!$B$11:$B$310)-COUNTA(条幅!$B$11:$B$310)),"")))=0,"",IF(544&lt;=COUNTA(半紙!$B$11:$B$310),INDEX(半紙!$B$11:$B$310,544),IF(544&lt;=COUNTA(半紙!$B$11:$B$310)+COUNTA(条幅!$B$11:$B$310),INDEX(条幅!$B$11:$B$310,544-COUNTA(半紙!$B$11:$B$310)),IF(544&lt;=COUNTA(半紙!$B$11:$B$310)+COUNTA(条幅!$B$11:$B$310)+COUNTA(条幅4分の1!$B$11:$B$310),INDEX(条幅4分の1!$B$11:$B$310,544-COUNTA(半紙!$B$11:$B$310)-COUNTA(条幅!$B$11:$B$310)),""))))</f>
        <v/>
      </c>
      <c r="C549" s="38" t="str">
        <f>IF(IF(544&lt;=COUNTA(半紙!$B$11:$B$310),INDEX(半紙!$C$11:$C$310,544),IF(544&lt;=COUNTA(半紙!$B$11:$B$310)+COUNTA(条幅!$B$11:$B$310),INDEX(条幅!$C$11:$C$310,544-COUNTA(半紙!$B$11:$B$310)),IF(544&lt;=COUNTA(半紙!$B$11:$B$310)+COUNTA(条幅!$B$11:$B$310)+COUNTA(条幅4分の1!$B$11:$B$310),INDEX(条幅4分の1!$C$11:$C$310,544-COUNTA(半紙!$B$11:$B$310)-COUNTA(条幅!$B$11:$B$310)),"")))=0,"",IF(544&lt;=COUNTA(半紙!$B$11:$B$310),INDEX(半紙!$C$11:$C$310,544),IF(544&lt;=COUNTA(半紙!$B$11:$B$310)+COUNTA(条幅!$B$11:$B$310),INDEX(条幅!$C$11:$C$310,544-COUNTA(半紙!$B$11:$B$310)),IF(544&lt;=COUNTA(半紙!$B$11:$B$310)+COUNTA(条幅!$B$11:$B$310)+COUNTA(条幅4分の1!$B$11:$B$310),INDEX(条幅4分の1!$C$11:$C$310,544-COUNTA(半紙!$B$11:$B$310)-COUNTA(条幅!$B$11:$B$310)),""))))</f>
        <v/>
      </c>
      <c r="D549" s="38" t="str">
        <f>IF(IF(544&lt;=COUNTA(半紙!$B$11:$B$310),INDEX(半紙!$D$11:$D$310,544),IF(544&lt;=COUNTA(半紙!$B$11:$B$310)+COUNTA(条幅!$B$11:$B$310),INDEX(条幅!$D$11:$D$310,544-COUNTA(半紙!$B$11:$B$310)),IF(544&lt;=COUNTA(半紙!$B$11:$B$310)+COUNTA(条幅!$B$11:$B$310)+COUNTA(条幅4分の1!$B$11:$B$310),INDEX(条幅4分の1!$D$11:$D$310,544-COUNTA(半紙!$B$11:$B$310)-COUNTA(条幅!$B$11:$B$310)),"")))=0,"",IF(544&lt;=COUNTA(半紙!$B$11:$B$310),INDEX(半紙!$D$11:$D$310,544),IF(544&lt;=COUNTA(半紙!$B$11:$B$310)+COUNTA(条幅!$B$11:$B$310),INDEX(条幅!$D$11:$D$310,544-COUNTA(半紙!$B$11:$B$310)),IF(544&lt;=COUNTA(半紙!$B$11:$B$310)+COUNTA(条幅!$B$11:$B$310)+COUNTA(条幅4分の1!$B$11:$B$310),INDEX(条幅4分の1!$D$11:$D$310,544-COUNTA(半紙!$B$11:$B$310)-COUNTA(条幅!$B$11:$B$310)),""))))</f>
        <v/>
      </c>
      <c r="E549" s="38" t="str">
        <f>IF(IF(544&lt;=COUNTA(半紙!$B$11:$B$310),INDEX(半紙!$E$11:$E$310,544),IF(544&lt;=COUNTA(半紙!$B$11:$B$310)+COUNTA(条幅!$B$11:$B$310),INDEX(条幅!$E$11:$E$310,544-COUNTA(半紙!$B$11:$B$310)),IF(544&lt;=COUNTA(半紙!$B$11:$B$310)+COUNTA(条幅!$B$11:$B$310)+COUNTA(条幅4分の1!$B$11:$B$310),INDEX(条幅4分の1!$E$11:$E$310,544-COUNTA(半紙!$B$11:$B$310)-COUNTA(条幅!$B$11:$B$310)),"")))=0,"",IF(544&lt;=COUNTA(半紙!$B$11:$B$310),INDEX(半紙!$E$11:$E$310,544),IF(544&lt;=COUNTA(半紙!$B$11:$B$310)+COUNTA(条幅!$B$11:$B$310),INDEX(条幅!$E$11:$E$310,544-COUNTA(半紙!$B$11:$B$310)),IF(544&lt;=COUNTA(半紙!$B$11:$B$310)+COUNTA(条幅!$B$11:$B$310)+COUNTA(条幅4分の1!$B$11:$B$310),INDEX(条幅4分の1!$E$11:$E$310,544-COUNTA(半紙!$B$11:$B$310)-COUNTA(条幅!$B$11:$B$310)),""))))</f>
        <v/>
      </c>
      <c r="F549" s="38" t="str">
        <f>IF(IF(544&lt;=COUNTA(半紙!$B$11:$B$310),INDEX(半紙!$F$11:$F$310,544),IF(544&lt;=COUNTA(半紙!$B$11:$B$310)+COUNTA(条幅!$B$11:$B$310),INDEX(条幅!$F$11:$F$310,544-COUNTA(半紙!$B$11:$B$310)),IF(544&lt;=COUNTA(半紙!$B$11:$B$310)+COUNTA(条幅!$B$11:$B$310)+COUNTA(条幅4分の1!$B$11:$B$310),INDEX(条幅4分の1!$F$11:$F$310,544-COUNTA(半紙!$B$11:$B$310)-COUNTA(条幅!$B$11:$B$310)),"")))=0,"",IF(544&lt;=COUNTA(半紙!$B$11:$B$310),INDEX(半紙!$F$11:$F$310,544),IF(544&lt;=COUNTA(半紙!$B$11:$B$310)+COUNTA(条幅!$B$11:$B$310),INDEX(条幅!$F$11:$F$310,544-COUNTA(半紙!$B$11:$B$310)),IF(544&lt;=COUNTA(半紙!$B$11:$B$310)+COUNTA(条幅!$B$11:$B$310)+COUNTA(条幅4分の1!$B$11:$B$310),INDEX(条幅4分の1!$F$11:$F$310,544-COUNTA(半紙!$B$11:$B$310)-COUNTA(条幅!$B$11:$B$310)),""))))</f>
        <v/>
      </c>
      <c r="G549" s="38" t="str">
        <f>IF(IF(544&lt;=COUNTA(半紙!$B$11:$B$310),INDEX(半紙!$G$11:$G$310,544),IF(544&lt;=COUNTA(半紙!$B$11:$B$310)+COUNTA(条幅!$B$11:$B$310),INDEX(条幅!$G$11:$G$310,544-COUNTA(半紙!$B$11:$B$310)),IF(544&lt;=COUNTA(半紙!$B$11:$B$310)+COUNTA(条幅!$B$11:$B$310)+COUNTA(条幅4分の1!$B$11:$B$310),INDEX(条幅4分の1!$G$11:$G$310,544-COUNTA(半紙!$B$11:$B$310)-COUNTA(条幅!$B$11:$B$310)),"")))=0,"",IF(544&lt;=COUNTA(半紙!$B$11:$B$310),INDEX(半紙!$G$11:$G$310,544),IF(544&lt;=COUNTA(半紙!$B$11:$B$310)+COUNTA(条幅!$B$11:$B$310),INDEX(条幅!$G$11:$G$310,544-COUNTA(半紙!$B$11:$B$310)),IF(544&lt;=COUNTA(半紙!$B$11:$B$310)+COUNTA(条幅!$B$11:$B$310)+COUNTA(条幅4分の1!$B$11:$B$310),INDEX(条幅4分の1!$G$11:$G$310,544-COUNTA(半紙!$B$11:$B$310)-COUNTA(条幅!$B$11:$B$310)),""))))</f>
        <v/>
      </c>
      <c r="H549" s="38" t="str">
        <f>IF(IF(544&lt;=COUNTA(半紙!$B$11:$B$310),INDEX(半紙!$H$11:$H$310,544),IF(544&lt;=COUNTA(半紙!$B$11:$B$310)+COUNTA(条幅!$B$11:$B$310),INDEX(条幅!$H$11:$H$310,544-COUNTA(半紙!$B$11:$B$310)),IF(544&lt;=COUNTA(半紙!$B$11:$B$310)+COUNTA(条幅!$B$11:$B$310)+COUNTA(条幅4分の1!$B$11:$B$310),INDEX(条幅4分の1!$H$11:$H$310,544-COUNTA(半紙!$B$11:$B$310)-COUNTA(条幅!$B$11:$B$310)),"")))=0,"",IF(544&lt;=COUNTA(半紙!$B$11:$B$310),INDEX(半紙!$H$11:$H$310,544),IF(544&lt;=COUNTA(半紙!$B$11:$B$310)+COUNTA(条幅!$B$11:$B$310),INDEX(条幅!$H$11:$H$310,544-COUNTA(半紙!$B$11:$B$310)),IF(544&lt;=COUNTA(半紙!$B$11:$B$310)+COUNTA(条幅!$B$11:$B$310)+COUNTA(条幅4分の1!$B$11:$B$310),INDEX(条幅4分の1!$H$11:$H$310,544-COUNTA(半紙!$B$11:$B$310)-COUNTA(条幅!$B$11:$B$310)),""))))</f>
        <v/>
      </c>
      <c r="I549" s="38" t="str">
        <f>IF(IF(544&lt;=COUNTA(半紙!$B$11:$B$310),INDEX(半紙!$I$11:$I$310,544),IF(544&lt;=COUNTA(半紙!$B$11:$B$310)+COUNTA(条幅!$B$11:$B$310),INDEX(条幅!$I$11:$I$310,544-COUNTA(半紙!$B$11:$B$310)),IF(544&lt;=COUNTA(半紙!$B$11:$B$310)+COUNTA(条幅!$B$11:$B$310)+COUNTA(条幅4分の1!$B$11:$B$310),INDEX(条幅4分の1!$I$11:$I$310,544-COUNTA(半紙!$B$11:$B$310)-COUNTA(条幅!$B$11:$B$310)),"")))=0,"",IF(544&lt;=COUNTA(半紙!$B$11:$B$310),INDEX(半紙!$I$11:$I$310,544),IF(544&lt;=COUNTA(半紙!$B$11:$B$310)+COUNTA(条幅!$B$11:$B$310),INDEX(条幅!$I$11:$I$310,544-COUNTA(半紙!$B$11:$B$310)),IF(544&lt;=COUNTA(半紙!$B$11:$B$310)+COUNTA(条幅!$B$11:$B$310)+COUNTA(条幅4分の1!$B$11:$B$310),INDEX(条幅4分の1!$I$11:$I$310,544-COUNTA(半紙!$B$11:$B$310)-COUNTA(条幅!$B$11:$B$310)),""))))</f>
        <v/>
      </c>
      <c r="J549" s="38" t="str">
        <f>IF(IF(544&lt;=COUNTA(半紙!$B$11:$B$310),INDEX(半紙!$J$11:$J$310,544),IF(544&lt;=COUNTA(半紙!$B$11:$B$310)+COUNTA(条幅!$B$11:$B$310),INDEX(条幅!$J$11:$J$310,544-COUNTA(半紙!$B$11:$B$310)),IF(544&lt;=COUNTA(半紙!$B$11:$B$310)+COUNTA(条幅!$B$11:$B$310)+COUNTA(条幅4分の1!$B$11:$B$310),INDEX(条幅4分の1!$J$11:$J$310,544-COUNTA(半紙!$B$11:$B$310)-COUNTA(条幅!$B$11:$B$310)),"")))=0,"",IF(544&lt;=COUNTA(半紙!$B$11:$B$310),INDEX(半紙!$J$11:$J$310,544),IF(544&lt;=COUNTA(半紙!$B$11:$B$310)+COUNTA(条幅!$B$11:$B$310),INDEX(条幅!$J$11:$J$310,544-COUNTA(半紙!$B$11:$B$310)),IF(544&lt;=COUNTA(半紙!$B$11:$B$310)+COUNTA(条幅!$B$11:$B$310)+COUNTA(条幅4分の1!$B$11:$B$310),INDEX(条幅4分の1!$J$11:$J$310,544-COUNTA(半紙!$B$11:$B$310)-COUNTA(条幅!$B$11:$B$310)),""))))</f>
        <v/>
      </c>
      <c r="K549" s="38" t="str">
        <f>IF(IF(544&lt;=COUNTA(半紙!$B$11:$B$310),INDEX(半紙!$K$11:$K$310,544),IF(544&lt;=COUNTA(半紙!$B$11:$B$310)+COUNTA(条幅!$B$11:$B$310),INDEX(条幅!$K$11:$K$310,544-COUNTA(半紙!$B$11:$B$310)),IF(544&lt;=COUNTA(半紙!$B$11:$B$310)+COUNTA(条幅!$B$11:$B$310)+COUNTA(条幅4分の1!$B$11:$B$310),INDEX(条幅4分の1!$K$11:$K$310,544-COUNTA(半紙!$B$11:$B$310)-COUNTA(条幅!$B$11:$B$310)),"")))=0,"",IF(544&lt;=COUNTA(半紙!$B$11:$B$310),INDEX(半紙!$K$11:$K$310,544),IF(544&lt;=COUNTA(半紙!$B$11:$B$310)+COUNTA(条幅!$B$11:$B$310),INDEX(条幅!$K$11:$K$310,544-COUNTA(半紙!$B$11:$B$310)),IF(544&lt;=COUNTA(半紙!$B$11:$B$310)+COUNTA(条幅!$B$11:$B$310)+COUNTA(条幅4分の1!$B$11:$B$310),INDEX(条幅4分の1!$K$11:$K$310,544-COUNTA(半紙!$B$11:$B$310)-COUNTA(条幅!$B$11:$B$310)),""))))</f>
        <v/>
      </c>
      <c r="L549" s="48" t="str">
        <f>IF($B549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544))</f>
        <v/>
      </c>
    </row>
    <row r="550" spans="1:12" ht="15" customHeight="1">
      <c r="A550" s="37" t="str">
        <f>IF(545&lt;=COUNTA(半紙!$B$11:$B$310),"半紙",IF(545&lt;=COUNTA(半紙!$B$11:$B$310)+COUNTA(条幅!$B$11:$B$310),"条幅(半切)",IF(545&lt;=COUNTA(半紙!$B$11:$B$310)+COUNTA(条幅!$B$11:$B$310)+COUNTA(条幅4分の1!$B$11:$B$310),"条幅(1/4)","")))</f>
        <v/>
      </c>
      <c r="B550" s="38" t="str">
        <f>IF(IF(545&lt;=COUNTA(半紙!$B$11:$B$310),INDEX(半紙!$B$11:$B$310,545),IF(545&lt;=COUNTA(半紙!$B$11:$B$310)+COUNTA(条幅!$B$11:$B$310),INDEX(条幅!$B$11:$B$310,545-COUNTA(半紙!$B$11:$B$310)),IF(545&lt;=COUNTA(半紙!$B$11:$B$310)+COUNTA(条幅!$B$11:$B$310)+COUNTA(条幅4分の1!$B$11:$B$310),INDEX(条幅4分の1!$B$11:$B$310,545-COUNTA(半紙!$B$11:$B$310)-COUNTA(条幅!$B$11:$B$310)),"")))=0,"",IF(545&lt;=COUNTA(半紙!$B$11:$B$310),INDEX(半紙!$B$11:$B$310,545),IF(545&lt;=COUNTA(半紙!$B$11:$B$310)+COUNTA(条幅!$B$11:$B$310),INDEX(条幅!$B$11:$B$310,545-COUNTA(半紙!$B$11:$B$310)),IF(545&lt;=COUNTA(半紙!$B$11:$B$310)+COUNTA(条幅!$B$11:$B$310)+COUNTA(条幅4分の1!$B$11:$B$310),INDEX(条幅4分の1!$B$11:$B$310,545-COUNTA(半紙!$B$11:$B$310)-COUNTA(条幅!$B$11:$B$310)),""))))</f>
        <v/>
      </c>
      <c r="C550" s="38" t="str">
        <f>IF(IF(545&lt;=COUNTA(半紙!$B$11:$B$310),INDEX(半紙!$C$11:$C$310,545),IF(545&lt;=COUNTA(半紙!$B$11:$B$310)+COUNTA(条幅!$B$11:$B$310),INDEX(条幅!$C$11:$C$310,545-COUNTA(半紙!$B$11:$B$310)),IF(545&lt;=COUNTA(半紙!$B$11:$B$310)+COUNTA(条幅!$B$11:$B$310)+COUNTA(条幅4分の1!$B$11:$B$310),INDEX(条幅4分の1!$C$11:$C$310,545-COUNTA(半紙!$B$11:$B$310)-COUNTA(条幅!$B$11:$B$310)),"")))=0,"",IF(545&lt;=COUNTA(半紙!$B$11:$B$310),INDEX(半紙!$C$11:$C$310,545),IF(545&lt;=COUNTA(半紙!$B$11:$B$310)+COUNTA(条幅!$B$11:$B$310),INDEX(条幅!$C$11:$C$310,545-COUNTA(半紙!$B$11:$B$310)),IF(545&lt;=COUNTA(半紙!$B$11:$B$310)+COUNTA(条幅!$B$11:$B$310)+COUNTA(条幅4分の1!$B$11:$B$310),INDEX(条幅4分の1!$C$11:$C$310,545-COUNTA(半紙!$B$11:$B$310)-COUNTA(条幅!$B$11:$B$310)),""))))</f>
        <v/>
      </c>
      <c r="D550" s="38" t="str">
        <f>IF(IF(545&lt;=COUNTA(半紙!$B$11:$B$310),INDEX(半紙!$D$11:$D$310,545),IF(545&lt;=COUNTA(半紙!$B$11:$B$310)+COUNTA(条幅!$B$11:$B$310),INDEX(条幅!$D$11:$D$310,545-COUNTA(半紙!$B$11:$B$310)),IF(545&lt;=COUNTA(半紙!$B$11:$B$310)+COUNTA(条幅!$B$11:$B$310)+COUNTA(条幅4分の1!$B$11:$B$310),INDEX(条幅4分の1!$D$11:$D$310,545-COUNTA(半紙!$B$11:$B$310)-COUNTA(条幅!$B$11:$B$310)),"")))=0,"",IF(545&lt;=COUNTA(半紙!$B$11:$B$310),INDEX(半紙!$D$11:$D$310,545),IF(545&lt;=COUNTA(半紙!$B$11:$B$310)+COUNTA(条幅!$B$11:$B$310),INDEX(条幅!$D$11:$D$310,545-COUNTA(半紙!$B$11:$B$310)),IF(545&lt;=COUNTA(半紙!$B$11:$B$310)+COUNTA(条幅!$B$11:$B$310)+COUNTA(条幅4分の1!$B$11:$B$310),INDEX(条幅4分の1!$D$11:$D$310,545-COUNTA(半紙!$B$11:$B$310)-COUNTA(条幅!$B$11:$B$310)),""))))</f>
        <v/>
      </c>
      <c r="E550" s="38" t="str">
        <f>IF(IF(545&lt;=COUNTA(半紙!$B$11:$B$310),INDEX(半紙!$E$11:$E$310,545),IF(545&lt;=COUNTA(半紙!$B$11:$B$310)+COUNTA(条幅!$B$11:$B$310),INDEX(条幅!$E$11:$E$310,545-COUNTA(半紙!$B$11:$B$310)),IF(545&lt;=COUNTA(半紙!$B$11:$B$310)+COUNTA(条幅!$B$11:$B$310)+COUNTA(条幅4分の1!$B$11:$B$310),INDEX(条幅4分の1!$E$11:$E$310,545-COUNTA(半紙!$B$11:$B$310)-COUNTA(条幅!$B$11:$B$310)),"")))=0,"",IF(545&lt;=COUNTA(半紙!$B$11:$B$310),INDEX(半紙!$E$11:$E$310,545),IF(545&lt;=COUNTA(半紙!$B$11:$B$310)+COUNTA(条幅!$B$11:$B$310),INDEX(条幅!$E$11:$E$310,545-COUNTA(半紙!$B$11:$B$310)),IF(545&lt;=COUNTA(半紙!$B$11:$B$310)+COUNTA(条幅!$B$11:$B$310)+COUNTA(条幅4分の1!$B$11:$B$310),INDEX(条幅4分の1!$E$11:$E$310,545-COUNTA(半紙!$B$11:$B$310)-COUNTA(条幅!$B$11:$B$310)),""))))</f>
        <v/>
      </c>
      <c r="F550" s="38" t="str">
        <f>IF(IF(545&lt;=COUNTA(半紙!$B$11:$B$310),INDEX(半紙!$F$11:$F$310,545),IF(545&lt;=COUNTA(半紙!$B$11:$B$310)+COUNTA(条幅!$B$11:$B$310),INDEX(条幅!$F$11:$F$310,545-COUNTA(半紙!$B$11:$B$310)),IF(545&lt;=COUNTA(半紙!$B$11:$B$310)+COUNTA(条幅!$B$11:$B$310)+COUNTA(条幅4分の1!$B$11:$B$310),INDEX(条幅4分の1!$F$11:$F$310,545-COUNTA(半紙!$B$11:$B$310)-COUNTA(条幅!$B$11:$B$310)),"")))=0,"",IF(545&lt;=COUNTA(半紙!$B$11:$B$310),INDEX(半紙!$F$11:$F$310,545),IF(545&lt;=COUNTA(半紙!$B$11:$B$310)+COUNTA(条幅!$B$11:$B$310),INDEX(条幅!$F$11:$F$310,545-COUNTA(半紙!$B$11:$B$310)),IF(545&lt;=COUNTA(半紙!$B$11:$B$310)+COUNTA(条幅!$B$11:$B$310)+COUNTA(条幅4分の1!$B$11:$B$310),INDEX(条幅4分の1!$F$11:$F$310,545-COUNTA(半紙!$B$11:$B$310)-COUNTA(条幅!$B$11:$B$310)),""))))</f>
        <v/>
      </c>
      <c r="G550" s="38" t="str">
        <f>IF(IF(545&lt;=COUNTA(半紙!$B$11:$B$310),INDEX(半紙!$G$11:$G$310,545),IF(545&lt;=COUNTA(半紙!$B$11:$B$310)+COUNTA(条幅!$B$11:$B$310),INDEX(条幅!$G$11:$G$310,545-COUNTA(半紙!$B$11:$B$310)),IF(545&lt;=COUNTA(半紙!$B$11:$B$310)+COUNTA(条幅!$B$11:$B$310)+COUNTA(条幅4分の1!$B$11:$B$310),INDEX(条幅4分の1!$G$11:$G$310,545-COUNTA(半紙!$B$11:$B$310)-COUNTA(条幅!$B$11:$B$310)),"")))=0,"",IF(545&lt;=COUNTA(半紙!$B$11:$B$310),INDEX(半紙!$G$11:$G$310,545),IF(545&lt;=COUNTA(半紙!$B$11:$B$310)+COUNTA(条幅!$B$11:$B$310),INDEX(条幅!$G$11:$G$310,545-COUNTA(半紙!$B$11:$B$310)),IF(545&lt;=COUNTA(半紙!$B$11:$B$310)+COUNTA(条幅!$B$11:$B$310)+COUNTA(条幅4分の1!$B$11:$B$310),INDEX(条幅4分の1!$G$11:$G$310,545-COUNTA(半紙!$B$11:$B$310)-COUNTA(条幅!$B$11:$B$310)),""))))</f>
        <v/>
      </c>
      <c r="H550" s="38" t="str">
        <f>IF(IF(545&lt;=COUNTA(半紙!$B$11:$B$310),INDEX(半紙!$H$11:$H$310,545),IF(545&lt;=COUNTA(半紙!$B$11:$B$310)+COUNTA(条幅!$B$11:$B$310),INDEX(条幅!$H$11:$H$310,545-COUNTA(半紙!$B$11:$B$310)),IF(545&lt;=COUNTA(半紙!$B$11:$B$310)+COUNTA(条幅!$B$11:$B$310)+COUNTA(条幅4分の1!$B$11:$B$310),INDEX(条幅4分の1!$H$11:$H$310,545-COUNTA(半紙!$B$11:$B$310)-COUNTA(条幅!$B$11:$B$310)),"")))=0,"",IF(545&lt;=COUNTA(半紙!$B$11:$B$310),INDEX(半紙!$H$11:$H$310,545),IF(545&lt;=COUNTA(半紙!$B$11:$B$310)+COUNTA(条幅!$B$11:$B$310),INDEX(条幅!$H$11:$H$310,545-COUNTA(半紙!$B$11:$B$310)),IF(545&lt;=COUNTA(半紙!$B$11:$B$310)+COUNTA(条幅!$B$11:$B$310)+COUNTA(条幅4分の1!$B$11:$B$310),INDEX(条幅4分の1!$H$11:$H$310,545-COUNTA(半紙!$B$11:$B$310)-COUNTA(条幅!$B$11:$B$310)),""))))</f>
        <v/>
      </c>
      <c r="I550" s="38" t="str">
        <f>IF(IF(545&lt;=COUNTA(半紙!$B$11:$B$310),INDEX(半紙!$I$11:$I$310,545),IF(545&lt;=COUNTA(半紙!$B$11:$B$310)+COUNTA(条幅!$B$11:$B$310),INDEX(条幅!$I$11:$I$310,545-COUNTA(半紙!$B$11:$B$310)),IF(545&lt;=COUNTA(半紙!$B$11:$B$310)+COUNTA(条幅!$B$11:$B$310)+COUNTA(条幅4分の1!$B$11:$B$310),INDEX(条幅4分の1!$I$11:$I$310,545-COUNTA(半紙!$B$11:$B$310)-COUNTA(条幅!$B$11:$B$310)),"")))=0,"",IF(545&lt;=COUNTA(半紙!$B$11:$B$310),INDEX(半紙!$I$11:$I$310,545),IF(545&lt;=COUNTA(半紙!$B$11:$B$310)+COUNTA(条幅!$B$11:$B$310),INDEX(条幅!$I$11:$I$310,545-COUNTA(半紙!$B$11:$B$310)),IF(545&lt;=COUNTA(半紙!$B$11:$B$310)+COUNTA(条幅!$B$11:$B$310)+COUNTA(条幅4分の1!$B$11:$B$310),INDEX(条幅4分の1!$I$11:$I$310,545-COUNTA(半紙!$B$11:$B$310)-COUNTA(条幅!$B$11:$B$310)),""))))</f>
        <v/>
      </c>
      <c r="J550" s="38" t="str">
        <f>IF(IF(545&lt;=COUNTA(半紙!$B$11:$B$310),INDEX(半紙!$J$11:$J$310,545),IF(545&lt;=COUNTA(半紙!$B$11:$B$310)+COUNTA(条幅!$B$11:$B$310),INDEX(条幅!$J$11:$J$310,545-COUNTA(半紙!$B$11:$B$310)),IF(545&lt;=COUNTA(半紙!$B$11:$B$310)+COUNTA(条幅!$B$11:$B$310)+COUNTA(条幅4分の1!$B$11:$B$310),INDEX(条幅4分の1!$J$11:$J$310,545-COUNTA(半紙!$B$11:$B$310)-COUNTA(条幅!$B$11:$B$310)),"")))=0,"",IF(545&lt;=COUNTA(半紙!$B$11:$B$310),INDEX(半紙!$J$11:$J$310,545),IF(545&lt;=COUNTA(半紙!$B$11:$B$310)+COUNTA(条幅!$B$11:$B$310),INDEX(条幅!$J$11:$J$310,545-COUNTA(半紙!$B$11:$B$310)),IF(545&lt;=COUNTA(半紙!$B$11:$B$310)+COUNTA(条幅!$B$11:$B$310)+COUNTA(条幅4分の1!$B$11:$B$310),INDEX(条幅4分の1!$J$11:$J$310,545-COUNTA(半紙!$B$11:$B$310)-COUNTA(条幅!$B$11:$B$310)),""))))</f>
        <v/>
      </c>
      <c r="K550" s="38" t="str">
        <f>IF(IF(545&lt;=COUNTA(半紙!$B$11:$B$310),INDEX(半紙!$K$11:$K$310,545),IF(545&lt;=COUNTA(半紙!$B$11:$B$310)+COUNTA(条幅!$B$11:$B$310),INDEX(条幅!$K$11:$K$310,545-COUNTA(半紙!$B$11:$B$310)),IF(545&lt;=COUNTA(半紙!$B$11:$B$310)+COUNTA(条幅!$B$11:$B$310)+COUNTA(条幅4分の1!$B$11:$B$310),INDEX(条幅4分の1!$K$11:$K$310,545-COUNTA(半紙!$B$11:$B$310)-COUNTA(条幅!$B$11:$B$310)),"")))=0,"",IF(545&lt;=COUNTA(半紙!$B$11:$B$310),INDEX(半紙!$K$11:$K$310,545),IF(545&lt;=COUNTA(半紙!$B$11:$B$310)+COUNTA(条幅!$B$11:$B$310),INDEX(条幅!$K$11:$K$310,545-COUNTA(半紙!$B$11:$B$310)),IF(545&lt;=COUNTA(半紙!$B$11:$B$310)+COUNTA(条幅!$B$11:$B$310)+COUNTA(条幅4分の1!$B$11:$B$310),INDEX(条幅4分の1!$K$11:$K$310,545-COUNTA(半紙!$B$11:$B$310)-COUNTA(条幅!$B$11:$B$310)),""))))</f>
        <v/>
      </c>
      <c r="L550" s="48" t="str">
        <f>IF($B550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545))</f>
        <v/>
      </c>
    </row>
    <row r="551" spans="1:12" ht="15" customHeight="1">
      <c r="A551" s="37" t="str">
        <f>IF(546&lt;=COUNTA(半紙!$B$11:$B$310),"半紙",IF(546&lt;=COUNTA(半紙!$B$11:$B$310)+COUNTA(条幅!$B$11:$B$310),"条幅(半切)",IF(546&lt;=COUNTA(半紙!$B$11:$B$310)+COUNTA(条幅!$B$11:$B$310)+COUNTA(条幅4分の1!$B$11:$B$310),"条幅(1/4)","")))</f>
        <v/>
      </c>
      <c r="B551" s="38" t="str">
        <f>IF(IF(546&lt;=COUNTA(半紙!$B$11:$B$310),INDEX(半紙!$B$11:$B$310,546),IF(546&lt;=COUNTA(半紙!$B$11:$B$310)+COUNTA(条幅!$B$11:$B$310),INDEX(条幅!$B$11:$B$310,546-COUNTA(半紙!$B$11:$B$310)),IF(546&lt;=COUNTA(半紙!$B$11:$B$310)+COUNTA(条幅!$B$11:$B$310)+COUNTA(条幅4分の1!$B$11:$B$310),INDEX(条幅4分の1!$B$11:$B$310,546-COUNTA(半紙!$B$11:$B$310)-COUNTA(条幅!$B$11:$B$310)),"")))=0,"",IF(546&lt;=COUNTA(半紙!$B$11:$B$310),INDEX(半紙!$B$11:$B$310,546),IF(546&lt;=COUNTA(半紙!$B$11:$B$310)+COUNTA(条幅!$B$11:$B$310),INDEX(条幅!$B$11:$B$310,546-COUNTA(半紙!$B$11:$B$310)),IF(546&lt;=COUNTA(半紙!$B$11:$B$310)+COUNTA(条幅!$B$11:$B$310)+COUNTA(条幅4分の1!$B$11:$B$310),INDEX(条幅4分の1!$B$11:$B$310,546-COUNTA(半紙!$B$11:$B$310)-COUNTA(条幅!$B$11:$B$310)),""))))</f>
        <v/>
      </c>
      <c r="C551" s="38" t="str">
        <f>IF(IF(546&lt;=COUNTA(半紙!$B$11:$B$310),INDEX(半紙!$C$11:$C$310,546),IF(546&lt;=COUNTA(半紙!$B$11:$B$310)+COUNTA(条幅!$B$11:$B$310),INDEX(条幅!$C$11:$C$310,546-COUNTA(半紙!$B$11:$B$310)),IF(546&lt;=COUNTA(半紙!$B$11:$B$310)+COUNTA(条幅!$B$11:$B$310)+COUNTA(条幅4分の1!$B$11:$B$310),INDEX(条幅4分の1!$C$11:$C$310,546-COUNTA(半紙!$B$11:$B$310)-COUNTA(条幅!$B$11:$B$310)),"")))=0,"",IF(546&lt;=COUNTA(半紙!$B$11:$B$310),INDEX(半紙!$C$11:$C$310,546),IF(546&lt;=COUNTA(半紙!$B$11:$B$310)+COUNTA(条幅!$B$11:$B$310),INDEX(条幅!$C$11:$C$310,546-COUNTA(半紙!$B$11:$B$310)),IF(546&lt;=COUNTA(半紙!$B$11:$B$310)+COUNTA(条幅!$B$11:$B$310)+COUNTA(条幅4分の1!$B$11:$B$310),INDEX(条幅4分の1!$C$11:$C$310,546-COUNTA(半紙!$B$11:$B$310)-COUNTA(条幅!$B$11:$B$310)),""))))</f>
        <v/>
      </c>
      <c r="D551" s="38" t="str">
        <f>IF(IF(546&lt;=COUNTA(半紙!$B$11:$B$310),INDEX(半紙!$D$11:$D$310,546),IF(546&lt;=COUNTA(半紙!$B$11:$B$310)+COUNTA(条幅!$B$11:$B$310),INDEX(条幅!$D$11:$D$310,546-COUNTA(半紙!$B$11:$B$310)),IF(546&lt;=COUNTA(半紙!$B$11:$B$310)+COUNTA(条幅!$B$11:$B$310)+COUNTA(条幅4分の1!$B$11:$B$310),INDEX(条幅4分の1!$D$11:$D$310,546-COUNTA(半紙!$B$11:$B$310)-COUNTA(条幅!$B$11:$B$310)),"")))=0,"",IF(546&lt;=COUNTA(半紙!$B$11:$B$310),INDEX(半紙!$D$11:$D$310,546),IF(546&lt;=COUNTA(半紙!$B$11:$B$310)+COUNTA(条幅!$B$11:$B$310),INDEX(条幅!$D$11:$D$310,546-COUNTA(半紙!$B$11:$B$310)),IF(546&lt;=COUNTA(半紙!$B$11:$B$310)+COUNTA(条幅!$B$11:$B$310)+COUNTA(条幅4分の1!$B$11:$B$310),INDEX(条幅4分の1!$D$11:$D$310,546-COUNTA(半紙!$B$11:$B$310)-COUNTA(条幅!$B$11:$B$310)),""))))</f>
        <v/>
      </c>
      <c r="E551" s="38" t="str">
        <f>IF(IF(546&lt;=COUNTA(半紙!$B$11:$B$310),INDEX(半紙!$E$11:$E$310,546),IF(546&lt;=COUNTA(半紙!$B$11:$B$310)+COUNTA(条幅!$B$11:$B$310),INDEX(条幅!$E$11:$E$310,546-COUNTA(半紙!$B$11:$B$310)),IF(546&lt;=COUNTA(半紙!$B$11:$B$310)+COUNTA(条幅!$B$11:$B$310)+COUNTA(条幅4分の1!$B$11:$B$310),INDEX(条幅4分の1!$E$11:$E$310,546-COUNTA(半紙!$B$11:$B$310)-COUNTA(条幅!$B$11:$B$310)),"")))=0,"",IF(546&lt;=COUNTA(半紙!$B$11:$B$310),INDEX(半紙!$E$11:$E$310,546),IF(546&lt;=COUNTA(半紙!$B$11:$B$310)+COUNTA(条幅!$B$11:$B$310),INDEX(条幅!$E$11:$E$310,546-COUNTA(半紙!$B$11:$B$310)),IF(546&lt;=COUNTA(半紙!$B$11:$B$310)+COUNTA(条幅!$B$11:$B$310)+COUNTA(条幅4分の1!$B$11:$B$310),INDEX(条幅4分の1!$E$11:$E$310,546-COUNTA(半紙!$B$11:$B$310)-COUNTA(条幅!$B$11:$B$310)),""))))</f>
        <v/>
      </c>
      <c r="F551" s="38" t="str">
        <f>IF(IF(546&lt;=COUNTA(半紙!$B$11:$B$310),INDEX(半紙!$F$11:$F$310,546),IF(546&lt;=COUNTA(半紙!$B$11:$B$310)+COUNTA(条幅!$B$11:$B$310),INDEX(条幅!$F$11:$F$310,546-COUNTA(半紙!$B$11:$B$310)),IF(546&lt;=COUNTA(半紙!$B$11:$B$310)+COUNTA(条幅!$B$11:$B$310)+COUNTA(条幅4分の1!$B$11:$B$310),INDEX(条幅4分の1!$F$11:$F$310,546-COUNTA(半紙!$B$11:$B$310)-COUNTA(条幅!$B$11:$B$310)),"")))=0,"",IF(546&lt;=COUNTA(半紙!$B$11:$B$310),INDEX(半紙!$F$11:$F$310,546),IF(546&lt;=COUNTA(半紙!$B$11:$B$310)+COUNTA(条幅!$B$11:$B$310),INDEX(条幅!$F$11:$F$310,546-COUNTA(半紙!$B$11:$B$310)),IF(546&lt;=COUNTA(半紙!$B$11:$B$310)+COUNTA(条幅!$B$11:$B$310)+COUNTA(条幅4分の1!$B$11:$B$310),INDEX(条幅4分の1!$F$11:$F$310,546-COUNTA(半紙!$B$11:$B$310)-COUNTA(条幅!$B$11:$B$310)),""))))</f>
        <v/>
      </c>
      <c r="G551" s="38" t="str">
        <f>IF(IF(546&lt;=COUNTA(半紙!$B$11:$B$310),INDEX(半紙!$G$11:$G$310,546),IF(546&lt;=COUNTA(半紙!$B$11:$B$310)+COUNTA(条幅!$B$11:$B$310),INDEX(条幅!$G$11:$G$310,546-COUNTA(半紙!$B$11:$B$310)),IF(546&lt;=COUNTA(半紙!$B$11:$B$310)+COUNTA(条幅!$B$11:$B$310)+COUNTA(条幅4分の1!$B$11:$B$310),INDEX(条幅4分の1!$G$11:$G$310,546-COUNTA(半紙!$B$11:$B$310)-COUNTA(条幅!$B$11:$B$310)),"")))=0,"",IF(546&lt;=COUNTA(半紙!$B$11:$B$310),INDEX(半紙!$G$11:$G$310,546),IF(546&lt;=COUNTA(半紙!$B$11:$B$310)+COUNTA(条幅!$B$11:$B$310),INDEX(条幅!$G$11:$G$310,546-COUNTA(半紙!$B$11:$B$310)),IF(546&lt;=COUNTA(半紙!$B$11:$B$310)+COUNTA(条幅!$B$11:$B$310)+COUNTA(条幅4分の1!$B$11:$B$310),INDEX(条幅4分の1!$G$11:$G$310,546-COUNTA(半紙!$B$11:$B$310)-COUNTA(条幅!$B$11:$B$310)),""))))</f>
        <v/>
      </c>
      <c r="H551" s="38" t="str">
        <f>IF(IF(546&lt;=COUNTA(半紙!$B$11:$B$310),INDEX(半紙!$H$11:$H$310,546),IF(546&lt;=COUNTA(半紙!$B$11:$B$310)+COUNTA(条幅!$B$11:$B$310),INDEX(条幅!$H$11:$H$310,546-COUNTA(半紙!$B$11:$B$310)),IF(546&lt;=COUNTA(半紙!$B$11:$B$310)+COUNTA(条幅!$B$11:$B$310)+COUNTA(条幅4分の1!$B$11:$B$310),INDEX(条幅4分の1!$H$11:$H$310,546-COUNTA(半紙!$B$11:$B$310)-COUNTA(条幅!$B$11:$B$310)),"")))=0,"",IF(546&lt;=COUNTA(半紙!$B$11:$B$310),INDEX(半紙!$H$11:$H$310,546),IF(546&lt;=COUNTA(半紙!$B$11:$B$310)+COUNTA(条幅!$B$11:$B$310),INDEX(条幅!$H$11:$H$310,546-COUNTA(半紙!$B$11:$B$310)),IF(546&lt;=COUNTA(半紙!$B$11:$B$310)+COUNTA(条幅!$B$11:$B$310)+COUNTA(条幅4分の1!$B$11:$B$310),INDEX(条幅4分の1!$H$11:$H$310,546-COUNTA(半紙!$B$11:$B$310)-COUNTA(条幅!$B$11:$B$310)),""))))</f>
        <v/>
      </c>
      <c r="I551" s="38" t="str">
        <f>IF(IF(546&lt;=COUNTA(半紙!$B$11:$B$310),INDEX(半紙!$I$11:$I$310,546),IF(546&lt;=COUNTA(半紙!$B$11:$B$310)+COUNTA(条幅!$B$11:$B$310),INDEX(条幅!$I$11:$I$310,546-COUNTA(半紙!$B$11:$B$310)),IF(546&lt;=COUNTA(半紙!$B$11:$B$310)+COUNTA(条幅!$B$11:$B$310)+COUNTA(条幅4分の1!$B$11:$B$310),INDEX(条幅4分の1!$I$11:$I$310,546-COUNTA(半紙!$B$11:$B$310)-COUNTA(条幅!$B$11:$B$310)),"")))=0,"",IF(546&lt;=COUNTA(半紙!$B$11:$B$310),INDEX(半紙!$I$11:$I$310,546),IF(546&lt;=COUNTA(半紙!$B$11:$B$310)+COUNTA(条幅!$B$11:$B$310),INDEX(条幅!$I$11:$I$310,546-COUNTA(半紙!$B$11:$B$310)),IF(546&lt;=COUNTA(半紙!$B$11:$B$310)+COUNTA(条幅!$B$11:$B$310)+COUNTA(条幅4分の1!$B$11:$B$310),INDEX(条幅4分の1!$I$11:$I$310,546-COUNTA(半紙!$B$11:$B$310)-COUNTA(条幅!$B$11:$B$310)),""))))</f>
        <v/>
      </c>
      <c r="J551" s="38" t="str">
        <f>IF(IF(546&lt;=COUNTA(半紙!$B$11:$B$310),INDEX(半紙!$J$11:$J$310,546),IF(546&lt;=COUNTA(半紙!$B$11:$B$310)+COUNTA(条幅!$B$11:$B$310),INDEX(条幅!$J$11:$J$310,546-COUNTA(半紙!$B$11:$B$310)),IF(546&lt;=COUNTA(半紙!$B$11:$B$310)+COUNTA(条幅!$B$11:$B$310)+COUNTA(条幅4分の1!$B$11:$B$310),INDEX(条幅4分の1!$J$11:$J$310,546-COUNTA(半紙!$B$11:$B$310)-COUNTA(条幅!$B$11:$B$310)),"")))=0,"",IF(546&lt;=COUNTA(半紙!$B$11:$B$310),INDEX(半紙!$J$11:$J$310,546),IF(546&lt;=COUNTA(半紙!$B$11:$B$310)+COUNTA(条幅!$B$11:$B$310),INDEX(条幅!$J$11:$J$310,546-COUNTA(半紙!$B$11:$B$310)),IF(546&lt;=COUNTA(半紙!$B$11:$B$310)+COUNTA(条幅!$B$11:$B$310)+COUNTA(条幅4分の1!$B$11:$B$310),INDEX(条幅4分の1!$J$11:$J$310,546-COUNTA(半紙!$B$11:$B$310)-COUNTA(条幅!$B$11:$B$310)),""))))</f>
        <v/>
      </c>
      <c r="K551" s="38" t="str">
        <f>IF(IF(546&lt;=COUNTA(半紙!$B$11:$B$310),INDEX(半紙!$K$11:$K$310,546),IF(546&lt;=COUNTA(半紙!$B$11:$B$310)+COUNTA(条幅!$B$11:$B$310),INDEX(条幅!$K$11:$K$310,546-COUNTA(半紙!$B$11:$B$310)),IF(546&lt;=COUNTA(半紙!$B$11:$B$310)+COUNTA(条幅!$B$11:$B$310)+COUNTA(条幅4分の1!$B$11:$B$310),INDEX(条幅4分の1!$K$11:$K$310,546-COUNTA(半紙!$B$11:$B$310)-COUNTA(条幅!$B$11:$B$310)),"")))=0,"",IF(546&lt;=COUNTA(半紙!$B$11:$B$310),INDEX(半紙!$K$11:$K$310,546),IF(546&lt;=COUNTA(半紙!$B$11:$B$310)+COUNTA(条幅!$B$11:$B$310),INDEX(条幅!$K$11:$K$310,546-COUNTA(半紙!$B$11:$B$310)),IF(546&lt;=COUNTA(半紙!$B$11:$B$310)+COUNTA(条幅!$B$11:$B$310)+COUNTA(条幅4分の1!$B$11:$B$310),INDEX(条幅4分の1!$K$11:$K$310,546-COUNTA(半紙!$B$11:$B$310)-COUNTA(条幅!$B$11:$B$310)),""))))</f>
        <v/>
      </c>
      <c r="L551" s="48" t="str">
        <f>IF($B551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546))</f>
        <v/>
      </c>
    </row>
    <row r="552" spans="1:12" ht="15" customHeight="1">
      <c r="A552" s="37" t="str">
        <f>IF(547&lt;=COUNTA(半紙!$B$11:$B$310),"半紙",IF(547&lt;=COUNTA(半紙!$B$11:$B$310)+COUNTA(条幅!$B$11:$B$310),"条幅(半切)",IF(547&lt;=COUNTA(半紙!$B$11:$B$310)+COUNTA(条幅!$B$11:$B$310)+COUNTA(条幅4分の1!$B$11:$B$310),"条幅(1/4)","")))</f>
        <v/>
      </c>
      <c r="B552" s="38" t="str">
        <f>IF(IF(547&lt;=COUNTA(半紙!$B$11:$B$310),INDEX(半紙!$B$11:$B$310,547),IF(547&lt;=COUNTA(半紙!$B$11:$B$310)+COUNTA(条幅!$B$11:$B$310),INDEX(条幅!$B$11:$B$310,547-COUNTA(半紙!$B$11:$B$310)),IF(547&lt;=COUNTA(半紙!$B$11:$B$310)+COUNTA(条幅!$B$11:$B$310)+COUNTA(条幅4分の1!$B$11:$B$310),INDEX(条幅4分の1!$B$11:$B$310,547-COUNTA(半紙!$B$11:$B$310)-COUNTA(条幅!$B$11:$B$310)),"")))=0,"",IF(547&lt;=COUNTA(半紙!$B$11:$B$310),INDEX(半紙!$B$11:$B$310,547),IF(547&lt;=COUNTA(半紙!$B$11:$B$310)+COUNTA(条幅!$B$11:$B$310),INDEX(条幅!$B$11:$B$310,547-COUNTA(半紙!$B$11:$B$310)),IF(547&lt;=COUNTA(半紙!$B$11:$B$310)+COUNTA(条幅!$B$11:$B$310)+COUNTA(条幅4分の1!$B$11:$B$310),INDEX(条幅4分の1!$B$11:$B$310,547-COUNTA(半紙!$B$11:$B$310)-COUNTA(条幅!$B$11:$B$310)),""))))</f>
        <v/>
      </c>
      <c r="C552" s="38" t="str">
        <f>IF(IF(547&lt;=COUNTA(半紙!$B$11:$B$310),INDEX(半紙!$C$11:$C$310,547),IF(547&lt;=COUNTA(半紙!$B$11:$B$310)+COUNTA(条幅!$B$11:$B$310),INDEX(条幅!$C$11:$C$310,547-COUNTA(半紙!$B$11:$B$310)),IF(547&lt;=COUNTA(半紙!$B$11:$B$310)+COUNTA(条幅!$B$11:$B$310)+COUNTA(条幅4分の1!$B$11:$B$310),INDEX(条幅4分の1!$C$11:$C$310,547-COUNTA(半紙!$B$11:$B$310)-COUNTA(条幅!$B$11:$B$310)),"")))=0,"",IF(547&lt;=COUNTA(半紙!$B$11:$B$310),INDEX(半紙!$C$11:$C$310,547),IF(547&lt;=COUNTA(半紙!$B$11:$B$310)+COUNTA(条幅!$B$11:$B$310),INDEX(条幅!$C$11:$C$310,547-COUNTA(半紙!$B$11:$B$310)),IF(547&lt;=COUNTA(半紙!$B$11:$B$310)+COUNTA(条幅!$B$11:$B$310)+COUNTA(条幅4分の1!$B$11:$B$310),INDEX(条幅4分の1!$C$11:$C$310,547-COUNTA(半紙!$B$11:$B$310)-COUNTA(条幅!$B$11:$B$310)),""))))</f>
        <v/>
      </c>
      <c r="D552" s="38" t="str">
        <f>IF(IF(547&lt;=COUNTA(半紙!$B$11:$B$310),INDEX(半紙!$D$11:$D$310,547),IF(547&lt;=COUNTA(半紙!$B$11:$B$310)+COUNTA(条幅!$B$11:$B$310),INDEX(条幅!$D$11:$D$310,547-COUNTA(半紙!$B$11:$B$310)),IF(547&lt;=COUNTA(半紙!$B$11:$B$310)+COUNTA(条幅!$B$11:$B$310)+COUNTA(条幅4分の1!$B$11:$B$310),INDEX(条幅4分の1!$D$11:$D$310,547-COUNTA(半紙!$B$11:$B$310)-COUNTA(条幅!$B$11:$B$310)),"")))=0,"",IF(547&lt;=COUNTA(半紙!$B$11:$B$310),INDEX(半紙!$D$11:$D$310,547),IF(547&lt;=COUNTA(半紙!$B$11:$B$310)+COUNTA(条幅!$B$11:$B$310),INDEX(条幅!$D$11:$D$310,547-COUNTA(半紙!$B$11:$B$310)),IF(547&lt;=COUNTA(半紙!$B$11:$B$310)+COUNTA(条幅!$B$11:$B$310)+COUNTA(条幅4分の1!$B$11:$B$310),INDEX(条幅4分の1!$D$11:$D$310,547-COUNTA(半紙!$B$11:$B$310)-COUNTA(条幅!$B$11:$B$310)),""))))</f>
        <v/>
      </c>
      <c r="E552" s="38" t="str">
        <f>IF(IF(547&lt;=COUNTA(半紙!$B$11:$B$310),INDEX(半紙!$E$11:$E$310,547),IF(547&lt;=COUNTA(半紙!$B$11:$B$310)+COUNTA(条幅!$B$11:$B$310),INDEX(条幅!$E$11:$E$310,547-COUNTA(半紙!$B$11:$B$310)),IF(547&lt;=COUNTA(半紙!$B$11:$B$310)+COUNTA(条幅!$B$11:$B$310)+COUNTA(条幅4分の1!$B$11:$B$310),INDEX(条幅4分の1!$E$11:$E$310,547-COUNTA(半紙!$B$11:$B$310)-COUNTA(条幅!$B$11:$B$310)),"")))=0,"",IF(547&lt;=COUNTA(半紙!$B$11:$B$310),INDEX(半紙!$E$11:$E$310,547),IF(547&lt;=COUNTA(半紙!$B$11:$B$310)+COUNTA(条幅!$B$11:$B$310),INDEX(条幅!$E$11:$E$310,547-COUNTA(半紙!$B$11:$B$310)),IF(547&lt;=COUNTA(半紙!$B$11:$B$310)+COUNTA(条幅!$B$11:$B$310)+COUNTA(条幅4分の1!$B$11:$B$310),INDEX(条幅4分の1!$E$11:$E$310,547-COUNTA(半紙!$B$11:$B$310)-COUNTA(条幅!$B$11:$B$310)),""))))</f>
        <v/>
      </c>
      <c r="F552" s="38" t="str">
        <f>IF(IF(547&lt;=COUNTA(半紙!$B$11:$B$310),INDEX(半紙!$F$11:$F$310,547),IF(547&lt;=COUNTA(半紙!$B$11:$B$310)+COUNTA(条幅!$B$11:$B$310),INDEX(条幅!$F$11:$F$310,547-COUNTA(半紙!$B$11:$B$310)),IF(547&lt;=COUNTA(半紙!$B$11:$B$310)+COUNTA(条幅!$B$11:$B$310)+COUNTA(条幅4分の1!$B$11:$B$310),INDEX(条幅4分の1!$F$11:$F$310,547-COUNTA(半紙!$B$11:$B$310)-COUNTA(条幅!$B$11:$B$310)),"")))=0,"",IF(547&lt;=COUNTA(半紙!$B$11:$B$310),INDEX(半紙!$F$11:$F$310,547),IF(547&lt;=COUNTA(半紙!$B$11:$B$310)+COUNTA(条幅!$B$11:$B$310),INDEX(条幅!$F$11:$F$310,547-COUNTA(半紙!$B$11:$B$310)),IF(547&lt;=COUNTA(半紙!$B$11:$B$310)+COUNTA(条幅!$B$11:$B$310)+COUNTA(条幅4分の1!$B$11:$B$310),INDEX(条幅4分の1!$F$11:$F$310,547-COUNTA(半紙!$B$11:$B$310)-COUNTA(条幅!$B$11:$B$310)),""))))</f>
        <v/>
      </c>
      <c r="G552" s="38" t="str">
        <f>IF(IF(547&lt;=COUNTA(半紙!$B$11:$B$310),INDEX(半紙!$G$11:$G$310,547),IF(547&lt;=COUNTA(半紙!$B$11:$B$310)+COUNTA(条幅!$B$11:$B$310),INDEX(条幅!$G$11:$G$310,547-COUNTA(半紙!$B$11:$B$310)),IF(547&lt;=COUNTA(半紙!$B$11:$B$310)+COUNTA(条幅!$B$11:$B$310)+COUNTA(条幅4分の1!$B$11:$B$310),INDEX(条幅4分の1!$G$11:$G$310,547-COUNTA(半紙!$B$11:$B$310)-COUNTA(条幅!$B$11:$B$310)),"")))=0,"",IF(547&lt;=COUNTA(半紙!$B$11:$B$310),INDEX(半紙!$G$11:$G$310,547),IF(547&lt;=COUNTA(半紙!$B$11:$B$310)+COUNTA(条幅!$B$11:$B$310),INDEX(条幅!$G$11:$G$310,547-COUNTA(半紙!$B$11:$B$310)),IF(547&lt;=COUNTA(半紙!$B$11:$B$310)+COUNTA(条幅!$B$11:$B$310)+COUNTA(条幅4分の1!$B$11:$B$310),INDEX(条幅4分の1!$G$11:$G$310,547-COUNTA(半紙!$B$11:$B$310)-COUNTA(条幅!$B$11:$B$310)),""))))</f>
        <v/>
      </c>
      <c r="H552" s="38" t="str">
        <f>IF(IF(547&lt;=COUNTA(半紙!$B$11:$B$310),INDEX(半紙!$H$11:$H$310,547),IF(547&lt;=COUNTA(半紙!$B$11:$B$310)+COUNTA(条幅!$B$11:$B$310),INDEX(条幅!$H$11:$H$310,547-COUNTA(半紙!$B$11:$B$310)),IF(547&lt;=COUNTA(半紙!$B$11:$B$310)+COUNTA(条幅!$B$11:$B$310)+COUNTA(条幅4分の1!$B$11:$B$310),INDEX(条幅4分の1!$H$11:$H$310,547-COUNTA(半紙!$B$11:$B$310)-COUNTA(条幅!$B$11:$B$310)),"")))=0,"",IF(547&lt;=COUNTA(半紙!$B$11:$B$310),INDEX(半紙!$H$11:$H$310,547),IF(547&lt;=COUNTA(半紙!$B$11:$B$310)+COUNTA(条幅!$B$11:$B$310),INDEX(条幅!$H$11:$H$310,547-COUNTA(半紙!$B$11:$B$310)),IF(547&lt;=COUNTA(半紙!$B$11:$B$310)+COUNTA(条幅!$B$11:$B$310)+COUNTA(条幅4分の1!$B$11:$B$310),INDEX(条幅4分の1!$H$11:$H$310,547-COUNTA(半紙!$B$11:$B$310)-COUNTA(条幅!$B$11:$B$310)),""))))</f>
        <v/>
      </c>
      <c r="I552" s="38" t="str">
        <f>IF(IF(547&lt;=COUNTA(半紙!$B$11:$B$310),INDEX(半紙!$I$11:$I$310,547),IF(547&lt;=COUNTA(半紙!$B$11:$B$310)+COUNTA(条幅!$B$11:$B$310),INDEX(条幅!$I$11:$I$310,547-COUNTA(半紙!$B$11:$B$310)),IF(547&lt;=COUNTA(半紙!$B$11:$B$310)+COUNTA(条幅!$B$11:$B$310)+COUNTA(条幅4分の1!$B$11:$B$310),INDEX(条幅4分の1!$I$11:$I$310,547-COUNTA(半紙!$B$11:$B$310)-COUNTA(条幅!$B$11:$B$310)),"")))=0,"",IF(547&lt;=COUNTA(半紙!$B$11:$B$310),INDEX(半紙!$I$11:$I$310,547),IF(547&lt;=COUNTA(半紙!$B$11:$B$310)+COUNTA(条幅!$B$11:$B$310),INDEX(条幅!$I$11:$I$310,547-COUNTA(半紙!$B$11:$B$310)),IF(547&lt;=COUNTA(半紙!$B$11:$B$310)+COUNTA(条幅!$B$11:$B$310)+COUNTA(条幅4分の1!$B$11:$B$310),INDEX(条幅4分の1!$I$11:$I$310,547-COUNTA(半紙!$B$11:$B$310)-COUNTA(条幅!$B$11:$B$310)),""))))</f>
        <v/>
      </c>
      <c r="J552" s="38" t="str">
        <f>IF(IF(547&lt;=COUNTA(半紙!$B$11:$B$310),INDEX(半紙!$J$11:$J$310,547),IF(547&lt;=COUNTA(半紙!$B$11:$B$310)+COUNTA(条幅!$B$11:$B$310),INDEX(条幅!$J$11:$J$310,547-COUNTA(半紙!$B$11:$B$310)),IF(547&lt;=COUNTA(半紙!$B$11:$B$310)+COUNTA(条幅!$B$11:$B$310)+COUNTA(条幅4分の1!$B$11:$B$310),INDEX(条幅4分の1!$J$11:$J$310,547-COUNTA(半紙!$B$11:$B$310)-COUNTA(条幅!$B$11:$B$310)),"")))=0,"",IF(547&lt;=COUNTA(半紙!$B$11:$B$310),INDEX(半紙!$J$11:$J$310,547),IF(547&lt;=COUNTA(半紙!$B$11:$B$310)+COUNTA(条幅!$B$11:$B$310),INDEX(条幅!$J$11:$J$310,547-COUNTA(半紙!$B$11:$B$310)),IF(547&lt;=COUNTA(半紙!$B$11:$B$310)+COUNTA(条幅!$B$11:$B$310)+COUNTA(条幅4分の1!$B$11:$B$310),INDEX(条幅4分の1!$J$11:$J$310,547-COUNTA(半紙!$B$11:$B$310)-COUNTA(条幅!$B$11:$B$310)),""))))</f>
        <v/>
      </c>
      <c r="K552" s="38" t="str">
        <f>IF(IF(547&lt;=COUNTA(半紙!$B$11:$B$310),INDEX(半紙!$K$11:$K$310,547),IF(547&lt;=COUNTA(半紙!$B$11:$B$310)+COUNTA(条幅!$B$11:$B$310),INDEX(条幅!$K$11:$K$310,547-COUNTA(半紙!$B$11:$B$310)),IF(547&lt;=COUNTA(半紙!$B$11:$B$310)+COUNTA(条幅!$B$11:$B$310)+COUNTA(条幅4分の1!$B$11:$B$310),INDEX(条幅4分の1!$K$11:$K$310,547-COUNTA(半紙!$B$11:$B$310)-COUNTA(条幅!$B$11:$B$310)),"")))=0,"",IF(547&lt;=COUNTA(半紙!$B$11:$B$310),INDEX(半紙!$K$11:$K$310,547),IF(547&lt;=COUNTA(半紙!$B$11:$B$310)+COUNTA(条幅!$B$11:$B$310),INDEX(条幅!$K$11:$K$310,547-COUNTA(半紙!$B$11:$B$310)),IF(547&lt;=COUNTA(半紙!$B$11:$B$310)+COUNTA(条幅!$B$11:$B$310)+COUNTA(条幅4分の1!$B$11:$B$310),INDEX(条幅4分の1!$K$11:$K$310,547-COUNTA(半紙!$B$11:$B$310)-COUNTA(条幅!$B$11:$B$310)),""))))</f>
        <v/>
      </c>
      <c r="L552" s="48" t="str">
        <f>IF($B552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547))</f>
        <v/>
      </c>
    </row>
    <row r="553" spans="1:12" ht="15" customHeight="1">
      <c r="A553" s="37" t="str">
        <f>IF(548&lt;=COUNTA(半紙!$B$11:$B$310),"半紙",IF(548&lt;=COUNTA(半紙!$B$11:$B$310)+COUNTA(条幅!$B$11:$B$310),"条幅(半切)",IF(548&lt;=COUNTA(半紙!$B$11:$B$310)+COUNTA(条幅!$B$11:$B$310)+COUNTA(条幅4分の1!$B$11:$B$310),"条幅(1/4)","")))</f>
        <v/>
      </c>
      <c r="B553" s="38" t="str">
        <f>IF(IF(548&lt;=COUNTA(半紙!$B$11:$B$310),INDEX(半紙!$B$11:$B$310,548),IF(548&lt;=COUNTA(半紙!$B$11:$B$310)+COUNTA(条幅!$B$11:$B$310),INDEX(条幅!$B$11:$B$310,548-COUNTA(半紙!$B$11:$B$310)),IF(548&lt;=COUNTA(半紙!$B$11:$B$310)+COUNTA(条幅!$B$11:$B$310)+COUNTA(条幅4分の1!$B$11:$B$310),INDEX(条幅4分の1!$B$11:$B$310,548-COUNTA(半紙!$B$11:$B$310)-COUNTA(条幅!$B$11:$B$310)),"")))=0,"",IF(548&lt;=COUNTA(半紙!$B$11:$B$310),INDEX(半紙!$B$11:$B$310,548),IF(548&lt;=COUNTA(半紙!$B$11:$B$310)+COUNTA(条幅!$B$11:$B$310),INDEX(条幅!$B$11:$B$310,548-COUNTA(半紙!$B$11:$B$310)),IF(548&lt;=COUNTA(半紙!$B$11:$B$310)+COUNTA(条幅!$B$11:$B$310)+COUNTA(条幅4分の1!$B$11:$B$310),INDEX(条幅4分の1!$B$11:$B$310,548-COUNTA(半紙!$B$11:$B$310)-COUNTA(条幅!$B$11:$B$310)),""))))</f>
        <v/>
      </c>
      <c r="C553" s="38" t="str">
        <f>IF(IF(548&lt;=COUNTA(半紙!$B$11:$B$310),INDEX(半紙!$C$11:$C$310,548),IF(548&lt;=COUNTA(半紙!$B$11:$B$310)+COUNTA(条幅!$B$11:$B$310),INDEX(条幅!$C$11:$C$310,548-COUNTA(半紙!$B$11:$B$310)),IF(548&lt;=COUNTA(半紙!$B$11:$B$310)+COUNTA(条幅!$B$11:$B$310)+COUNTA(条幅4分の1!$B$11:$B$310),INDEX(条幅4分の1!$C$11:$C$310,548-COUNTA(半紙!$B$11:$B$310)-COUNTA(条幅!$B$11:$B$310)),"")))=0,"",IF(548&lt;=COUNTA(半紙!$B$11:$B$310),INDEX(半紙!$C$11:$C$310,548),IF(548&lt;=COUNTA(半紙!$B$11:$B$310)+COUNTA(条幅!$B$11:$B$310),INDEX(条幅!$C$11:$C$310,548-COUNTA(半紙!$B$11:$B$310)),IF(548&lt;=COUNTA(半紙!$B$11:$B$310)+COUNTA(条幅!$B$11:$B$310)+COUNTA(条幅4分の1!$B$11:$B$310),INDEX(条幅4分の1!$C$11:$C$310,548-COUNTA(半紙!$B$11:$B$310)-COUNTA(条幅!$B$11:$B$310)),""))))</f>
        <v/>
      </c>
      <c r="D553" s="38" t="str">
        <f>IF(IF(548&lt;=COUNTA(半紙!$B$11:$B$310),INDEX(半紙!$D$11:$D$310,548),IF(548&lt;=COUNTA(半紙!$B$11:$B$310)+COUNTA(条幅!$B$11:$B$310),INDEX(条幅!$D$11:$D$310,548-COUNTA(半紙!$B$11:$B$310)),IF(548&lt;=COUNTA(半紙!$B$11:$B$310)+COUNTA(条幅!$B$11:$B$310)+COUNTA(条幅4分の1!$B$11:$B$310),INDEX(条幅4分の1!$D$11:$D$310,548-COUNTA(半紙!$B$11:$B$310)-COUNTA(条幅!$B$11:$B$310)),"")))=0,"",IF(548&lt;=COUNTA(半紙!$B$11:$B$310),INDEX(半紙!$D$11:$D$310,548),IF(548&lt;=COUNTA(半紙!$B$11:$B$310)+COUNTA(条幅!$B$11:$B$310),INDEX(条幅!$D$11:$D$310,548-COUNTA(半紙!$B$11:$B$310)),IF(548&lt;=COUNTA(半紙!$B$11:$B$310)+COUNTA(条幅!$B$11:$B$310)+COUNTA(条幅4分の1!$B$11:$B$310),INDEX(条幅4分の1!$D$11:$D$310,548-COUNTA(半紙!$B$11:$B$310)-COUNTA(条幅!$B$11:$B$310)),""))))</f>
        <v/>
      </c>
      <c r="E553" s="38" t="str">
        <f>IF(IF(548&lt;=COUNTA(半紙!$B$11:$B$310),INDEX(半紙!$E$11:$E$310,548),IF(548&lt;=COUNTA(半紙!$B$11:$B$310)+COUNTA(条幅!$B$11:$B$310),INDEX(条幅!$E$11:$E$310,548-COUNTA(半紙!$B$11:$B$310)),IF(548&lt;=COUNTA(半紙!$B$11:$B$310)+COUNTA(条幅!$B$11:$B$310)+COUNTA(条幅4分の1!$B$11:$B$310),INDEX(条幅4分の1!$E$11:$E$310,548-COUNTA(半紙!$B$11:$B$310)-COUNTA(条幅!$B$11:$B$310)),"")))=0,"",IF(548&lt;=COUNTA(半紙!$B$11:$B$310),INDEX(半紙!$E$11:$E$310,548),IF(548&lt;=COUNTA(半紙!$B$11:$B$310)+COUNTA(条幅!$B$11:$B$310),INDEX(条幅!$E$11:$E$310,548-COUNTA(半紙!$B$11:$B$310)),IF(548&lt;=COUNTA(半紙!$B$11:$B$310)+COUNTA(条幅!$B$11:$B$310)+COUNTA(条幅4分の1!$B$11:$B$310),INDEX(条幅4分の1!$E$11:$E$310,548-COUNTA(半紙!$B$11:$B$310)-COUNTA(条幅!$B$11:$B$310)),""))))</f>
        <v/>
      </c>
      <c r="F553" s="38" t="str">
        <f>IF(IF(548&lt;=COUNTA(半紙!$B$11:$B$310),INDEX(半紙!$F$11:$F$310,548),IF(548&lt;=COUNTA(半紙!$B$11:$B$310)+COUNTA(条幅!$B$11:$B$310),INDEX(条幅!$F$11:$F$310,548-COUNTA(半紙!$B$11:$B$310)),IF(548&lt;=COUNTA(半紙!$B$11:$B$310)+COUNTA(条幅!$B$11:$B$310)+COUNTA(条幅4分の1!$B$11:$B$310),INDEX(条幅4分の1!$F$11:$F$310,548-COUNTA(半紙!$B$11:$B$310)-COUNTA(条幅!$B$11:$B$310)),"")))=0,"",IF(548&lt;=COUNTA(半紙!$B$11:$B$310),INDEX(半紙!$F$11:$F$310,548),IF(548&lt;=COUNTA(半紙!$B$11:$B$310)+COUNTA(条幅!$B$11:$B$310),INDEX(条幅!$F$11:$F$310,548-COUNTA(半紙!$B$11:$B$310)),IF(548&lt;=COUNTA(半紙!$B$11:$B$310)+COUNTA(条幅!$B$11:$B$310)+COUNTA(条幅4分の1!$B$11:$B$310),INDEX(条幅4分の1!$F$11:$F$310,548-COUNTA(半紙!$B$11:$B$310)-COUNTA(条幅!$B$11:$B$310)),""))))</f>
        <v/>
      </c>
      <c r="G553" s="38" t="str">
        <f>IF(IF(548&lt;=COUNTA(半紙!$B$11:$B$310),INDEX(半紙!$G$11:$G$310,548),IF(548&lt;=COUNTA(半紙!$B$11:$B$310)+COUNTA(条幅!$B$11:$B$310),INDEX(条幅!$G$11:$G$310,548-COUNTA(半紙!$B$11:$B$310)),IF(548&lt;=COUNTA(半紙!$B$11:$B$310)+COUNTA(条幅!$B$11:$B$310)+COUNTA(条幅4分の1!$B$11:$B$310),INDEX(条幅4分の1!$G$11:$G$310,548-COUNTA(半紙!$B$11:$B$310)-COUNTA(条幅!$B$11:$B$310)),"")))=0,"",IF(548&lt;=COUNTA(半紙!$B$11:$B$310),INDEX(半紙!$G$11:$G$310,548),IF(548&lt;=COUNTA(半紙!$B$11:$B$310)+COUNTA(条幅!$B$11:$B$310),INDEX(条幅!$G$11:$G$310,548-COUNTA(半紙!$B$11:$B$310)),IF(548&lt;=COUNTA(半紙!$B$11:$B$310)+COUNTA(条幅!$B$11:$B$310)+COUNTA(条幅4分の1!$B$11:$B$310),INDEX(条幅4分の1!$G$11:$G$310,548-COUNTA(半紙!$B$11:$B$310)-COUNTA(条幅!$B$11:$B$310)),""))))</f>
        <v/>
      </c>
      <c r="H553" s="38" t="str">
        <f>IF(IF(548&lt;=COUNTA(半紙!$B$11:$B$310),INDEX(半紙!$H$11:$H$310,548),IF(548&lt;=COUNTA(半紙!$B$11:$B$310)+COUNTA(条幅!$B$11:$B$310),INDEX(条幅!$H$11:$H$310,548-COUNTA(半紙!$B$11:$B$310)),IF(548&lt;=COUNTA(半紙!$B$11:$B$310)+COUNTA(条幅!$B$11:$B$310)+COUNTA(条幅4分の1!$B$11:$B$310),INDEX(条幅4分の1!$H$11:$H$310,548-COUNTA(半紙!$B$11:$B$310)-COUNTA(条幅!$B$11:$B$310)),"")))=0,"",IF(548&lt;=COUNTA(半紙!$B$11:$B$310),INDEX(半紙!$H$11:$H$310,548),IF(548&lt;=COUNTA(半紙!$B$11:$B$310)+COUNTA(条幅!$B$11:$B$310),INDEX(条幅!$H$11:$H$310,548-COUNTA(半紙!$B$11:$B$310)),IF(548&lt;=COUNTA(半紙!$B$11:$B$310)+COUNTA(条幅!$B$11:$B$310)+COUNTA(条幅4分の1!$B$11:$B$310),INDEX(条幅4分の1!$H$11:$H$310,548-COUNTA(半紙!$B$11:$B$310)-COUNTA(条幅!$B$11:$B$310)),""))))</f>
        <v/>
      </c>
      <c r="I553" s="38" t="str">
        <f>IF(IF(548&lt;=COUNTA(半紙!$B$11:$B$310),INDEX(半紙!$I$11:$I$310,548),IF(548&lt;=COUNTA(半紙!$B$11:$B$310)+COUNTA(条幅!$B$11:$B$310),INDEX(条幅!$I$11:$I$310,548-COUNTA(半紙!$B$11:$B$310)),IF(548&lt;=COUNTA(半紙!$B$11:$B$310)+COUNTA(条幅!$B$11:$B$310)+COUNTA(条幅4分の1!$B$11:$B$310),INDEX(条幅4分の1!$I$11:$I$310,548-COUNTA(半紙!$B$11:$B$310)-COUNTA(条幅!$B$11:$B$310)),"")))=0,"",IF(548&lt;=COUNTA(半紙!$B$11:$B$310),INDEX(半紙!$I$11:$I$310,548),IF(548&lt;=COUNTA(半紙!$B$11:$B$310)+COUNTA(条幅!$B$11:$B$310),INDEX(条幅!$I$11:$I$310,548-COUNTA(半紙!$B$11:$B$310)),IF(548&lt;=COUNTA(半紙!$B$11:$B$310)+COUNTA(条幅!$B$11:$B$310)+COUNTA(条幅4分の1!$B$11:$B$310),INDEX(条幅4分の1!$I$11:$I$310,548-COUNTA(半紙!$B$11:$B$310)-COUNTA(条幅!$B$11:$B$310)),""))))</f>
        <v/>
      </c>
      <c r="J553" s="38" t="str">
        <f>IF(IF(548&lt;=COUNTA(半紙!$B$11:$B$310),INDEX(半紙!$J$11:$J$310,548),IF(548&lt;=COUNTA(半紙!$B$11:$B$310)+COUNTA(条幅!$B$11:$B$310),INDEX(条幅!$J$11:$J$310,548-COUNTA(半紙!$B$11:$B$310)),IF(548&lt;=COUNTA(半紙!$B$11:$B$310)+COUNTA(条幅!$B$11:$B$310)+COUNTA(条幅4分の1!$B$11:$B$310),INDEX(条幅4分の1!$J$11:$J$310,548-COUNTA(半紙!$B$11:$B$310)-COUNTA(条幅!$B$11:$B$310)),"")))=0,"",IF(548&lt;=COUNTA(半紙!$B$11:$B$310),INDEX(半紙!$J$11:$J$310,548),IF(548&lt;=COUNTA(半紙!$B$11:$B$310)+COUNTA(条幅!$B$11:$B$310),INDEX(条幅!$J$11:$J$310,548-COUNTA(半紙!$B$11:$B$310)),IF(548&lt;=COUNTA(半紙!$B$11:$B$310)+COUNTA(条幅!$B$11:$B$310)+COUNTA(条幅4分の1!$B$11:$B$310),INDEX(条幅4分の1!$J$11:$J$310,548-COUNTA(半紙!$B$11:$B$310)-COUNTA(条幅!$B$11:$B$310)),""))))</f>
        <v/>
      </c>
      <c r="K553" s="38" t="str">
        <f>IF(IF(548&lt;=COUNTA(半紙!$B$11:$B$310),INDEX(半紙!$K$11:$K$310,548),IF(548&lt;=COUNTA(半紙!$B$11:$B$310)+COUNTA(条幅!$B$11:$B$310),INDEX(条幅!$K$11:$K$310,548-COUNTA(半紙!$B$11:$B$310)),IF(548&lt;=COUNTA(半紙!$B$11:$B$310)+COUNTA(条幅!$B$11:$B$310)+COUNTA(条幅4分の1!$B$11:$B$310),INDEX(条幅4分の1!$K$11:$K$310,548-COUNTA(半紙!$B$11:$B$310)-COUNTA(条幅!$B$11:$B$310)),"")))=0,"",IF(548&lt;=COUNTA(半紙!$B$11:$B$310),INDEX(半紙!$K$11:$K$310,548),IF(548&lt;=COUNTA(半紙!$B$11:$B$310)+COUNTA(条幅!$B$11:$B$310),INDEX(条幅!$K$11:$K$310,548-COUNTA(半紙!$B$11:$B$310)),IF(548&lt;=COUNTA(半紙!$B$11:$B$310)+COUNTA(条幅!$B$11:$B$310)+COUNTA(条幅4分の1!$B$11:$B$310),INDEX(条幅4分の1!$K$11:$K$310,548-COUNTA(半紙!$B$11:$B$310)-COUNTA(条幅!$B$11:$B$310)),""))))</f>
        <v/>
      </c>
      <c r="L553" s="48" t="str">
        <f>IF($B553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548))</f>
        <v/>
      </c>
    </row>
    <row r="554" spans="1:12" ht="15" customHeight="1">
      <c r="A554" s="37" t="str">
        <f>IF(549&lt;=COUNTA(半紙!$B$11:$B$310),"半紙",IF(549&lt;=COUNTA(半紙!$B$11:$B$310)+COUNTA(条幅!$B$11:$B$310),"条幅(半切)",IF(549&lt;=COUNTA(半紙!$B$11:$B$310)+COUNTA(条幅!$B$11:$B$310)+COUNTA(条幅4分の1!$B$11:$B$310),"条幅(1/4)","")))</f>
        <v/>
      </c>
      <c r="B554" s="38" t="str">
        <f>IF(IF(549&lt;=COUNTA(半紙!$B$11:$B$310),INDEX(半紙!$B$11:$B$310,549),IF(549&lt;=COUNTA(半紙!$B$11:$B$310)+COUNTA(条幅!$B$11:$B$310),INDEX(条幅!$B$11:$B$310,549-COUNTA(半紙!$B$11:$B$310)),IF(549&lt;=COUNTA(半紙!$B$11:$B$310)+COUNTA(条幅!$B$11:$B$310)+COUNTA(条幅4分の1!$B$11:$B$310),INDEX(条幅4分の1!$B$11:$B$310,549-COUNTA(半紙!$B$11:$B$310)-COUNTA(条幅!$B$11:$B$310)),"")))=0,"",IF(549&lt;=COUNTA(半紙!$B$11:$B$310),INDEX(半紙!$B$11:$B$310,549),IF(549&lt;=COUNTA(半紙!$B$11:$B$310)+COUNTA(条幅!$B$11:$B$310),INDEX(条幅!$B$11:$B$310,549-COUNTA(半紙!$B$11:$B$310)),IF(549&lt;=COUNTA(半紙!$B$11:$B$310)+COUNTA(条幅!$B$11:$B$310)+COUNTA(条幅4分の1!$B$11:$B$310),INDEX(条幅4分の1!$B$11:$B$310,549-COUNTA(半紙!$B$11:$B$310)-COUNTA(条幅!$B$11:$B$310)),""))))</f>
        <v/>
      </c>
      <c r="C554" s="38" t="str">
        <f>IF(IF(549&lt;=COUNTA(半紙!$B$11:$B$310),INDEX(半紙!$C$11:$C$310,549),IF(549&lt;=COUNTA(半紙!$B$11:$B$310)+COUNTA(条幅!$B$11:$B$310),INDEX(条幅!$C$11:$C$310,549-COUNTA(半紙!$B$11:$B$310)),IF(549&lt;=COUNTA(半紙!$B$11:$B$310)+COUNTA(条幅!$B$11:$B$310)+COUNTA(条幅4分の1!$B$11:$B$310),INDEX(条幅4分の1!$C$11:$C$310,549-COUNTA(半紙!$B$11:$B$310)-COUNTA(条幅!$B$11:$B$310)),"")))=0,"",IF(549&lt;=COUNTA(半紙!$B$11:$B$310),INDEX(半紙!$C$11:$C$310,549),IF(549&lt;=COUNTA(半紙!$B$11:$B$310)+COUNTA(条幅!$B$11:$B$310),INDEX(条幅!$C$11:$C$310,549-COUNTA(半紙!$B$11:$B$310)),IF(549&lt;=COUNTA(半紙!$B$11:$B$310)+COUNTA(条幅!$B$11:$B$310)+COUNTA(条幅4分の1!$B$11:$B$310),INDEX(条幅4分の1!$C$11:$C$310,549-COUNTA(半紙!$B$11:$B$310)-COUNTA(条幅!$B$11:$B$310)),""))))</f>
        <v/>
      </c>
      <c r="D554" s="38" t="str">
        <f>IF(IF(549&lt;=COUNTA(半紙!$B$11:$B$310),INDEX(半紙!$D$11:$D$310,549),IF(549&lt;=COUNTA(半紙!$B$11:$B$310)+COUNTA(条幅!$B$11:$B$310),INDEX(条幅!$D$11:$D$310,549-COUNTA(半紙!$B$11:$B$310)),IF(549&lt;=COUNTA(半紙!$B$11:$B$310)+COUNTA(条幅!$B$11:$B$310)+COUNTA(条幅4分の1!$B$11:$B$310),INDEX(条幅4分の1!$D$11:$D$310,549-COUNTA(半紙!$B$11:$B$310)-COUNTA(条幅!$B$11:$B$310)),"")))=0,"",IF(549&lt;=COUNTA(半紙!$B$11:$B$310),INDEX(半紙!$D$11:$D$310,549),IF(549&lt;=COUNTA(半紙!$B$11:$B$310)+COUNTA(条幅!$B$11:$B$310),INDEX(条幅!$D$11:$D$310,549-COUNTA(半紙!$B$11:$B$310)),IF(549&lt;=COUNTA(半紙!$B$11:$B$310)+COUNTA(条幅!$B$11:$B$310)+COUNTA(条幅4分の1!$B$11:$B$310),INDEX(条幅4分の1!$D$11:$D$310,549-COUNTA(半紙!$B$11:$B$310)-COUNTA(条幅!$B$11:$B$310)),""))))</f>
        <v/>
      </c>
      <c r="E554" s="38" t="str">
        <f>IF(IF(549&lt;=COUNTA(半紙!$B$11:$B$310),INDEX(半紙!$E$11:$E$310,549),IF(549&lt;=COUNTA(半紙!$B$11:$B$310)+COUNTA(条幅!$B$11:$B$310),INDEX(条幅!$E$11:$E$310,549-COUNTA(半紙!$B$11:$B$310)),IF(549&lt;=COUNTA(半紙!$B$11:$B$310)+COUNTA(条幅!$B$11:$B$310)+COUNTA(条幅4分の1!$B$11:$B$310),INDEX(条幅4分の1!$E$11:$E$310,549-COUNTA(半紙!$B$11:$B$310)-COUNTA(条幅!$B$11:$B$310)),"")))=0,"",IF(549&lt;=COUNTA(半紙!$B$11:$B$310),INDEX(半紙!$E$11:$E$310,549),IF(549&lt;=COUNTA(半紙!$B$11:$B$310)+COUNTA(条幅!$B$11:$B$310),INDEX(条幅!$E$11:$E$310,549-COUNTA(半紙!$B$11:$B$310)),IF(549&lt;=COUNTA(半紙!$B$11:$B$310)+COUNTA(条幅!$B$11:$B$310)+COUNTA(条幅4分の1!$B$11:$B$310),INDEX(条幅4分の1!$E$11:$E$310,549-COUNTA(半紙!$B$11:$B$310)-COUNTA(条幅!$B$11:$B$310)),""))))</f>
        <v/>
      </c>
      <c r="F554" s="38" t="str">
        <f>IF(IF(549&lt;=COUNTA(半紙!$B$11:$B$310),INDEX(半紙!$F$11:$F$310,549),IF(549&lt;=COUNTA(半紙!$B$11:$B$310)+COUNTA(条幅!$B$11:$B$310),INDEX(条幅!$F$11:$F$310,549-COUNTA(半紙!$B$11:$B$310)),IF(549&lt;=COUNTA(半紙!$B$11:$B$310)+COUNTA(条幅!$B$11:$B$310)+COUNTA(条幅4分の1!$B$11:$B$310),INDEX(条幅4分の1!$F$11:$F$310,549-COUNTA(半紙!$B$11:$B$310)-COUNTA(条幅!$B$11:$B$310)),"")))=0,"",IF(549&lt;=COUNTA(半紙!$B$11:$B$310),INDEX(半紙!$F$11:$F$310,549),IF(549&lt;=COUNTA(半紙!$B$11:$B$310)+COUNTA(条幅!$B$11:$B$310),INDEX(条幅!$F$11:$F$310,549-COUNTA(半紙!$B$11:$B$310)),IF(549&lt;=COUNTA(半紙!$B$11:$B$310)+COUNTA(条幅!$B$11:$B$310)+COUNTA(条幅4分の1!$B$11:$B$310),INDEX(条幅4分の1!$F$11:$F$310,549-COUNTA(半紙!$B$11:$B$310)-COUNTA(条幅!$B$11:$B$310)),""))))</f>
        <v/>
      </c>
      <c r="G554" s="38" t="str">
        <f>IF(IF(549&lt;=COUNTA(半紙!$B$11:$B$310),INDEX(半紙!$G$11:$G$310,549),IF(549&lt;=COUNTA(半紙!$B$11:$B$310)+COUNTA(条幅!$B$11:$B$310),INDEX(条幅!$G$11:$G$310,549-COUNTA(半紙!$B$11:$B$310)),IF(549&lt;=COUNTA(半紙!$B$11:$B$310)+COUNTA(条幅!$B$11:$B$310)+COUNTA(条幅4分の1!$B$11:$B$310),INDEX(条幅4分の1!$G$11:$G$310,549-COUNTA(半紙!$B$11:$B$310)-COUNTA(条幅!$B$11:$B$310)),"")))=0,"",IF(549&lt;=COUNTA(半紙!$B$11:$B$310),INDEX(半紙!$G$11:$G$310,549),IF(549&lt;=COUNTA(半紙!$B$11:$B$310)+COUNTA(条幅!$B$11:$B$310),INDEX(条幅!$G$11:$G$310,549-COUNTA(半紙!$B$11:$B$310)),IF(549&lt;=COUNTA(半紙!$B$11:$B$310)+COUNTA(条幅!$B$11:$B$310)+COUNTA(条幅4分の1!$B$11:$B$310),INDEX(条幅4分の1!$G$11:$G$310,549-COUNTA(半紙!$B$11:$B$310)-COUNTA(条幅!$B$11:$B$310)),""))))</f>
        <v/>
      </c>
      <c r="H554" s="38" t="str">
        <f>IF(IF(549&lt;=COUNTA(半紙!$B$11:$B$310),INDEX(半紙!$H$11:$H$310,549),IF(549&lt;=COUNTA(半紙!$B$11:$B$310)+COUNTA(条幅!$B$11:$B$310),INDEX(条幅!$H$11:$H$310,549-COUNTA(半紙!$B$11:$B$310)),IF(549&lt;=COUNTA(半紙!$B$11:$B$310)+COUNTA(条幅!$B$11:$B$310)+COUNTA(条幅4分の1!$B$11:$B$310),INDEX(条幅4分の1!$H$11:$H$310,549-COUNTA(半紙!$B$11:$B$310)-COUNTA(条幅!$B$11:$B$310)),"")))=0,"",IF(549&lt;=COUNTA(半紙!$B$11:$B$310),INDEX(半紙!$H$11:$H$310,549),IF(549&lt;=COUNTA(半紙!$B$11:$B$310)+COUNTA(条幅!$B$11:$B$310),INDEX(条幅!$H$11:$H$310,549-COUNTA(半紙!$B$11:$B$310)),IF(549&lt;=COUNTA(半紙!$B$11:$B$310)+COUNTA(条幅!$B$11:$B$310)+COUNTA(条幅4分の1!$B$11:$B$310),INDEX(条幅4分の1!$H$11:$H$310,549-COUNTA(半紙!$B$11:$B$310)-COUNTA(条幅!$B$11:$B$310)),""))))</f>
        <v/>
      </c>
      <c r="I554" s="38" t="str">
        <f>IF(IF(549&lt;=COUNTA(半紙!$B$11:$B$310),INDEX(半紙!$I$11:$I$310,549),IF(549&lt;=COUNTA(半紙!$B$11:$B$310)+COUNTA(条幅!$B$11:$B$310),INDEX(条幅!$I$11:$I$310,549-COUNTA(半紙!$B$11:$B$310)),IF(549&lt;=COUNTA(半紙!$B$11:$B$310)+COUNTA(条幅!$B$11:$B$310)+COUNTA(条幅4分の1!$B$11:$B$310),INDEX(条幅4分の1!$I$11:$I$310,549-COUNTA(半紙!$B$11:$B$310)-COUNTA(条幅!$B$11:$B$310)),"")))=0,"",IF(549&lt;=COUNTA(半紙!$B$11:$B$310),INDEX(半紙!$I$11:$I$310,549),IF(549&lt;=COUNTA(半紙!$B$11:$B$310)+COUNTA(条幅!$B$11:$B$310),INDEX(条幅!$I$11:$I$310,549-COUNTA(半紙!$B$11:$B$310)),IF(549&lt;=COUNTA(半紙!$B$11:$B$310)+COUNTA(条幅!$B$11:$B$310)+COUNTA(条幅4分の1!$B$11:$B$310),INDEX(条幅4分の1!$I$11:$I$310,549-COUNTA(半紙!$B$11:$B$310)-COUNTA(条幅!$B$11:$B$310)),""))))</f>
        <v/>
      </c>
      <c r="J554" s="38" t="str">
        <f>IF(IF(549&lt;=COUNTA(半紙!$B$11:$B$310),INDEX(半紙!$J$11:$J$310,549),IF(549&lt;=COUNTA(半紙!$B$11:$B$310)+COUNTA(条幅!$B$11:$B$310),INDEX(条幅!$J$11:$J$310,549-COUNTA(半紙!$B$11:$B$310)),IF(549&lt;=COUNTA(半紙!$B$11:$B$310)+COUNTA(条幅!$B$11:$B$310)+COUNTA(条幅4分の1!$B$11:$B$310),INDEX(条幅4分の1!$J$11:$J$310,549-COUNTA(半紙!$B$11:$B$310)-COUNTA(条幅!$B$11:$B$310)),"")))=0,"",IF(549&lt;=COUNTA(半紙!$B$11:$B$310),INDEX(半紙!$J$11:$J$310,549),IF(549&lt;=COUNTA(半紙!$B$11:$B$310)+COUNTA(条幅!$B$11:$B$310),INDEX(条幅!$J$11:$J$310,549-COUNTA(半紙!$B$11:$B$310)),IF(549&lt;=COUNTA(半紙!$B$11:$B$310)+COUNTA(条幅!$B$11:$B$310)+COUNTA(条幅4分の1!$B$11:$B$310),INDEX(条幅4分の1!$J$11:$J$310,549-COUNTA(半紙!$B$11:$B$310)-COUNTA(条幅!$B$11:$B$310)),""))))</f>
        <v/>
      </c>
      <c r="K554" s="38" t="str">
        <f>IF(IF(549&lt;=COUNTA(半紙!$B$11:$B$310),INDEX(半紙!$K$11:$K$310,549),IF(549&lt;=COUNTA(半紙!$B$11:$B$310)+COUNTA(条幅!$B$11:$B$310),INDEX(条幅!$K$11:$K$310,549-COUNTA(半紙!$B$11:$B$310)),IF(549&lt;=COUNTA(半紙!$B$11:$B$310)+COUNTA(条幅!$B$11:$B$310)+COUNTA(条幅4分の1!$B$11:$B$310),INDEX(条幅4分の1!$K$11:$K$310,549-COUNTA(半紙!$B$11:$B$310)-COUNTA(条幅!$B$11:$B$310)),"")))=0,"",IF(549&lt;=COUNTA(半紙!$B$11:$B$310),INDEX(半紙!$K$11:$K$310,549),IF(549&lt;=COUNTA(半紙!$B$11:$B$310)+COUNTA(条幅!$B$11:$B$310),INDEX(条幅!$K$11:$K$310,549-COUNTA(半紙!$B$11:$B$310)),IF(549&lt;=COUNTA(半紙!$B$11:$B$310)+COUNTA(条幅!$B$11:$B$310)+COUNTA(条幅4分の1!$B$11:$B$310),INDEX(条幅4分の1!$K$11:$K$310,549-COUNTA(半紙!$B$11:$B$310)-COUNTA(条幅!$B$11:$B$310)),""))))</f>
        <v/>
      </c>
      <c r="L554" s="48" t="str">
        <f>IF($B554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549))</f>
        <v/>
      </c>
    </row>
    <row r="555" spans="1:12" ht="15" customHeight="1">
      <c r="A555" s="37" t="str">
        <f>IF(550&lt;=COUNTA(半紙!$B$11:$B$310),"半紙",IF(550&lt;=COUNTA(半紙!$B$11:$B$310)+COUNTA(条幅!$B$11:$B$310),"条幅(半切)",IF(550&lt;=COUNTA(半紙!$B$11:$B$310)+COUNTA(条幅!$B$11:$B$310)+COUNTA(条幅4分の1!$B$11:$B$310),"条幅(1/4)","")))</f>
        <v/>
      </c>
      <c r="B555" s="38" t="str">
        <f>IF(IF(550&lt;=COUNTA(半紙!$B$11:$B$310),INDEX(半紙!$B$11:$B$310,550),IF(550&lt;=COUNTA(半紙!$B$11:$B$310)+COUNTA(条幅!$B$11:$B$310),INDEX(条幅!$B$11:$B$310,550-COUNTA(半紙!$B$11:$B$310)),IF(550&lt;=COUNTA(半紙!$B$11:$B$310)+COUNTA(条幅!$B$11:$B$310)+COUNTA(条幅4分の1!$B$11:$B$310),INDEX(条幅4分の1!$B$11:$B$310,550-COUNTA(半紙!$B$11:$B$310)-COUNTA(条幅!$B$11:$B$310)),"")))=0,"",IF(550&lt;=COUNTA(半紙!$B$11:$B$310),INDEX(半紙!$B$11:$B$310,550),IF(550&lt;=COUNTA(半紙!$B$11:$B$310)+COUNTA(条幅!$B$11:$B$310),INDEX(条幅!$B$11:$B$310,550-COUNTA(半紙!$B$11:$B$310)),IF(550&lt;=COUNTA(半紙!$B$11:$B$310)+COUNTA(条幅!$B$11:$B$310)+COUNTA(条幅4分の1!$B$11:$B$310),INDEX(条幅4分の1!$B$11:$B$310,550-COUNTA(半紙!$B$11:$B$310)-COUNTA(条幅!$B$11:$B$310)),""))))</f>
        <v/>
      </c>
      <c r="C555" s="38" t="str">
        <f>IF(IF(550&lt;=COUNTA(半紙!$B$11:$B$310),INDEX(半紙!$C$11:$C$310,550),IF(550&lt;=COUNTA(半紙!$B$11:$B$310)+COUNTA(条幅!$B$11:$B$310),INDEX(条幅!$C$11:$C$310,550-COUNTA(半紙!$B$11:$B$310)),IF(550&lt;=COUNTA(半紙!$B$11:$B$310)+COUNTA(条幅!$B$11:$B$310)+COUNTA(条幅4分の1!$B$11:$B$310),INDEX(条幅4分の1!$C$11:$C$310,550-COUNTA(半紙!$B$11:$B$310)-COUNTA(条幅!$B$11:$B$310)),"")))=0,"",IF(550&lt;=COUNTA(半紙!$B$11:$B$310),INDEX(半紙!$C$11:$C$310,550),IF(550&lt;=COUNTA(半紙!$B$11:$B$310)+COUNTA(条幅!$B$11:$B$310),INDEX(条幅!$C$11:$C$310,550-COUNTA(半紙!$B$11:$B$310)),IF(550&lt;=COUNTA(半紙!$B$11:$B$310)+COUNTA(条幅!$B$11:$B$310)+COUNTA(条幅4分の1!$B$11:$B$310),INDEX(条幅4分の1!$C$11:$C$310,550-COUNTA(半紙!$B$11:$B$310)-COUNTA(条幅!$B$11:$B$310)),""))))</f>
        <v/>
      </c>
      <c r="D555" s="38" t="str">
        <f>IF(IF(550&lt;=COUNTA(半紙!$B$11:$B$310),INDEX(半紙!$D$11:$D$310,550),IF(550&lt;=COUNTA(半紙!$B$11:$B$310)+COUNTA(条幅!$B$11:$B$310),INDEX(条幅!$D$11:$D$310,550-COUNTA(半紙!$B$11:$B$310)),IF(550&lt;=COUNTA(半紙!$B$11:$B$310)+COUNTA(条幅!$B$11:$B$310)+COUNTA(条幅4分の1!$B$11:$B$310),INDEX(条幅4分の1!$D$11:$D$310,550-COUNTA(半紙!$B$11:$B$310)-COUNTA(条幅!$B$11:$B$310)),"")))=0,"",IF(550&lt;=COUNTA(半紙!$B$11:$B$310),INDEX(半紙!$D$11:$D$310,550),IF(550&lt;=COUNTA(半紙!$B$11:$B$310)+COUNTA(条幅!$B$11:$B$310),INDEX(条幅!$D$11:$D$310,550-COUNTA(半紙!$B$11:$B$310)),IF(550&lt;=COUNTA(半紙!$B$11:$B$310)+COUNTA(条幅!$B$11:$B$310)+COUNTA(条幅4分の1!$B$11:$B$310),INDEX(条幅4分の1!$D$11:$D$310,550-COUNTA(半紙!$B$11:$B$310)-COUNTA(条幅!$B$11:$B$310)),""))))</f>
        <v/>
      </c>
      <c r="E555" s="38" t="str">
        <f>IF(IF(550&lt;=COUNTA(半紙!$B$11:$B$310),INDEX(半紙!$E$11:$E$310,550),IF(550&lt;=COUNTA(半紙!$B$11:$B$310)+COUNTA(条幅!$B$11:$B$310),INDEX(条幅!$E$11:$E$310,550-COUNTA(半紙!$B$11:$B$310)),IF(550&lt;=COUNTA(半紙!$B$11:$B$310)+COUNTA(条幅!$B$11:$B$310)+COUNTA(条幅4分の1!$B$11:$B$310),INDEX(条幅4分の1!$E$11:$E$310,550-COUNTA(半紙!$B$11:$B$310)-COUNTA(条幅!$B$11:$B$310)),"")))=0,"",IF(550&lt;=COUNTA(半紙!$B$11:$B$310),INDEX(半紙!$E$11:$E$310,550),IF(550&lt;=COUNTA(半紙!$B$11:$B$310)+COUNTA(条幅!$B$11:$B$310),INDEX(条幅!$E$11:$E$310,550-COUNTA(半紙!$B$11:$B$310)),IF(550&lt;=COUNTA(半紙!$B$11:$B$310)+COUNTA(条幅!$B$11:$B$310)+COUNTA(条幅4分の1!$B$11:$B$310),INDEX(条幅4分の1!$E$11:$E$310,550-COUNTA(半紙!$B$11:$B$310)-COUNTA(条幅!$B$11:$B$310)),""))))</f>
        <v/>
      </c>
      <c r="F555" s="38" t="str">
        <f>IF(IF(550&lt;=COUNTA(半紙!$B$11:$B$310),INDEX(半紙!$F$11:$F$310,550),IF(550&lt;=COUNTA(半紙!$B$11:$B$310)+COUNTA(条幅!$B$11:$B$310),INDEX(条幅!$F$11:$F$310,550-COUNTA(半紙!$B$11:$B$310)),IF(550&lt;=COUNTA(半紙!$B$11:$B$310)+COUNTA(条幅!$B$11:$B$310)+COUNTA(条幅4分の1!$B$11:$B$310),INDEX(条幅4分の1!$F$11:$F$310,550-COUNTA(半紙!$B$11:$B$310)-COUNTA(条幅!$B$11:$B$310)),"")))=0,"",IF(550&lt;=COUNTA(半紙!$B$11:$B$310),INDEX(半紙!$F$11:$F$310,550),IF(550&lt;=COUNTA(半紙!$B$11:$B$310)+COUNTA(条幅!$B$11:$B$310),INDEX(条幅!$F$11:$F$310,550-COUNTA(半紙!$B$11:$B$310)),IF(550&lt;=COUNTA(半紙!$B$11:$B$310)+COUNTA(条幅!$B$11:$B$310)+COUNTA(条幅4分の1!$B$11:$B$310),INDEX(条幅4分の1!$F$11:$F$310,550-COUNTA(半紙!$B$11:$B$310)-COUNTA(条幅!$B$11:$B$310)),""))))</f>
        <v/>
      </c>
      <c r="G555" s="38" t="str">
        <f>IF(IF(550&lt;=COUNTA(半紙!$B$11:$B$310),INDEX(半紙!$G$11:$G$310,550),IF(550&lt;=COUNTA(半紙!$B$11:$B$310)+COUNTA(条幅!$B$11:$B$310),INDEX(条幅!$G$11:$G$310,550-COUNTA(半紙!$B$11:$B$310)),IF(550&lt;=COUNTA(半紙!$B$11:$B$310)+COUNTA(条幅!$B$11:$B$310)+COUNTA(条幅4分の1!$B$11:$B$310),INDEX(条幅4分の1!$G$11:$G$310,550-COUNTA(半紙!$B$11:$B$310)-COUNTA(条幅!$B$11:$B$310)),"")))=0,"",IF(550&lt;=COUNTA(半紙!$B$11:$B$310),INDEX(半紙!$G$11:$G$310,550),IF(550&lt;=COUNTA(半紙!$B$11:$B$310)+COUNTA(条幅!$B$11:$B$310),INDEX(条幅!$G$11:$G$310,550-COUNTA(半紙!$B$11:$B$310)),IF(550&lt;=COUNTA(半紙!$B$11:$B$310)+COUNTA(条幅!$B$11:$B$310)+COUNTA(条幅4分の1!$B$11:$B$310),INDEX(条幅4分の1!$G$11:$G$310,550-COUNTA(半紙!$B$11:$B$310)-COUNTA(条幅!$B$11:$B$310)),""))))</f>
        <v/>
      </c>
      <c r="H555" s="38" t="str">
        <f>IF(IF(550&lt;=COUNTA(半紙!$B$11:$B$310),INDEX(半紙!$H$11:$H$310,550),IF(550&lt;=COUNTA(半紙!$B$11:$B$310)+COUNTA(条幅!$B$11:$B$310),INDEX(条幅!$H$11:$H$310,550-COUNTA(半紙!$B$11:$B$310)),IF(550&lt;=COUNTA(半紙!$B$11:$B$310)+COUNTA(条幅!$B$11:$B$310)+COUNTA(条幅4分の1!$B$11:$B$310),INDEX(条幅4分の1!$H$11:$H$310,550-COUNTA(半紙!$B$11:$B$310)-COUNTA(条幅!$B$11:$B$310)),"")))=0,"",IF(550&lt;=COUNTA(半紙!$B$11:$B$310),INDEX(半紙!$H$11:$H$310,550),IF(550&lt;=COUNTA(半紙!$B$11:$B$310)+COUNTA(条幅!$B$11:$B$310),INDEX(条幅!$H$11:$H$310,550-COUNTA(半紙!$B$11:$B$310)),IF(550&lt;=COUNTA(半紙!$B$11:$B$310)+COUNTA(条幅!$B$11:$B$310)+COUNTA(条幅4分の1!$B$11:$B$310),INDEX(条幅4分の1!$H$11:$H$310,550-COUNTA(半紙!$B$11:$B$310)-COUNTA(条幅!$B$11:$B$310)),""))))</f>
        <v/>
      </c>
      <c r="I555" s="38" t="str">
        <f>IF(IF(550&lt;=COUNTA(半紙!$B$11:$B$310),INDEX(半紙!$I$11:$I$310,550),IF(550&lt;=COUNTA(半紙!$B$11:$B$310)+COUNTA(条幅!$B$11:$B$310),INDEX(条幅!$I$11:$I$310,550-COUNTA(半紙!$B$11:$B$310)),IF(550&lt;=COUNTA(半紙!$B$11:$B$310)+COUNTA(条幅!$B$11:$B$310)+COUNTA(条幅4分の1!$B$11:$B$310),INDEX(条幅4分の1!$I$11:$I$310,550-COUNTA(半紙!$B$11:$B$310)-COUNTA(条幅!$B$11:$B$310)),"")))=0,"",IF(550&lt;=COUNTA(半紙!$B$11:$B$310),INDEX(半紙!$I$11:$I$310,550),IF(550&lt;=COUNTA(半紙!$B$11:$B$310)+COUNTA(条幅!$B$11:$B$310),INDEX(条幅!$I$11:$I$310,550-COUNTA(半紙!$B$11:$B$310)),IF(550&lt;=COUNTA(半紙!$B$11:$B$310)+COUNTA(条幅!$B$11:$B$310)+COUNTA(条幅4分の1!$B$11:$B$310),INDEX(条幅4分の1!$I$11:$I$310,550-COUNTA(半紙!$B$11:$B$310)-COUNTA(条幅!$B$11:$B$310)),""))))</f>
        <v/>
      </c>
      <c r="J555" s="38" t="str">
        <f>IF(IF(550&lt;=COUNTA(半紙!$B$11:$B$310),INDEX(半紙!$J$11:$J$310,550),IF(550&lt;=COUNTA(半紙!$B$11:$B$310)+COUNTA(条幅!$B$11:$B$310),INDEX(条幅!$J$11:$J$310,550-COUNTA(半紙!$B$11:$B$310)),IF(550&lt;=COUNTA(半紙!$B$11:$B$310)+COUNTA(条幅!$B$11:$B$310)+COUNTA(条幅4分の1!$B$11:$B$310),INDEX(条幅4分の1!$J$11:$J$310,550-COUNTA(半紙!$B$11:$B$310)-COUNTA(条幅!$B$11:$B$310)),"")))=0,"",IF(550&lt;=COUNTA(半紙!$B$11:$B$310),INDEX(半紙!$J$11:$J$310,550),IF(550&lt;=COUNTA(半紙!$B$11:$B$310)+COUNTA(条幅!$B$11:$B$310),INDEX(条幅!$J$11:$J$310,550-COUNTA(半紙!$B$11:$B$310)),IF(550&lt;=COUNTA(半紙!$B$11:$B$310)+COUNTA(条幅!$B$11:$B$310)+COUNTA(条幅4分の1!$B$11:$B$310),INDEX(条幅4分の1!$J$11:$J$310,550-COUNTA(半紙!$B$11:$B$310)-COUNTA(条幅!$B$11:$B$310)),""))))</f>
        <v/>
      </c>
      <c r="K555" s="38" t="str">
        <f>IF(IF(550&lt;=COUNTA(半紙!$B$11:$B$310),INDEX(半紙!$K$11:$K$310,550),IF(550&lt;=COUNTA(半紙!$B$11:$B$310)+COUNTA(条幅!$B$11:$B$310),INDEX(条幅!$K$11:$K$310,550-COUNTA(半紙!$B$11:$B$310)),IF(550&lt;=COUNTA(半紙!$B$11:$B$310)+COUNTA(条幅!$B$11:$B$310)+COUNTA(条幅4分の1!$B$11:$B$310),INDEX(条幅4分の1!$K$11:$K$310,550-COUNTA(半紙!$B$11:$B$310)-COUNTA(条幅!$B$11:$B$310)),"")))=0,"",IF(550&lt;=COUNTA(半紙!$B$11:$B$310),INDEX(半紙!$K$11:$K$310,550),IF(550&lt;=COUNTA(半紙!$B$11:$B$310)+COUNTA(条幅!$B$11:$B$310),INDEX(条幅!$K$11:$K$310,550-COUNTA(半紙!$B$11:$B$310)),IF(550&lt;=COUNTA(半紙!$B$11:$B$310)+COUNTA(条幅!$B$11:$B$310)+COUNTA(条幅4分の1!$B$11:$B$310),INDEX(条幅4分の1!$K$11:$K$310,550-COUNTA(半紙!$B$11:$B$310)-COUNTA(条幅!$B$11:$B$310)),""))))</f>
        <v/>
      </c>
      <c r="L555" s="48" t="str">
        <f>IF($B555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550))</f>
        <v/>
      </c>
    </row>
    <row r="556" spans="1:12" ht="15" customHeight="1">
      <c r="A556" s="37" t="str">
        <f>IF(551&lt;=COUNTA(半紙!$B$11:$B$310),"半紙",IF(551&lt;=COUNTA(半紙!$B$11:$B$310)+COUNTA(条幅!$B$11:$B$310),"条幅(半切)",IF(551&lt;=COUNTA(半紙!$B$11:$B$310)+COUNTA(条幅!$B$11:$B$310)+COUNTA(条幅4分の1!$B$11:$B$310),"条幅(1/4)","")))</f>
        <v/>
      </c>
      <c r="B556" s="38" t="str">
        <f>IF(IF(551&lt;=COUNTA(半紙!$B$11:$B$310),INDEX(半紙!$B$11:$B$310,551),IF(551&lt;=COUNTA(半紙!$B$11:$B$310)+COUNTA(条幅!$B$11:$B$310),INDEX(条幅!$B$11:$B$310,551-COUNTA(半紙!$B$11:$B$310)),IF(551&lt;=COUNTA(半紙!$B$11:$B$310)+COUNTA(条幅!$B$11:$B$310)+COUNTA(条幅4分の1!$B$11:$B$310),INDEX(条幅4分の1!$B$11:$B$310,551-COUNTA(半紙!$B$11:$B$310)-COUNTA(条幅!$B$11:$B$310)),"")))=0,"",IF(551&lt;=COUNTA(半紙!$B$11:$B$310),INDEX(半紙!$B$11:$B$310,551),IF(551&lt;=COUNTA(半紙!$B$11:$B$310)+COUNTA(条幅!$B$11:$B$310),INDEX(条幅!$B$11:$B$310,551-COUNTA(半紙!$B$11:$B$310)),IF(551&lt;=COUNTA(半紙!$B$11:$B$310)+COUNTA(条幅!$B$11:$B$310)+COUNTA(条幅4分の1!$B$11:$B$310),INDEX(条幅4分の1!$B$11:$B$310,551-COUNTA(半紙!$B$11:$B$310)-COUNTA(条幅!$B$11:$B$310)),""))))</f>
        <v/>
      </c>
      <c r="C556" s="38" t="str">
        <f>IF(IF(551&lt;=COUNTA(半紙!$B$11:$B$310),INDEX(半紙!$C$11:$C$310,551),IF(551&lt;=COUNTA(半紙!$B$11:$B$310)+COUNTA(条幅!$B$11:$B$310),INDEX(条幅!$C$11:$C$310,551-COUNTA(半紙!$B$11:$B$310)),IF(551&lt;=COUNTA(半紙!$B$11:$B$310)+COUNTA(条幅!$B$11:$B$310)+COUNTA(条幅4分の1!$B$11:$B$310),INDEX(条幅4分の1!$C$11:$C$310,551-COUNTA(半紙!$B$11:$B$310)-COUNTA(条幅!$B$11:$B$310)),"")))=0,"",IF(551&lt;=COUNTA(半紙!$B$11:$B$310),INDEX(半紙!$C$11:$C$310,551),IF(551&lt;=COUNTA(半紙!$B$11:$B$310)+COUNTA(条幅!$B$11:$B$310),INDEX(条幅!$C$11:$C$310,551-COUNTA(半紙!$B$11:$B$310)),IF(551&lt;=COUNTA(半紙!$B$11:$B$310)+COUNTA(条幅!$B$11:$B$310)+COUNTA(条幅4分の1!$B$11:$B$310),INDEX(条幅4分の1!$C$11:$C$310,551-COUNTA(半紙!$B$11:$B$310)-COUNTA(条幅!$B$11:$B$310)),""))))</f>
        <v/>
      </c>
      <c r="D556" s="38" t="str">
        <f>IF(IF(551&lt;=COUNTA(半紙!$B$11:$B$310),INDEX(半紙!$D$11:$D$310,551),IF(551&lt;=COUNTA(半紙!$B$11:$B$310)+COUNTA(条幅!$B$11:$B$310),INDEX(条幅!$D$11:$D$310,551-COUNTA(半紙!$B$11:$B$310)),IF(551&lt;=COUNTA(半紙!$B$11:$B$310)+COUNTA(条幅!$B$11:$B$310)+COUNTA(条幅4分の1!$B$11:$B$310),INDEX(条幅4分の1!$D$11:$D$310,551-COUNTA(半紙!$B$11:$B$310)-COUNTA(条幅!$B$11:$B$310)),"")))=0,"",IF(551&lt;=COUNTA(半紙!$B$11:$B$310),INDEX(半紙!$D$11:$D$310,551),IF(551&lt;=COUNTA(半紙!$B$11:$B$310)+COUNTA(条幅!$B$11:$B$310),INDEX(条幅!$D$11:$D$310,551-COUNTA(半紙!$B$11:$B$310)),IF(551&lt;=COUNTA(半紙!$B$11:$B$310)+COUNTA(条幅!$B$11:$B$310)+COUNTA(条幅4分の1!$B$11:$B$310),INDEX(条幅4分の1!$D$11:$D$310,551-COUNTA(半紙!$B$11:$B$310)-COUNTA(条幅!$B$11:$B$310)),""))))</f>
        <v/>
      </c>
      <c r="E556" s="38" t="str">
        <f>IF(IF(551&lt;=COUNTA(半紙!$B$11:$B$310),INDEX(半紙!$E$11:$E$310,551),IF(551&lt;=COUNTA(半紙!$B$11:$B$310)+COUNTA(条幅!$B$11:$B$310),INDEX(条幅!$E$11:$E$310,551-COUNTA(半紙!$B$11:$B$310)),IF(551&lt;=COUNTA(半紙!$B$11:$B$310)+COUNTA(条幅!$B$11:$B$310)+COUNTA(条幅4分の1!$B$11:$B$310),INDEX(条幅4分の1!$E$11:$E$310,551-COUNTA(半紙!$B$11:$B$310)-COUNTA(条幅!$B$11:$B$310)),"")))=0,"",IF(551&lt;=COUNTA(半紙!$B$11:$B$310),INDEX(半紙!$E$11:$E$310,551),IF(551&lt;=COUNTA(半紙!$B$11:$B$310)+COUNTA(条幅!$B$11:$B$310),INDEX(条幅!$E$11:$E$310,551-COUNTA(半紙!$B$11:$B$310)),IF(551&lt;=COUNTA(半紙!$B$11:$B$310)+COUNTA(条幅!$B$11:$B$310)+COUNTA(条幅4分の1!$B$11:$B$310),INDEX(条幅4分の1!$E$11:$E$310,551-COUNTA(半紙!$B$11:$B$310)-COUNTA(条幅!$B$11:$B$310)),""))))</f>
        <v/>
      </c>
      <c r="F556" s="38" t="str">
        <f>IF(IF(551&lt;=COUNTA(半紙!$B$11:$B$310),INDEX(半紙!$F$11:$F$310,551),IF(551&lt;=COUNTA(半紙!$B$11:$B$310)+COUNTA(条幅!$B$11:$B$310),INDEX(条幅!$F$11:$F$310,551-COUNTA(半紙!$B$11:$B$310)),IF(551&lt;=COUNTA(半紙!$B$11:$B$310)+COUNTA(条幅!$B$11:$B$310)+COUNTA(条幅4分の1!$B$11:$B$310),INDEX(条幅4分の1!$F$11:$F$310,551-COUNTA(半紙!$B$11:$B$310)-COUNTA(条幅!$B$11:$B$310)),"")))=0,"",IF(551&lt;=COUNTA(半紙!$B$11:$B$310),INDEX(半紙!$F$11:$F$310,551),IF(551&lt;=COUNTA(半紙!$B$11:$B$310)+COUNTA(条幅!$B$11:$B$310),INDEX(条幅!$F$11:$F$310,551-COUNTA(半紙!$B$11:$B$310)),IF(551&lt;=COUNTA(半紙!$B$11:$B$310)+COUNTA(条幅!$B$11:$B$310)+COUNTA(条幅4分の1!$B$11:$B$310),INDEX(条幅4分の1!$F$11:$F$310,551-COUNTA(半紙!$B$11:$B$310)-COUNTA(条幅!$B$11:$B$310)),""))))</f>
        <v/>
      </c>
      <c r="G556" s="38" t="str">
        <f>IF(IF(551&lt;=COUNTA(半紙!$B$11:$B$310),INDEX(半紙!$G$11:$G$310,551),IF(551&lt;=COUNTA(半紙!$B$11:$B$310)+COUNTA(条幅!$B$11:$B$310),INDEX(条幅!$G$11:$G$310,551-COUNTA(半紙!$B$11:$B$310)),IF(551&lt;=COUNTA(半紙!$B$11:$B$310)+COUNTA(条幅!$B$11:$B$310)+COUNTA(条幅4分の1!$B$11:$B$310),INDEX(条幅4分の1!$G$11:$G$310,551-COUNTA(半紙!$B$11:$B$310)-COUNTA(条幅!$B$11:$B$310)),"")))=0,"",IF(551&lt;=COUNTA(半紙!$B$11:$B$310),INDEX(半紙!$G$11:$G$310,551),IF(551&lt;=COUNTA(半紙!$B$11:$B$310)+COUNTA(条幅!$B$11:$B$310),INDEX(条幅!$G$11:$G$310,551-COUNTA(半紙!$B$11:$B$310)),IF(551&lt;=COUNTA(半紙!$B$11:$B$310)+COUNTA(条幅!$B$11:$B$310)+COUNTA(条幅4分の1!$B$11:$B$310),INDEX(条幅4分の1!$G$11:$G$310,551-COUNTA(半紙!$B$11:$B$310)-COUNTA(条幅!$B$11:$B$310)),""))))</f>
        <v/>
      </c>
      <c r="H556" s="38" t="str">
        <f>IF(IF(551&lt;=COUNTA(半紙!$B$11:$B$310),INDEX(半紙!$H$11:$H$310,551),IF(551&lt;=COUNTA(半紙!$B$11:$B$310)+COUNTA(条幅!$B$11:$B$310),INDEX(条幅!$H$11:$H$310,551-COUNTA(半紙!$B$11:$B$310)),IF(551&lt;=COUNTA(半紙!$B$11:$B$310)+COUNTA(条幅!$B$11:$B$310)+COUNTA(条幅4分の1!$B$11:$B$310),INDEX(条幅4分の1!$H$11:$H$310,551-COUNTA(半紙!$B$11:$B$310)-COUNTA(条幅!$B$11:$B$310)),"")))=0,"",IF(551&lt;=COUNTA(半紙!$B$11:$B$310),INDEX(半紙!$H$11:$H$310,551),IF(551&lt;=COUNTA(半紙!$B$11:$B$310)+COUNTA(条幅!$B$11:$B$310),INDEX(条幅!$H$11:$H$310,551-COUNTA(半紙!$B$11:$B$310)),IF(551&lt;=COUNTA(半紙!$B$11:$B$310)+COUNTA(条幅!$B$11:$B$310)+COUNTA(条幅4分の1!$B$11:$B$310),INDEX(条幅4分の1!$H$11:$H$310,551-COUNTA(半紙!$B$11:$B$310)-COUNTA(条幅!$B$11:$B$310)),""))))</f>
        <v/>
      </c>
      <c r="I556" s="38" t="str">
        <f>IF(IF(551&lt;=COUNTA(半紙!$B$11:$B$310),INDEX(半紙!$I$11:$I$310,551),IF(551&lt;=COUNTA(半紙!$B$11:$B$310)+COUNTA(条幅!$B$11:$B$310),INDEX(条幅!$I$11:$I$310,551-COUNTA(半紙!$B$11:$B$310)),IF(551&lt;=COUNTA(半紙!$B$11:$B$310)+COUNTA(条幅!$B$11:$B$310)+COUNTA(条幅4分の1!$B$11:$B$310),INDEX(条幅4分の1!$I$11:$I$310,551-COUNTA(半紙!$B$11:$B$310)-COUNTA(条幅!$B$11:$B$310)),"")))=0,"",IF(551&lt;=COUNTA(半紙!$B$11:$B$310),INDEX(半紙!$I$11:$I$310,551),IF(551&lt;=COUNTA(半紙!$B$11:$B$310)+COUNTA(条幅!$B$11:$B$310),INDEX(条幅!$I$11:$I$310,551-COUNTA(半紙!$B$11:$B$310)),IF(551&lt;=COUNTA(半紙!$B$11:$B$310)+COUNTA(条幅!$B$11:$B$310)+COUNTA(条幅4分の1!$B$11:$B$310),INDEX(条幅4分の1!$I$11:$I$310,551-COUNTA(半紙!$B$11:$B$310)-COUNTA(条幅!$B$11:$B$310)),""))))</f>
        <v/>
      </c>
      <c r="J556" s="38" t="str">
        <f>IF(IF(551&lt;=COUNTA(半紙!$B$11:$B$310),INDEX(半紙!$J$11:$J$310,551),IF(551&lt;=COUNTA(半紙!$B$11:$B$310)+COUNTA(条幅!$B$11:$B$310),INDEX(条幅!$J$11:$J$310,551-COUNTA(半紙!$B$11:$B$310)),IF(551&lt;=COUNTA(半紙!$B$11:$B$310)+COUNTA(条幅!$B$11:$B$310)+COUNTA(条幅4分の1!$B$11:$B$310),INDEX(条幅4分の1!$J$11:$J$310,551-COUNTA(半紙!$B$11:$B$310)-COUNTA(条幅!$B$11:$B$310)),"")))=0,"",IF(551&lt;=COUNTA(半紙!$B$11:$B$310),INDEX(半紙!$J$11:$J$310,551),IF(551&lt;=COUNTA(半紙!$B$11:$B$310)+COUNTA(条幅!$B$11:$B$310),INDEX(条幅!$J$11:$J$310,551-COUNTA(半紙!$B$11:$B$310)),IF(551&lt;=COUNTA(半紙!$B$11:$B$310)+COUNTA(条幅!$B$11:$B$310)+COUNTA(条幅4分の1!$B$11:$B$310),INDEX(条幅4分の1!$J$11:$J$310,551-COUNTA(半紙!$B$11:$B$310)-COUNTA(条幅!$B$11:$B$310)),""))))</f>
        <v/>
      </c>
      <c r="K556" s="38" t="str">
        <f>IF(IF(551&lt;=COUNTA(半紙!$B$11:$B$310),INDEX(半紙!$K$11:$K$310,551),IF(551&lt;=COUNTA(半紙!$B$11:$B$310)+COUNTA(条幅!$B$11:$B$310),INDEX(条幅!$K$11:$K$310,551-COUNTA(半紙!$B$11:$B$310)),IF(551&lt;=COUNTA(半紙!$B$11:$B$310)+COUNTA(条幅!$B$11:$B$310)+COUNTA(条幅4分の1!$B$11:$B$310),INDEX(条幅4分の1!$K$11:$K$310,551-COUNTA(半紙!$B$11:$B$310)-COUNTA(条幅!$B$11:$B$310)),"")))=0,"",IF(551&lt;=COUNTA(半紙!$B$11:$B$310),INDEX(半紙!$K$11:$K$310,551),IF(551&lt;=COUNTA(半紙!$B$11:$B$310)+COUNTA(条幅!$B$11:$B$310),INDEX(条幅!$K$11:$K$310,551-COUNTA(半紙!$B$11:$B$310)),IF(551&lt;=COUNTA(半紙!$B$11:$B$310)+COUNTA(条幅!$B$11:$B$310)+COUNTA(条幅4分の1!$B$11:$B$310),INDEX(条幅4分の1!$K$11:$K$310,551-COUNTA(半紙!$B$11:$B$310)-COUNTA(条幅!$B$11:$B$310)),""))))</f>
        <v/>
      </c>
      <c r="L556" s="48" t="str">
        <f>IF($B556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551))</f>
        <v/>
      </c>
    </row>
    <row r="557" spans="1:12" ht="15" customHeight="1">
      <c r="A557" s="37" t="str">
        <f>IF(552&lt;=COUNTA(半紙!$B$11:$B$310),"半紙",IF(552&lt;=COUNTA(半紙!$B$11:$B$310)+COUNTA(条幅!$B$11:$B$310),"条幅(半切)",IF(552&lt;=COUNTA(半紙!$B$11:$B$310)+COUNTA(条幅!$B$11:$B$310)+COUNTA(条幅4分の1!$B$11:$B$310),"条幅(1/4)","")))</f>
        <v/>
      </c>
      <c r="B557" s="38" t="str">
        <f>IF(IF(552&lt;=COUNTA(半紙!$B$11:$B$310),INDEX(半紙!$B$11:$B$310,552),IF(552&lt;=COUNTA(半紙!$B$11:$B$310)+COUNTA(条幅!$B$11:$B$310),INDEX(条幅!$B$11:$B$310,552-COUNTA(半紙!$B$11:$B$310)),IF(552&lt;=COUNTA(半紙!$B$11:$B$310)+COUNTA(条幅!$B$11:$B$310)+COUNTA(条幅4分の1!$B$11:$B$310),INDEX(条幅4分の1!$B$11:$B$310,552-COUNTA(半紙!$B$11:$B$310)-COUNTA(条幅!$B$11:$B$310)),"")))=0,"",IF(552&lt;=COUNTA(半紙!$B$11:$B$310),INDEX(半紙!$B$11:$B$310,552),IF(552&lt;=COUNTA(半紙!$B$11:$B$310)+COUNTA(条幅!$B$11:$B$310),INDEX(条幅!$B$11:$B$310,552-COUNTA(半紙!$B$11:$B$310)),IF(552&lt;=COUNTA(半紙!$B$11:$B$310)+COUNTA(条幅!$B$11:$B$310)+COUNTA(条幅4分の1!$B$11:$B$310),INDEX(条幅4分の1!$B$11:$B$310,552-COUNTA(半紙!$B$11:$B$310)-COUNTA(条幅!$B$11:$B$310)),""))))</f>
        <v/>
      </c>
      <c r="C557" s="38" t="str">
        <f>IF(IF(552&lt;=COUNTA(半紙!$B$11:$B$310),INDEX(半紙!$C$11:$C$310,552),IF(552&lt;=COUNTA(半紙!$B$11:$B$310)+COUNTA(条幅!$B$11:$B$310),INDEX(条幅!$C$11:$C$310,552-COUNTA(半紙!$B$11:$B$310)),IF(552&lt;=COUNTA(半紙!$B$11:$B$310)+COUNTA(条幅!$B$11:$B$310)+COUNTA(条幅4分の1!$B$11:$B$310),INDEX(条幅4分の1!$C$11:$C$310,552-COUNTA(半紙!$B$11:$B$310)-COUNTA(条幅!$B$11:$B$310)),"")))=0,"",IF(552&lt;=COUNTA(半紙!$B$11:$B$310),INDEX(半紙!$C$11:$C$310,552),IF(552&lt;=COUNTA(半紙!$B$11:$B$310)+COUNTA(条幅!$B$11:$B$310),INDEX(条幅!$C$11:$C$310,552-COUNTA(半紙!$B$11:$B$310)),IF(552&lt;=COUNTA(半紙!$B$11:$B$310)+COUNTA(条幅!$B$11:$B$310)+COUNTA(条幅4分の1!$B$11:$B$310),INDEX(条幅4分の1!$C$11:$C$310,552-COUNTA(半紙!$B$11:$B$310)-COUNTA(条幅!$B$11:$B$310)),""))))</f>
        <v/>
      </c>
      <c r="D557" s="38" t="str">
        <f>IF(IF(552&lt;=COUNTA(半紙!$B$11:$B$310),INDEX(半紙!$D$11:$D$310,552),IF(552&lt;=COUNTA(半紙!$B$11:$B$310)+COUNTA(条幅!$B$11:$B$310),INDEX(条幅!$D$11:$D$310,552-COUNTA(半紙!$B$11:$B$310)),IF(552&lt;=COUNTA(半紙!$B$11:$B$310)+COUNTA(条幅!$B$11:$B$310)+COUNTA(条幅4分の1!$B$11:$B$310),INDEX(条幅4分の1!$D$11:$D$310,552-COUNTA(半紙!$B$11:$B$310)-COUNTA(条幅!$B$11:$B$310)),"")))=0,"",IF(552&lt;=COUNTA(半紙!$B$11:$B$310),INDEX(半紙!$D$11:$D$310,552),IF(552&lt;=COUNTA(半紙!$B$11:$B$310)+COUNTA(条幅!$B$11:$B$310),INDEX(条幅!$D$11:$D$310,552-COUNTA(半紙!$B$11:$B$310)),IF(552&lt;=COUNTA(半紙!$B$11:$B$310)+COUNTA(条幅!$B$11:$B$310)+COUNTA(条幅4分の1!$B$11:$B$310),INDEX(条幅4分の1!$D$11:$D$310,552-COUNTA(半紙!$B$11:$B$310)-COUNTA(条幅!$B$11:$B$310)),""))))</f>
        <v/>
      </c>
      <c r="E557" s="38" t="str">
        <f>IF(IF(552&lt;=COUNTA(半紙!$B$11:$B$310),INDEX(半紙!$E$11:$E$310,552),IF(552&lt;=COUNTA(半紙!$B$11:$B$310)+COUNTA(条幅!$B$11:$B$310),INDEX(条幅!$E$11:$E$310,552-COUNTA(半紙!$B$11:$B$310)),IF(552&lt;=COUNTA(半紙!$B$11:$B$310)+COUNTA(条幅!$B$11:$B$310)+COUNTA(条幅4分の1!$B$11:$B$310),INDEX(条幅4分の1!$E$11:$E$310,552-COUNTA(半紙!$B$11:$B$310)-COUNTA(条幅!$B$11:$B$310)),"")))=0,"",IF(552&lt;=COUNTA(半紙!$B$11:$B$310),INDEX(半紙!$E$11:$E$310,552),IF(552&lt;=COUNTA(半紙!$B$11:$B$310)+COUNTA(条幅!$B$11:$B$310),INDEX(条幅!$E$11:$E$310,552-COUNTA(半紙!$B$11:$B$310)),IF(552&lt;=COUNTA(半紙!$B$11:$B$310)+COUNTA(条幅!$B$11:$B$310)+COUNTA(条幅4分の1!$B$11:$B$310),INDEX(条幅4分の1!$E$11:$E$310,552-COUNTA(半紙!$B$11:$B$310)-COUNTA(条幅!$B$11:$B$310)),""))))</f>
        <v/>
      </c>
      <c r="F557" s="38" t="str">
        <f>IF(IF(552&lt;=COUNTA(半紙!$B$11:$B$310),INDEX(半紙!$F$11:$F$310,552),IF(552&lt;=COUNTA(半紙!$B$11:$B$310)+COUNTA(条幅!$B$11:$B$310),INDEX(条幅!$F$11:$F$310,552-COUNTA(半紙!$B$11:$B$310)),IF(552&lt;=COUNTA(半紙!$B$11:$B$310)+COUNTA(条幅!$B$11:$B$310)+COUNTA(条幅4分の1!$B$11:$B$310),INDEX(条幅4分の1!$F$11:$F$310,552-COUNTA(半紙!$B$11:$B$310)-COUNTA(条幅!$B$11:$B$310)),"")))=0,"",IF(552&lt;=COUNTA(半紙!$B$11:$B$310),INDEX(半紙!$F$11:$F$310,552),IF(552&lt;=COUNTA(半紙!$B$11:$B$310)+COUNTA(条幅!$B$11:$B$310),INDEX(条幅!$F$11:$F$310,552-COUNTA(半紙!$B$11:$B$310)),IF(552&lt;=COUNTA(半紙!$B$11:$B$310)+COUNTA(条幅!$B$11:$B$310)+COUNTA(条幅4分の1!$B$11:$B$310),INDEX(条幅4分の1!$F$11:$F$310,552-COUNTA(半紙!$B$11:$B$310)-COUNTA(条幅!$B$11:$B$310)),""))))</f>
        <v/>
      </c>
      <c r="G557" s="38" t="str">
        <f>IF(IF(552&lt;=COUNTA(半紙!$B$11:$B$310),INDEX(半紙!$G$11:$G$310,552),IF(552&lt;=COUNTA(半紙!$B$11:$B$310)+COUNTA(条幅!$B$11:$B$310),INDEX(条幅!$G$11:$G$310,552-COUNTA(半紙!$B$11:$B$310)),IF(552&lt;=COUNTA(半紙!$B$11:$B$310)+COUNTA(条幅!$B$11:$B$310)+COUNTA(条幅4分の1!$B$11:$B$310),INDEX(条幅4分の1!$G$11:$G$310,552-COUNTA(半紙!$B$11:$B$310)-COUNTA(条幅!$B$11:$B$310)),"")))=0,"",IF(552&lt;=COUNTA(半紙!$B$11:$B$310),INDEX(半紙!$G$11:$G$310,552),IF(552&lt;=COUNTA(半紙!$B$11:$B$310)+COUNTA(条幅!$B$11:$B$310),INDEX(条幅!$G$11:$G$310,552-COUNTA(半紙!$B$11:$B$310)),IF(552&lt;=COUNTA(半紙!$B$11:$B$310)+COUNTA(条幅!$B$11:$B$310)+COUNTA(条幅4分の1!$B$11:$B$310),INDEX(条幅4分の1!$G$11:$G$310,552-COUNTA(半紙!$B$11:$B$310)-COUNTA(条幅!$B$11:$B$310)),""))))</f>
        <v/>
      </c>
      <c r="H557" s="38" t="str">
        <f>IF(IF(552&lt;=COUNTA(半紙!$B$11:$B$310),INDEX(半紙!$H$11:$H$310,552),IF(552&lt;=COUNTA(半紙!$B$11:$B$310)+COUNTA(条幅!$B$11:$B$310),INDEX(条幅!$H$11:$H$310,552-COUNTA(半紙!$B$11:$B$310)),IF(552&lt;=COUNTA(半紙!$B$11:$B$310)+COUNTA(条幅!$B$11:$B$310)+COUNTA(条幅4分の1!$B$11:$B$310),INDEX(条幅4分の1!$H$11:$H$310,552-COUNTA(半紙!$B$11:$B$310)-COUNTA(条幅!$B$11:$B$310)),"")))=0,"",IF(552&lt;=COUNTA(半紙!$B$11:$B$310),INDEX(半紙!$H$11:$H$310,552),IF(552&lt;=COUNTA(半紙!$B$11:$B$310)+COUNTA(条幅!$B$11:$B$310),INDEX(条幅!$H$11:$H$310,552-COUNTA(半紙!$B$11:$B$310)),IF(552&lt;=COUNTA(半紙!$B$11:$B$310)+COUNTA(条幅!$B$11:$B$310)+COUNTA(条幅4分の1!$B$11:$B$310),INDEX(条幅4分の1!$H$11:$H$310,552-COUNTA(半紙!$B$11:$B$310)-COUNTA(条幅!$B$11:$B$310)),""))))</f>
        <v/>
      </c>
      <c r="I557" s="38" t="str">
        <f>IF(IF(552&lt;=COUNTA(半紙!$B$11:$B$310),INDEX(半紙!$I$11:$I$310,552),IF(552&lt;=COUNTA(半紙!$B$11:$B$310)+COUNTA(条幅!$B$11:$B$310),INDEX(条幅!$I$11:$I$310,552-COUNTA(半紙!$B$11:$B$310)),IF(552&lt;=COUNTA(半紙!$B$11:$B$310)+COUNTA(条幅!$B$11:$B$310)+COUNTA(条幅4分の1!$B$11:$B$310),INDEX(条幅4分の1!$I$11:$I$310,552-COUNTA(半紙!$B$11:$B$310)-COUNTA(条幅!$B$11:$B$310)),"")))=0,"",IF(552&lt;=COUNTA(半紙!$B$11:$B$310),INDEX(半紙!$I$11:$I$310,552),IF(552&lt;=COUNTA(半紙!$B$11:$B$310)+COUNTA(条幅!$B$11:$B$310),INDEX(条幅!$I$11:$I$310,552-COUNTA(半紙!$B$11:$B$310)),IF(552&lt;=COUNTA(半紙!$B$11:$B$310)+COUNTA(条幅!$B$11:$B$310)+COUNTA(条幅4分の1!$B$11:$B$310),INDEX(条幅4分の1!$I$11:$I$310,552-COUNTA(半紙!$B$11:$B$310)-COUNTA(条幅!$B$11:$B$310)),""))))</f>
        <v/>
      </c>
      <c r="J557" s="38" t="str">
        <f>IF(IF(552&lt;=COUNTA(半紙!$B$11:$B$310),INDEX(半紙!$J$11:$J$310,552),IF(552&lt;=COUNTA(半紙!$B$11:$B$310)+COUNTA(条幅!$B$11:$B$310),INDEX(条幅!$J$11:$J$310,552-COUNTA(半紙!$B$11:$B$310)),IF(552&lt;=COUNTA(半紙!$B$11:$B$310)+COUNTA(条幅!$B$11:$B$310)+COUNTA(条幅4分の1!$B$11:$B$310),INDEX(条幅4分の1!$J$11:$J$310,552-COUNTA(半紙!$B$11:$B$310)-COUNTA(条幅!$B$11:$B$310)),"")))=0,"",IF(552&lt;=COUNTA(半紙!$B$11:$B$310),INDEX(半紙!$J$11:$J$310,552),IF(552&lt;=COUNTA(半紙!$B$11:$B$310)+COUNTA(条幅!$B$11:$B$310),INDEX(条幅!$J$11:$J$310,552-COUNTA(半紙!$B$11:$B$310)),IF(552&lt;=COUNTA(半紙!$B$11:$B$310)+COUNTA(条幅!$B$11:$B$310)+COUNTA(条幅4分の1!$B$11:$B$310),INDEX(条幅4分の1!$J$11:$J$310,552-COUNTA(半紙!$B$11:$B$310)-COUNTA(条幅!$B$11:$B$310)),""))))</f>
        <v/>
      </c>
      <c r="K557" s="38" t="str">
        <f>IF(IF(552&lt;=COUNTA(半紙!$B$11:$B$310),INDEX(半紙!$K$11:$K$310,552),IF(552&lt;=COUNTA(半紙!$B$11:$B$310)+COUNTA(条幅!$B$11:$B$310),INDEX(条幅!$K$11:$K$310,552-COUNTA(半紙!$B$11:$B$310)),IF(552&lt;=COUNTA(半紙!$B$11:$B$310)+COUNTA(条幅!$B$11:$B$310)+COUNTA(条幅4分の1!$B$11:$B$310),INDEX(条幅4分の1!$K$11:$K$310,552-COUNTA(半紙!$B$11:$B$310)-COUNTA(条幅!$B$11:$B$310)),"")))=0,"",IF(552&lt;=COUNTA(半紙!$B$11:$B$310),INDEX(半紙!$K$11:$K$310,552),IF(552&lt;=COUNTA(半紙!$B$11:$B$310)+COUNTA(条幅!$B$11:$B$310),INDEX(条幅!$K$11:$K$310,552-COUNTA(半紙!$B$11:$B$310)),IF(552&lt;=COUNTA(半紙!$B$11:$B$310)+COUNTA(条幅!$B$11:$B$310)+COUNTA(条幅4分の1!$B$11:$B$310),INDEX(条幅4分の1!$K$11:$K$310,552-COUNTA(半紙!$B$11:$B$310)-COUNTA(条幅!$B$11:$B$310)),""))))</f>
        <v/>
      </c>
      <c r="L557" s="48" t="str">
        <f>IF($B557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552))</f>
        <v/>
      </c>
    </row>
    <row r="558" spans="1:12" ht="15" customHeight="1">
      <c r="A558" s="37" t="str">
        <f>IF(553&lt;=COUNTA(半紙!$B$11:$B$310),"半紙",IF(553&lt;=COUNTA(半紙!$B$11:$B$310)+COUNTA(条幅!$B$11:$B$310),"条幅(半切)",IF(553&lt;=COUNTA(半紙!$B$11:$B$310)+COUNTA(条幅!$B$11:$B$310)+COUNTA(条幅4分の1!$B$11:$B$310),"条幅(1/4)","")))</f>
        <v/>
      </c>
      <c r="B558" s="38" t="str">
        <f>IF(IF(553&lt;=COUNTA(半紙!$B$11:$B$310),INDEX(半紙!$B$11:$B$310,553),IF(553&lt;=COUNTA(半紙!$B$11:$B$310)+COUNTA(条幅!$B$11:$B$310),INDEX(条幅!$B$11:$B$310,553-COUNTA(半紙!$B$11:$B$310)),IF(553&lt;=COUNTA(半紙!$B$11:$B$310)+COUNTA(条幅!$B$11:$B$310)+COUNTA(条幅4分の1!$B$11:$B$310),INDEX(条幅4分の1!$B$11:$B$310,553-COUNTA(半紙!$B$11:$B$310)-COUNTA(条幅!$B$11:$B$310)),"")))=0,"",IF(553&lt;=COUNTA(半紙!$B$11:$B$310),INDEX(半紙!$B$11:$B$310,553),IF(553&lt;=COUNTA(半紙!$B$11:$B$310)+COUNTA(条幅!$B$11:$B$310),INDEX(条幅!$B$11:$B$310,553-COUNTA(半紙!$B$11:$B$310)),IF(553&lt;=COUNTA(半紙!$B$11:$B$310)+COUNTA(条幅!$B$11:$B$310)+COUNTA(条幅4分の1!$B$11:$B$310),INDEX(条幅4分の1!$B$11:$B$310,553-COUNTA(半紙!$B$11:$B$310)-COUNTA(条幅!$B$11:$B$310)),""))))</f>
        <v/>
      </c>
      <c r="C558" s="38" t="str">
        <f>IF(IF(553&lt;=COUNTA(半紙!$B$11:$B$310),INDEX(半紙!$C$11:$C$310,553),IF(553&lt;=COUNTA(半紙!$B$11:$B$310)+COUNTA(条幅!$B$11:$B$310),INDEX(条幅!$C$11:$C$310,553-COUNTA(半紙!$B$11:$B$310)),IF(553&lt;=COUNTA(半紙!$B$11:$B$310)+COUNTA(条幅!$B$11:$B$310)+COUNTA(条幅4分の1!$B$11:$B$310),INDEX(条幅4分の1!$C$11:$C$310,553-COUNTA(半紙!$B$11:$B$310)-COUNTA(条幅!$B$11:$B$310)),"")))=0,"",IF(553&lt;=COUNTA(半紙!$B$11:$B$310),INDEX(半紙!$C$11:$C$310,553),IF(553&lt;=COUNTA(半紙!$B$11:$B$310)+COUNTA(条幅!$B$11:$B$310),INDEX(条幅!$C$11:$C$310,553-COUNTA(半紙!$B$11:$B$310)),IF(553&lt;=COUNTA(半紙!$B$11:$B$310)+COUNTA(条幅!$B$11:$B$310)+COUNTA(条幅4分の1!$B$11:$B$310),INDEX(条幅4分の1!$C$11:$C$310,553-COUNTA(半紙!$B$11:$B$310)-COUNTA(条幅!$B$11:$B$310)),""))))</f>
        <v/>
      </c>
      <c r="D558" s="38" t="str">
        <f>IF(IF(553&lt;=COUNTA(半紙!$B$11:$B$310),INDEX(半紙!$D$11:$D$310,553),IF(553&lt;=COUNTA(半紙!$B$11:$B$310)+COUNTA(条幅!$B$11:$B$310),INDEX(条幅!$D$11:$D$310,553-COUNTA(半紙!$B$11:$B$310)),IF(553&lt;=COUNTA(半紙!$B$11:$B$310)+COUNTA(条幅!$B$11:$B$310)+COUNTA(条幅4分の1!$B$11:$B$310),INDEX(条幅4分の1!$D$11:$D$310,553-COUNTA(半紙!$B$11:$B$310)-COUNTA(条幅!$B$11:$B$310)),"")))=0,"",IF(553&lt;=COUNTA(半紙!$B$11:$B$310),INDEX(半紙!$D$11:$D$310,553),IF(553&lt;=COUNTA(半紙!$B$11:$B$310)+COUNTA(条幅!$B$11:$B$310),INDEX(条幅!$D$11:$D$310,553-COUNTA(半紙!$B$11:$B$310)),IF(553&lt;=COUNTA(半紙!$B$11:$B$310)+COUNTA(条幅!$B$11:$B$310)+COUNTA(条幅4分の1!$B$11:$B$310),INDEX(条幅4分の1!$D$11:$D$310,553-COUNTA(半紙!$B$11:$B$310)-COUNTA(条幅!$B$11:$B$310)),""))))</f>
        <v/>
      </c>
      <c r="E558" s="38" t="str">
        <f>IF(IF(553&lt;=COUNTA(半紙!$B$11:$B$310),INDEX(半紙!$E$11:$E$310,553),IF(553&lt;=COUNTA(半紙!$B$11:$B$310)+COUNTA(条幅!$B$11:$B$310),INDEX(条幅!$E$11:$E$310,553-COUNTA(半紙!$B$11:$B$310)),IF(553&lt;=COUNTA(半紙!$B$11:$B$310)+COUNTA(条幅!$B$11:$B$310)+COUNTA(条幅4分の1!$B$11:$B$310),INDEX(条幅4分の1!$E$11:$E$310,553-COUNTA(半紙!$B$11:$B$310)-COUNTA(条幅!$B$11:$B$310)),"")))=0,"",IF(553&lt;=COUNTA(半紙!$B$11:$B$310),INDEX(半紙!$E$11:$E$310,553),IF(553&lt;=COUNTA(半紙!$B$11:$B$310)+COUNTA(条幅!$B$11:$B$310),INDEX(条幅!$E$11:$E$310,553-COUNTA(半紙!$B$11:$B$310)),IF(553&lt;=COUNTA(半紙!$B$11:$B$310)+COUNTA(条幅!$B$11:$B$310)+COUNTA(条幅4分の1!$B$11:$B$310),INDEX(条幅4分の1!$E$11:$E$310,553-COUNTA(半紙!$B$11:$B$310)-COUNTA(条幅!$B$11:$B$310)),""))))</f>
        <v/>
      </c>
      <c r="F558" s="38" t="str">
        <f>IF(IF(553&lt;=COUNTA(半紙!$B$11:$B$310),INDEX(半紙!$F$11:$F$310,553),IF(553&lt;=COUNTA(半紙!$B$11:$B$310)+COUNTA(条幅!$B$11:$B$310),INDEX(条幅!$F$11:$F$310,553-COUNTA(半紙!$B$11:$B$310)),IF(553&lt;=COUNTA(半紙!$B$11:$B$310)+COUNTA(条幅!$B$11:$B$310)+COUNTA(条幅4分の1!$B$11:$B$310),INDEX(条幅4分の1!$F$11:$F$310,553-COUNTA(半紙!$B$11:$B$310)-COUNTA(条幅!$B$11:$B$310)),"")))=0,"",IF(553&lt;=COUNTA(半紙!$B$11:$B$310),INDEX(半紙!$F$11:$F$310,553),IF(553&lt;=COUNTA(半紙!$B$11:$B$310)+COUNTA(条幅!$B$11:$B$310),INDEX(条幅!$F$11:$F$310,553-COUNTA(半紙!$B$11:$B$310)),IF(553&lt;=COUNTA(半紙!$B$11:$B$310)+COUNTA(条幅!$B$11:$B$310)+COUNTA(条幅4分の1!$B$11:$B$310),INDEX(条幅4分の1!$F$11:$F$310,553-COUNTA(半紙!$B$11:$B$310)-COUNTA(条幅!$B$11:$B$310)),""))))</f>
        <v/>
      </c>
      <c r="G558" s="38" t="str">
        <f>IF(IF(553&lt;=COUNTA(半紙!$B$11:$B$310),INDEX(半紙!$G$11:$G$310,553),IF(553&lt;=COUNTA(半紙!$B$11:$B$310)+COUNTA(条幅!$B$11:$B$310),INDEX(条幅!$G$11:$G$310,553-COUNTA(半紙!$B$11:$B$310)),IF(553&lt;=COUNTA(半紙!$B$11:$B$310)+COUNTA(条幅!$B$11:$B$310)+COUNTA(条幅4分の1!$B$11:$B$310),INDEX(条幅4分の1!$G$11:$G$310,553-COUNTA(半紙!$B$11:$B$310)-COUNTA(条幅!$B$11:$B$310)),"")))=0,"",IF(553&lt;=COUNTA(半紙!$B$11:$B$310),INDEX(半紙!$G$11:$G$310,553),IF(553&lt;=COUNTA(半紙!$B$11:$B$310)+COUNTA(条幅!$B$11:$B$310),INDEX(条幅!$G$11:$G$310,553-COUNTA(半紙!$B$11:$B$310)),IF(553&lt;=COUNTA(半紙!$B$11:$B$310)+COUNTA(条幅!$B$11:$B$310)+COUNTA(条幅4分の1!$B$11:$B$310),INDEX(条幅4分の1!$G$11:$G$310,553-COUNTA(半紙!$B$11:$B$310)-COUNTA(条幅!$B$11:$B$310)),""))))</f>
        <v/>
      </c>
      <c r="H558" s="38" t="str">
        <f>IF(IF(553&lt;=COUNTA(半紙!$B$11:$B$310),INDEX(半紙!$H$11:$H$310,553),IF(553&lt;=COUNTA(半紙!$B$11:$B$310)+COUNTA(条幅!$B$11:$B$310),INDEX(条幅!$H$11:$H$310,553-COUNTA(半紙!$B$11:$B$310)),IF(553&lt;=COUNTA(半紙!$B$11:$B$310)+COUNTA(条幅!$B$11:$B$310)+COUNTA(条幅4分の1!$B$11:$B$310),INDEX(条幅4分の1!$H$11:$H$310,553-COUNTA(半紙!$B$11:$B$310)-COUNTA(条幅!$B$11:$B$310)),"")))=0,"",IF(553&lt;=COUNTA(半紙!$B$11:$B$310),INDEX(半紙!$H$11:$H$310,553),IF(553&lt;=COUNTA(半紙!$B$11:$B$310)+COUNTA(条幅!$B$11:$B$310),INDEX(条幅!$H$11:$H$310,553-COUNTA(半紙!$B$11:$B$310)),IF(553&lt;=COUNTA(半紙!$B$11:$B$310)+COUNTA(条幅!$B$11:$B$310)+COUNTA(条幅4分の1!$B$11:$B$310),INDEX(条幅4分の1!$H$11:$H$310,553-COUNTA(半紙!$B$11:$B$310)-COUNTA(条幅!$B$11:$B$310)),""))))</f>
        <v/>
      </c>
      <c r="I558" s="38" t="str">
        <f>IF(IF(553&lt;=COUNTA(半紙!$B$11:$B$310),INDEX(半紙!$I$11:$I$310,553),IF(553&lt;=COUNTA(半紙!$B$11:$B$310)+COUNTA(条幅!$B$11:$B$310),INDEX(条幅!$I$11:$I$310,553-COUNTA(半紙!$B$11:$B$310)),IF(553&lt;=COUNTA(半紙!$B$11:$B$310)+COUNTA(条幅!$B$11:$B$310)+COUNTA(条幅4分の1!$B$11:$B$310),INDEX(条幅4分の1!$I$11:$I$310,553-COUNTA(半紙!$B$11:$B$310)-COUNTA(条幅!$B$11:$B$310)),"")))=0,"",IF(553&lt;=COUNTA(半紙!$B$11:$B$310),INDEX(半紙!$I$11:$I$310,553),IF(553&lt;=COUNTA(半紙!$B$11:$B$310)+COUNTA(条幅!$B$11:$B$310),INDEX(条幅!$I$11:$I$310,553-COUNTA(半紙!$B$11:$B$310)),IF(553&lt;=COUNTA(半紙!$B$11:$B$310)+COUNTA(条幅!$B$11:$B$310)+COUNTA(条幅4分の1!$B$11:$B$310),INDEX(条幅4分の1!$I$11:$I$310,553-COUNTA(半紙!$B$11:$B$310)-COUNTA(条幅!$B$11:$B$310)),""))))</f>
        <v/>
      </c>
      <c r="J558" s="38" t="str">
        <f>IF(IF(553&lt;=COUNTA(半紙!$B$11:$B$310),INDEX(半紙!$J$11:$J$310,553),IF(553&lt;=COUNTA(半紙!$B$11:$B$310)+COUNTA(条幅!$B$11:$B$310),INDEX(条幅!$J$11:$J$310,553-COUNTA(半紙!$B$11:$B$310)),IF(553&lt;=COUNTA(半紙!$B$11:$B$310)+COUNTA(条幅!$B$11:$B$310)+COUNTA(条幅4分の1!$B$11:$B$310),INDEX(条幅4分の1!$J$11:$J$310,553-COUNTA(半紙!$B$11:$B$310)-COUNTA(条幅!$B$11:$B$310)),"")))=0,"",IF(553&lt;=COUNTA(半紙!$B$11:$B$310),INDEX(半紙!$J$11:$J$310,553),IF(553&lt;=COUNTA(半紙!$B$11:$B$310)+COUNTA(条幅!$B$11:$B$310),INDEX(条幅!$J$11:$J$310,553-COUNTA(半紙!$B$11:$B$310)),IF(553&lt;=COUNTA(半紙!$B$11:$B$310)+COUNTA(条幅!$B$11:$B$310)+COUNTA(条幅4分の1!$B$11:$B$310),INDEX(条幅4分の1!$J$11:$J$310,553-COUNTA(半紙!$B$11:$B$310)-COUNTA(条幅!$B$11:$B$310)),""))))</f>
        <v/>
      </c>
      <c r="K558" s="38" t="str">
        <f>IF(IF(553&lt;=COUNTA(半紙!$B$11:$B$310),INDEX(半紙!$K$11:$K$310,553),IF(553&lt;=COUNTA(半紙!$B$11:$B$310)+COUNTA(条幅!$B$11:$B$310),INDEX(条幅!$K$11:$K$310,553-COUNTA(半紙!$B$11:$B$310)),IF(553&lt;=COUNTA(半紙!$B$11:$B$310)+COUNTA(条幅!$B$11:$B$310)+COUNTA(条幅4分の1!$B$11:$B$310),INDEX(条幅4分の1!$K$11:$K$310,553-COUNTA(半紙!$B$11:$B$310)-COUNTA(条幅!$B$11:$B$310)),"")))=0,"",IF(553&lt;=COUNTA(半紙!$B$11:$B$310),INDEX(半紙!$K$11:$K$310,553),IF(553&lt;=COUNTA(半紙!$B$11:$B$310)+COUNTA(条幅!$B$11:$B$310),INDEX(条幅!$K$11:$K$310,553-COUNTA(半紙!$B$11:$B$310)),IF(553&lt;=COUNTA(半紙!$B$11:$B$310)+COUNTA(条幅!$B$11:$B$310)+COUNTA(条幅4分の1!$B$11:$B$310),INDEX(条幅4分の1!$K$11:$K$310,553-COUNTA(半紙!$B$11:$B$310)-COUNTA(条幅!$B$11:$B$310)),""))))</f>
        <v/>
      </c>
      <c r="L558" s="48" t="str">
        <f>IF($B558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553))</f>
        <v/>
      </c>
    </row>
    <row r="559" spans="1:12" ht="15" customHeight="1">
      <c r="A559" s="37" t="str">
        <f>IF(554&lt;=COUNTA(半紙!$B$11:$B$310),"半紙",IF(554&lt;=COUNTA(半紙!$B$11:$B$310)+COUNTA(条幅!$B$11:$B$310),"条幅(半切)",IF(554&lt;=COUNTA(半紙!$B$11:$B$310)+COUNTA(条幅!$B$11:$B$310)+COUNTA(条幅4分の1!$B$11:$B$310),"条幅(1/4)","")))</f>
        <v/>
      </c>
      <c r="B559" s="38" t="str">
        <f>IF(IF(554&lt;=COUNTA(半紙!$B$11:$B$310),INDEX(半紙!$B$11:$B$310,554),IF(554&lt;=COUNTA(半紙!$B$11:$B$310)+COUNTA(条幅!$B$11:$B$310),INDEX(条幅!$B$11:$B$310,554-COUNTA(半紙!$B$11:$B$310)),IF(554&lt;=COUNTA(半紙!$B$11:$B$310)+COUNTA(条幅!$B$11:$B$310)+COUNTA(条幅4分の1!$B$11:$B$310),INDEX(条幅4分の1!$B$11:$B$310,554-COUNTA(半紙!$B$11:$B$310)-COUNTA(条幅!$B$11:$B$310)),"")))=0,"",IF(554&lt;=COUNTA(半紙!$B$11:$B$310),INDEX(半紙!$B$11:$B$310,554),IF(554&lt;=COUNTA(半紙!$B$11:$B$310)+COUNTA(条幅!$B$11:$B$310),INDEX(条幅!$B$11:$B$310,554-COUNTA(半紙!$B$11:$B$310)),IF(554&lt;=COUNTA(半紙!$B$11:$B$310)+COUNTA(条幅!$B$11:$B$310)+COUNTA(条幅4分の1!$B$11:$B$310),INDEX(条幅4分の1!$B$11:$B$310,554-COUNTA(半紙!$B$11:$B$310)-COUNTA(条幅!$B$11:$B$310)),""))))</f>
        <v/>
      </c>
      <c r="C559" s="38" t="str">
        <f>IF(IF(554&lt;=COUNTA(半紙!$B$11:$B$310),INDEX(半紙!$C$11:$C$310,554),IF(554&lt;=COUNTA(半紙!$B$11:$B$310)+COUNTA(条幅!$B$11:$B$310),INDEX(条幅!$C$11:$C$310,554-COUNTA(半紙!$B$11:$B$310)),IF(554&lt;=COUNTA(半紙!$B$11:$B$310)+COUNTA(条幅!$B$11:$B$310)+COUNTA(条幅4分の1!$B$11:$B$310),INDEX(条幅4分の1!$C$11:$C$310,554-COUNTA(半紙!$B$11:$B$310)-COUNTA(条幅!$B$11:$B$310)),"")))=0,"",IF(554&lt;=COUNTA(半紙!$B$11:$B$310),INDEX(半紙!$C$11:$C$310,554),IF(554&lt;=COUNTA(半紙!$B$11:$B$310)+COUNTA(条幅!$B$11:$B$310),INDEX(条幅!$C$11:$C$310,554-COUNTA(半紙!$B$11:$B$310)),IF(554&lt;=COUNTA(半紙!$B$11:$B$310)+COUNTA(条幅!$B$11:$B$310)+COUNTA(条幅4分の1!$B$11:$B$310),INDEX(条幅4分の1!$C$11:$C$310,554-COUNTA(半紙!$B$11:$B$310)-COUNTA(条幅!$B$11:$B$310)),""))))</f>
        <v/>
      </c>
      <c r="D559" s="38" t="str">
        <f>IF(IF(554&lt;=COUNTA(半紙!$B$11:$B$310),INDEX(半紙!$D$11:$D$310,554),IF(554&lt;=COUNTA(半紙!$B$11:$B$310)+COUNTA(条幅!$B$11:$B$310),INDEX(条幅!$D$11:$D$310,554-COUNTA(半紙!$B$11:$B$310)),IF(554&lt;=COUNTA(半紙!$B$11:$B$310)+COUNTA(条幅!$B$11:$B$310)+COUNTA(条幅4分の1!$B$11:$B$310),INDEX(条幅4分の1!$D$11:$D$310,554-COUNTA(半紙!$B$11:$B$310)-COUNTA(条幅!$B$11:$B$310)),"")))=0,"",IF(554&lt;=COUNTA(半紙!$B$11:$B$310),INDEX(半紙!$D$11:$D$310,554),IF(554&lt;=COUNTA(半紙!$B$11:$B$310)+COUNTA(条幅!$B$11:$B$310),INDEX(条幅!$D$11:$D$310,554-COUNTA(半紙!$B$11:$B$310)),IF(554&lt;=COUNTA(半紙!$B$11:$B$310)+COUNTA(条幅!$B$11:$B$310)+COUNTA(条幅4分の1!$B$11:$B$310),INDEX(条幅4分の1!$D$11:$D$310,554-COUNTA(半紙!$B$11:$B$310)-COUNTA(条幅!$B$11:$B$310)),""))))</f>
        <v/>
      </c>
      <c r="E559" s="38" t="str">
        <f>IF(IF(554&lt;=COUNTA(半紙!$B$11:$B$310),INDEX(半紙!$E$11:$E$310,554),IF(554&lt;=COUNTA(半紙!$B$11:$B$310)+COUNTA(条幅!$B$11:$B$310),INDEX(条幅!$E$11:$E$310,554-COUNTA(半紙!$B$11:$B$310)),IF(554&lt;=COUNTA(半紙!$B$11:$B$310)+COUNTA(条幅!$B$11:$B$310)+COUNTA(条幅4分の1!$B$11:$B$310),INDEX(条幅4分の1!$E$11:$E$310,554-COUNTA(半紙!$B$11:$B$310)-COUNTA(条幅!$B$11:$B$310)),"")))=0,"",IF(554&lt;=COUNTA(半紙!$B$11:$B$310),INDEX(半紙!$E$11:$E$310,554),IF(554&lt;=COUNTA(半紙!$B$11:$B$310)+COUNTA(条幅!$B$11:$B$310),INDEX(条幅!$E$11:$E$310,554-COUNTA(半紙!$B$11:$B$310)),IF(554&lt;=COUNTA(半紙!$B$11:$B$310)+COUNTA(条幅!$B$11:$B$310)+COUNTA(条幅4分の1!$B$11:$B$310),INDEX(条幅4分の1!$E$11:$E$310,554-COUNTA(半紙!$B$11:$B$310)-COUNTA(条幅!$B$11:$B$310)),""))))</f>
        <v/>
      </c>
      <c r="F559" s="38" t="str">
        <f>IF(IF(554&lt;=COUNTA(半紙!$B$11:$B$310),INDEX(半紙!$F$11:$F$310,554),IF(554&lt;=COUNTA(半紙!$B$11:$B$310)+COUNTA(条幅!$B$11:$B$310),INDEX(条幅!$F$11:$F$310,554-COUNTA(半紙!$B$11:$B$310)),IF(554&lt;=COUNTA(半紙!$B$11:$B$310)+COUNTA(条幅!$B$11:$B$310)+COUNTA(条幅4分の1!$B$11:$B$310),INDEX(条幅4分の1!$F$11:$F$310,554-COUNTA(半紙!$B$11:$B$310)-COUNTA(条幅!$B$11:$B$310)),"")))=0,"",IF(554&lt;=COUNTA(半紙!$B$11:$B$310),INDEX(半紙!$F$11:$F$310,554),IF(554&lt;=COUNTA(半紙!$B$11:$B$310)+COUNTA(条幅!$B$11:$B$310),INDEX(条幅!$F$11:$F$310,554-COUNTA(半紙!$B$11:$B$310)),IF(554&lt;=COUNTA(半紙!$B$11:$B$310)+COUNTA(条幅!$B$11:$B$310)+COUNTA(条幅4分の1!$B$11:$B$310),INDEX(条幅4分の1!$F$11:$F$310,554-COUNTA(半紙!$B$11:$B$310)-COUNTA(条幅!$B$11:$B$310)),""))))</f>
        <v/>
      </c>
      <c r="G559" s="38" t="str">
        <f>IF(IF(554&lt;=COUNTA(半紙!$B$11:$B$310),INDEX(半紙!$G$11:$G$310,554),IF(554&lt;=COUNTA(半紙!$B$11:$B$310)+COUNTA(条幅!$B$11:$B$310),INDEX(条幅!$G$11:$G$310,554-COUNTA(半紙!$B$11:$B$310)),IF(554&lt;=COUNTA(半紙!$B$11:$B$310)+COUNTA(条幅!$B$11:$B$310)+COUNTA(条幅4分の1!$B$11:$B$310),INDEX(条幅4分の1!$G$11:$G$310,554-COUNTA(半紙!$B$11:$B$310)-COUNTA(条幅!$B$11:$B$310)),"")))=0,"",IF(554&lt;=COUNTA(半紙!$B$11:$B$310),INDEX(半紙!$G$11:$G$310,554),IF(554&lt;=COUNTA(半紙!$B$11:$B$310)+COUNTA(条幅!$B$11:$B$310),INDEX(条幅!$G$11:$G$310,554-COUNTA(半紙!$B$11:$B$310)),IF(554&lt;=COUNTA(半紙!$B$11:$B$310)+COUNTA(条幅!$B$11:$B$310)+COUNTA(条幅4分の1!$B$11:$B$310),INDEX(条幅4分の1!$G$11:$G$310,554-COUNTA(半紙!$B$11:$B$310)-COUNTA(条幅!$B$11:$B$310)),""))))</f>
        <v/>
      </c>
      <c r="H559" s="38" t="str">
        <f>IF(IF(554&lt;=COUNTA(半紙!$B$11:$B$310),INDEX(半紙!$H$11:$H$310,554),IF(554&lt;=COUNTA(半紙!$B$11:$B$310)+COUNTA(条幅!$B$11:$B$310),INDEX(条幅!$H$11:$H$310,554-COUNTA(半紙!$B$11:$B$310)),IF(554&lt;=COUNTA(半紙!$B$11:$B$310)+COUNTA(条幅!$B$11:$B$310)+COUNTA(条幅4分の1!$B$11:$B$310),INDEX(条幅4分の1!$H$11:$H$310,554-COUNTA(半紙!$B$11:$B$310)-COUNTA(条幅!$B$11:$B$310)),"")))=0,"",IF(554&lt;=COUNTA(半紙!$B$11:$B$310),INDEX(半紙!$H$11:$H$310,554),IF(554&lt;=COUNTA(半紙!$B$11:$B$310)+COUNTA(条幅!$B$11:$B$310),INDEX(条幅!$H$11:$H$310,554-COUNTA(半紙!$B$11:$B$310)),IF(554&lt;=COUNTA(半紙!$B$11:$B$310)+COUNTA(条幅!$B$11:$B$310)+COUNTA(条幅4分の1!$B$11:$B$310),INDEX(条幅4分の1!$H$11:$H$310,554-COUNTA(半紙!$B$11:$B$310)-COUNTA(条幅!$B$11:$B$310)),""))))</f>
        <v/>
      </c>
      <c r="I559" s="38" t="str">
        <f>IF(IF(554&lt;=COUNTA(半紙!$B$11:$B$310),INDEX(半紙!$I$11:$I$310,554),IF(554&lt;=COUNTA(半紙!$B$11:$B$310)+COUNTA(条幅!$B$11:$B$310),INDEX(条幅!$I$11:$I$310,554-COUNTA(半紙!$B$11:$B$310)),IF(554&lt;=COUNTA(半紙!$B$11:$B$310)+COUNTA(条幅!$B$11:$B$310)+COUNTA(条幅4分の1!$B$11:$B$310),INDEX(条幅4分の1!$I$11:$I$310,554-COUNTA(半紙!$B$11:$B$310)-COUNTA(条幅!$B$11:$B$310)),"")))=0,"",IF(554&lt;=COUNTA(半紙!$B$11:$B$310),INDEX(半紙!$I$11:$I$310,554),IF(554&lt;=COUNTA(半紙!$B$11:$B$310)+COUNTA(条幅!$B$11:$B$310),INDEX(条幅!$I$11:$I$310,554-COUNTA(半紙!$B$11:$B$310)),IF(554&lt;=COUNTA(半紙!$B$11:$B$310)+COUNTA(条幅!$B$11:$B$310)+COUNTA(条幅4分の1!$B$11:$B$310),INDEX(条幅4分の1!$I$11:$I$310,554-COUNTA(半紙!$B$11:$B$310)-COUNTA(条幅!$B$11:$B$310)),""))))</f>
        <v/>
      </c>
      <c r="J559" s="38" t="str">
        <f>IF(IF(554&lt;=COUNTA(半紙!$B$11:$B$310),INDEX(半紙!$J$11:$J$310,554),IF(554&lt;=COUNTA(半紙!$B$11:$B$310)+COUNTA(条幅!$B$11:$B$310),INDEX(条幅!$J$11:$J$310,554-COUNTA(半紙!$B$11:$B$310)),IF(554&lt;=COUNTA(半紙!$B$11:$B$310)+COUNTA(条幅!$B$11:$B$310)+COUNTA(条幅4分の1!$B$11:$B$310),INDEX(条幅4分の1!$J$11:$J$310,554-COUNTA(半紙!$B$11:$B$310)-COUNTA(条幅!$B$11:$B$310)),"")))=0,"",IF(554&lt;=COUNTA(半紙!$B$11:$B$310),INDEX(半紙!$J$11:$J$310,554),IF(554&lt;=COUNTA(半紙!$B$11:$B$310)+COUNTA(条幅!$B$11:$B$310),INDEX(条幅!$J$11:$J$310,554-COUNTA(半紙!$B$11:$B$310)),IF(554&lt;=COUNTA(半紙!$B$11:$B$310)+COUNTA(条幅!$B$11:$B$310)+COUNTA(条幅4分の1!$B$11:$B$310),INDEX(条幅4分の1!$J$11:$J$310,554-COUNTA(半紙!$B$11:$B$310)-COUNTA(条幅!$B$11:$B$310)),""))))</f>
        <v/>
      </c>
      <c r="K559" s="38" t="str">
        <f>IF(IF(554&lt;=COUNTA(半紙!$B$11:$B$310),INDEX(半紙!$K$11:$K$310,554),IF(554&lt;=COUNTA(半紙!$B$11:$B$310)+COUNTA(条幅!$B$11:$B$310),INDEX(条幅!$K$11:$K$310,554-COUNTA(半紙!$B$11:$B$310)),IF(554&lt;=COUNTA(半紙!$B$11:$B$310)+COUNTA(条幅!$B$11:$B$310)+COUNTA(条幅4分の1!$B$11:$B$310),INDEX(条幅4分の1!$K$11:$K$310,554-COUNTA(半紙!$B$11:$B$310)-COUNTA(条幅!$B$11:$B$310)),"")))=0,"",IF(554&lt;=COUNTA(半紙!$B$11:$B$310),INDEX(半紙!$K$11:$K$310,554),IF(554&lt;=COUNTA(半紙!$B$11:$B$310)+COUNTA(条幅!$B$11:$B$310),INDEX(条幅!$K$11:$K$310,554-COUNTA(半紙!$B$11:$B$310)),IF(554&lt;=COUNTA(半紙!$B$11:$B$310)+COUNTA(条幅!$B$11:$B$310)+COUNTA(条幅4分の1!$B$11:$B$310),INDEX(条幅4分の1!$K$11:$K$310,554-COUNTA(半紙!$B$11:$B$310)-COUNTA(条幅!$B$11:$B$310)),""))))</f>
        <v/>
      </c>
      <c r="L559" s="48" t="str">
        <f>IF($B559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554))</f>
        <v/>
      </c>
    </row>
    <row r="560" spans="1:12" ht="15" customHeight="1">
      <c r="A560" s="37" t="str">
        <f>IF(555&lt;=COUNTA(半紙!$B$11:$B$310),"半紙",IF(555&lt;=COUNTA(半紙!$B$11:$B$310)+COUNTA(条幅!$B$11:$B$310),"条幅(半切)",IF(555&lt;=COUNTA(半紙!$B$11:$B$310)+COUNTA(条幅!$B$11:$B$310)+COUNTA(条幅4分の1!$B$11:$B$310),"条幅(1/4)","")))</f>
        <v/>
      </c>
      <c r="B560" s="38" t="str">
        <f>IF(IF(555&lt;=COUNTA(半紙!$B$11:$B$310),INDEX(半紙!$B$11:$B$310,555),IF(555&lt;=COUNTA(半紙!$B$11:$B$310)+COUNTA(条幅!$B$11:$B$310),INDEX(条幅!$B$11:$B$310,555-COUNTA(半紙!$B$11:$B$310)),IF(555&lt;=COUNTA(半紙!$B$11:$B$310)+COUNTA(条幅!$B$11:$B$310)+COUNTA(条幅4分の1!$B$11:$B$310),INDEX(条幅4分の1!$B$11:$B$310,555-COUNTA(半紙!$B$11:$B$310)-COUNTA(条幅!$B$11:$B$310)),"")))=0,"",IF(555&lt;=COUNTA(半紙!$B$11:$B$310),INDEX(半紙!$B$11:$B$310,555),IF(555&lt;=COUNTA(半紙!$B$11:$B$310)+COUNTA(条幅!$B$11:$B$310),INDEX(条幅!$B$11:$B$310,555-COUNTA(半紙!$B$11:$B$310)),IF(555&lt;=COUNTA(半紙!$B$11:$B$310)+COUNTA(条幅!$B$11:$B$310)+COUNTA(条幅4分の1!$B$11:$B$310),INDEX(条幅4分の1!$B$11:$B$310,555-COUNTA(半紙!$B$11:$B$310)-COUNTA(条幅!$B$11:$B$310)),""))))</f>
        <v/>
      </c>
      <c r="C560" s="38" t="str">
        <f>IF(IF(555&lt;=COUNTA(半紙!$B$11:$B$310),INDEX(半紙!$C$11:$C$310,555),IF(555&lt;=COUNTA(半紙!$B$11:$B$310)+COUNTA(条幅!$B$11:$B$310),INDEX(条幅!$C$11:$C$310,555-COUNTA(半紙!$B$11:$B$310)),IF(555&lt;=COUNTA(半紙!$B$11:$B$310)+COUNTA(条幅!$B$11:$B$310)+COUNTA(条幅4分の1!$B$11:$B$310),INDEX(条幅4分の1!$C$11:$C$310,555-COUNTA(半紙!$B$11:$B$310)-COUNTA(条幅!$B$11:$B$310)),"")))=0,"",IF(555&lt;=COUNTA(半紙!$B$11:$B$310),INDEX(半紙!$C$11:$C$310,555),IF(555&lt;=COUNTA(半紙!$B$11:$B$310)+COUNTA(条幅!$B$11:$B$310),INDEX(条幅!$C$11:$C$310,555-COUNTA(半紙!$B$11:$B$310)),IF(555&lt;=COUNTA(半紙!$B$11:$B$310)+COUNTA(条幅!$B$11:$B$310)+COUNTA(条幅4分の1!$B$11:$B$310),INDEX(条幅4分の1!$C$11:$C$310,555-COUNTA(半紙!$B$11:$B$310)-COUNTA(条幅!$B$11:$B$310)),""))))</f>
        <v/>
      </c>
      <c r="D560" s="38" t="str">
        <f>IF(IF(555&lt;=COUNTA(半紙!$B$11:$B$310),INDEX(半紙!$D$11:$D$310,555),IF(555&lt;=COUNTA(半紙!$B$11:$B$310)+COUNTA(条幅!$B$11:$B$310),INDEX(条幅!$D$11:$D$310,555-COUNTA(半紙!$B$11:$B$310)),IF(555&lt;=COUNTA(半紙!$B$11:$B$310)+COUNTA(条幅!$B$11:$B$310)+COUNTA(条幅4分の1!$B$11:$B$310),INDEX(条幅4分の1!$D$11:$D$310,555-COUNTA(半紙!$B$11:$B$310)-COUNTA(条幅!$B$11:$B$310)),"")))=0,"",IF(555&lt;=COUNTA(半紙!$B$11:$B$310),INDEX(半紙!$D$11:$D$310,555),IF(555&lt;=COUNTA(半紙!$B$11:$B$310)+COUNTA(条幅!$B$11:$B$310),INDEX(条幅!$D$11:$D$310,555-COUNTA(半紙!$B$11:$B$310)),IF(555&lt;=COUNTA(半紙!$B$11:$B$310)+COUNTA(条幅!$B$11:$B$310)+COUNTA(条幅4分の1!$B$11:$B$310),INDEX(条幅4分の1!$D$11:$D$310,555-COUNTA(半紙!$B$11:$B$310)-COUNTA(条幅!$B$11:$B$310)),""))))</f>
        <v/>
      </c>
      <c r="E560" s="38" t="str">
        <f>IF(IF(555&lt;=COUNTA(半紙!$B$11:$B$310),INDEX(半紙!$E$11:$E$310,555),IF(555&lt;=COUNTA(半紙!$B$11:$B$310)+COUNTA(条幅!$B$11:$B$310),INDEX(条幅!$E$11:$E$310,555-COUNTA(半紙!$B$11:$B$310)),IF(555&lt;=COUNTA(半紙!$B$11:$B$310)+COUNTA(条幅!$B$11:$B$310)+COUNTA(条幅4分の1!$B$11:$B$310),INDEX(条幅4分の1!$E$11:$E$310,555-COUNTA(半紙!$B$11:$B$310)-COUNTA(条幅!$B$11:$B$310)),"")))=0,"",IF(555&lt;=COUNTA(半紙!$B$11:$B$310),INDEX(半紙!$E$11:$E$310,555),IF(555&lt;=COUNTA(半紙!$B$11:$B$310)+COUNTA(条幅!$B$11:$B$310),INDEX(条幅!$E$11:$E$310,555-COUNTA(半紙!$B$11:$B$310)),IF(555&lt;=COUNTA(半紙!$B$11:$B$310)+COUNTA(条幅!$B$11:$B$310)+COUNTA(条幅4分の1!$B$11:$B$310),INDEX(条幅4分の1!$E$11:$E$310,555-COUNTA(半紙!$B$11:$B$310)-COUNTA(条幅!$B$11:$B$310)),""))))</f>
        <v/>
      </c>
      <c r="F560" s="38" t="str">
        <f>IF(IF(555&lt;=COUNTA(半紙!$B$11:$B$310),INDEX(半紙!$F$11:$F$310,555),IF(555&lt;=COUNTA(半紙!$B$11:$B$310)+COUNTA(条幅!$B$11:$B$310),INDEX(条幅!$F$11:$F$310,555-COUNTA(半紙!$B$11:$B$310)),IF(555&lt;=COUNTA(半紙!$B$11:$B$310)+COUNTA(条幅!$B$11:$B$310)+COUNTA(条幅4分の1!$B$11:$B$310),INDEX(条幅4分の1!$F$11:$F$310,555-COUNTA(半紙!$B$11:$B$310)-COUNTA(条幅!$B$11:$B$310)),"")))=0,"",IF(555&lt;=COUNTA(半紙!$B$11:$B$310),INDEX(半紙!$F$11:$F$310,555),IF(555&lt;=COUNTA(半紙!$B$11:$B$310)+COUNTA(条幅!$B$11:$B$310),INDEX(条幅!$F$11:$F$310,555-COUNTA(半紙!$B$11:$B$310)),IF(555&lt;=COUNTA(半紙!$B$11:$B$310)+COUNTA(条幅!$B$11:$B$310)+COUNTA(条幅4分の1!$B$11:$B$310),INDEX(条幅4分の1!$F$11:$F$310,555-COUNTA(半紙!$B$11:$B$310)-COUNTA(条幅!$B$11:$B$310)),""))))</f>
        <v/>
      </c>
      <c r="G560" s="38" t="str">
        <f>IF(IF(555&lt;=COUNTA(半紙!$B$11:$B$310),INDEX(半紙!$G$11:$G$310,555),IF(555&lt;=COUNTA(半紙!$B$11:$B$310)+COUNTA(条幅!$B$11:$B$310),INDEX(条幅!$G$11:$G$310,555-COUNTA(半紙!$B$11:$B$310)),IF(555&lt;=COUNTA(半紙!$B$11:$B$310)+COUNTA(条幅!$B$11:$B$310)+COUNTA(条幅4分の1!$B$11:$B$310),INDEX(条幅4分の1!$G$11:$G$310,555-COUNTA(半紙!$B$11:$B$310)-COUNTA(条幅!$B$11:$B$310)),"")))=0,"",IF(555&lt;=COUNTA(半紙!$B$11:$B$310),INDEX(半紙!$G$11:$G$310,555),IF(555&lt;=COUNTA(半紙!$B$11:$B$310)+COUNTA(条幅!$B$11:$B$310),INDEX(条幅!$G$11:$G$310,555-COUNTA(半紙!$B$11:$B$310)),IF(555&lt;=COUNTA(半紙!$B$11:$B$310)+COUNTA(条幅!$B$11:$B$310)+COUNTA(条幅4分の1!$B$11:$B$310),INDEX(条幅4分の1!$G$11:$G$310,555-COUNTA(半紙!$B$11:$B$310)-COUNTA(条幅!$B$11:$B$310)),""))))</f>
        <v/>
      </c>
      <c r="H560" s="38" t="str">
        <f>IF(IF(555&lt;=COUNTA(半紙!$B$11:$B$310),INDEX(半紙!$H$11:$H$310,555),IF(555&lt;=COUNTA(半紙!$B$11:$B$310)+COUNTA(条幅!$B$11:$B$310),INDEX(条幅!$H$11:$H$310,555-COUNTA(半紙!$B$11:$B$310)),IF(555&lt;=COUNTA(半紙!$B$11:$B$310)+COUNTA(条幅!$B$11:$B$310)+COUNTA(条幅4分の1!$B$11:$B$310),INDEX(条幅4分の1!$H$11:$H$310,555-COUNTA(半紙!$B$11:$B$310)-COUNTA(条幅!$B$11:$B$310)),"")))=0,"",IF(555&lt;=COUNTA(半紙!$B$11:$B$310),INDEX(半紙!$H$11:$H$310,555),IF(555&lt;=COUNTA(半紙!$B$11:$B$310)+COUNTA(条幅!$B$11:$B$310),INDEX(条幅!$H$11:$H$310,555-COUNTA(半紙!$B$11:$B$310)),IF(555&lt;=COUNTA(半紙!$B$11:$B$310)+COUNTA(条幅!$B$11:$B$310)+COUNTA(条幅4分の1!$B$11:$B$310),INDEX(条幅4分の1!$H$11:$H$310,555-COUNTA(半紙!$B$11:$B$310)-COUNTA(条幅!$B$11:$B$310)),""))))</f>
        <v/>
      </c>
      <c r="I560" s="38" t="str">
        <f>IF(IF(555&lt;=COUNTA(半紙!$B$11:$B$310),INDEX(半紙!$I$11:$I$310,555),IF(555&lt;=COUNTA(半紙!$B$11:$B$310)+COUNTA(条幅!$B$11:$B$310),INDEX(条幅!$I$11:$I$310,555-COUNTA(半紙!$B$11:$B$310)),IF(555&lt;=COUNTA(半紙!$B$11:$B$310)+COUNTA(条幅!$B$11:$B$310)+COUNTA(条幅4分の1!$B$11:$B$310),INDEX(条幅4分の1!$I$11:$I$310,555-COUNTA(半紙!$B$11:$B$310)-COUNTA(条幅!$B$11:$B$310)),"")))=0,"",IF(555&lt;=COUNTA(半紙!$B$11:$B$310),INDEX(半紙!$I$11:$I$310,555),IF(555&lt;=COUNTA(半紙!$B$11:$B$310)+COUNTA(条幅!$B$11:$B$310),INDEX(条幅!$I$11:$I$310,555-COUNTA(半紙!$B$11:$B$310)),IF(555&lt;=COUNTA(半紙!$B$11:$B$310)+COUNTA(条幅!$B$11:$B$310)+COUNTA(条幅4分の1!$B$11:$B$310),INDEX(条幅4分の1!$I$11:$I$310,555-COUNTA(半紙!$B$11:$B$310)-COUNTA(条幅!$B$11:$B$310)),""))))</f>
        <v/>
      </c>
      <c r="J560" s="38" t="str">
        <f>IF(IF(555&lt;=COUNTA(半紙!$B$11:$B$310),INDEX(半紙!$J$11:$J$310,555),IF(555&lt;=COUNTA(半紙!$B$11:$B$310)+COUNTA(条幅!$B$11:$B$310),INDEX(条幅!$J$11:$J$310,555-COUNTA(半紙!$B$11:$B$310)),IF(555&lt;=COUNTA(半紙!$B$11:$B$310)+COUNTA(条幅!$B$11:$B$310)+COUNTA(条幅4分の1!$B$11:$B$310),INDEX(条幅4分の1!$J$11:$J$310,555-COUNTA(半紙!$B$11:$B$310)-COUNTA(条幅!$B$11:$B$310)),"")))=0,"",IF(555&lt;=COUNTA(半紙!$B$11:$B$310),INDEX(半紙!$J$11:$J$310,555),IF(555&lt;=COUNTA(半紙!$B$11:$B$310)+COUNTA(条幅!$B$11:$B$310),INDEX(条幅!$J$11:$J$310,555-COUNTA(半紙!$B$11:$B$310)),IF(555&lt;=COUNTA(半紙!$B$11:$B$310)+COUNTA(条幅!$B$11:$B$310)+COUNTA(条幅4分の1!$B$11:$B$310),INDEX(条幅4分の1!$J$11:$J$310,555-COUNTA(半紙!$B$11:$B$310)-COUNTA(条幅!$B$11:$B$310)),""))))</f>
        <v/>
      </c>
      <c r="K560" s="38" t="str">
        <f>IF(IF(555&lt;=COUNTA(半紙!$B$11:$B$310),INDEX(半紙!$K$11:$K$310,555),IF(555&lt;=COUNTA(半紙!$B$11:$B$310)+COUNTA(条幅!$B$11:$B$310),INDEX(条幅!$K$11:$K$310,555-COUNTA(半紙!$B$11:$B$310)),IF(555&lt;=COUNTA(半紙!$B$11:$B$310)+COUNTA(条幅!$B$11:$B$310)+COUNTA(条幅4分の1!$B$11:$B$310),INDEX(条幅4分の1!$K$11:$K$310,555-COUNTA(半紙!$B$11:$B$310)-COUNTA(条幅!$B$11:$B$310)),"")))=0,"",IF(555&lt;=COUNTA(半紙!$B$11:$B$310),INDEX(半紙!$K$11:$K$310,555),IF(555&lt;=COUNTA(半紙!$B$11:$B$310)+COUNTA(条幅!$B$11:$B$310),INDEX(条幅!$K$11:$K$310,555-COUNTA(半紙!$B$11:$B$310)),IF(555&lt;=COUNTA(半紙!$B$11:$B$310)+COUNTA(条幅!$B$11:$B$310)+COUNTA(条幅4分の1!$B$11:$B$310),INDEX(条幅4分の1!$K$11:$K$310,555-COUNTA(半紙!$B$11:$B$310)-COUNTA(条幅!$B$11:$B$310)),""))))</f>
        <v/>
      </c>
      <c r="L560" s="48" t="str">
        <f>IF($B560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555))</f>
        <v/>
      </c>
    </row>
    <row r="561" spans="1:12" ht="15" customHeight="1">
      <c r="A561" s="37" t="str">
        <f>IF(556&lt;=COUNTA(半紙!$B$11:$B$310),"半紙",IF(556&lt;=COUNTA(半紙!$B$11:$B$310)+COUNTA(条幅!$B$11:$B$310),"条幅(半切)",IF(556&lt;=COUNTA(半紙!$B$11:$B$310)+COUNTA(条幅!$B$11:$B$310)+COUNTA(条幅4分の1!$B$11:$B$310),"条幅(1/4)","")))</f>
        <v/>
      </c>
      <c r="B561" s="38" t="str">
        <f>IF(IF(556&lt;=COUNTA(半紙!$B$11:$B$310),INDEX(半紙!$B$11:$B$310,556),IF(556&lt;=COUNTA(半紙!$B$11:$B$310)+COUNTA(条幅!$B$11:$B$310),INDEX(条幅!$B$11:$B$310,556-COUNTA(半紙!$B$11:$B$310)),IF(556&lt;=COUNTA(半紙!$B$11:$B$310)+COUNTA(条幅!$B$11:$B$310)+COUNTA(条幅4分の1!$B$11:$B$310),INDEX(条幅4分の1!$B$11:$B$310,556-COUNTA(半紙!$B$11:$B$310)-COUNTA(条幅!$B$11:$B$310)),"")))=0,"",IF(556&lt;=COUNTA(半紙!$B$11:$B$310),INDEX(半紙!$B$11:$B$310,556),IF(556&lt;=COUNTA(半紙!$B$11:$B$310)+COUNTA(条幅!$B$11:$B$310),INDEX(条幅!$B$11:$B$310,556-COUNTA(半紙!$B$11:$B$310)),IF(556&lt;=COUNTA(半紙!$B$11:$B$310)+COUNTA(条幅!$B$11:$B$310)+COUNTA(条幅4分の1!$B$11:$B$310),INDEX(条幅4分の1!$B$11:$B$310,556-COUNTA(半紙!$B$11:$B$310)-COUNTA(条幅!$B$11:$B$310)),""))))</f>
        <v/>
      </c>
      <c r="C561" s="38" t="str">
        <f>IF(IF(556&lt;=COUNTA(半紙!$B$11:$B$310),INDEX(半紙!$C$11:$C$310,556),IF(556&lt;=COUNTA(半紙!$B$11:$B$310)+COUNTA(条幅!$B$11:$B$310),INDEX(条幅!$C$11:$C$310,556-COUNTA(半紙!$B$11:$B$310)),IF(556&lt;=COUNTA(半紙!$B$11:$B$310)+COUNTA(条幅!$B$11:$B$310)+COUNTA(条幅4分の1!$B$11:$B$310),INDEX(条幅4分の1!$C$11:$C$310,556-COUNTA(半紙!$B$11:$B$310)-COUNTA(条幅!$B$11:$B$310)),"")))=0,"",IF(556&lt;=COUNTA(半紙!$B$11:$B$310),INDEX(半紙!$C$11:$C$310,556),IF(556&lt;=COUNTA(半紙!$B$11:$B$310)+COUNTA(条幅!$B$11:$B$310),INDEX(条幅!$C$11:$C$310,556-COUNTA(半紙!$B$11:$B$310)),IF(556&lt;=COUNTA(半紙!$B$11:$B$310)+COUNTA(条幅!$B$11:$B$310)+COUNTA(条幅4分の1!$B$11:$B$310),INDEX(条幅4分の1!$C$11:$C$310,556-COUNTA(半紙!$B$11:$B$310)-COUNTA(条幅!$B$11:$B$310)),""))))</f>
        <v/>
      </c>
      <c r="D561" s="38" t="str">
        <f>IF(IF(556&lt;=COUNTA(半紙!$B$11:$B$310),INDEX(半紙!$D$11:$D$310,556),IF(556&lt;=COUNTA(半紙!$B$11:$B$310)+COUNTA(条幅!$B$11:$B$310),INDEX(条幅!$D$11:$D$310,556-COUNTA(半紙!$B$11:$B$310)),IF(556&lt;=COUNTA(半紙!$B$11:$B$310)+COUNTA(条幅!$B$11:$B$310)+COUNTA(条幅4分の1!$B$11:$B$310),INDEX(条幅4分の1!$D$11:$D$310,556-COUNTA(半紙!$B$11:$B$310)-COUNTA(条幅!$B$11:$B$310)),"")))=0,"",IF(556&lt;=COUNTA(半紙!$B$11:$B$310),INDEX(半紙!$D$11:$D$310,556),IF(556&lt;=COUNTA(半紙!$B$11:$B$310)+COUNTA(条幅!$B$11:$B$310),INDEX(条幅!$D$11:$D$310,556-COUNTA(半紙!$B$11:$B$310)),IF(556&lt;=COUNTA(半紙!$B$11:$B$310)+COUNTA(条幅!$B$11:$B$310)+COUNTA(条幅4分の1!$B$11:$B$310),INDEX(条幅4分の1!$D$11:$D$310,556-COUNTA(半紙!$B$11:$B$310)-COUNTA(条幅!$B$11:$B$310)),""))))</f>
        <v/>
      </c>
      <c r="E561" s="38" t="str">
        <f>IF(IF(556&lt;=COUNTA(半紙!$B$11:$B$310),INDEX(半紙!$E$11:$E$310,556),IF(556&lt;=COUNTA(半紙!$B$11:$B$310)+COUNTA(条幅!$B$11:$B$310),INDEX(条幅!$E$11:$E$310,556-COUNTA(半紙!$B$11:$B$310)),IF(556&lt;=COUNTA(半紙!$B$11:$B$310)+COUNTA(条幅!$B$11:$B$310)+COUNTA(条幅4分の1!$B$11:$B$310),INDEX(条幅4分の1!$E$11:$E$310,556-COUNTA(半紙!$B$11:$B$310)-COUNTA(条幅!$B$11:$B$310)),"")))=0,"",IF(556&lt;=COUNTA(半紙!$B$11:$B$310),INDEX(半紙!$E$11:$E$310,556),IF(556&lt;=COUNTA(半紙!$B$11:$B$310)+COUNTA(条幅!$B$11:$B$310),INDEX(条幅!$E$11:$E$310,556-COUNTA(半紙!$B$11:$B$310)),IF(556&lt;=COUNTA(半紙!$B$11:$B$310)+COUNTA(条幅!$B$11:$B$310)+COUNTA(条幅4分の1!$B$11:$B$310),INDEX(条幅4分の1!$E$11:$E$310,556-COUNTA(半紙!$B$11:$B$310)-COUNTA(条幅!$B$11:$B$310)),""))))</f>
        <v/>
      </c>
      <c r="F561" s="38" t="str">
        <f>IF(IF(556&lt;=COUNTA(半紙!$B$11:$B$310),INDEX(半紙!$F$11:$F$310,556),IF(556&lt;=COUNTA(半紙!$B$11:$B$310)+COUNTA(条幅!$B$11:$B$310),INDEX(条幅!$F$11:$F$310,556-COUNTA(半紙!$B$11:$B$310)),IF(556&lt;=COUNTA(半紙!$B$11:$B$310)+COUNTA(条幅!$B$11:$B$310)+COUNTA(条幅4分の1!$B$11:$B$310),INDEX(条幅4分の1!$F$11:$F$310,556-COUNTA(半紙!$B$11:$B$310)-COUNTA(条幅!$B$11:$B$310)),"")))=0,"",IF(556&lt;=COUNTA(半紙!$B$11:$B$310),INDEX(半紙!$F$11:$F$310,556),IF(556&lt;=COUNTA(半紙!$B$11:$B$310)+COUNTA(条幅!$B$11:$B$310),INDEX(条幅!$F$11:$F$310,556-COUNTA(半紙!$B$11:$B$310)),IF(556&lt;=COUNTA(半紙!$B$11:$B$310)+COUNTA(条幅!$B$11:$B$310)+COUNTA(条幅4分の1!$B$11:$B$310),INDEX(条幅4分の1!$F$11:$F$310,556-COUNTA(半紙!$B$11:$B$310)-COUNTA(条幅!$B$11:$B$310)),""))))</f>
        <v/>
      </c>
      <c r="G561" s="38" t="str">
        <f>IF(IF(556&lt;=COUNTA(半紙!$B$11:$B$310),INDEX(半紙!$G$11:$G$310,556),IF(556&lt;=COUNTA(半紙!$B$11:$B$310)+COUNTA(条幅!$B$11:$B$310),INDEX(条幅!$G$11:$G$310,556-COUNTA(半紙!$B$11:$B$310)),IF(556&lt;=COUNTA(半紙!$B$11:$B$310)+COUNTA(条幅!$B$11:$B$310)+COUNTA(条幅4分の1!$B$11:$B$310),INDEX(条幅4分の1!$G$11:$G$310,556-COUNTA(半紙!$B$11:$B$310)-COUNTA(条幅!$B$11:$B$310)),"")))=0,"",IF(556&lt;=COUNTA(半紙!$B$11:$B$310),INDEX(半紙!$G$11:$G$310,556),IF(556&lt;=COUNTA(半紙!$B$11:$B$310)+COUNTA(条幅!$B$11:$B$310),INDEX(条幅!$G$11:$G$310,556-COUNTA(半紙!$B$11:$B$310)),IF(556&lt;=COUNTA(半紙!$B$11:$B$310)+COUNTA(条幅!$B$11:$B$310)+COUNTA(条幅4分の1!$B$11:$B$310),INDEX(条幅4分の1!$G$11:$G$310,556-COUNTA(半紙!$B$11:$B$310)-COUNTA(条幅!$B$11:$B$310)),""))))</f>
        <v/>
      </c>
      <c r="H561" s="38" t="str">
        <f>IF(IF(556&lt;=COUNTA(半紙!$B$11:$B$310),INDEX(半紙!$H$11:$H$310,556),IF(556&lt;=COUNTA(半紙!$B$11:$B$310)+COUNTA(条幅!$B$11:$B$310),INDEX(条幅!$H$11:$H$310,556-COUNTA(半紙!$B$11:$B$310)),IF(556&lt;=COUNTA(半紙!$B$11:$B$310)+COUNTA(条幅!$B$11:$B$310)+COUNTA(条幅4分の1!$B$11:$B$310),INDEX(条幅4分の1!$H$11:$H$310,556-COUNTA(半紙!$B$11:$B$310)-COUNTA(条幅!$B$11:$B$310)),"")))=0,"",IF(556&lt;=COUNTA(半紙!$B$11:$B$310),INDEX(半紙!$H$11:$H$310,556),IF(556&lt;=COUNTA(半紙!$B$11:$B$310)+COUNTA(条幅!$B$11:$B$310),INDEX(条幅!$H$11:$H$310,556-COUNTA(半紙!$B$11:$B$310)),IF(556&lt;=COUNTA(半紙!$B$11:$B$310)+COUNTA(条幅!$B$11:$B$310)+COUNTA(条幅4分の1!$B$11:$B$310),INDEX(条幅4分の1!$H$11:$H$310,556-COUNTA(半紙!$B$11:$B$310)-COUNTA(条幅!$B$11:$B$310)),""))))</f>
        <v/>
      </c>
      <c r="I561" s="38" t="str">
        <f>IF(IF(556&lt;=COUNTA(半紙!$B$11:$B$310),INDEX(半紙!$I$11:$I$310,556),IF(556&lt;=COUNTA(半紙!$B$11:$B$310)+COUNTA(条幅!$B$11:$B$310),INDEX(条幅!$I$11:$I$310,556-COUNTA(半紙!$B$11:$B$310)),IF(556&lt;=COUNTA(半紙!$B$11:$B$310)+COUNTA(条幅!$B$11:$B$310)+COUNTA(条幅4分の1!$B$11:$B$310),INDEX(条幅4分の1!$I$11:$I$310,556-COUNTA(半紙!$B$11:$B$310)-COUNTA(条幅!$B$11:$B$310)),"")))=0,"",IF(556&lt;=COUNTA(半紙!$B$11:$B$310),INDEX(半紙!$I$11:$I$310,556),IF(556&lt;=COUNTA(半紙!$B$11:$B$310)+COUNTA(条幅!$B$11:$B$310),INDEX(条幅!$I$11:$I$310,556-COUNTA(半紙!$B$11:$B$310)),IF(556&lt;=COUNTA(半紙!$B$11:$B$310)+COUNTA(条幅!$B$11:$B$310)+COUNTA(条幅4分の1!$B$11:$B$310),INDEX(条幅4分の1!$I$11:$I$310,556-COUNTA(半紙!$B$11:$B$310)-COUNTA(条幅!$B$11:$B$310)),""))))</f>
        <v/>
      </c>
      <c r="J561" s="38" t="str">
        <f>IF(IF(556&lt;=COUNTA(半紙!$B$11:$B$310),INDEX(半紙!$J$11:$J$310,556),IF(556&lt;=COUNTA(半紙!$B$11:$B$310)+COUNTA(条幅!$B$11:$B$310),INDEX(条幅!$J$11:$J$310,556-COUNTA(半紙!$B$11:$B$310)),IF(556&lt;=COUNTA(半紙!$B$11:$B$310)+COUNTA(条幅!$B$11:$B$310)+COUNTA(条幅4分の1!$B$11:$B$310),INDEX(条幅4分の1!$J$11:$J$310,556-COUNTA(半紙!$B$11:$B$310)-COUNTA(条幅!$B$11:$B$310)),"")))=0,"",IF(556&lt;=COUNTA(半紙!$B$11:$B$310),INDEX(半紙!$J$11:$J$310,556),IF(556&lt;=COUNTA(半紙!$B$11:$B$310)+COUNTA(条幅!$B$11:$B$310),INDEX(条幅!$J$11:$J$310,556-COUNTA(半紙!$B$11:$B$310)),IF(556&lt;=COUNTA(半紙!$B$11:$B$310)+COUNTA(条幅!$B$11:$B$310)+COUNTA(条幅4分の1!$B$11:$B$310),INDEX(条幅4分の1!$J$11:$J$310,556-COUNTA(半紙!$B$11:$B$310)-COUNTA(条幅!$B$11:$B$310)),""))))</f>
        <v/>
      </c>
      <c r="K561" s="38" t="str">
        <f>IF(IF(556&lt;=COUNTA(半紙!$B$11:$B$310),INDEX(半紙!$K$11:$K$310,556),IF(556&lt;=COUNTA(半紙!$B$11:$B$310)+COUNTA(条幅!$B$11:$B$310),INDEX(条幅!$K$11:$K$310,556-COUNTA(半紙!$B$11:$B$310)),IF(556&lt;=COUNTA(半紙!$B$11:$B$310)+COUNTA(条幅!$B$11:$B$310)+COUNTA(条幅4分の1!$B$11:$B$310),INDEX(条幅4分の1!$K$11:$K$310,556-COUNTA(半紙!$B$11:$B$310)-COUNTA(条幅!$B$11:$B$310)),"")))=0,"",IF(556&lt;=COUNTA(半紙!$B$11:$B$310),INDEX(半紙!$K$11:$K$310,556),IF(556&lt;=COUNTA(半紙!$B$11:$B$310)+COUNTA(条幅!$B$11:$B$310),INDEX(条幅!$K$11:$K$310,556-COUNTA(半紙!$B$11:$B$310)),IF(556&lt;=COUNTA(半紙!$B$11:$B$310)+COUNTA(条幅!$B$11:$B$310)+COUNTA(条幅4分の1!$B$11:$B$310),INDEX(条幅4分の1!$K$11:$K$310,556-COUNTA(半紙!$B$11:$B$310)-COUNTA(条幅!$B$11:$B$310)),""))))</f>
        <v/>
      </c>
      <c r="L561" s="48" t="str">
        <f>IF($B561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556))</f>
        <v/>
      </c>
    </row>
    <row r="562" spans="1:12" ht="15" customHeight="1">
      <c r="A562" s="37" t="str">
        <f>IF(557&lt;=COUNTA(半紙!$B$11:$B$310),"半紙",IF(557&lt;=COUNTA(半紙!$B$11:$B$310)+COUNTA(条幅!$B$11:$B$310),"条幅(半切)",IF(557&lt;=COUNTA(半紙!$B$11:$B$310)+COUNTA(条幅!$B$11:$B$310)+COUNTA(条幅4分の1!$B$11:$B$310),"条幅(1/4)","")))</f>
        <v/>
      </c>
      <c r="B562" s="38" t="str">
        <f>IF(IF(557&lt;=COUNTA(半紙!$B$11:$B$310),INDEX(半紙!$B$11:$B$310,557),IF(557&lt;=COUNTA(半紙!$B$11:$B$310)+COUNTA(条幅!$B$11:$B$310),INDEX(条幅!$B$11:$B$310,557-COUNTA(半紙!$B$11:$B$310)),IF(557&lt;=COUNTA(半紙!$B$11:$B$310)+COUNTA(条幅!$B$11:$B$310)+COUNTA(条幅4分の1!$B$11:$B$310),INDEX(条幅4分の1!$B$11:$B$310,557-COUNTA(半紙!$B$11:$B$310)-COUNTA(条幅!$B$11:$B$310)),"")))=0,"",IF(557&lt;=COUNTA(半紙!$B$11:$B$310),INDEX(半紙!$B$11:$B$310,557),IF(557&lt;=COUNTA(半紙!$B$11:$B$310)+COUNTA(条幅!$B$11:$B$310),INDEX(条幅!$B$11:$B$310,557-COUNTA(半紙!$B$11:$B$310)),IF(557&lt;=COUNTA(半紙!$B$11:$B$310)+COUNTA(条幅!$B$11:$B$310)+COUNTA(条幅4分の1!$B$11:$B$310),INDEX(条幅4分の1!$B$11:$B$310,557-COUNTA(半紙!$B$11:$B$310)-COUNTA(条幅!$B$11:$B$310)),""))))</f>
        <v/>
      </c>
      <c r="C562" s="38" t="str">
        <f>IF(IF(557&lt;=COUNTA(半紙!$B$11:$B$310),INDEX(半紙!$C$11:$C$310,557),IF(557&lt;=COUNTA(半紙!$B$11:$B$310)+COUNTA(条幅!$B$11:$B$310),INDEX(条幅!$C$11:$C$310,557-COUNTA(半紙!$B$11:$B$310)),IF(557&lt;=COUNTA(半紙!$B$11:$B$310)+COUNTA(条幅!$B$11:$B$310)+COUNTA(条幅4分の1!$B$11:$B$310),INDEX(条幅4分の1!$C$11:$C$310,557-COUNTA(半紙!$B$11:$B$310)-COUNTA(条幅!$B$11:$B$310)),"")))=0,"",IF(557&lt;=COUNTA(半紙!$B$11:$B$310),INDEX(半紙!$C$11:$C$310,557),IF(557&lt;=COUNTA(半紙!$B$11:$B$310)+COUNTA(条幅!$B$11:$B$310),INDEX(条幅!$C$11:$C$310,557-COUNTA(半紙!$B$11:$B$310)),IF(557&lt;=COUNTA(半紙!$B$11:$B$310)+COUNTA(条幅!$B$11:$B$310)+COUNTA(条幅4分の1!$B$11:$B$310),INDEX(条幅4分の1!$C$11:$C$310,557-COUNTA(半紙!$B$11:$B$310)-COUNTA(条幅!$B$11:$B$310)),""))))</f>
        <v/>
      </c>
      <c r="D562" s="38" t="str">
        <f>IF(IF(557&lt;=COUNTA(半紙!$B$11:$B$310),INDEX(半紙!$D$11:$D$310,557),IF(557&lt;=COUNTA(半紙!$B$11:$B$310)+COUNTA(条幅!$B$11:$B$310),INDEX(条幅!$D$11:$D$310,557-COUNTA(半紙!$B$11:$B$310)),IF(557&lt;=COUNTA(半紙!$B$11:$B$310)+COUNTA(条幅!$B$11:$B$310)+COUNTA(条幅4分の1!$B$11:$B$310),INDEX(条幅4分の1!$D$11:$D$310,557-COUNTA(半紙!$B$11:$B$310)-COUNTA(条幅!$B$11:$B$310)),"")))=0,"",IF(557&lt;=COUNTA(半紙!$B$11:$B$310),INDEX(半紙!$D$11:$D$310,557),IF(557&lt;=COUNTA(半紙!$B$11:$B$310)+COUNTA(条幅!$B$11:$B$310),INDEX(条幅!$D$11:$D$310,557-COUNTA(半紙!$B$11:$B$310)),IF(557&lt;=COUNTA(半紙!$B$11:$B$310)+COUNTA(条幅!$B$11:$B$310)+COUNTA(条幅4分の1!$B$11:$B$310),INDEX(条幅4分の1!$D$11:$D$310,557-COUNTA(半紙!$B$11:$B$310)-COUNTA(条幅!$B$11:$B$310)),""))))</f>
        <v/>
      </c>
      <c r="E562" s="38" t="str">
        <f>IF(IF(557&lt;=COUNTA(半紙!$B$11:$B$310),INDEX(半紙!$E$11:$E$310,557),IF(557&lt;=COUNTA(半紙!$B$11:$B$310)+COUNTA(条幅!$B$11:$B$310),INDEX(条幅!$E$11:$E$310,557-COUNTA(半紙!$B$11:$B$310)),IF(557&lt;=COUNTA(半紙!$B$11:$B$310)+COUNTA(条幅!$B$11:$B$310)+COUNTA(条幅4分の1!$B$11:$B$310),INDEX(条幅4分の1!$E$11:$E$310,557-COUNTA(半紙!$B$11:$B$310)-COUNTA(条幅!$B$11:$B$310)),"")))=0,"",IF(557&lt;=COUNTA(半紙!$B$11:$B$310),INDEX(半紙!$E$11:$E$310,557),IF(557&lt;=COUNTA(半紙!$B$11:$B$310)+COUNTA(条幅!$B$11:$B$310),INDEX(条幅!$E$11:$E$310,557-COUNTA(半紙!$B$11:$B$310)),IF(557&lt;=COUNTA(半紙!$B$11:$B$310)+COUNTA(条幅!$B$11:$B$310)+COUNTA(条幅4分の1!$B$11:$B$310),INDEX(条幅4分の1!$E$11:$E$310,557-COUNTA(半紙!$B$11:$B$310)-COUNTA(条幅!$B$11:$B$310)),""))))</f>
        <v/>
      </c>
      <c r="F562" s="38" t="str">
        <f>IF(IF(557&lt;=COUNTA(半紙!$B$11:$B$310),INDEX(半紙!$F$11:$F$310,557),IF(557&lt;=COUNTA(半紙!$B$11:$B$310)+COUNTA(条幅!$B$11:$B$310),INDEX(条幅!$F$11:$F$310,557-COUNTA(半紙!$B$11:$B$310)),IF(557&lt;=COUNTA(半紙!$B$11:$B$310)+COUNTA(条幅!$B$11:$B$310)+COUNTA(条幅4分の1!$B$11:$B$310),INDEX(条幅4分の1!$F$11:$F$310,557-COUNTA(半紙!$B$11:$B$310)-COUNTA(条幅!$B$11:$B$310)),"")))=0,"",IF(557&lt;=COUNTA(半紙!$B$11:$B$310),INDEX(半紙!$F$11:$F$310,557),IF(557&lt;=COUNTA(半紙!$B$11:$B$310)+COUNTA(条幅!$B$11:$B$310),INDEX(条幅!$F$11:$F$310,557-COUNTA(半紙!$B$11:$B$310)),IF(557&lt;=COUNTA(半紙!$B$11:$B$310)+COUNTA(条幅!$B$11:$B$310)+COUNTA(条幅4分の1!$B$11:$B$310),INDEX(条幅4分の1!$F$11:$F$310,557-COUNTA(半紙!$B$11:$B$310)-COUNTA(条幅!$B$11:$B$310)),""))))</f>
        <v/>
      </c>
      <c r="G562" s="38" t="str">
        <f>IF(IF(557&lt;=COUNTA(半紙!$B$11:$B$310),INDEX(半紙!$G$11:$G$310,557),IF(557&lt;=COUNTA(半紙!$B$11:$B$310)+COUNTA(条幅!$B$11:$B$310),INDEX(条幅!$G$11:$G$310,557-COUNTA(半紙!$B$11:$B$310)),IF(557&lt;=COUNTA(半紙!$B$11:$B$310)+COUNTA(条幅!$B$11:$B$310)+COUNTA(条幅4分の1!$B$11:$B$310),INDEX(条幅4分の1!$G$11:$G$310,557-COUNTA(半紙!$B$11:$B$310)-COUNTA(条幅!$B$11:$B$310)),"")))=0,"",IF(557&lt;=COUNTA(半紙!$B$11:$B$310),INDEX(半紙!$G$11:$G$310,557),IF(557&lt;=COUNTA(半紙!$B$11:$B$310)+COUNTA(条幅!$B$11:$B$310),INDEX(条幅!$G$11:$G$310,557-COUNTA(半紙!$B$11:$B$310)),IF(557&lt;=COUNTA(半紙!$B$11:$B$310)+COUNTA(条幅!$B$11:$B$310)+COUNTA(条幅4分の1!$B$11:$B$310),INDEX(条幅4分の1!$G$11:$G$310,557-COUNTA(半紙!$B$11:$B$310)-COUNTA(条幅!$B$11:$B$310)),""))))</f>
        <v/>
      </c>
      <c r="H562" s="38" t="str">
        <f>IF(IF(557&lt;=COUNTA(半紙!$B$11:$B$310),INDEX(半紙!$H$11:$H$310,557),IF(557&lt;=COUNTA(半紙!$B$11:$B$310)+COUNTA(条幅!$B$11:$B$310),INDEX(条幅!$H$11:$H$310,557-COUNTA(半紙!$B$11:$B$310)),IF(557&lt;=COUNTA(半紙!$B$11:$B$310)+COUNTA(条幅!$B$11:$B$310)+COUNTA(条幅4分の1!$B$11:$B$310),INDEX(条幅4分の1!$H$11:$H$310,557-COUNTA(半紙!$B$11:$B$310)-COUNTA(条幅!$B$11:$B$310)),"")))=0,"",IF(557&lt;=COUNTA(半紙!$B$11:$B$310),INDEX(半紙!$H$11:$H$310,557),IF(557&lt;=COUNTA(半紙!$B$11:$B$310)+COUNTA(条幅!$B$11:$B$310),INDEX(条幅!$H$11:$H$310,557-COUNTA(半紙!$B$11:$B$310)),IF(557&lt;=COUNTA(半紙!$B$11:$B$310)+COUNTA(条幅!$B$11:$B$310)+COUNTA(条幅4分の1!$B$11:$B$310),INDEX(条幅4分の1!$H$11:$H$310,557-COUNTA(半紙!$B$11:$B$310)-COUNTA(条幅!$B$11:$B$310)),""))))</f>
        <v/>
      </c>
      <c r="I562" s="38" t="str">
        <f>IF(IF(557&lt;=COUNTA(半紙!$B$11:$B$310),INDEX(半紙!$I$11:$I$310,557),IF(557&lt;=COUNTA(半紙!$B$11:$B$310)+COUNTA(条幅!$B$11:$B$310),INDEX(条幅!$I$11:$I$310,557-COUNTA(半紙!$B$11:$B$310)),IF(557&lt;=COUNTA(半紙!$B$11:$B$310)+COUNTA(条幅!$B$11:$B$310)+COUNTA(条幅4分の1!$B$11:$B$310),INDEX(条幅4分の1!$I$11:$I$310,557-COUNTA(半紙!$B$11:$B$310)-COUNTA(条幅!$B$11:$B$310)),"")))=0,"",IF(557&lt;=COUNTA(半紙!$B$11:$B$310),INDEX(半紙!$I$11:$I$310,557),IF(557&lt;=COUNTA(半紙!$B$11:$B$310)+COUNTA(条幅!$B$11:$B$310),INDEX(条幅!$I$11:$I$310,557-COUNTA(半紙!$B$11:$B$310)),IF(557&lt;=COUNTA(半紙!$B$11:$B$310)+COUNTA(条幅!$B$11:$B$310)+COUNTA(条幅4分の1!$B$11:$B$310),INDEX(条幅4分の1!$I$11:$I$310,557-COUNTA(半紙!$B$11:$B$310)-COUNTA(条幅!$B$11:$B$310)),""))))</f>
        <v/>
      </c>
      <c r="J562" s="38" t="str">
        <f>IF(IF(557&lt;=COUNTA(半紙!$B$11:$B$310),INDEX(半紙!$J$11:$J$310,557),IF(557&lt;=COUNTA(半紙!$B$11:$B$310)+COUNTA(条幅!$B$11:$B$310),INDEX(条幅!$J$11:$J$310,557-COUNTA(半紙!$B$11:$B$310)),IF(557&lt;=COUNTA(半紙!$B$11:$B$310)+COUNTA(条幅!$B$11:$B$310)+COUNTA(条幅4分の1!$B$11:$B$310),INDEX(条幅4分の1!$J$11:$J$310,557-COUNTA(半紙!$B$11:$B$310)-COUNTA(条幅!$B$11:$B$310)),"")))=0,"",IF(557&lt;=COUNTA(半紙!$B$11:$B$310),INDEX(半紙!$J$11:$J$310,557),IF(557&lt;=COUNTA(半紙!$B$11:$B$310)+COUNTA(条幅!$B$11:$B$310),INDEX(条幅!$J$11:$J$310,557-COUNTA(半紙!$B$11:$B$310)),IF(557&lt;=COUNTA(半紙!$B$11:$B$310)+COUNTA(条幅!$B$11:$B$310)+COUNTA(条幅4分の1!$B$11:$B$310),INDEX(条幅4分の1!$J$11:$J$310,557-COUNTA(半紙!$B$11:$B$310)-COUNTA(条幅!$B$11:$B$310)),""))))</f>
        <v/>
      </c>
      <c r="K562" s="38" t="str">
        <f>IF(IF(557&lt;=COUNTA(半紙!$B$11:$B$310),INDEX(半紙!$K$11:$K$310,557),IF(557&lt;=COUNTA(半紙!$B$11:$B$310)+COUNTA(条幅!$B$11:$B$310),INDEX(条幅!$K$11:$K$310,557-COUNTA(半紙!$B$11:$B$310)),IF(557&lt;=COUNTA(半紙!$B$11:$B$310)+COUNTA(条幅!$B$11:$B$310)+COUNTA(条幅4分の1!$B$11:$B$310),INDEX(条幅4分の1!$K$11:$K$310,557-COUNTA(半紙!$B$11:$B$310)-COUNTA(条幅!$B$11:$B$310)),"")))=0,"",IF(557&lt;=COUNTA(半紙!$B$11:$B$310),INDEX(半紙!$K$11:$K$310,557),IF(557&lt;=COUNTA(半紙!$B$11:$B$310)+COUNTA(条幅!$B$11:$B$310),INDEX(条幅!$K$11:$K$310,557-COUNTA(半紙!$B$11:$B$310)),IF(557&lt;=COUNTA(半紙!$B$11:$B$310)+COUNTA(条幅!$B$11:$B$310)+COUNTA(条幅4分の1!$B$11:$B$310),INDEX(条幅4分の1!$K$11:$K$310,557-COUNTA(半紙!$B$11:$B$310)-COUNTA(条幅!$B$11:$B$310)),""))))</f>
        <v/>
      </c>
      <c r="L562" s="48" t="str">
        <f>IF($B562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557))</f>
        <v/>
      </c>
    </row>
    <row r="563" spans="1:12" ht="15" customHeight="1">
      <c r="A563" s="37" t="str">
        <f>IF(558&lt;=COUNTA(半紙!$B$11:$B$310),"半紙",IF(558&lt;=COUNTA(半紙!$B$11:$B$310)+COUNTA(条幅!$B$11:$B$310),"条幅(半切)",IF(558&lt;=COUNTA(半紙!$B$11:$B$310)+COUNTA(条幅!$B$11:$B$310)+COUNTA(条幅4分の1!$B$11:$B$310),"条幅(1/4)","")))</f>
        <v/>
      </c>
      <c r="B563" s="38" t="str">
        <f>IF(IF(558&lt;=COUNTA(半紙!$B$11:$B$310),INDEX(半紙!$B$11:$B$310,558),IF(558&lt;=COUNTA(半紙!$B$11:$B$310)+COUNTA(条幅!$B$11:$B$310),INDEX(条幅!$B$11:$B$310,558-COUNTA(半紙!$B$11:$B$310)),IF(558&lt;=COUNTA(半紙!$B$11:$B$310)+COUNTA(条幅!$B$11:$B$310)+COUNTA(条幅4分の1!$B$11:$B$310),INDEX(条幅4分の1!$B$11:$B$310,558-COUNTA(半紙!$B$11:$B$310)-COUNTA(条幅!$B$11:$B$310)),"")))=0,"",IF(558&lt;=COUNTA(半紙!$B$11:$B$310),INDEX(半紙!$B$11:$B$310,558),IF(558&lt;=COUNTA(半紙!$B$11:$B$310)+COUNTA(条幅!$B$11:$B$310),INDEX(条幅!$B$11:$B$310,558-COUNTA(半紙!$B$11:$B$310)),IF(558&lt;=COUNTA(半紙!$B$11:$B$310)+COUNTA(条幅!$B$11:$B$310)+COUNTA(条幅4分の1!$B$11:$B$310),INDEX(条幅4分の1!$B$11:$B$310,558-COUNTA(半紙!$B$11:$B$310)-COUNTA(条幅!$B$11:$B$310)),""))))</f>
        <v/>
      </c>
      <c r="C563" s="38" t="str">
        <f>IF(IF(558&lt;=COUNTA(半紙!$B$11:$B$310),INDEX(半紙!$C$11:$C$310,558),IF(558&lt;=COUNTA(半紙!$B$11:$B$310)+COUNTA(条幅!$B$11:$B$310),INDEX(条幅!$C$11:$C$310,558-COUNTA(半紙!$B$11:$B$310)),IF(558&lt;=COUNTA(半紙!$B$11:$B$310)+COUNTA(条幅!$B$11:$B$310)+COUNTA(条幅4分の1!$B$11:$B$310),INDEX(条幅4分の1!$C$11:$C$310,558-COUNTA(半紙!$B$11:$B$310)-COUNTA(条幅!$B$11:$B$310)),"")))=0,"",IF(558&lt;=COUNTA(半紙!$B$11:$B$310),INDEX(半紙!$C$11:$C$310,558),IF(558&lt;=COUNTA(半紙!$B$11:$B$310)+COUNTA(条幅!$B$11:$B$310),INDEX(条幅!$C$11:$C$310,558-COUNTA(半紙!$B$11:$B$310)),IF(558&lt;=COUNTA(半紙!$B$11:$B$310)+COUNTA(条幅!$B$11:$B$310)+COUNTA(条幅4分の1!$B$11:$B$310),INDEX(条幅4分の1!$C$11:$C$310,558-COUNTA(半紙!$B$11:$B$310)-COUNTA(条幅!$B$11:$B$310)),""))))</f>
        <v/>
      </c>
      <c r="D563" s="38" t="str">
        <f>IF(IF(558&lt;=COUNTA(半紙!$B$11:$B$310),INDEX(半紙!$D$11:$D$310,558),IF(558&lt;=COUNTA(半紙!$B$11:$B$310)+COUNTA(条幅!$B$11:$B$310),INDEX(条幅!$D$11:$D$310,558-COUNTA(半紙!$B$11:$B$310)),IF(558&lt;=COUNTA(半紙!$B$11:$B$310)+COUNTA(条幅!$B$11:$B$310)+COUNTA(条幅4分の1!$B$11:$B$310),INDEX(条幅4分の1!$D$11:$D$310,558-COUNTA(半紙!$B$11:$B$310)-COUNTA(条幅!$B$11:$B$310)),"")))=0,"",IF(558&lt;=COUNTA(半紙!$B$11:$B$310),INDEX(半紙!$D$11:$D$310,558),IF(558&lt;=COUNTA(半紙!$B$11:$B$310)+COUNTA(条幅!$B$11:$B$310),INDEX(条幅!$D$11:$D$310,558-COUNTA(半紙!$B$11:$B$310)),IF(558&lt;=COUNTA(半紙!$B$11:$B$310)+COUNTA(条幅!$B$11:$B$310)+COUNTA(条幅4分の1!$B$11:$B$310),INDEX(条幅4分の1!$D$11:$D$310,558-COUNTA(半紙!$B$11:$B$310)-COUNTA(条幅!$B$11:$B$310)),""))))</f>
        <v/>
      </c>
      <c r="E563" s="38" t="str">
        <f>IF(IF(558&lt;=COUNTA(半紙!$B$11:$B$310),INDEX(半紙!$E$11:$E$310,558),IF(558&lt;=COUNTA(半紙!$B$11:$B$310)+COUNTA(条幅!$B$11:$B$310),INDEX(条幅!$E$11:$E$310,558-COUNTA(半紙!$B$11:$B$310)),IF(558&lt;=COUNTA(半紙!$B$11:$B$310)+COUNTA(条幅!$B$11:$B$310)+COUNTA(条幅4分の1!$B$11:$B$310),INDEX(条幅4分の1!$E$11:$E$310,558-COUNTA(半紙!$B$11:$B$310)-COUNTA(条幅!$B$11:$B$310)),"")))=0,"",IF(558&lt;=COUNTA(半紙!$B$11:$B$310),INDEX(半紙!$E$11:$E$310,558),IF(558&lt;=COUNTA(半紙!$B$11:$B$310)+COUNTA(条幅!$B$11:$B$310),INDEX(条幅!$E$11:$E$310,558-COUNTA(半紙!$B$11:$B$310)),IF(558&lt;=COUNTA(半紙!$B$11:$B$310)+COUNTA(条幅!$B$11:$B$310)+COUNTA(条幅4分の1!$B$11:$B$310),INDEX(条幅4分の1!$E$11:$E$310,558-COUNTA(半紙!$B$11:$B$310)-COUNTA(条幅!$B$11:$B$310)),""))))</f>
        <v/>
      </c>
      <c r="F563" s="38" t="str">
        <f>IF(IF(558&lt;=COUNTA(半紙!$B$11:$B$310),INDEX(半紙!$F$11:$F$310,558),IF(558&lt;=COUNTA(半紙!$B$11:$B$310)+COUNTA(条幅!$B$11:$B$310),INDEX(条幅!$F$11:$F$310,558-COUNTA(半紙!$B$11:$B$310)),IF(558&lt;=COUNTA(半紙!$B$11:$B$310)+COUNTA(条幅!$B$11:$B$310)+COUNTA(条幅4分の1!$B$11:$B$310),INDEX(条幅4分の1!$F$11:$F$310,558-COUNTA(半紙!$B$11:$B$310)-COUNTA(条幅!$B$11:$B$310)),"")))=0,"",IF(558&lt;=COUNTA(半紙!$B$11:$B$310),INDEX(半紙!$F$11:$F$310,558),IF(558&lt;=COUNTA(半紙!$B$11:$B$310)+COUNTA(条幅!$B$11:$B$310),INDEX(条幅!$F$11:$F$310,558-COUNTA(半紙!$B$11:$B$310)),IF(558&lt;=COUNTA(半紙!$B$11:$B$310)+COUNTA(条幅!$B$11:$B$310)+COUNTA(条幅4分の1!$B$11:$B$310),INDEX(条幅4分の1!$F$11:$F$310,558-COUNTA(半紙!$B$11:$B$310)-COUNTA(条幅!$B$11:$B$310)),""))))</f>
        <v/>
      </c>
      <c r="G563" s="38" t="str">
        <f>IF(IF(558&lt;=COUNTA(半紙!$B$11:$B$310),INDEX(半紙!$G$11:$G$310,558),IF(558&lt;=COUNTA(半紙!$B$11:$B$310)+COUNTA(条幅!$B$11:$B$310),INDEX(条幅!$G$11:$G$310,558-COUNTA(半紙!$B$11:$B$310)),IF(558&lt;=COUNTA(半紙!$B$11:$B$310)+COUNTA(条幅!$B$11:$B$310)+COUNTA(条幅4分の1!$B$11:$B$310),INDEX(条幅4分の1!$G$11:$G$310,558-COUNTA(半紙!$B$11:$B$310)-COUNTA(条幅!$B$11:$B$310)),"")))=0,"",IF(558&lt;=COUNTA(半紙!$B$11:$B$310),INDEX(半紙!$G$11:$G$310,558),IF(558&lt;=COUNTA(半紙!$B$11:$B$310)+COUNTA(条幅!$B$11:$B$310),INDEX(条幅!$G$11:$G$310,558-COUNTA(半紙!$B$11:$B$310)),IF(558&lt;=COUNTA(半紙!$B$11:$B$310)+COUNTA(条幅!$B$11:$B$310)+COUNTA(条幅4分の1!$B$11:$B$310),INDEX(条幅4分の1!$G$11:$G$310,558-COUNTA(半紙!$B$11:$B$310)-COUNTA(条幅!$B$11:$B$310)),""))))</f>
        <v/>
      </c>
      <c r="H563" s="38" t="str">
        <f>IF(IF(558&lt;=COUNTA(半紙!$B$11:$B$310),INDEX(半紙!$H$11:$H$310,558),IF(558&lt;=COUNTA(半紙!$B$11:$B$310)+COUNTA(条幅!$B$11:$B$310),INDEX(条幅!$H$11:$H$310,558-COUNTA(半紙!$B$11:$B$310)),IF(558&lt;=COUNTA(半紙!$B$11:$B$310)+COUNTA(条幅!$B$11:$B$310)+COUNTA(条幅4分の1!$B$11:$B$310),INDEX(条幅4分の1!$H$11:$H$310,558-COUNTA(半紙!$B$11:$B$310)-COUNTA(条幅!$B$11:$B$310)),"")))=0,"",IF(558&lt;=COUNTA(半紙!$B$11:$B$310),INDEX(半紙!$H$11:$H$310,558),IF(558&lt;=COUNTA(半紙!$B$11:$B$310)+COUNTA(条幅!$B$11:$B$310),INDEX(条幅!$H$11:$H$310,558-COUNTA(半紙!$B$11:$B$310)),IF(558&lt;=COUNTA(半紙!$B$11:$B$310)+COUNTA(条幅!$B$11:$B$310)+COUNTA(条幅4分の1!$B$11:$B$310),INDEX(条幅4分の1!$H$11:$H$310,558-COUNTA(半紙!$B$11:$B$310)-COUNTA(条幅!$B$11:$B$310)),""))))</f>
        <v/>
      </c>
      <c r="I563" s="38" t="str">
        <f>IF(IF(558&lt;=COUNTA(半紙!$B$11:$B$310),INDEX(半紙!$I$11:$I$310,558),IF(558&lt;=COUNTA(半紙!$B$11:$B$310)+COUNTA(条幅!$B$11:$B$310),INDEX(条幅!$I$11:$I$310,558-COUNTA(半紙!$B$11:$B$310)),IF(558&lt;=COUNTA(半紙!$B$11:$B$310)+COUNTA(条幅!$B$11:$B$310)+COUNTA(条幅4分の1!$B$11:$B$310),INDEX(条幅4分の1!$I$11:$I$310,558-COUNTA(半紙!$B$11:$B$310)-COUNTA(条幅!$B$11:$B$310)),"")))=0,"",IF(558&lt;=COUNTA(半紙!$B$11:$B$310),INDEX(半紙!$I$11:$I$310,558),IF(558&lt;=COUNTA(半紙!$B$11:$B$310)+COUNTA(条幅!$B$11:$B$310),INDEX(条幅!$I$11:$I$310,558-COUNTA(半紙!$B$11:$B$310)),IF(558&lt;=COUNTA(半紙!$B$11:$B$310)+COUNTA(条幅!$B$11:$B$310)+COUNTA(条幅4分の1!$B$11:$B$310),INDEX(条幅4分の1!$I$11:$I$310,558-COUNTA(半紙!$B$11:$B$310)-COUNTA(条幅!$B$11:$B$310)),""))))</f>
        <v/>
      </c>
      <c r="J563" s="38" t="str">
        <f>IF(IF(558&lt;=COUNTA(半紙!$B$11:$B$310),INDEX(半紙!$J$11:$J$310,558),IF(558&lt;=COUNTA(半紙!$B$11:$B$310)+COUNTA(条幅!$B$11:$B$310),INDEX(条幅!$J$11:$J$310,558-COUNTA(半紙!$B$11:$B$310)),IF(558&lt;=COUNTA(半紙!$B$11:$B$310)+COUNTA(条幅!$B$11:$B$310)+COUNTA(条幅4分の1!$B$11:$B$310),INDEX(条幅4分の1!$J$11:$J$310,558-COUNTA(半紙!$B$11:$B$310)-COUNTA(条幅!$B$11:$B$310)),"")))=0,"",IF(558&lt;=COUNTA(半紙!$B$11:$B$310),INDEX(半紙!$J$11:$J$310,558),IF(558&lt;=COUNTA(半紙!$B$11:$B$310)+COUNTA(条幅!$B$11:$B$310),INDEX(条幅!$J$11:$J$310,558-COUNTA(半紙!$B$11:$B$310)),IF(558&lt;=COUNTA(半紙!$B$11:$B$310)+COUNTA(条幅!$B$11:$B$310)+COUNTA(条幅4分の1!$B$11:$B$310),INDEX(条幅4分の1!$J$11:$J$310,558-COUNTA(半紙!$B$11:$B$310)-COUNTA(条幅!$B$11:$B$310)),""))))</f>
        <v/>
      </c>
      <c r="K563" s="38" t="str">
        <f>IF(IF(558&lt;=COUNTA(半紙!$B$11:$B$310),INDEX(半紙!$K$11:$K$310,558),IF(558&lt;=COUNTA(半紙!$B$11:$B$310)+COUNTA(条幅!$B$11:$B$310),INDEX(条幅!$K$11:$K$310,558-COUNTA(半紙!$B$11:$B$310)),IF(558&lt;=COUNTA(半紙!$B$11:$B$310)+COUNTA(条幅!$B$11:$B$310)+COUNTA(条幅4分の1!$B$11:$B$310),INDEX(条幅4分の1!$K$11:$K$310,558-COUNTA(半紙!$B$11:$B$310)-COUNTA(条幅!$B$11:$B$310)),"")))=0,"",IF(558&lt;=COUNTA(半紙!$B$11:$B$310),INDEX(半紙!$K$11:$K$310,558),IF(558&lt;=COUNTA(半紙!$B$11:$B$310)+COUNTA(条幅!$B$11:$B$310),INDEX(条幅!$K$11:$K$310,558-COUNTA(半紙!$B$11:$B$310)),IF(558&lt;=COUNTA(半紙!$B$11:$B$310)+COUNTA(条幅!$B$11:$B$310)+COUNTA(条幅4分の1!$B$11:$B$310),INDEX(条幅4分の1!$K$11:$K$310,558-COUNTA(半紙!$B$11:$B$310)-COUNTA(条幅!$B$11:$B$310)),""))))</f>
        <v/>
      </c>
      <c r="L563" s="48" t="str">
        <f>IF($B563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558))</f>
        <v/>
      </c>
    </row>
    <row r="564" spans="1:12" ht="15" customHeight="1">
      <c r="A564" s="37" t="str">
        <f>IF(559&lt;=COUNTA(半紙!$B$11:$B$310),"半紙",IF(559&lt;=COUNTA(半紙!$B$11:$B$310)+COUNTA(条幅!$B$11:$B$310),"条幅(半切)",IF(559&lt;=COUNTA(半紙!$B$11:$B$310)+COUNTA(条幅!$B$11:$B$310)+COUNTA(条幅4分の1!$B$11:$B$310),"条幅(1/4)","")))</f>
        <v/>
      </c>
      <c r="B564" s="38" t="str">
        <f>IF(IF(559&lt;=COUNTA(半紙!$B$11:$B$310),INDEX(半紙!$B$11:$B$310,559),IF(559&lt;=COUNTA(半紙!$B$11:$B$310)+COUNTA(条幅!$B$11:$B$310),INDEX(条幅!$B$11:$B$310,559-COUNTA(半紙!$B$11:$B$310)),IF(559&lt;=COUNTA(半紙!$B$11:$B$310)+COUNTA(条幅!$B$11:$B$310)+COUNTA(条幅4分の1!$B$11:$B$310),INDEX(条幅4分の1!$B$11:$B$310,559-COUNTA(半紙!$B$11:$B$310)-COUNTA(条幅!$B$11:$B$310)),"")))=0,"",IF(559&lt;=COUNTA(半紙!$B$11:$B$310),INDEX(半紙!$B$11:$B$310,559),IF(559&lt;=COUNTA(半紙!$B$11:$B$310)+COUNTA(条幅!$B$11:$B$310),INDEX(条幅!$B$11:$B$310,559-COUNTA(半紙!$B$11:$B$310)),IF(559&lt;=COUNTA(半紙!$B$11:$B$310)+COUNTA(条幅!$B$11:$B$310)+COUNTA(条幅4分の1!$B$11:$B$310),INDEX(条幅4分の1!$B$11:$B$310,559-COUNTA(半紙!$B$11:$B$310)-COUNTA(条幅!$B$11:$B$310)),""))))</f>
        <v/>
      </c>
      <c r="C564" s="38" t="str">
        <f>IF(IF(559&lt;=COUNTA(半紙!$B$11:$B$310),INDEX(半紙!$C$11:$C$310,559),IF(559&lt;=COUNTA(半紙!$B$11:$B$310)+COUNTA(条幅!$B$11:$B$310),INDEX(条幅!$C$11:$C$310,559-COUNTA(半紙!$B$11:$B$310)),IF(559&lt;=COUNTA(半紙!$B$11:$B$310)+COUNTA(条幅!$B$11:$B$310)+COUNTA(条幅4分の1!$B$11:$B$310),INDEX(条幅4分の1!$C$11:$C$310,559-COUNTA(半紙!$B$11:$B$310)-COUNTA(条幅!$B$11:$B$310)),"")))=0,"",IF(559&lt;=COUNTA(半紙!$B$11:$B$310),INDEX(半紙!$C$11:$C$310,559),IF(559&lt;=COUNTA(半紙!$B$11:$B$310)+COUNTA(条幅!$B$11:$B$310),INDEX(条幅!$C$11:$C$310,559-COUNTA(半紙!$B$11:$B$310)),IF(559&lt;=COUNTA(半紙!$B$11:$B$310)+COUNTA(条幅!$B$11:$B$310)+COUNTA(条幅4分の1!$B$11:$B$310),INDEX(条幅4分の1!$C$11:$C$310,559-COUNTA(半紙!$B$11:$B$310)-COUNTA(条幅!$B$11:$B$310)),""))))</f>
        <v/>
      </c>
      <c r="D564" s="38" t="str">
        <f>IF(IF(559&lt;=COUNTA(半紙!$B$11:$B$310),INDEX(半紙!$D$11:$D$310,559),IF(559&lt;=COUNTA(半紙!$B$11:$B$310)+COUNTA(条幅!$B$11:$B$310),INDEX(条幅!$D$11:$D$310,559-COUNTA(半紙!$B$11:$B$310)),IF(559&lt;=COUNTA(半紙!$B$11:$B$310)+COUNTA(条幅!$B$11:$B$310)+COUNTA(条幅4分の1!$B$11:$B$310),INDEX(条幅4分の1!$D$11:$D$310,559-COUNTA(半紙!$B$11:$B$310)-COUNTA(条幅!$B$11:$B$310)),"")))=0,"",IF(559&lt;=COUNTA(半紙!$B$11:$B$310),INDEX(半紙!$D$11:$D$310,559),IF(559&lt;=COUNTA(半紙!$B$11:$B$310)+COUNTA(条幅!$B$11:$B$310),INDEX(条幅!$D$11:$D$310,559-COUNTA(半紙!$B$11:$B$310)),IF(559&lt;=COUNTA(半紙!$B$11:$B$310)+COUNTA(条幅!$B$11:$B$310)+COUNTA(条幅4分の1!$B$11:$B$310),INDEX(条幅4分の1!$D$11:$D$310,559-COUNTA(半紙!$B$11:$B$310)-COUNTA(条幅!$B$11:$B$310)),""))))</f>
        <v/>
      </c>
      <c r="E564" s="38" t="str">
        <f>IF(IF(559&lt;=COUNTA(半紙!$B$11:$B$310),INDEX(半紙!$E$11:$E$310,559),IF(559&lt;=COUNTA(半紙!$B$11:$B$310)+COUNTA(条幅!$B$11:$B$310),INDEX(条幅!$E$11:$E$310,559-COUNTA(半紙!$B$11:$B$310)),IF(559&lt;=COUNTA(半紙!$B$11:$B$310)+COUNTA(条幅!$B$11:$B$310)+COUNTA(条幅4分の1!$B$11:$B$310),INDEX(条幅4分の1!$E$11:$E$310,559-COUNTA(半紙!$B$11:$B$310)-COUNTA(条幅!$B$11:$B$310)),"")))=0,"",IF(559&lt;=COUNTA(半紙!$B$11:$B$310),INDEX(半紙!$E$11:$E$310,559),IF(559&lt;=COUNTA(半紙!$B$11:$B$310)+COUNTA(条幅!$B$11:$B$310),INDEX(条幅!$E$11:$E$310,559-COUNTA(半紙!$B$11:$B$310)),IF(559&lt;=COUNTA(半紙!$B$11:$B$310)+COUNTA(条幅!$B$11:$B$310)+COUNTA(条幅4分の1!$B$11:$B$310),INDEX(条幅4分の1!$E$11:$E$310,559-COUNTA(半紙!$B$11:$B$310)-COUNTA(条幅!$B$11:$B$310)),""))))</f>
        <v/>
      </c>
      <c r="F564" s="38" t="str">
        <f>IF(IF(559&lt;=COUNTA(半紙!$B$11:$B$310),INDEX(半紙!$F$11:$F$310,559),IF(559&lt;=COUNTA(半紙!$B$11:$B$310)+COUNTA(条幅!$B$11:$B$310),INDEX(条幅!$F$11:$F$310,559-COUNTA(半紙!$B$11:$B$310)),IF(559&lt;=COUNTA(半紙!$B$11:$B$310)+COUNTA(条幅!$B$11:$B$310)+COUNTA(条幅4分の1!$B$11:$B$310),INDEX(条幅4分の1!$F$11:$F$310,559-COUNTA(半紙!$B$11:$B$310)-COUNTA(条幅!$B$11:$B$310)),"")))=0,"",IF(559&lt;=COUNTA(半紙!$B$11:$B$310),INDEX(半紙!$F$11:$F$310,559),IF(559&lt;=COUNTA(半紙!$B$11:$B$310)+COUNTA(条幅!$B$11:$B$310),INDEX(条幅!$F$11:$F$310,559-COUNTA(半紙!$B$11:$B$310)),IF(559&lt;=COUNTA(半紙!$B$11:$B$310)+COUNTA(条幅!$B$11:$B$310)+COUNTA(条幅4分の1!$B$11:$B$310),INDEX(条幅4分の1!$F$11:$F$310,559-COUNTA(半紙!$B$11:$B$310)-COUNTA(条幅!$B$11:$B$310)),""))))</f>
        <v/>
      </c>
      <c r="G564" s="38" t="str">
        <f>IF(IF(559&lt;=COUNTA(半紙!$B$11:$B$310),INDEX(半紙!$G$11:$G$310,559),IF(559&lt;=COUNTA(半紙!$B$11:$B$310)+COUNTA(条幅!$B$11:$B$310),INDEX(条幅!$G$11:$G$310,559-COUNTA(半紙!$B$11:$B$310)),IF(559&lt;=COUNTA(半紙!$B$11:$B$310)+COUNTA(条幅!$B$11:$B$310)+COUNTA(条幅4分の1!$B$11:$B$310),INDEX(条幅4分の1!$G$11:$G$310,559-COUNTA(半紙!$B$11:$B$310)-COUNTA(条幅!$B$11:$B$310)),"")))=0,"",IF(559&lt;=COUNTA(半紙!$B$11:$B$310),INDEX(半紙!$G$11:$G$310,559),IF(559&lt;=COUNTA(半紙!$B$11:$B$310)+COUNTA(条幅!$B$11:$B$310),INDEX(条幅!$G$11:$G$310,559-COUNTA(半紙!$B$11:$B$310)),IF(559&lt;=COUNTA(半紙!$B$11:$B$310)+COUNTA(条幅!$B$11:$B$310)+COUNTA(条幅4分の1!$B$11:$B$310),INDEX(条幅4分の1!$G$11:$G$310,559-COUNTA(半紙!$B$11:$B$310)-COUNTA(条幅!$B$11:$B$310)),""))))</f>
        <v/>
      </c>
      <c r="H564" s="38" t="str">
        <f>IF(IF(559&lt;=COUNTA(半紙!$B$11:$B$310),INDEX(半紙!$H$11:$H$310,559),IF(559&lt;=COUNTA(半紙!$B$11:$B$310)+COUNTA(条幅!$B$11:$B$310),INDEX(条幅!$H$11:$H$310,559-COUNTA(半紙!$B$11:$B$310)),IF(559&lt;=COUNTA(半紙!$B$11:$B$310)+COUNTA(条幅!$B$11:$B$310)+COUNTA(条幅4分の1!$B$11:$B$310),INDEX(条幅4分の1!$H$11:$H$310,559-COUNTA(半紙!$B$11:$B$310)-COUNTA(条幅!$B$11:$B$310)),"")))=0,"",IF(559&lt;=COUNTA(半紙!$B$11:$B$310),INDEX(半紙!$H$11:$H$310,559),IF(559&lt;=COUNTA(半紙!$B$11:$B$310)+COUNTA(条幅!$B$11:$B$310),INDEX(条幅!$H$11:$H$310,559-COUNTA(半紙!$B$11:$B$310)),IF(559&lt;=COUNTA(半紙!$B$11:$B$310)+COUNTA(条幅!$B$11:$B$310)+COUNTA(条幅4分の1!$B$11:$B$310),INDEX(条幅4分の1!$H$11:$H$310,559-COUNTA(半紙!$B$11:$B$310)-COUNTA(条幅!$B$11:$B$310)),""))))</f>
        <v/>
      </c>
      <c r="I564" s="38" t="str">
        <f>IF(IF(559&lt;=COUNTA(半紙!$B$11:$B$310),INDEX(半紙!$I$11:$I$310,559),IF(559&lt;=COUNTA(半紙!$B$11:$B$310)+COUNTA(条幅!$B$11:$B$310),INDEX(条幅!$I$11:$I$310,559-COUNTA(半紙!$B$11:$B$310)),IF(559&lt;=COUNTA(半紙!$B$11:$B$310)+COUNTA(条幅!$B$11:$B$310)+COUNTA(条幅4分の1!$B$11:$B$310),INDEX(条幅4分の1!$I$11:$I$310,559-COUNTA(半紙!$B$11:$B$310)-COUNTA(条幅!$B$11:$B$310)),"")))=0,"",IF(559&lt;=COUNTA(半紙!$B$11:$B$310),INDEX(半紙!$I$11:$I$310,559),IF(559&lt;=COUNTA(半紙!$B$11:$B$310)+COUNTA(条幅!$B$11:$B$310),INDEX(条幅!$I$11:$I$310,559-COUNTA(半紙!$B$11:$B$310)),IF(559&lt;=COUNTA(半紙!$B$11:$B$310)+COUNTA(条幅!$B$11:$B$310)+COUNTA(条幅4分の1!$B$11:$B$310),INDEX(条幅4分の1!$I$11:$I$310,559-COUNTA(半紙!$B$11:$B$310)-COUNTA(条幅!$B$11:$B$310)),""))))</f>
        <v/>
      </c>
      <c r="J564" s="38" t="str">
        <f>IF(IF(559&lt;=COUNTA(半紙!$B$11:$B$310),INDEX(半紙!$J$11:$J$310,559),IF(559&lt;=COUNTA(半紙!$B$11:$B$310)+COUNTA(条幅!$B$11:$B$310),INDEX(条幅!$J$11:$J$310,559-COUNTA(半紙!$B$11:$B$310)),IF(559&lt;=COUNTA(半紙!$B$11:$B$310)+COUNTA(条幅!$B$11:$B$310)+COUNTA(条幅4分の1!$B$11:$B$310),INDEX(条幅4分の1!$J$11:$J$310,559-COUNTA(半紙!$B$11:$B$310)-COUNTA(条幅!$B$11:$B$310)),"")))=0,"",IF(559&lt;=COUNTA(半紙!$B$11:$B$310),INDEX(半紙!$J$11:$J$310,559),IF(559&lt;=COUNTA(半紙!$B$11:$B$310)+COUNTA(条幅!$B$11:$B$310),INDEX(条幅!$J$11:$J$310,559-COUNTA(半紙!$B$11:$B$310)),IF(559&lt;=COUNTA(半紙!$B$11:$B$310)+COUNTA(条幅!$B$11:$B$310)+COUNTA(条幅4分の1!$B$11:$B$310),INDEX(条幅4分の1!$J$11:$J$310,559-COUNTA(半紙!$B$11:$B$310)-COUNTA(条幅!$B$11:$B$310)),""))))</f>
        <v/>
      </c>
      <c r="K564" s="38" t="str">
        <f>IF(IF(559&lt;=COUNTA(半紙!$B$11:$B$310),INDEX(半紙!$K$11:$K$310,559),IF(559&lt;=COUNTA(半紙!$B$11:$B$310)+COUNTA(条幅!$B$11:$B$310),INDEX(条幅!$K$11:$K$310,559-COUNTA(半紙!$B$11:$B$310)),IF(559&lt;=COUNTA(半紙!$B$11:$B$310)+COUNTA(条幅!$B$11:$B$310)+COUNTA(条幅4分の1!$B$11:$B$310),INDEX(条幅4分の1!$K$11:$K$310,559-COUNTA(半紙!$B$11:$B$310)-COUNTA(条幅!$B$11:$B$310)),"")))=0,"",IF(559&lt;=COUNTA(半紙!$B$11:$B$310),INDEX(半紙!$K$11:$K$310,559),IF(559&lt;=COUNTA(半紙!$B$11:$B$310)+COUNTA(条幅!$B$11:$B$310),INDEX(条幅!$K$11:$K$310,559-COUNTA(半紙!$B$11:$B$310)),IF(559&lt;=COUNTA(半紙!$B$11:$B$310)+COUNTA(条幅!$B$11:$B$310)+COUNTA(条幅4分の1!$B$11:$B$310),INDEX(条幅4分の1!$K$11:$K$310,559-COUNTA(半紙!$B$11:$B$310)-COUNTA(条幅!$B$11:$B$310)),""))))</f>
        <v/>
      </c>
      <c r="L564" s="48" t="str">
        <f>IF($B564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559))</f>
        <v/>
      </c>
    </row>
    <row r="565" spans="1:12" ht="15" customHeight="1">
      <c r="A565" s="37" t="str">
        <f>IF(560&lt;=COUNTA(半紙!$B$11:$B$310),"半紙",IF(560&lt;=COUNTA(半紙!$B$11:$B$310)+COUNTA(条幅!$B$11:$B$310),"条幅(半切)",IF(560&lt;=COUNTA(半紙!$B$11:$B$310)+COUNTA(条幅!$B$11:$B$310)+COUNTA(条幅4分の1!$B$11:$B$310),"条幅(1/4)","")))</f>
        <v/>
      </c>
      <c r="B565" s="38" t="str">
        <f>IF(IF(560&lt;=COUNTA(半紙!$B$11:$B$310),INDEX(半紙!$B$11:$B$310,560),IF(560&lt;=COUNTA(半紙!$B$11:$B$310)+COUNTA(条幅!$B$11:$B$310),INDEX(条幅!$B$11:$B$310,560-COUNTA(半紙!$B$11:$B$310)),IF(560&lt;=COUNTA(半紙!$B$11:$B$310)+COUNTA(条幅!$B$11:$B$310)+COUNTA(条幅4分の1!$B$11:$B$310),INDEX(条幅4分の1!$B$11:$B$310,560-COUNTA(半紙!$B$11:$B$310)-COUNTA(条幅!$B$11:$B$310)),"")))=0,"",IF(560&lt;=COUNTA(半紙!$B$11:$B$310),INDEX(半紙!$B$11:$B$310,560),IF(560&lt;=COUNTA(半紙!$B$11:$B$310)+COUNTA(条幅!$B$11:$B$310),INDEX(条幅!$B$11:$B$310,560-COUNTA(半紙!$B$11:$B$310)),IF(560&lt;=COUNTA(半紙!$B$11:$B$310)+COUNTA(条幅!$B$11:$B$310)+COUNTA(条幅4分の1!$B$11:$B$310),INDEX(条幅4分の1!$B$11:$B$310,560-COUNTA(半紙!$B$11:$B$310)-COUNTA(条幅!$B$11:$B$310)),""))))</f>
        <v/>
      </c>
      <c r="C565" s="38" t="str">
        <f>IF(IF(560&lt;=COUNTA(半紙!$B$11:$B$310),INDEX(半紙!$C$11:$C$310,560),IF(560&lt;=COUNTA(半紙!$B$11:$B$310)+COUNTA(条幅!$B$11:$B$310),INDEX(条幅!$C$11:$C$310,560-COUNTA(半紙!$B$11:$B$310)),IF(560&lt;=COUNTA(半紙!$B$11:$B$310)+COUNTA(条幅!$B$11:$B$310)+COUNTA(条幅4分の1!$B$11:$B$310),INDEX(条幅4分の1!$C$11:$C$310,560-COUNTA(半紙!$B$11:$B$310)-COUNTA(条幅!$B$11:$B$310)),"")))=0,"",IF(560&lt;=COUNTA(半紙!$B$11:$B$310),INDEX(半紙!$C$11:$C$310,560),IF(560&lt;=COUNTA(半紙!$B$11:$B$310)+COUNTA(条幅!$B$11:$B$310),INDEX(条幅!$C$11:$C$310,560-COUNTA(半紙!$B$11:$B$310)),IF(560&lt;=COUNTA(半紙!$B$11:$B$310)+COUNTA(条幅!$B$11:$B$310)+COUNTA(条幅4分の1!$B$11:$B$310),INDEX(条幅4分の1!$C$11:$C$310,560-COUNTA(半紙!$B$11:$B$310)-COUNTA(条幅!$B$11:$B$310)),""))))</f>
        <v/>
      </c>
      <c r="D565" s="38" t="str">
        <f>IF(IF(560&lt;=COUNTA(半紙!$B$11:$B$310),INDEX(半紙!$D$11:$D$310,560),IF(560&lt;=COUNTA(半紙!$B$11:$B$310)+COUNTA(条幅!$B$11:$B$310),INDEX(条幅!$D$11:$D$310,560-COUNTA(半紙!$B$11:$B$310)),IF(560&lt;=COUNTA(半紙!$B$11:$B$310)+COUNTA(条幅!$B$11:$B$310)+COUNTA(条幅4分の1!$B$11:$B$310),INDEX(条幅4分の1!$D$11:$D$310,560-COUNTA(半紙!$B$11:$B$310)-COUNTA(条幅!$B$11:$B$310)),"")))=0,"",IF(560&lt;=COUNTA(半紙!$B$11:$B$310),INDEX(半紙!$D$11:$D$310,560),IF(560&lt;=COUNTA(半紙!$B$11:$B$310)+COUNTA(条幅!$B$11:$B$310),INDEX(条幅!$D$11:$D$310,560-COUNTA(半紙!$B$11:$B$310)),IF(560&lt;=COUNTA(半紙!$B$11:$B$310)+COUNTA(条幅!$B$11:$B$310)+COUNTA(条幅4分の1!$B$11:$B$310),INDEX(条幅4分の1!$D$11:$D$310,560-COUNTA(半紙!$B$11:$B$310)-COUNTA(条幅!$B$11:$B$310)),""))))</f>
        <v/>
      </c>
      <c r="E565" s="38" t="str">
        <f>IF(IF(560&lt;=COUNTA(半紙!$B$11:$B$310),INDEX(半紙!$E$11:$E$310,560),IF(560&lt;=COUNTA(半紙!$B$11:$B$310)+COUNTA(条幅!$B$11:$B$310),INDEX(条幅!$E$11:$E$310,560-COUNTA(半紙!$B$11:$B$310)),IF(560&lt;=COUNTA(半紙!$B$11:$B$310)+COUNTA(条幅!$B$11:$B$310)+COUNTA(条幅4分の1!$B$11:$B$310),INDEX(条幅4分の1!$E$11:$E$310,560-COUNTA(半紙!$B$11:$B$310)-COUNTA(条幅!$B$11:$B$310)),"")))=0,"",IF(560&lt;=COUNTA(半紙!$B$11:$B$310),INDEX(半紙!$E$11:$E$310,560),IF(560&lt;=COUNTA(半紙!$B$11:$B$310)+COUNTA(条幅!$B$11:$B$310),INDEX(条幅!$E$11:$E$310,560-COUNTA(半紙!$B$11:$B$310)),IF(560&lt;=COUNTA(半紙!$B$11:$B$310)+COUNTA(条幅!$B$11:$B$310)+COUNTA(条幅4分の1!$B$11:$B$310),INDEX(条幅4分の1!$E$11:$E$310,560-COUNTA(半紙!$B$11:$B$310)-COUNTA(条幅!$B$11:$B$310)),""))))</f>
        <v/>
      </c>
      <c r="F565" s="38" t="str">
        <f>IF(IF(560&lt;=COUNTA(半紙!$B$11:$B$310),INDEX(半紙!$F$11:$F$310,560),IF(560&lt;=COUNTA(半紙!$B$11:$B$310)+COUNTA(条幅!$B$11:$B$310),INDEX(条幅!$F$11:$F$310,560-COUNTA(半紙!$B$11:$B$310)),IF(560&lt;=COUNTA(半紙!$B$11:$B$310)+COUNTA(条幅!$B$11:$B$310)+COUNTA(条幅4分の1!$B$11:$B$310),INDEX(条幅4分の1!$F$11:$F$310,560-COUNTA(半紙!$B$11:$B$310)-COUNTA(条幅!$B$11:$B$310)),"")))=0,"",IF(560&lt;=COUNTA(半紙!$B$11:$B$310),INDEX(半紙!$F$11:$F$310,560),IF(560&lt;=COUNTA(半紙!$B$11:$B$310)+COUNTA(条幅!$B$11:$B$310),INDEX(条幅!$F$11:$F$310,560-COUNTA(半紙!$B$11:$B$310)),IF(560&lt;=COUNTA(半紙!$B$11:$B$310)+COUNTA(条幅!$B$11:$B$310)+COUNTA(条幅4分の1!$B$11:$B$310),INDEX(条幅4分の1!$F$11:$F$310,560-COUNTA(半紙!$B$11:$B$310)-COUNTA(条幅!$B$11:$B$310)),""))))</f>
        <v/>
      </c>
      <c r="G565" s="38" t="str">
        <f>IF(IF(560&lt;=COUNTA(半紙!$B$11:$B$310),INDEX(半紙!$G$11:$G$310,560),IF(560&lt;=COUNTA(半紙!$B$11:$B$310)+COUNTA(条幅!$B$11:$B$310),INDEX(条幅!$G$11:$G$310,560-COUNTA(半紙!$B$11:$B$310)),IF(560&lt;=COUNTA(半紙!$B$11:$B$310)+COUNTA(条幅!$B$11:$B$310)+COUNTA(条幅4分の1!$B$11:$B$310),INDEX(条幅4分の1!$G$11:$G$310,560-COUNTA(半紙!$B$11:$B$310)-COUNTA(条幅!$B$11:$B$310)),"")))=0,"",IF(560&lt;=COUNTA(半紙!$B$11:$B$310),INDEX(半紙!$G$11:$G$310,560),IF(560&lt;=COUNTA(半紙!$B$11:$B$310)+COUNTA(条幅!$B$11:$B$310),INDEX(条幅!$G$11:$G$310,560-COUNTA(半紙!$B$11:$B$310)),IF(560&lt;=COUNTA(半紙!$B$11:$B$310)+COUNTA(条幅!$B$11:$B$310)+COUNTA(条幅4分の1!$B$11:$B$310),INDEX(条幅4分の1!$G$11:$G$310,560-COUNTA(半紙!$B$11:$B$310)-COUNTA(条幅!$B$11:$B$310)),""))))</f>
        <v/>
      </c>
      <c r="H565" s="38" t="str">
        <f>IF(IF(560&lt;=COUNTA(半紙!$B$11:$B$310),INDEX(半紙!$H$11:$H$310,560),IF(560&lt;=COUNTA(半紙!$B$11:$B$310)+COUNTA(条幅!$B$11:$B$310),INDEX(条幅!$H$11:$H$310,560-COUNTA(半紙!$B$11:$B$310)),IF(560&lt;=COUNTA(半紙!$B$11:$B$310)+COUNTA(条幅!$B$11:$B$310)+COUNTA(条幅4分の1!$B$11:$B$310),INDEX(条幅4分の1!$H$11:$H$310,560-COUNTA(半紙!$B$11:$B$310)-COUNTA(条幅!$B$11:$B$310)),"")))=0,"",IF(560&lt;=COUNTA(半紙!$B$11:$B$310),INDEX(半紙!$H$11:$H$310,560),IF(560&lt;=COUNTA(半紙!$B$11:$B$310)+COUNTA(条幅!$B$11:$B$310),INDEX(条幅!$H$11:$H$310,560-COUNTA(半紙!$B$11:$B$310)),IF(560&lt;=COUNTA(半紙!$B$11:$B$310)+COUNTA(条幅!$B$11:$B$310)+COUNTA(条幅4分の1!$B$11:$B$310),INDEX(条幅4分の1!$H$11:$H$310,560-COUNTA(半紙!$B$11:$B$310)-COUNTA(条幅!$B$11:$B$310)),""))))</f>
        <v/>
      </c>
      <c r="I565" s="38" t="str">
        <f>IF(IF(560&lt;=COUNTA(半紙!$B$11:$B$310),INDEX(半紙!$I$11:$I$310,560),IF(560&lt;=COUNTA(半紙!$B$11:$B$310)+COUNTA(条幅!$B$11:$B$310),INDEX(条幅!$I$11:$I$310,560-COUNTA(半紙!$B$11:$B$310)),IF(560&lt;=COUNTA(半紙!$B$11:$B$310)+COUNTA(条幅!$B$11:$B$310)+COUNTA(条幅4分の1!$B$11:$B$310),INDEX(条幅4分の1!$I$11:$I$310,560-COUNTA(半紙!$B$11:$B$310)-COUNTA(条幅!$B$11:$B$310)),"")))=0,"",IF(560&lt;=COUNTA(半紙!$B$11:$B$310),INDEX(半紙!$I$11:$I$310,560),IF(560&lt;=COUNTA(半紙!$B$11:$B$310)+COUNTA(条幅!$B$11:$B$310),INDEX(条幅!$I$11:$I$310,560-COUNTA(半紙!$B$11:$B$310)),IF(560&lt;=COUNTA(半紙!$B$11:$B$310)+COUNTA(条幅!$B$11:$B$310)+COUNTA(条幅4分の1!$B$11:$B$310),INDEX(条幅4分の1!$I$11:$I$310,560-COUNTA(半紙!$B$11:$B$310)-COUNTA(条幅!$B$11:$B$310)),""))))</f>
        <v/>
      </c>
      <c r="J565" s="38" t="str">
        <f>IF(IF(560&lt;=COUNTA(半紙!$B$11:$B$310),INDEX(半紙!$J$11:$J$310,560),IF(560&lt;=COUNTA(半紙!$B$11:$B$310)+COUNTA(条幅!$B$11:$B$310),INDEX(条幅!$J$11:$J$310,560-COUNTA(半紙!$B$11:$B$310)),IF(560&lt;=COUNTA(半紙!$B$11:$B$310)+COUNTA(条幅!$B$11:$B$310)+COUNTA(条幅4分の1!$B$11:$B$310),INDEX(条幅4分の1!$J$11:$J$310,560-COUNTA(半紙!$B$11:$B$310)-COUNTA(条幅!$B$11:$B$310)),"")))=0,"",IF(560&lt;=COUNTA(半紙!$B$11:$B$310),INDEX(半紙!$J$11:$J$310,560),IF(560&lt;=COUNTA(半紙!$B$11:$B$310)+COUNTA(条幅!$B$11:$B$310),INDEX(条幅!$J$11:$J$310,560-COUNTA(半紙!$B$11:$B$310)),IF(560&lt;=COUNTA(半紙!$B$11:$B$310)+COUNTA(条幅!$B$11:$B$310)+COUNTA(条幅4分の1!$B$11:$B$310),INDEX(条幅4分の1!$J$11:$J$310,560-COUNTA(半紙!$B$11:$B$310)-COUNTA(条幅!$B$11:$B$310)),""))))</f>
        <v/>
      </c>
      <c r="K565" s="38" t="str">
        <f>IF(IF(560&lt;=COUNTA(半紙!$B$11:$B$310),INDEX(半紙!$K$11:$K$310,560),IF(560&lt;=COUNTA(半紙!$B$11:$B$310)+COUNTA(条幅!$B$11:$B$310),INDEX(条幅!$K$11:$K$310,560-COUNTA(半紙!$B$11:$B$310)),IF(560&lt;=COUNTA(半紙!$B$11:$B$310)+COUNTA(条幅!$B$11:$B$310)+COUNTA(条幅4分の1!$B$11:$B$310),INDEX(条幅4分の1!$K$11:$K$310,560-COUNTA(半紙!$B$11:$B$310)-COUNTA(条幅!$B$11:$B$310)),"")))=0,"",IF(560&lt;=COUNTA(半紙!$B$11:$B$310),INDEX(半紙!$K$11:$K$310,560),IF(560&lt;=COUNTA(半紙!$B$11:$B$310)+COUNTA(条幅!$B$11:$B$310),INDEX(条幅!$K$11:$K$310,560-COUNTA(半紙!$B$11:$B$310)),IF(560&lt;=COUNTA(半紙!$B$11:$B$310)+COUNTA(条幅!$B$11:$B$310)+COUNTA(条幅4分の1!$B$11:$B$310),INDEX(条幅4分の1!$K$11:$K$310,560-COUNTA(半紙!$B$11:$B$310)-COUNTA(条幅!$B$11:$B$310)),""))))</f>
        <v/>
      </c>
      <c r="L565" s="48" t="str">
        <f>IF($B565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560))</f>
        <v/>
      </c>
    </row>
    <row r="566" spans="1:12" ht="15" customHeight="1">
      <c r="A566" s="37" t="str">
        <f>IF(561&lt;=COUNTA(半紙!$B$11:$B$310),"半紙",IF(561&lt;=COUNTA(半紙!$B$11:$B$310)+COUNTA(条幅!$B$11:$B$310),"条幅(半切)",IF(561&lt;=COUNTA(半紙!$B$11:$B$310)+COUNTA(条幅!$B$11:$B$310)+COUNTA(条幅4分の1!$B$11:$B$310),"条幅(1/4)","")))</f>
        <v/>
      </c>
      <c r="B566" s="38" t="str">
        <f>IF(IF(561&lt;=COUNTA(半紙!$B$11:$B$310),INDEX(半紙!$B$11:$B$310,561),IF(561&lt;=COUNTA(半紙!$B$11:$B$310)+COUNTA(条幅!$B$11:$B$310),INDEX(条幅!$B$11:$B$310,561-COUNTA(半紙!$B$11:$B$310)),IF(561&lt;=COUNTA(半紙!$B$11:$B$310)+COUNTA(条幅!$B$11:$B$310)+COUNTA(条幅4分の1!$B$11:$B$310),INDEX(条幅4分の1!$B$11:$B$310,561-COUNTA(半紙!$B$11:$B$310)-COUNTA(条幅!$B$11:$B$310)),"")))=0,"",IF(561&lt;=COUNTA(半紙!$B$11:$B$310),INDEX(半紙!$B$11:$B$310,561),IF(561&lt;=COUNTA(半紙!$B$11:$B$310)+COUNTA(条幅!$B$11:$B$310),INDEX(条幅!$B$11:$B$310,561-COUNTA(半紙!$B$11:$B$310)),IF(561&lt;=COUNTA(半紙!$B$11:$B$310)+COUNTA(条幅!$B$11:$B$310)+COUNTA(条幅4分の1!$B$11:$B$310),INDEX(条幅4分の1!$B$11:$B$310,561-COUNTA(半紙!$B$11:$B$310)-COUNTA(条幅!$B$11:$B$310)),""))))</f>
        <v/>
      </c>
      <c r="C566" s="38" t="str">
        <f>IF(IF(561&lt;=COUNTA(半紙!$B$11:$B$310),INDEX(半紙!$C$11:$C$310,561),IF(561&lt;=COUNTA(半紙!$B$11:$B$310)+COUNTA(条幅!$B$11:$B$310),INDEX(条幅!$C$11:$C$310,561-COUNTA(半紙!$B$11:$B$310)),IF(561&lt;=COUNTA(半紙!$B$11:$B$310)+COUNTA(条幅!$B$11:$B$310)+COUNTA(条幅4分の1!$B$11:$B$310),INDEX(条幅4分の1!$C$11:$C$310,561-COUNTA(半紙!$B$11:$B$310)-COUNTA(条幅!$B$11:$B$310)),"")))=0,"",IF(561&lt;=COUNTA(半紙!$B$11:$B$310),INDEX(半紙!$C$11:$C$310,561),IF(561&lt;=COUNTA(半紙!$B$11:$B$310)+COUNTA(条幅!$B$11:$B$310),INDEX(条幅!$C$11:$C$310,561-COUNTA(半紙!$B$11:$B$310)),IF(561&lt;=COUNTA(半紙!$B$11:$B$310)+COUNTA(条幅!$B$11:$B$310)+COUNTA(条幅4分の1!$B$11:$B$310),INDEX(条幅4分の1!$C$11:$C$310,561-COUNTA(半紙!$B$11:$B$310)-COUNTA(条幅!$B$11:$B$310)),""))))</f>
        <v/>
      </c>
      <c r="D566" s="38" t="str">
        <f>IF(IF(561&lt;=COUNTA(半紙!$B$11:$B$310),INDEX(半紙!$D$11:$D$310,561),IF(561&lt;=COUNTA(半紙!$B$11:$B$310)+COUNTA(条幅!$B$11:$B$310),INDEX(条幅!$D$11:$D$310,561-COUNTA(半紙!$B$11:$B$310)),IF(561&lt;=COUNTA(半紙!$B$11:$B$310)+COUNTA(条幅!$B$11:$B$310)+COUNTA(条幅4分の1!$B$11:$B$310),INDEX(条幅4分の1!$D$11:$D$310,561-COUNTA(半紙!$B$11:$B$310)-COUNTA(条幅!$B$11:$B$310)),"")))=0,"",IF(561&lt;=COUNTA(半紙!$B$11:$B$310),INDEX(半紙!$D$11:$D$310,561),IF(561&lt;=COUNTA(半紙!$B$11:$B$310)+COUNTA(条幅!$B$11:$B$310),INDEX(条幅!$D$11:$D$310,561-COUNTA(半紙!$B$11:$B$310)),IF(561&lt;=COUNTA(半紙!$B$11:$B$310)+COUNTA(条幅!$B$11:$B$310)+COUNTA(条幅4分の1!$B$11:$B$310),INDEX(条幅4分の1!$D$11:$D$310,561-COUNTA(半紙!$B$11:$B$310)-COUNTA(条幅!$B$11:$B$310)),""))))</f>
        <v/>
      </c>
      <c r="E566" s="38" t="str">
        <f>IF(IF(561&lt;=COUNTA(半紙!$B$11:$B$310),INDEX(半紙!$E$11:$E$310,561),IF(561&lt;=COUNTA(半紙!$B$11:$B$310)+COUNTA(条幅!$B$11:$B$310),INDEX(条幅!$E$11:$E$310,561-COUNTA(半紙!$B$11:$B$310)),IF(561&lt;=COUNTA(半紙!$B$11:$B$310)+COUNTA(条幅!$B$11:$B$310)+COUNTA(条幅4分の1!$B$11:$B$310),INDEX(条幅4分の1!$E$11:$E$310,561-COUNTA(半紙!$B$11:$B$310)-COUNTA(条幅!$B$11:$B$310)),"")))=0,"",IF(561&lt;=COUNTA(半紙!$B$11:$B$310),INDEX(半紙!$E$11:$E$310,561),IF(561&lt;=COUNTA(半紙!$B$11:$B$310)+COUNTA(条幅!$B$11:$B$310),INDEX(条幅!$E$11:$E$310,561-COUNTA(半紙!$B$11:$B$310)),IF(561&lt;=COUNTA(半紙!$B$11:$B$310)+COUNTA(条幅!$B$11:$B$310)+COUNTA(条幅4分の1!$B$11:$B$310),INDEX(条幅4分の1!$E$11:$E$310,561-COUNTA(半紙!$B$11:$B$310)-COUNTA(条幅!$B$11:$B$310)),""))))</f>
        <v/>
      </c>
      <c r="F566" s="38" t="str">
        <f>IF(IF(561&lt;=COUNTA(半紙!$B$11:$B$310),INDEX(半紙!$F$11:$F$310,561),IF(561&lt;=COUNTA(半紙!$B$11:$B$310)+COUNTA(条幅!$B$11:$B$310),INDEX(条幅!$F$11:$F$310,561-COUNTA(半紙!$B$11:$B$310)),IF(561&lt;=COUNTA(半紙!$B$11:$B$310)+COUNTA(条幅!$B$11:$B$310)+COUNTA(条幅4分の1!$B$11:$B$310),INDEX(条幅4分の1!$F$11:$F$310,561-COUNTA(半紙!$B$11:$B$310)-COUNTA(条幅!$B$11:$B$310)),"")))=0,"",IF(561&lt;=COUNTA(半紙!$B$11:$B$310),INDEX(半紙!$F$11:$F$310,561),IF(561&lt;=COUNTA(半紙!$B$11:$B$310)+COUNTA(条幅!$B$11:$B$310),INDEX(条幅!$F$11:$F$310,561-COUNTA(半紙!$B$11:$B$310)),IF(561&lt;=COUNTA(半紙!$B$11:$B$310)+COUNTA(条幅!$B$11:$B$310)+COUNTA(条幅4分の1!$B$11:$B$310),INDEX(条幅4分の1!$F$11:$F$310,561-COUNTA(半紙!$B$11:$B$310)-COUNTA(条幅!$B$11:$B$310)),""))))</f>
        <v/>
      </c>
      <c r="G566" s="38" t="str">
        <f>IF(IF(561&lt;=COUNTA(半紙!$B$11:$B$310),INDEX(半紙!$G$11:$G$310,561),IF(561&lt;=COUNTA(半紙!$B$11:$B$310)+COUNTA(条幅!$B$11:$B$310),INDEX(条幅!$G$11:$G$310,561-COUNTA(半紙!$B$11:$B$310)),IF(561&lt;=COUNTA(半紙!$B$11:$B$310)+COUNTA(条幅!$B$11:$B$310)+COUNTA(条幅4分の1!$B$11:$B$310),INDEX(条幅4分の1!$G$11:$G$310,561-COUNTA(半紙!$B$11:$B$310)-COUNTA(条幅!$B$11:$B$310)),"")))=0,"",IF(561&lt;=COUNTA(半紙!$B$11:$B$310),INDEX(半紙!$G$11:$G$310,561),IF(561&lt;=COUNTA(半紙!$B$11:$B$310)+COUNTA(条幅!$B$11:$B$310),INDEX(条幅!$G$11:$G$310,561-COUNTA(半紙!$B$11:$B$310)),IF(561&lt;=COUNTA(半紙!$B$11:$B$310)+COUNTA(条幅!$B$11:$B$310)+COUNTA(条幅4分の1!$B$11:$B$310),INDEX(条幅4分の1!$G$11:$G$310,561-COUNTA(半紙!$B$11:$B$310)-COUNTA(条幅!$B$11:$B$310)),""))))</f>
        <v/>
      </c>
      <c r="H566" s="38" t="str">
        <f>IF(IF(561&lt;=COUNTA(半紙!$B$11:$B$310),INDEX(半紙!$H$11:$H$310,561),IF(561&lt;=COUNTA(半紙!$B$11:$B$310)+COUNTA(条幅!$B$11:$B$310),INDEX(条幅!$H$11:$H$310,561-COUNTA(半紙!$B$11:$B$310)),IF(561&lt;=COUNTA(半紙!$B$11:$B$310)+COUNTA(条幅!$B$11:$B$310)+COUNTA(条幅4分の1!$B$11:$B$310),INDEX(条幅4分の1!$H$11:$H$310,561-COUNTA(半紙!$B$11:$B$310)-COUNTA(条幅!$B$11:$B$310)),"")))=0,"",IF(561&lt;=COUNTA(半紙!$B$11:$B$310),INDEX(半紙!$H$11:$H$310,561),IF(561&lt;=COUNTA(半紙!$B$11:$B$310)+COUNTA(条幅!$B$11:$B$310),INDEX(条幅!$H$11:$H$310,561-COUNTA(半紙!$B$11:$B$310)),IF(561&lt;=COUNTA(半紙!$B$11:$B$310)+COUNTA(条幅!$B$11:$B$310)+COUNTA(条幅4分の1!$B$11:$B$310),INDEX(条幅4分の1!$H$11:$H$310,561-COUNTA(半紙!$B$11:$B$310)-COUNTA(条幅!$B$11:$B$310)),""))))</f>
        <v/>
      </c>
      <c r="I566" s="38" t="str">
        <f>IF(IF(561&lt;=COUNTA(半紙!$B$11:$B$310),INDEX(半紙!$I$11:$I$310,561),IF(561&lt;=COUNTA(半紙!$B$11:$B$310)+COUNTA(条幅!$B$11:$B$310),INDEX(条幅!$I$11:$I$310,561-COUNTA(半紙!$B$11:$B$310)),IF(561&lt;=COUNTA(半紙!$B$11:$B$310)+COUNTA(条幅!$B$11:$B$310)+COUNTA(条幅4分の1!$B$11:$B$310),INDEX(条幅4分の1!$I$11:$I$310,561-COUNTA(半紙!$B$11:$B$310)-COUNTA(条幅!$B$11:$B$310)),"")))=0,"",IF(561&lt;=COUNTA(半紙!$B$11:$B$310),INDEX(半紙!$I$11:$I$310,561),IF(561&lt;=COUNTA(半紙!$B$11:$B$310)+COUNTA(条幅!$B$11:$B$310),INDEX(条幅!$I$11:$I$310,561-COUNTA(半紙!$B$11:$B$310)),IF(561&lt;=COUNTA(半紙!$B$11:$B$310)+COUNTA(条幅!$B$11:$B$310)+COUNTA(条幅4分の1!$B$11:$B$310),INDEX(条幅4分の1!$I$11:$I$310,561-COUNTA(半紙!$B$11:$B$310)-COUNTA(条幅!$B$11:$B$310)),""))))</f>
        <v/>
      </c>
      <c r="J566" s="38" t="str">
        <f>IF(IF(561&lt;=COUNTA(半紙!$B$11:$B$310),INDEX(半紙!$J$11:$J$310,561),IF(561&lt;=COUNTA(半紙!$B$11:$B$310)+COUNTA(条幅!$B$11:$B$310),INDEX(条幅!$J$11:$J$310,561-COUNTA(半紙!$B$11:$B$310)),IF(561&lt;=COUNTA(半紙!$B$11:$B$310)+COUNTA(条幅!$B$11:$B$310)+COUNTA(条幅4分の1!$B$11:$B$310),INDEX(条幅4分の1!$J$11:$J$310,561-COUNTA(半紙!$B$11:$B$310)-COUNTA(条幅!$B$11:$B$310)),"")))=0,"",IF(561&lt;=COUNTA(半紙!$B$11:$B$310),INDEX(半紙!$J$11:$J$310,561),IF(561&lt;=COUNTA(半紙!$B$11:$B$310)+COUNTA(条幅!$B$11:$B$310),INDEX(条幅!$J$11:$J$310,561-COUNTA(半紙!$B$11:$B$310)),IF(561&lt;=COUNTA(半紙!$B$11:$B$310)+COUNTA(条幅!$B$11:$B$310)+COUNTA(条幅4分の1!$B$11:$B$310),INDEX(条幅4分の1!$J$11:$J$310,561-COUNTA(半紙!$B$11:$B$310)-COUNTA(条幅!$B$11:$B$310)),""))))</f>
        <v/>
      </c>
      <c r="K566" s="38" t="str">
        <f>IF(IF(561&lt;=COUNTA(半紙!$B$11:$B$310),INDEX(半紙!$K$11:$K$310,561),IF(561&lt;=COUNTA(半紙!$B$11:$B$310)+COUNTA(条幅!$B$11:$B$310),INDEX(条幅!$K$11:$K$310,561-COUNTA(半紙!$B$11:$B$310)),IF(561&lt;=COUNTA(半紙!$B$11:$B$310)+COUNTA(条幅!$B$11:$B$310)+COUNTA(条幅4分の1!$B$11:$B$310),INDEX(条幅4分の1!$K$11:$K$310,561-COUNTA(半紙!$B$11:$B$310)-COUNTA(条幅!$B$11:$B$310)),"")))=0,"",IF(561&lt;=COUNTA(半紙!$B$11:$B$310),INDEX(半紙!$K$11:$K$310,561),IF(561&lt;=COUNTA(半紙!$B$11:$B$310)+COUNTA(条幅!$B$11:$B$310),INDEX(条幅!$K$11:$K$310,561-COUNTA(半紙!$B$11:$B$310)),IF(561&lt;=COUNTA(半紙!$B$11:$B$310)+COUNTA(条幅!$B$11:$B$310)+COUNTA(条幅4分の1!$B$11:$B$310),INDEX(条幅4分の1!$K$11:$K$310,561-COUNTA(半紙!$B$11:$B$310)-COUNTA(条幅!$B$11:$B$310)),""))))</f>
        <v/>
      </c>
      <c r="L566" s="48" t="str">
        <f>IF($B566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561))</f>
        <v/>
      </c>
    </row>
    <row r="567" spans="1:12" ht="15" customHeight="1">
      <c r="A567" s="37" t="str">
        <f>IF(562&lt;=COUNTA(半紙!$B$11:$B$310),"半紙",IF(562&lt;=COUNTA(半紙!$B$11:$B$310)+COUNTA(条幅!$B$11:$B$310),"条幅(半切)",IF(562&lt;=COUNTA(半紙!$B$11:$B$310)+COUNTA(条幅!$B$11:$B$310)+COUNTA(条幅4分の1!$B$11:$B$310),"条幅(1/4)","")))</f>
        <v/>
      </c>
      <c r="B567" s="38" t="str">
        <f>IF(IF(562&lt;=COUNTA(半紙!$B$11:$B$310),INDEX(半紙!$B$11:$B$310,562),IF(562&lt;=COUNTA(半紙!$B$11:$B$310)+COUNTA(条幅!$B$11:$B$310),INDEX(条幅!$B$11:$B$310,562-COUNTA(半紙!$B$11:$B$310)),IF(562&lt;=COUNTA(半紙!$B$11:$B$310)+COUNTA(条幅!$B$11:$B$310)+COUNTA(条幅4分の1!$B$11:$B$310),INDEX(条幅4分の1!$B$11:$B$310,562-COUNTA(半紙!$B$11:$B$310)-COUNTA(条幅!$B$11:$B$310)),"")))=0,"",IF(562&lt;=COUNTA(半紙!$B$11:$B$310),INDEX(半紙!$B$11:$B$310,562),IF(562&lt;=COUNTA(半紙!$B$11:$B$310)+COUNTA(条幅!$B$11:$B$310),INDEX(条幅!$B$11:$B$310,562-COUNTA(半紙!$B$11:$B$310)),IF(562&lt;=COUNTA(半紙!$B$11:$B$310)+COUNTA(条幅!$B$11:$B$310)+COUNTA(条幅4分の1!$B$11:$B$310),INDEX(条幅4分の1!$B$11:$B$310,562-COUNTA(半紙!$B$11:$B$310)-COUNTA(条幅!$B$11:$B$310)),""))))</f>
        <v/>
      </c>
      <c r="C567" s="38" t="str">
        <f>IF(IF(562&lt;=COUNTA(半紙!$B$11:$B$310),INDEX(半紙!$C$11:$C$310,562),IF(562&lt;=COUNTA(半紙!$B$11:$B$310)+COUNTA(条幅!$B$11:$B$310),INDEX(条幅!$C$11:$C$310,562-COUNTA(半紙!$B$11:$B$310)),IF(562&lt;=COUNTA(半紙!$B$11:$B$310)+COUNTA(条幅!$B$11:$B$310)+COUNTA(条幅4分の1!$B$11:$B$310),INDEX(条幅4分の1!$C$11:$C$310,562-COUNTA(半紙!$B$11:$B$310)-COUNTA(条幅!$B$11:$B$310)),"")))=0,"",IF(562&lt;=COUNTA(半紙!$B$11:$B$310),INDEX(半紙!$C$11:$C$310,562),IF(562&lt;=COUNTA(半紙!$B$11:$B$310)+COUNTA(条幅!$B$11:$B$310),INDEX(条幅!$C$11:$C$310,562-COUNTA(半紙!$B$11:$B$310)),IF(562&lt;=COUNTA(半紙!$B$11:$B$310)+COUNTA(条幅!$B$11:$B$310)+COUNTA(条幅4分の1!$B$11:$B$310),INDEX(条幅4分の1!$C$11:$C$310,562-COUNTA(半紙!$B$11:$B$310)-COUNTA(条幅!$B$11:$B$310)),""))))</f>
        <v/>
      </c>
      <c r="D567" s="38" t="str">
        <f>IF(IF(562&lt;=COUNTA(半紙!$B$11:$B$310),INDEX(半紙!$D$11:$D$310,562),IF(562&lt;=COUNTA(半紙!$B$11:$B$310)+COUNTA(条幅!$B$11:$B$310),INDEX(条幅!$D$11:$D$310,562-COUNTA(半紙!$B$11:$B$310)),IF(562&lt;=COUNTA(半紙!$B$11:$B$310)+COUNTA(条幅!$B$11:$B$310)+COUNTA(条幅4分の1!$B$11:$B$310),INDEX(条幅4分の1!$D$11:$D$310,562-COUNTA(半紙!$B$11:$B$310)-COUNTA(条幅!$B$11:$B$310)),"")))=0,"",IF(562&lt;=COUNTA(半紙!$B$11:$B$310),INDEX(半紙!$D$11:$D$310,562),IF(562&lt;=COUNTA(半紙!$B$11:$B$310)+COUNTA(条幅!$B$11:$B$310),INDEX(条幅!$D$11:$D$310,562-COUNTA(半紙!$B$11:$B$310)),IF(562&lt;=COUNTA(半紙!$B$11:$B$310)+COUNTA(条幅!$B$11:$B$310)+COUNTA(条幅4分の1!$B$11:$B$310),INDEX(条幅4分の1!$D$11:$D$310,562-COUNTA(半紙!$B$11:$B$310)-COUNTA(条幅!$B$11:$B$310)),""))))</f>
        <v/>
      </c>
      <c r="E567" s="38" t="str">
        <f>IF(IF(562&lt;=COUNTA(半紙!$B$11:$B$310),INDEX(半紙!$E$11:$E$310,562),IF(562&lt;=COUNTA(半紙!$B$11:$B$310)+COUNTA(条幅!$B$11:$B$310),INDEX(条幅!$E$11:$E$310,562-COUNTA(半紙!$B$11:$B$310)),IF(562&lt;=COUNTA(半紙!$B$11:$B$310)+COUNTA(条幅!$B$11:$B$310)+COUNTA(条幅4分の1!$B$11:$B$310),INDEX(条幅4分の1!$E$11:$E$310,562-COUNTA(半紙!$B$11:$B$310)-COUNTA(条幅!$B$11:$B$310)),"")))=0,"",IF(562&lt;=COUNTA(半紙!$B$11:$B$310),INDEX(半紙!$E$11:$E$310,562),IF(562&lt;=COUNTA(半紙!$B$11:$B$310)+COUNTA(条幅!$B$11:$B$310),INDEX(条幅!$E$11:$E$310,562-COUNTA(半紙!$B$11:$B$310)),IF(562&lt;=COUNTA(半紙!$B$11:$B$310)+COUNTA(条幅!$B$11:$B$310)+COUNTA(条幅4分の1!$B$11:$B$310),INDEX(条幅4分の1!$E$11:$E$310,562-COUNTA(半紙!$B$11:$B$310)-COUNTA(条幅!$B$11:$B$310)),""))))</f>
        <v/>
      </c>
      <c r="F567" s="38" t="str">
        <f>IF(IF(562&lt;=COUNTA(半紙!$B$11:$B$310),INDEX(半紙!$F$11:$F$310,562),IF(562&lt;=COUNTA(半紙!$B$11:$B$310)+COUNTA(条幅!$B$11:$B$310),INDEX(条幅!$F$11:$F$310,562-COUNTA(半紙!$B$11:$B$310)),IF(562&lt;=COUNTA(半紙!$B$11:$B$310)+COUNTA(条幅!$B$11:$B$310)+COUNTA(条幅4分の1!$B$11:$B$310),INDEX(条幅4分の1!$F$11:$F$310,562-COUNTA(半紙!$B$11:$B$310)-COUNTA(条幅!$B$11:$B$310)),"")))=0,"",IF(562&lt;=COUNTA(半紙!$B$11:$B$310),INDEX(半紙!$F$11:$F$310,562),IF(562&lt;=COUNTA(半紙!$B$11:$B$310)+COUNTA(条幅!$B$11:$B$310),INDEX(条幅!$F$11:$F$310,562-COUNTA(半紙!$B$11:$B$310)),IF(562&lt;=COUNTA(半紙!$B$11:$B$310)+COUNTA(条幅!$B$11:$B$310)+COUNTA(条幅4分の1!$B$11:$B$310),INDEX(条幅4分の1!$F$11:$F$310,562-COUNTA(半紙!$B$11:$B$310)-COUNTA(条幅!$B$11:$B$310)),""))))</f>
        <v/>
      </c>
      <c r="G567" s="38" t="str">
        <f>IF(IF(562&lt;=COUNTA(半紙!$B$11:$B$310),INDEX(半紙!$G$11:$G$310,562),IF(562&lt;=COUNTA(半紙!$B$11:$B$310)+COUNTA(条幅!$B$11:$B$310),INDEX(条幅!$G$11:$G$310,562-COUNTA(半紙!$B$11:$B$310)),IF(562&lt;=COUNTA(半紙!$B$11:$B$310)+COUNTA(条幅!$B$11:$B$310)+COUNTA(条幅4分の1!$B$11:$B$310),INDEX(条幅4分の1!$G$11:$G$310,562-COUNTA(半紙!$B$11:$B$310)-COUNTA(条幅!$B$11:$B$310)),"")))=0,"",IF(562&lt;=COUNTA(半紙!$B$11:$B$310),INDEX(半紙!$G$11:$G$310,562),IF(562&lt;=COUNTA(半紙!$B$11:$B$310)+COUNTA(条幅!$B$11:$B$310),INDEX(条幅!$G$11:$G$310,562-COUNTA(半紙!$B$11:$B$310)),IF(562&lt;=COUNTA(半紙!$B$11:$B$310)+COUNTA(条幅!$B$11:$B$310)+COUNTA(条幅4分の1!$B$11:$B$310),INDEX(条幅4分の1!$G$11:$G$310,562-COUNTA(半紙!$B$11:$B$310)-COUNTA(条幅!$B$11:$B$310)),""))))</f>
        <v/>
      </c>
      <c r="H567" s="38" t="str">
        <f>IF(IF(562&lt;=COUNTA(半紙!$B$11:$B$310),INDEX(半紙!$H$11:$H$310,562),IF(562&lt;=COUNTA(半紙!$B$11:$B$310)+COUNTA(条幅!$B$11:$B$310),INDEX(条幅!$H$11:$H$310,562-COUNTA(半紙!$B$11:$B$310)),IF(562&lt;=COUNTA(半紙!$B$11:$B$310)+COUNTA(条幅!$B$11:$B$310)+COUNTA(条幅4分の1!$B$11:$B$310),INDEX(条幅4分の1!$H$11:$H$310,562-COUNTA(半紙!$B$11:$B$310)-COUNTA(条幅!$B$11:$B$310)),"")))=0,"",IF(562&lt;=COUNTA(半紙!$B$11:$B$310),INDEX(半紙!$H$11:$H$310,562),IF(562&lt;=COUNTA(半紙!$B$11:$B$310)+COUNTA(条幅!$B$11:$B$310),INDEX(条幅!$H$11:$H$310,562-COUNTA(半紙!$B$11:$B$310)),IF(562&lt;=COUNTA(半紙!$B$11:$B$310)+COUNTA(条幅!$B$11:$B$310)+COUNTA(条幅4分の1!$B$11:$B$310),INDEX(条幅4分の1!$H$11:$H$310,562-COUNTA(半紙!$B$11:$B$310)-COUNTA(条幅!$B$11:$B$310)),""))))</f>
        <v/>
      </c>
      <c r="I567" s="38" t="str">
        <f>IF(IF(562&lt;=COUNTA(半紙!$B$11:$B$310),INDEX(半紙!$I$11:$I$310,562),IF(562&lt;=COUNTA(半紙!$B$11:$B$310)+COUNTA(条幅!$B$11:$B$310),INDEX(条幅!$I$11:$I$310,562-COUNTA(半紙!$B$11:$B$310)),IF(562&lt;=COUNTA(半紙!$B$11:$B$310)+COUNTA(条幅!$B$11:$B$310)+COUNTA(条幅4分の1!$B$11:$B$310),INDEX(条幅4分の1!$I$11:$I$310,562-COUNTA(半紙!$B$11:$B$310)-COUNTA(条幅!$B$11:$B$310)),"")))=0,"",IF(562&lt;=COUNTA(半紙!$B$11:$B$310),INDEX(半紙!$I$11:$I$310,562),IF(562&lt;=COUNTA(半紙!$B$11:$B$310)+COUNTA(条幅!$B$11:$B$310),INDEX(条幅!$I$11:$I$310,562-COUNTA(半紙!$B$11:$B$310)),IF(562&lt;=COUNTA(半紙!$B$11:$B$310)+COUNTA(条幅!$B$11:$B$310)+COUNTA(条幅4分の1!$B$11:$B$310),INDEX(条幅4分の1!$I$11:$I$310,562-COUNTA(半紙!$B$11:$B$310)-COUNTA(条幅!$B$11:$B$310)),""))))</f>
        <v/>
      </c>
      <c r="J567" s="38" t="str">
        <f>IF(IF(562&lt;=COUNTA(半紙!$B$11:$B$310),INDEX(半紙!$J$11:$J$310,562),IF(562&lt;=COUNTA(半紙!$B$11:$B$310)+COUNTA(条幅!$B$11:$B$310),INDEX(条幅!$J$11:$J$310,562-COUNTA(半紙!$B$11:$B$310)),IF(562&lt;=COUNTA(半紙!$B$11:$B$310)+COUNTA(条幅!$B$11:$B$310)+COUNTA(条幅4分の1!$B$11:$B$310),INDEX(条幅4分の1!$J$11:$J$310,562-COUNTA(半紙!$B$11:$B$310)-COUNTA(条幅!$B$11:$B$310)),"")))=0,"",IF(562&lt;=COUNTA(半紙!$B$11:$B$310),INDEX(半紙!$J$11:$J$310,562),IF(562&lt;=COUNTA(半紙!$B$11:$B$310)+COUNTA(条幅!$B$11:$B$310),INDEX(条幅!$J$11:$J$310,562-COUNTA(半紙!$B$11:$B$310)),IF(562&lt;=COUNTA(半紙!$B$11:$B$310)+COUNTA(条幅!$B$11:$B$310)+COUNTA(条幅4分の1!$B$11:$B$310),INDEX(条幅4分の1!$J$11:$J$310,562-COUNTA(半紙!$B$11:$B$310)-COUNTA(条幅!$B$11:$B$310)),""))))</f>
        <v/>
      </c>
      <c r="K567" s="38" t="str">
        <f>IF(IF(562&lt;=COUNTA(半紙!$B$11:$B$310),INDEX(半紙!$K$11:$K$310,562),IF(562&lt;=COUNTA(半紙!$B$11:$B$310)+COUNTA(条幅!$B$11:$B$310),INDEX(条幅!$K$11:$K$310,562-COUNTA(半紙!$B$11:$B$310)),IF(562&lt;=COUNTA(半紙!$B$11:$B$310)+COUNTA(条幅!$B$11:$B$310)+COUNTA(条幅4分の1!$B$11:$B$310),INDEX(条幅4分の1!$K$11:$K$310,562-COUNTA(半紙!$B$11:$B$310)-COUNTA(条幅!$B$11:$B$310)),"")))=0,"",IF(562&lt;=COUNTA(半紙!$B$11:$B$310),INDEX(半紙!$K$11:$K$310,562),IF(562&lt;=COUNTA(半紙!$B$11:$B$310)+COUNTA(条幅!$B$11:$B$310),INDEX(条幅!$K$11:$K$310,562-COUNTA(半紙!$B$11:$B$310)),IF(562&lt;=COUNTA(半紙!$B$11:$B$310)+COUNTA(条幅!$B$11:$B$310)+COUNTA(条幅4分の1!$B$11:$B$310),INDEX(条幅4分の1!$K$11:$K$310,562-COUNTA(半紙!$B$11:$B$310)-COUNTA(条幅!$B$11:$B$310)),""))))</f>
        <v/>
      </c>
      <c r="L567" s="48" t="str">
        <f>IF($B567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562))</f>
        <v/>
      </c>
    </row>
    <row r="568" spans="1:12" ht="15" customHeight="1">
      <c r="A568" s="37" t="str">
        <f>IF(563&lt;=COUNTA(半紙!$B$11:$B$310),"半紙",IF(563&lt;=COUNTA(半紙!$B$11:$B$310)+COUNTA(条幅!$B$11:$B$310),"条幅(半切)",IF(563&lt;=COUNTA(半紙!$B$11:$B$310)+COUNTA(条幅!$B$11:$B$310)+COUNTA(条幅4分の1!$B$11:$B$310),"条幅(1/4)","")))</f>
        <v/>
      </c>
      <c r="B568" s="38" t="str">
        <f>IF(IF(563&lt;=COUNTA(半紙!$B$11:$B$310),INDEX(半紙!$B$11:$B$310,563),IF(563&lt;=COUNTA(半紙!$B$11:$B$310)+COUNTA(条幅!$B$11:$B$310),INDEX(条幅!$B$11:$B$310,563-COUNTA(半紙!$B$11:$B$310)),IF(563&lt;=COUNTA(半紙!$B$11:$B$310)+COUNTA(条幅!$B$11:$B$310)+COUNTA(条幅4分の1!$B$11:$B$310),INDEX(条幅4分の1!$B$11:$B$310,563-COUNTA(半紙!$B$11:$B$310)-COUNTA(条幅!$B$11:$B$310)),"")))=0,"",IF(563&lt;=COUNTA(半紙!$B$11:$B$310),INDEX(半紙!$B$11:$B$310,563),IF(563&lt;=COUNTA(半紙!$B$11:$B$310)+COUNTA(条幅!$B$11:$B$310),INDEX(条幅!$B$11:$B$310,563-COUNTA(半紙!$B$11:$B$310)),IF(563&lt;=COUNTA(半紙!$B$11:$B$310)+COUNTA(条幅!$B$11:$B$310)+COUNTA(条幅4分の1!$B$11:$B$310),INDEX(条幅4分の1!$B$11:$B$310,563-COUNTA(半紙!$B$11:$B$310)-COUNTA(条幅!$B$11:$B$310)),""))))</f>
        <v/>
      </c>
      <c r="C568" s="38" t="str">
        <f>IF(IF(563&lt;=COUNTA(半紙!$B$11:$B$310),INDEX(半紙!$C$11:$C$310,563),IF(563&lt;=COUNTA(半紙!$B$11:$B$310)+COUNTA(条幅!$B$11:$B$310),INDEX(条幅!$C$11:$C$310,563-COUNTA(半紙!$B$11:$B$310)),IF(563&lt;=COUNTA(半紙!$B$11:$B$310)+COUNTA(条幅!$B$11:$B$310)+COUNTA(条幅4分の1!$B$11:$B$310),INDEX(条幅4分の1!$C$11:$C$310,563-COUNTA(半紙!$B$11:$B$310)-COUNTA(条幅!$B$11:$B$310)),"")))=0,"",IF(563&lt;=COUNTA(半紙!$B$11:$B$310),INDEX(半紙!$C$11:$C$310,563),IF(563&lt;=COUNTA(半紙!$B$11:$B$310)+COUNTA(条幅!$B$11:$B$310),INDEX(条幅!$C$11:$C$310,563-COUNTA(半紙!$B$11:$B$310)),IF(563&lt;=COUNTA(半紙!$B$11:$B$310)+COUNTA(条幅!$B$11:$B$310)+COUNTA(条幅4分の1!$B$11:$B$310),INDEX(条幅4分の1!$C$11:$C$310,563-COUNTA(半紙!$B$11:$B$310)-COUNTA(条幅!$B$11:$B$310)),""))))</f>
        <v/>
      </c>
      <c r="D568" s="38" t="str">
        <f>IF(IF(563&lt;=COUNTA(半紙!$B$11:$B$310),INDEX(半紙!$D$11:$D$310,563),IF(563&lt;=COUNTA(半紙!$B$11:$B$310)+COUNTA(条幅!$B$11:$B$310),INDEX(条幅!$D$11:$D$310,563-COUNTA(半紙!$B$11:$B$310)),IF(563&lt;=COUNTA(半紙!$B$11:$B$310)+COUNTA(条幅!$B$11:$B$310)+COUNTA(条幅4分の1!$B$11:$B$310),INDEX(条幅4分の1!$D$11:$D$310,563-COUNTA(半紙!$B$11:$B$310)-COUNTA(条幅!$B$11:$B$310)),"")))=0,"",IF(563&lt;=COUNTA(半紙!$B$11:$B$310),INDEX(半紙!$D$11:$D$310,563),IF(563&lt;=COUNTA(半紙!$B$11:$B$310)+COUNTA(条幅!$B$11:$B$310),INDEX(条幅!$D$11:$D$310,563-COUNTA(半紙!$B$11:$B$310)),IF(563&lt;=COUNTA(半紙!$B$11:$B$310)+COUNTA(条幅!$B$11:$B$310)+COUNTA(条幅4分の1!$B$11:$B$310),INDEX(条幅4分の1!$D$11:$D$310,563-COUNTA(半紙!$B$11:$B$310)-COUNTA(条幅!$B$11:$B$310)),""))))</f>
        <v/>
      </c>
      <c r="E568" s="38" t="str">
        <f>IF(IF(563&lt;=COUNTA(半紙!$B$11:$B$310),INDEX(半紙!$E$11:$E$310,563),IF(563&lt;=COUNTA(半紙!$B$11:$B$310)+COUNTA(条幅!$B$11:$B$310),INDEX(条幅!$E$11:$E$310,563-COUNTA(半紙!$B$11:$B$310)),IF(563&lt;=COUNTA(半紙!$B$11:$B$310)+COUNTA(条幅!$B$11:$B$310)+COUNTA(条幅4分の1!$B$11:$B$310),INDEX(条幅4分の1!$E$11:$E$310,563-COUNTA(半紙!$B$11:$B$310)-COUNTA(条幅!$B$11:$B$310)),"")))=0,"",IF(563&lt;=COUNTA(半紙!$B$11:$B$310),INDEX(半紙!$E$11:$E$310,563),IF(563&lt;=COUNTA(半紙!$B$11:$B$310)+COUNTA(条幅!$B$11:$B$310),INDEX(条幅!$E$11:$E$310,563-COUNTA(半紙!$B$11:$B$310)),IF(563&lt;=COUNTA(半紙!$B$11:$B$310)+COUNTA(条幅!$B$11:$B$310)+COUNTA(条幅4分の1!$B$11:$B$310),INDEX(条幅4分の1!$E$11:$E$310,563-COUNTA(半紙!$B$11:$B$310)-COUNTA(条幅!$B$11:$B$310)),""))))</f>
        <v/>
      </c>
      <c r="F568" s="38" t="str">
        <f>IF(IF(563&lt;=COUNTA(半紙!$B$11:$B$310),INDEX(半紙!$F$11:$F$310,563),IF(563&lt;=COUNTA(半紙!$B$11:$B$310)+COUNTA(条幅!$B$11:$B$310),INDEX(条幅!$F$11:$F$310,563-COUNTA(半紙!$B$11:$B$310)),IF(563&lt;=COUNTA(半紙!$B$11:$B$310)+COUNTA(条幅!$B$11:$B$310)+COUNTA(条幅4分の1!$B$11:$B$310),INDEX(条幅4分の1!$F$11:$F$310,563-COUNTA(半紙!$B$11:$B$310)-COUNTA(条幅!$B$11:$B$310)),"")))=0,"",IF(563&lt;=COUNTA(半紙!$B$11:$B$310),INDEX(半紙!$F$11:$F$310,563),IF(563&lt;=COUNTA(半紙!$B$11:$B$310)+COUNTA(条幅!$B$11:$B$310),INDEX(条幅!$F$11:$F$310,563-COUNTA(半紙!$B$11:$B$310)),IF(563&lt;=COUNTA(半紙!$B$11:$B$310)+COUNTA(条幅!$B$11:$B$310)+COUNTA(条幅4分の1!$B$11:$B$310),INDEX(条幅4分の1!$F$11:$F$310,563-COUNTA(半紙!$B$11:$B$310)-COUNTA(条幅!$B$11:$B$310)),""))))</f>
        <v/>
      </c>
      <c r="G568" s="38" t="str">
        <f>IF(IF(563&lt;=COUNTA(半紙!$B$11:$B$310),INDEX(半紙!$G$11:$G$310,563),IF(563&lt;=COUNTA(半紙!$B$11:$B$310)+COUNTA(条幅!$B$11:$B$310),INDEX(条幅!$G$11:$G$310,563-COUNTA(半紙!$B$11:$B$310)),IF(563&lt;=COUNTA(半紙!$B$11:$B$310)+COUNTA(条幅!$B$11:$B$310)+COUNTA(条幅4分の1!$B$11:$B$310),INDEX(条幅4分の1!$G$11:$G$310,563-COUNTA(半紙!$B$11:$B$310)-COUNTA(条幅!$B$11:$B$310)),"")))=0,"",IF(563&lt;=COUNTA(半紙!$B$11:$B$310),INDEX(半紙!$G$11:$G$310,563),IF(563&lt;=COUNTA(半紙!$B$11:$B$310)+COUNTA(条幅!$B$11:$B$310),INDEX(条幅!$G$11:$G$310,563-COUNTA(半紙!$B$11:$B$310)),IF(563&lt;=COUNTA(半紙!$B$11:$B$310)+COUNTA(条幅!$B$11:$B$310)+COUNTA(条幅4分の1!$B$11:$B$310),INDEX(条幅4分の1!$G$11:$G$310,563-COUNTA(半紙!$B$11:$B$310)-COUNTA(条幅!$B$11:$B$310)),""))))</f>
        <v/>
      </c>
      <c r="H568" s="38" t="str">
        <f>IF(IF(563&lt;=COUNTA(半紙!$B$11:$B$310),INDEX(半紙!$H$11:$H$310,563),IF(563&lt;=COUNTA(半紙!$B$11:$B$310)+COUNTA(条幅!$B$11:$B$310),INDEX(条幅!$H$11:$H$310,563-COUNTA(半紙!$B$11:$B$310)),IF(563&lt;=COUNTA(半紙!$B$11:$B$310)+COUNTA(条幅!$B$11:$B$310)+COUNTA(条幅4分の1!$B$11:$B$310),INDEX(条幅4分の1!$H$11:$H$310,563-COUNTA(半紙!$B$11:$B$310)-COUNTA(条幅!$B$11:$B$310)),"")))=0,"",IF(563&lt;=COUNTA(半紙!$B$11:$B$310),INDEX(半紙!$H$11:$H$310,563),IF(563&lt;=COUNTA(半紙!$B$11:$B$310)+COUNTA(条幅!$B$11:$B$310),INDEX(条幅!$H$11:$H$310,563-COUNTA(半紙!$B$11:$B$310)),IF(563&lt;=COUNTA(半紙!$B$11:$B$310)+COUNTA(条幅!$B$11:$B$310)+COUNTA(条幅4分の1!$B$11:$B$310),INDEX(条幅4分の1!$H$11:$H$310,563-COUNTA(半紙!$B$11:$B$310)-COUNTA(条幅!$B$11:$B$310)),""))))</f>
        <v/>
      </c>
      <c r="I568" s="38" t="str">
        <f>IF(IF(563&lt;=COUNTA(半紙!$B$11:$B$310),INDEX(半紙!$I$11:$I$310,563),IF(563&lt;=COUNTA(半紙!$B$11:$B$310)+COUNTA(条幅!$B$11:$B$310),INDEX(条幅!$I$11:$I$310,563-COUNTA(半紙!$B$11:$B$310)),IF(563&lt;=COUNTA(半紙!$B$11:$B$310)+COUNTA(条幅!$B$11:$B$310)+COUNTA(条幅4分の1!$B$11:$B$310),INDEX(条幅4分の1!$I$11:$I$310,563-COUNTA(半紙!$B$11:$B$310)-COUNTA(条幅!$B$11:$B$310)),"")))=0,"",IF(563&lt;=COUNTA(半紙!$B$11:$B$310),INDEX(半紙!$I$11:$I$310,563),IF(563&lt;=COUNTA(半紙!$B$11:$B$310)+COUNTA(条幅!$B$11:$B$310),INDEX(条幅!$I$11:$I$310,563-COUNTA(半紙!$B$11:$B$310)),IF(563&lt;=COUNTA(半紙!$B$11:$B$310)+COUNTA(条幅!$B$11:$B$310)+COUNTA(条幅4分の1!$B$11:$B$310),INDEX(条幅4分の1!$I$11:$I$310,563-COUNTA(半紙!$B$11:$B$310)-COUNTA(条幅!$B$11:$B$310)),""))))</f>
        <v/>
      </c>
      <c r="J568" s="38" t="str">
        <f>IF(IF(563&lt;=COUNTA(半紙!$B$11:$B$310),INDEX(半紙!$J$11:$J$310,563),IF(563&lt;=COUNTA(半紙!$B$11:$B$310)+COUNTA(条幅!$B$11:$B$310),INDEX(条幅!$J$11:$J$310,563-COUNTA(半紙!$B$11:$B$310)),IF(563&lt;=COUNTA(半紙!$B$11:$B$310)+COUNTA(条幅!$B$11:$B$310)+COUNTA(条幅4分の1!$B$11:$B$310),INDEX(条幅4分の1!$J$11:$J$310,563-COUNTA(半紙!$B$11:$B$310)-COUNTA(条幅!$B$11:$B$310)),"")))=0,"",IF(563&lt;=COUNTA(半紙!$B$11:$B$310),INDEX(半紙!$J$11:$J$310,563),IF(563&lt;=COUNTA(半紙!$B$11:$B$310)+COUNTA(条幅!$B$11:$B$310),INDEX(条幅!$J$11:$J$310,563-COUNTA(半紙!$B$11:$B$310)),IF(563&lt;=COUNTA(半紙!$B$11:$B$310)+COUNTA(条幅!$B$11:$B$310)+COUNTA(条幅4分の1!$B$11:$B$310),INDEX(条幅4分の1!$J$11:$J$310,563-COUNTA(半紙!$B$11:$B$310)-COUNTA(条幅!$B$11:$B$310)),""))))</f>
        <v/>
      </c>
      <c r="K568" s="38" t="str">
        <f>IF(IF(563&lt;=COUNTA(半紙!$B$11:$B$310),INDEX(半紙!$K$11:$K$310,563),IF(563&lt;=COUNTA(半紙!$B$11:$B$310)+COUNTA(条幅!$B$11:$B$310),INDEX(条幅!$K$11:$K$310,563-COUNTA(半紙!$B$11:$B$310)),IF(563&lt;=COUNTA(半紙!$B$11:$B$310)+COUNTA(条幅!$B$11:$B$310)+COUNTA(条幅4分の1!$B$11:$B$310),INDEX(条幅4分の1!$K$11:$K$310,563-COUNTA(半紙!$B$11:$B$310)-COUNTA(条幅!$B$11:$B$310)),"")))=0,"",IF(563&lt;=COUNTA(半紙!$B$11:$B$310),INDEX(半紙!$K$11:$K$310,563),IF(563&lt;=COUNTA(半紙!$B$11:$B$310)+COUNTA(条幅!$B$11:$B$310),INDEX(条幅!$K$11:$K$310,563-COUNTA(半紙!$B$11:$B$310)),IF(563&lt;=COUNTA(半紙!$B$11:$B$310)+COUNTA(条幅!$B$11:$B$310)+COUNTA(条幅4分の1!$B$11:$B$310),INDEX(条幅4分の1!$K$11:$K$310,563-COUNTA(半紙!$B$11:$B$310)-COUNTA(条幅!$B$11:$B$310)),""))))</f>
        <v/>
      </c>
      <c r="L568" s="48" t="str">
        <f>IF($B568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563))</f>
        <v/>
      </c>
    </row>
    <row r="569" spans="1:12" ht="15" customHeight="1">
      <c r="A569" s="37" t="str">
        <f>IF(564&lt;=COUNTA(半紙!$B$11:$B$310),"半紙",IF(564&lt;=COUNTA(半紙!$B$11:$B$310)+COUNTA(条幅!$B$11:$B$310),"条幅(半切)",IF(564&lt;=COUNTA(半紙!$B$11:$B$310)+COUNTA(条幅!$B$11:$B$310)+COUNTA(条幅4分の1!$B$11:$B$310),"条幅(1/4)","")))</f>
        <v/>
      </c>
      <c r="B569" s="38" t="str">
        <f>IF(IF(564&lt;=COUNTA(半紙!$B$11:$B$310),INDEX(半紙!$B$11:$B$310,564),IF(564&lt;=COUNTA(半紙!$B$11:$B$310)+COUNTA(条幅!$B$11:$B$310),INDEX(条幅!$B$11:$B$310,564-COUNTA(半紙!$B$11:$B$310)),IF(564&lt;=COUNTA(半紙!$B$11:$B$310)+COUNTA(条幅!$B$11:$B$310)+COUNTA(条幅4分の1!$B$11:$B$310),INDEX(条幅4分の1!$B$11:$B$310,564-COUNTA(半紙!$B$11:$B$310)-COUNTA(条幅!$B$11:$B$310)),"")))=0,"",IF(564&lt;=COUNTA(半紙!$B$11:$B$310),INDEX(半紙!$B$11:$B$310,564),IF(564&lt;=COUNTA(半紙!$B$11:$B$310)+COUNTA(条幅!$B$11:$B$310),INDEX(条幅!$B$11:$B$310,564-COUNTA(半紙!$B$11:$B$310)),IF(564&lt;=COUNTA(半紙!$B$11:$B$310)+COUNTA(条幅!$B$11:$B$310)+COUNTA(条幅4分の1!$B$11:$B$310),INDEX(条幅4分の1!$B$11:$B$310,564-COUNTA(半紙!$B$11:$B$310)-COUNTA(条幅!$B$11:$B$310)),""))))</f>
        <v/>
      </c>
      <c r="C569" s="38" t="str">
        <f>IF(IF(564&lt;=COUNTA(半紙!$B$11:$B$310),INDEX(半紙!$C$11:$C$310,564),IF(564&lt;=COUNTA(半紙!$B$11:$B$310)+COUNTA(条幅!$B$11:$B$310),INDEX(条幅!$C$11:$C$310,564-COUNTA(半紙!$B$11:$B$310)),IF(564&lt;=COUNTA(半紙!$B$11:$B$310)+COUNTA(条幅!$B$11:$B$310)+COUNTA(条幅4分の1!$B$11:$B$310),INDEX(条幅4分の1!$C$11:$C$310,564-COUNTA(半紙!$B$11:$B$310)-COUNTA(条幅!$B$11:$B$310)),"")))=0,"",IF(564&lt;=COUNTA(半紙!$B$11:$B$310),INDEX(半紙!$C$11:$C$310,564),IF(564&lt;=COUNTA(半紙!$B$11:$B$310)+COUNTA(条幅!$B$11:$B$310),INDEX(条幅!$C$11:$C$310,564-COUNTA(半紙!$B$11:$B$310)),IF(564&lt;=COUNTA(半紙!$B$11:$B$310)+COUNTA(条幅!$B$11:$B$310)+COUNTA(条幅4分の1!$B$11:$B$310),INDEX(条幅4分の1!$C$11:$C$310,564-COUNTA(半紙!$B$11:$B$310)-COUNTA(条幅!$B$11:$B$310)),""))))</f>
        <v/>
      </c>
      <c r="D569" s="38" t="str">
        <f>IF(IF(564&lt;=COUNTA(半紙!$B$11:$B$310),INDEX(半紙!$D$11:$D$310,564),IF(564&lt;=COUNTA(半紙!$B$11:$B$310)+COUNTA(条幅!$B$11:$B$310),INDEX(条幅!$D$11:$D$310,564-COUNTA(半紙!$B$11:$B$310)),IF(564&lt;=COUNTA(半紙!$B$11:$B$310)+COUNTA(条幅!$B$11:$B$310)+COUNTA(条幅4分の1!$B$11:$B$310),INDEX(条幅4分の1!$D$11:$D$310,564-COUNTA(半紙!$B$11:$B$310)-COUNTA(条幅!$B$11:$B$310)),"")))=0,"",IF(564&lt;=COUNTA(半紙!$B$11:$B$310),INDEX(半紙!$D$11:$D$310,564),IF(564&lt;=COUNTA(半紙!$B$11:$B$310)+COUNTA(条幅!$B$11:$B$310),INDEX(条幅!$D$11:$D$310,564-COUNTA(半紙!$B$11:$B$310)),IF(564&lt;=COUNTA(半紙!$B$11:$B$310)+COUNTA(条幅!$B$11:$B$310)+COUNTA(条幅4分の1!$B$11:$B$310),INDEX(条幅4分の1!$D$11:$D$310,564-COUNTA(半紙!$B$11:$B$310)-COUNTA(条幅!$B$11:$B$310)),""))))</f>
        <v/>
      </c>
      <c r="E569" s="38" t="str">
        <f>IF(IF(564&lt;=COUNTA(半紙!$B$11:$B$310),INDEX(半紙!$E$11:$E$310,564),IF(564&lt;=COUNTA(半紙!$B$11:$B$310)+COUNTA(条幅!$B$11:$B$310),INDEX(条幅!$E$11:$E$310,564-COUNTA(半紙!$B$11:$B$310)),IF(564&lt;=COUNTA(半紙!$B$11:$B$310)+COUNTA(条幅!$B$11:$B$310)+COUNTA(条幅4分の1!$B$11:$B$310),INDEX(条幅4分の1!$E$11:$E$310,564-COUNTA(半紙!$B$11:$B$310)-COUNTA(条幅!$B$11:$B$310)),"")))=0,"",IF(564&lt;=COUNTA(半紙!$B$11:$B$310),INDEX(半紙!$E$11:$E$310,564),IF(564&lt;=COUNTA(半紙!$B$11:$B$310)+COUNTA(条幅!$B$11:$B$310),INDEX(条幅!$E$11:$E$310,564-COUNTA(半紙!$B$11:$B$310)),IF(564&lt;=COUNTA(半紙!$B$11:$B$310)+COUNTA(条幅!$B$11:$B$310)+COUNTA(条幅4分の1!$B$11:$B$310),INDEX(条幅4分の1!$E$11:$E$310,564-COUNTA(半紙!$B$11:$B$310)-COUNTA(条幅!$B$11:$B$310)),""))))</f>
        <v/>
      </c>
      <c r="F569" s="38" t="str">
        <f>IF(IF(564&lt;=COUNTA(半紙!$B$11:$B$310),INDEX(半紙!$F$11:$F$310,564),IF(564&lt;=COUNTA(半紙!$B$11:$B$310)+COUNTA(条幅!$B$11:$B$310),INDEX(条幅!$F$11:$F$310,564-COUNTA(半紙!$B$11:$B$310)),IF(564&lt;=COUNTA(半紙!$B$11:$B$310)+COUNTA(条幅!$B$11:$B$310)+COUNTA(条幅4分の1!$B$11:$B$310),INDEX(条幅4分の1!$F$11:$F$310,564-COUNTA(半紙!$B$11:$B$310)-COUNTA(条幅!$B$11:$B$310)),"")))=0,"",IF(564&lt;=COUNTA(半紙!$B$11:$B$310),INDEX(半紙!$F$11:$F$310,564),IF(564&lt;=COUNTA(半紙!$B$11:$B$310)+COUNTA(条幅!$B$11:$B$310),INDEX(条幅!$F$11:$F$310,564-COUNTA(半紙!$B$11:$B$310)),IF(564&lt;=COUNTA(半紙!$B$11:$B$310)+COUNTA(条幅!$B$11:$B$310)+COUNTA(条幅4分の1!$B$11:$B$310),INDEX(条幅4分の1!$F$11:$F$310,564-COUNTA(半紙!$B$11:$B$310)-COUNTA(条幅!$B$11:$B$310)),""))))</f>
        <v/>
      </c>
      <c r="G569" s="38" t="str">
        <f>IF(IF(564&lt;=COUNTA(半紙!$B$11:$B$310),INDEX(半紙!$G$11:$G$310,564),IF(564&lt;=COUNTA(半紙!$B$11:$B$310)+COUNTA(条幅!$B$11:$B$310),INDEX(条幅!$G$11:$G$310,564-COUNTA(半紙!$B$11:$B$310)),IF(564&lt;=COUNTA(半紙!$B$11:$B$310)+COUNTA(条幅!$B$11:$B$310)+COUNTA(条幅4分の1!$B$11:$B$310),INDEX(条幅4分の1!$G$11:$G$310,564-COUNTA(半紙!$B$11:$B$310)-COUNTA(条幅!$B$11:$B$310)),"")))=0,"",IF(564&lt;=COUNTA(半紙!$B$11:$B$310),INDEX(半紙!$G$11:$G$310,564),IF(564&lt;=COUNTA(半紙!$B$11:$B$310)+COUNTA(条幅!$B$11:$B$310),INDEX(条幅!$G$11:$G$310,564-COUNTA(半紙!$B$11:$B$310)),IF(564&lt;=COUNTA(半紙!$B$11:$B$310)+COUNTA(条幅!$B$11:$B$310)+COUNTA(条幅4分の1!$B$11:$B$310),INDEX(条幅4分の1!$G$11:$G$310,564-COUNTA(半紙!$B$11:$B$310)-COUNTA(条幅!$B$11:$B$310)),""))))</f>
        <v/>
      </c>
      <c r="H569" s="38" t="str">
        <f>IF(IF(564&lt;=COUNTA(半紙!$B$11:$B$310),INDEX(半紙!$H$11:$H$310,564),IF(564&lt;=COUNTA(半紙!$B$11:$B$310)+COUNTA(条幅!$B$11:$B$310),INDEX(条幅!$H$11:$H$310,564-COUNTA(半紙!$B$11:$B$310)),IF(564&lt;=COUNTA(半紙!$B$11:$B$310)+COUNTA(条幅!$B$11:$B$310)+COUNTA(条幅4分の1!$B$11:$B$310),INDEX(条幅4分の1!$H$11:$H$310,564-COUNTA(半紙!$B$11:$B$310)-COUNTA(条幅!$B$11:$B$310)),"")))=0,"",IF(564&lt;=COUNTA(半紙!$B$11:$B$310),INDEX(半紙!$H$11:$H$310,564),IF(564&lt;=COUNTA(半紙!$B$11:$B$310)+COUNTA(条幅!$B$11:$B$310),INDEX(条幅!$H$11:$H$310,564-COUNTA(半紙!$B$11:$B$310)),IF(564&lt;=COUNTA(半紙!$B$11:$B$310)+COUNTA(条幅!$B$11:$B$310)+COUNTA(条幅4分の1!$B$11:$B$310),INDEX(条幅4分の1!$H$11:$H$310,564-COUNTA(半紙!$B$11:$B$310)-COUNTA(条幅!$B$11:$B$310)),""))))</f>
        <v/>
      </c>
      <c r="I569" s="38" t="str">
        <f>IF(IF(564&lt;=COUNTA(半紙!$B$11:$B$310),INDEX(半紙!$I$11:$I$310,564),IF(564&lt;=COUNTA(半紙!$B$11:$B$310)+COUNTA(条幅!$B$11:$B$310),INDEX(条幅!$I$11:$I$310,564-COUNTA(半紙!$B$11:$B$310)),IF(564&lt;=COUNTA(半紙!$B$11:$B$310)+COUNTA(条幅!$B$11:$B$310)+COUNTA(条幅4分の1!$B$11:$B$310),INDEX(条幅4分の1!$I$11:$I$310,564-COUNTA(半紙!$B$11:$B$310)-COUNTA(条幅!$B$11:$B$310)),"")))=0,"",IF(564&lt;=COUNTA(半紙!$B$11:$B$310),INDEX(半紙!$I$11:$I$310,564),IF(564&lt;=COUNTA(半紙!$B$11:$B$310)+COUNTA(条幅!$B$11:$B$310),INDEX(条幅!$I$11:$I$310,564-COUNTA(半紙!$B$11:$B$310)),IF(564&lt;=COUNTA(半紙!$B$11:$B$310)+COUNTA(条幅!$B$11:$B$310)+COUNTA(条幅4分の1!$B$11:$B$310),INDEX(条幅4分の1!$I$11:$I$310,564-COUNTA(半紙!$B$11:$B$310)-COUNTA(条幅!$B$11:$B$310)),""))))</f>
        <v/>
      </c>
      <c r="J569" s="38" t="str">
        <f>IF(IF(564&lt;=COUNTA(半紙!$B$11:$B$310),INDEX(半紙!$J$11:$J$310,564),IF(564&lt;=COUNTA(半紙!$B$11:$B$310)+COUNTA(条幅!$B$11:$B$310),INDEX(条幅!$J$11:$J$310,564-COUNTA(半紙!$B$11:$B$310)),IF(564&lt;=COUNTA(半紙!$B$11:$B$310)+COUNTA(条幅!$B$11:$B$310)+COUNTA(条幅4分の1!$B$11:$B$310),INDEX(条幅4分の1!$J$11:$J$310,564-COUNTA(半紙!$B$11:$B$310)-COUNTA(条幅!$B$11:$B$310)),"")))=0,"",IF(564&lt;=COUNTA(半紙!$B$11:$B$310),INDEX(半紙!$J$11:$J$310,564),IF(564&lt;=COUNTA(半紙!$B$11:$B$310)+COUNTA(条幅!$B$11:$B$310),INDEX(条幅!$J$11:$J$310,564-COUNTA(半紙!$B$11:$B$310)),IF(564&lt;=COUNTA(半紙!$B$11:$B$310)+COUNTA(条幅!$B$11:$B$310)+COUNTA(条幅4分の1!$B$11:$B$310),INDEX(条幅4分の1!$J$11:$J$310,564-COUNTA(半紙!$B$11:$B$310)-COUNTA(条幅!$B$11:$B$310)),""))))</f>
        <v/>
      </c>
      <c r="K569" s="38" t="str">
        <f>IF(IF(564&lt;=COUNTA(半紙!$B$11:$B$310),INDEX(半紙!$K$11:$K$310,564),IF(564&lt;=COUNTA(半紙!$B$11:$B$310)+COUNTA(条幅!$B$11:$B$310),INDEX(条幅!$K$11:$K$310,564-COUNTA(半紙!$B$11:$B$310)),IF(564&lt;=COUNTA(半紙!$B$11:$B$310)+COUNTA(条幅!$B$11:$B$310)+COUNTA(条幅4分の1!$B$11:$B$310),INDEX(条幅4分の1!$K$11:$K$310,564-COUNTA(半紙!$B$11:$B$310)-COUNTA(条幅!$B$11:$B$310)),"")))=0,"",IF(564&lt;=COUNTA(半紙!$B$11:$B$310),INDEX(半紙!$K$11:$K$310,564),IF(564&lt;=COUNTA(半紙!$B$11:$B$310)+COUNTA(条幅!$B$11:$B$310),INDEX(条幅!$K$11:$K$310,564-COUNTA(半紙!$B$11:$B$310)),IF(564&lt;=COUNTA(半紙!$B$11:$B$310)+COUNTA(条幅!$B$11:$B$310)+COUNTA(条幅4分の1!$B$11:$B$310),INDEX(条幅4分の1!$K$11:$K$310,564-COUNTA(半紙!$B$11:$B$310)-COUNTA(条幅!$B$11:$B$310)),""))))</f>
        <v/>
      </c>
      <c r="L569" s="48" t="str">
        <f>IF($B569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564))</f>
        <v/>
      </c>
    </row>
    <row r="570" spans="1:12" ht="15" customHeight="1">
      <c r="A570" s="37" t="str">
        <f>IF(565&lt;=COUNTA(半紙!$B$11:$B$310),"半紙",IF(565&lt;=COUNTA(半紙!$B$11:$B$310)+COUNTA(条幅!$B$11:$B$310),"条幅(半切)",IF(565&lt;=COUNTA(半紙!$B$11:$B$310)+COUNTA(条幅!$B$11:$B$310)+COUNTA(条幅4分の1!$B$11:$B$310),"条幅(1/4)","")))</f>
        <v/>
      </c>
      <c r="B570" s="38" t="str">
        <f>IF(IF(565&lt;=COUNTA(半紙!$B$11:$B$310),INDEX(半紙!$B$11:$B$310,565),IF(565&lt;=COUNTA(半紙!$B$11:$B$310)+COUNTA(条幅!$B$11:$B$310),INDEX(条幅!$B$11:$B$310,565-COUNTA(半紙!$B$11:$B$310)),IF(565&lt;=COUNTA(半紙!$B$11:$B$310)+COUNTA(条幅!$B$11:$B$310)+COUNTA(条幅4分の1!$B$11:$B$310),INDEX(条幅4分の1!$B$11:$B$310,565-COUNTA(半紙!$B$11:$B$310)-COUNTA(条幅!$B$11:$B$310)),"")))=0,"",IF(565&lt;=COUNTA(半紙!$B$11:$B$310),INDEX(半紙!$B$11:$B$310,565),IF(565&lt;=COUNTA(半紙!$B$11:$B$310)+COUNTA(条幅!$B$11:$B$310),INDEX(条幅!$B$11:$B$310,565-COUNTA(半紙!$B$11:$B$310)),IF(565&lt;=COUNTA(半紙!$B$11:$B$310)+COUNTA(条幅!$B$11:$B$310)+COUNTA(条幅4分の1!$B$11:$B$310),INDEX(条幅4分の1!$B$11:$B$310,565-COUNTA(半紙!$B$11:$B$310)-COUNTA(条幅!$B$11:$B$310)),""))))</f>
        <v/>
      </c>
      <c r="C570" s="38" t="str">
        <f>IF(IF(565&lt;=COUNTA(半紙!$B$11:$B$310),INDEX(半紙!$C$11:$C$310,565),IF(565&lt;=COUNTA(半紙!$B$11:$B$310)+COUNTA(条幅!$B$11:$B$310),INDEX(条幅!$C$11:$C$310,565-COUNTA(半紙!$B$11:$B$310)),IF(565&lt;=COUNTA(半紙!$B$11:$B$310)+COUNTA(条幅!$B$11:$B$310)+COUNTA(条幅4分の1!$B$11:$B$310),INDEX(条幅4分の1!$C$11:$C$310,565-COUNTA(半紙!$B$11:$B$310)-COUNTA(条幅!$B$11:$B$310)),"")))=0,"",IF(565&lt;=COUNTA(半紙!$B$11:$B$310),INDEX(半紙!$C$11:$C$310,565),IF(565&lt;=COUNTA(半紙!$B$11:$B$310)+COUNTA(条幅!$B$11:$B$310),INDEX(条幅!$C$11:$C$310,565-COUNTA(半紙!$B$11:$B$310)),IF(565&lt;=COUNTA(半紙!$B$11:$B$310)+COUNTA(条幅!$B$11:$B$310)+COUNTA(条幅4分の1!$B$11:$B$310),INDEX(条幅4分の1!$C$11:$C$310,565-COUNTA(半紙!$B$11:$B$310)-COUNTA(条幅!$B$11:$B$310)),""))))</f>
        <v/>
      </c>
      <c r="D570" s="38" t="str">
        <f>IF(IF(565&lt;=COUNTA(半紙!$B$11:$B$310),INDEX(半紙!$D$11:$D$310,565),IF(565&lt;=COUNTA(半紙!$B$11:$B$310)+COUNTA(条幅!$B$11:$B$310),INDEX(条幅!$D$11:$D$310,565-COUNTA(半紙!$B$11:$B$310)),IF(565&lt;=COUNTA(半紙!$B$11:$B$310)+COUNTA(条幅!$B$11:$B$310)+COUNTA(条幅4分の1!$B$11:$B$310),INDEX(条幅4分の1!$D$11:$D$310,565-COUNTA(半紙!$B$11:$B$310)-COUNTA(条幅!$B$11:$B$310)),"")))=0,"",IF(565&lt;=COUNTA(半紙!$B$11:$B$310),INDEX(半紙!$D$11:$D$310,565),IF(565&lt;=COUNTA(半紙!$B$11:$B$310)+COUNTA(条幅!$B$11:$B$310),INDEX(条幅!$D$11:$D$310,565-COUNTA(半紙!$B$11:$B$310)),IF(565&lt;=COUNTA(半紙!$B$11:$B$310)+COUNTA(条幅!$B$11:$B$310)+COUNTA(条幅4分の1!$B$11:$B$310),INDEX(条幅4分の1!$D$11:$D$310,565-COUNTA(半紙!$B$11:$B$310)-COUNTA(条幅!$B$11:$B$310)),""))))</f>
        <v/>
      </c>
      <c r="E570" s="38" t="str">
        <f>IF(IF(565&lt;=COUNTA(半紙!$B$11:$B$310),INDEX(半紙!$E$11:$E$310,565),IF(565&lt;=COUNTA(半紙!$B$11:$B$310)+COUNTA(条幅!$B$11:$B$310),INDEX(条幅!$E$11:$E$310,565-COUNTA(半紙!$B$11:$B$310)),IF(565&lt;=COUNTA(半紙!$B$11:$B$310)+COUNTA(条幅!$B$11:$B$310)+COUNTA(条幅4分の1!$B$11:$B$310),INDEX(条幅4分の1!$E$11:$E$310,565-COUNTA(半紙!$B$11:$B$310)-COUNTA(条幅!$B$11:$B$310)),"")))=0,"",IF(565&lt;=COUNTA(半紙!$B$11:$B$310),INDEX(半紙!$E$11:$E$310,565),IF(565&lt;=COUNTA(半紙!$B$11:$B$310)+COUNTA(条幅!$B$11:$B$310),INDEX(条幅!$E$11:$E$310,565-COUNTA(半紙!$B$11:$B$310)),IF(565&lt;=COUNTA(半紙!$B$11:$B$310)+COUNTA(条幅!$B$11:$B$310)+COUNTA(条幅4分の1!$B$11:$B$310),INDEX(条幅4分の1!$E$11:$E$310,565-COUNTA(半紙!$B$11:$B$310)-COUNTA(条幅!$B$11:$B$310)),""))))</f>
        <v/>
      </c>
      <c r="F570" s="38" t="str">
        <f>IF(IF(565&lt;=COUNTA(半紙!$B$11:$B$310),INDEX(半紙!$F$11:$F$310,565),IF(565&lt;=COUNTA(半紙!$B$11:$B$310)+COUNTA(条幅!$B$11:$B$310),INDEX(条幅!$F$11:$F$310,565-COUNTA(半紙!$B$11:$B$310)),IF(565&lt;=COUNTA(半紙!$B$11:$B$310)+COUNTA(条幅!$B$11:$B$310)+COUNTA(条幅4分の1!$B$11:$B$310),INDEX(条幅4分の1!$F$11:$F$310,565-COUNTA(半紙!$B$11:$B$310)-COUNTA(条幅!$B$11:$B$310)),"")))=0,"",IF(565&lt;=COUNTA(半紙!$B$11:$B$310),INDEX(半紙!$F$11:$F$310,565),IF(565&lt;=COUNTA(半紙!$B$11:$B$310)+COUNTA(条幅!$B$11:$B$310),INDEX(条幅!$F$11:$F$310,565-COUNTA(半紙!$B$11:$B$310)),IF(565&lt;=COUNTA(半紙!$B$11:$B$310)+COUNTA(条幅!$B$11:$B$310)+COUNTA(条幅4分の1!$B$11:$B$310),INDEX(条幅4分の1!$F$11:$F$310,565-COUNTA(半紙!$B$11:$B$310)-COUNTA(条幅!$B$11:$B$310)),""))))</f>
        <v/>
      </c>
      <c r="G570" s="38" t="str">
        <f>IF(IF(565&lt;=COUNTA(半紙!$B$11:$B$310),INDEX(半紙!$G$11:$G$310,565),IF(565&lt;=COUNTA(半紙!$B$11:$B$310)+COUNTA(条幅!$B$11:$B$310),INDEX(条幅!$G$11:$G$310,565-COUNTA(半紙!$B$11:$B$310)),IF(565&lt;=COUNTA(半紙!$B$11:$B$310)+COUNTA(条幅!$B$11:$B$310)+COUNTA(条幅4分の1!$B$11:$B$310),INDEX(条幅4分の1!$G$11:$G$310,565-COUNTA(半紙!$B$11:$B$310)-COUNTA(条幅!$B$11:$B$310)),"")))=0,"",IF(565&lt;=COUNTA(半紙!$B$11:$B$310),INDEX(半紙!$G$11:$G$310,565),IF(565&lt;=COUNTA(半紙!$B$11:$B$310)+COUNTA(条幅!$B$11:$B$310),INDEX(条幅!$G$11:$G$310,565-COUNTA(半紙!$B$11:$B$310)),IF(565&lt;=COUNTA(半紙!$B$11:$B$310)+COUNTA(条幅!$B$11:$B$310)+COUNTA(条幅4分の1!$B$11:$B$310),INDEX(条幅4分の1!$G$11:$G$310,565-COUNTA(半紙!$B$11:$B$310)-COUNTA(条幅!$B$11:$B$310)),""))))</f>
        <v/>
      </c>
      <c r="H570" s="38" t="str">
        <f>IF(IF(565&lt;=COUNTA(半紙!$B$11:$B$310),INDEX(半紙!$H$11:$H$310,565),IF(565&lt;=COUNTA(半紙!$B$11:$B$310)+COUNTA(条幅!$B$11:$B$310),INDEX(条幅!$H$11:$H$310,565-COUNTA(半紙!$B$11:$B$310)),IF(565&lt;=COUNTA(半紙!$B$11:$B$310)+COUNTA(条幅!$B$11:$B$310)+COUNTA(条幅4分の1!$B$11:$B$310),INDEX(条幅4分の1!$H$11:$H$310,565-COUNTA(半紙!$B$11:$B$310)-COUNTA(条幅!$B$11:$B$310)),"")))=0,"",IF(565&lt;=COUNTA(半紙!$B$11:$B$310),INDEX(半紙!$H$11:$H$310,565),IF(565&lt;=COUNTA(半紙!$B$11:$B$310)+COUNTA(条幅!$B$11:$B$310),INDEX(条幅!$H$11:$H$310,565-COUNTA(半紙!$B$11:$B$310)),IF(565&lt;=COUNTA(半紙!$B$11:$B$310)+COUNTA(条幅!$B$11:$B$310)+COUNTA(条幅4分の1!$B$11:$B$310),INDEX(条幅4分の1!$H$11:$H$310,565-COUNTA(半紙!$B$11:$B$310)-COUNTA(条幅!$B$11:$B$310)),""))))</f>
        <v/>
      </c>
      <c r="I570" s="38" t="str">
        <f>IF(IF(565&lt;=COUNTA(半紙!$B$11:$B$310),INDEX(半紙!$I$11:$I$310,565),IF(565&lt;=COUNTA(半紙!$B$11:$B$310)+COUNTA(条幅!$B$11:$B$310),INDEX(条幅!$I$11:$I$310,565-COUNTA(半紙!$B$11:$B$310)),IF(565&lt;=COUNTA(半紙!$B$11:$B$310)+COUNTA(条幅!$B$11:$B$310)+COUNTA(条幅4分の1!$B$11:$B$310),INDEX(条幅4分の1!$I$11:$I$310,565-COUNTA(半紙!$B$11:$B$310)-COUNTA(条幅!$B$11:$B$310)),"")))=0,"",IF(565&lt;=COUNTA(半紙!$B$11:$B$310),INDEX(半紙!$I$11:$I$310,565),IF(565&lt;=COUNTA(半紙!$B$11:$B$310)+COUNTA(条幅!$B$11:$B$310),INDEX(条幅!$I$11:$I$310,565-COUNTA(半紙!$B$11:$B$310)),IF(565&lt;=COUNTA(半紙!$B$11:$B$310)+COUNTA(条幅!$B$11:$B$310)+COUNTA(条幅4分の1!$B$11:$B$310),INDEX(条幅4分の1!$I$11:$I$310,565-COUNTA(半紙!$B$11:$B$310)-COUNTA(条幅!$B$11:$B$310)),""))))</f>
        <v/>
      </c>
      <c r="J570" s="38" t="str">
        <f>IF(IF(565&lt;=COUNTA(半紙!$B$11:$B$310),INDEX(半紙!$J$11:$J$310,565),IF(565&lt;=COUNTA(半紙!$B$11:$B$310)+COUNTA(条幅!$B$11:$B$310),INDEX(条幅!$J$11:$J$310,565-COUNTA(半紙!$B$11:$B$310)),IF(565&lt;=COUNTA(半紙!$B$11:$B$310)+COUNTA(条幅!$B$11:$B$310)+COUNTA(条幅4分の1!$B$11:$B$310),INDEX(条幅4分の1!$J$11:$J$310,565-COUNTA(半紙!$B$11:$B$310)-COUNTA(条幅!$B$11:$B$310)),"")))=0,"",IF(565&lt;=COUNTA(半紙!$B$11:$B$310),INDEX(半紙!$J$11:$J$310,565),IF(565&lt;=COUNTA(半紙!$B$11:$B$310)+COUNTA(条幅!$B$11:$B$310),INDEX(条幅!$J$11:$J$310,565-COUNTA(半紙!$B$11:$B$310)),IF(565&lt;=COUNTA(半紙!$B$11:$B$310)+COUNTA(条幅!$B$11:$B$310)+COUNTA(条幅4分の1!$B$11:$B$310),INDEX(条幅4分の1!$J$11:$J$310,565-COUNTA(半紙!$B$11:$B$310)-COUNTA(条幅!$B$11:$B$310)),""))))</f>
        <v/>
      </c>
      <c r="K570" s="38" t="str">
        <f>IF(IF(565&lt;=COUNTA(半紙!$B$11:$B$310),INDEX(半紙!$K$11:$K$310,565),IF(565&lt;=COUNTA(半紙!$B$11:$B$310)+COUNTA(条幅!$B$11:$B$310),INDEX(条幅!$K$11:$K$310,565-COUNTA(半紙!$B$11:$B$310)),IF(565&lt;=COUNTA(半紙!$B$11:$B$310)+COUNTA(条幅!$B$11:$B$310)+COUNTA(条幅4分の1!$B$11:$B$310),INDEX(条幅4分の1!$K$11:$K$310,565-COUNTA(半紙!$B$11:$B$310)-COUNTA(条幅!$B$11:$B$310)),"")))=0,"",IF(565&lt;=COUNTA(半紙!$B$11:$B$310),INDEX(半紙!$K$11:$K$310,565),IF(565&lt;=COUNTA(半紙!$B$11:$B$310)+COUNTA(条幅!$B$11:$B$310),INDEX(条幅!$K$11:$K$310,565-COUNTA(半紙!$B$11:$B$310)),IF(565&lt;=COUNTA(半紙!$B$11:$B$310)+COUNTA(条幅!$B$11:$B$310)+COUNTA(条幅4分の1!$B$11:$B$310),INDEX(条幅4分の1!$K$11:$K$310,565-COUNTA(半紙!$B$11:$B$310)-COUNTA(条幅!$B$11:$B$310)),""))))</f>
        <v/>
      </c>
      <c r="L570" s="48" t="str">
        <f>IF($B570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565))</f>
        <v/>
      </c>
    </row>
    <row r="571" spans="1:12" ht="15" customHeight="1">
      <c r="A571" s="37" t="str">
        <f>IF(566&lt;=COUNTA(半紙!$B$11:$B$310),"半紙",IF(566&lt;=COUNTA(半紙!$B$11:$B$310)+COUNTA(条幅!$B$11:$B$310),"条幅(半切)",IF(566&lt;=COUNTA(半紙!$B$11:$B$310)+COUNTA(条幅!$B$11:$B$310)+COUNTA(条幅4分の1!$B$11:$B$310),"条幅(1/4)","")))</f>
        <v/>
      </c>
      <c r="B571" s="38" t="str">
        <f>IF(IF(566&lt;=COUNTA(半紙!$B$11:$B$310),INDEX(半紙!$B$11:$B$310,566),IF(566&lt;=COUNTA(半紙!$B$11:$B$310)+COUNTA(条幅!$B$11:$B$310),INDEX(条幅!$B$11:$B$310,566-COUNTA(半紙!$B$11:$B$310)),IF(566&lt;=COUNTA(半紙!$B$11:$B$310)+COUNTA(条幅!$B$11:$B$310)+COUNTA(条幅4分の1!$B$11:$B$310),INDEX(条幅4分の1!$B$11:$B$310,566-COUNTA(半紙!$B$11:$B$310)-COUNTA(条幅!$B$11:$B$310)),"")))=0,"",IF(566&lt;=COUNTA(半紙!$B$11:$B$310),INDEX(半紙!$B$11:$B$310,566),IF(566&lt;=COUNTA(半紙!$B$11:$B$310)+COUNTA(条幅!$B$11:$B$310),INDEX(条幅!$B$11:$B$310,566-COUNTA(半紙!$B$11:$B$310)),IF(566&lt;=COUNTA(半紙!$B$11:$B$310)+COUNTA(条幅!$B$11:$B$310)+COUNTA(条幅4分の1!$B$11:$B$310),INDEX(条幅4分の1!$B$11:$B$310,566-COUNTA(半紙!$B$11:$B$310)-COUNTA(条幅!$B$11:$B$310)),""))))</f>
        <v/>
      </c>
      <c r="C571" s="38" t="str">
        <f>IF(IF(566&lt;=COUNTA(半紙!$B$11:$B$310),INDEX(半紙!$C$11:$C$310,566),IF(566&lt;=COUNTA(半紙!$B$11:$B$310)+COUNTA(条幅!$B$11:$B$310),INDEX(条幅!$C$11:$C$310,566-COUNTA(半紙!$B$11:$B$310)),IF(566&lt;=COUNTA(半紙!$B$11:$B$310)+COUNTA(条幅!$B$11:$B$310)+COUNTA(条幅4分の1!$B$11:$B$310),INDEX(条幅4分の1!$C$11:$C$310,566-COUNTA(半紙!$B$11:$B$310)-COUNTA(条幅!$B$11:$B$310)),"")))=0,"",IF(566&lt;=COUNTA(半紙!$B$11:$B$310),INDEX(半紙!$C$11:$C$310,566),IF(566&lt;=COUNTA(半紙!$B$11:$B$310)+COUNTA(条幅!$B$11:$B$310),INDEX(条幅!$C$11:$C$310,566-COUNTA(半紙!$B$11:$B$310)),IF(566&lt;=COUNTA(半紙!$B$11:$B$310)+COUNTA(条幅!$B$11:$B$310)+COUNTA(条幅4分の1!$B$11:$B$310),INDEX(条幅4分の1!$C$11:$C$310,566-COUNTA(半紙!$B$11:$B$310)-COUNTA(条幅!$B$11:$B$310)),""))))</f>
        <v/>
      </c>
      <c r="D571" s="38" t="str">
        <f>IF(IF(566&lt;=COUNTA(半紙!$B$11:$B$310),INDEX(半紙!$D$11:$D$310,566),IF(566&lt;=COUNTA(半紙!$B$11:$B$310)+COUNTA(条幅!$B$11:$B$310),INDEX(条幅!$D$11:$D$310,566-COUNTA(半紙!$B$11:$B$310)),IF(566&lt;=COUNTA(半紙!$B$11:$B$310)+COUNTA(条幅!$B$11:$B$310)+COUNTA(条幅4分の1!$B$11:$B$310),INDEX(条幅4分の1!$D$11:$D$310,566-COUNTA(半紙!$B$11:$B$310)-COUNTA(条幅!$B$11:$B$310)),"")))=0,"",IF(566&lt;=COUNTA(半紙!$B$11:$B$310),INDEX(半紙!$D$11:$D$310,566),IF(566&lt;=COUNTA(半紙!$B$11:$B$310)+COUNTA(条幅!$B$11:$B$310),INDEX(条幅!$D$11:$D$310,566-COUNTA(半紙!$B$11:$B$310)),IF(566&lt;=COUNTA(半紙!$B$11:$B$310)+COUNTA(条幅!$B$11:$B$310)+COUNTA(条幅4分の1!$B$11:$B$310),INDEX(条幅4分の1!$D$11:$D$310,566-COUNTA(半紙!$B$11:$B$310)-COUNTA(条幅!$B$11:$B$310)),""))))</f>
        <v/>
      </c>
      <c r="E571" s="38" t="str">
        <f>IF(IF(566&lt;=COUNTA(半紙!$B$11:$B$310),INDEX(半紙!$E$11:$E$310,566),IF(566&lt;=COUNTA(半紙!$B$11:$B$310)+COUNTA(条幅!$B$11:$B$310),INDEX(条幅!$E$11:$E$310,566-COUNTA(半紙!$B$11:$B$310)),IF(566&lt;=COUNTA(半紙!$B$11:$B$310)+COUNTA(条幅!$B$11:$B$310)+COUNTA(条幅4分の1!$B$11:$B$310),INDEX(条幅4分の1!$E$11:$E$310,566-COUNTA(半紙!$B$11:$B$310)-COUNTA(条幅!$B$11:$B$310)),"")))=0,"",IF(566&lt;=COUNTA(半紙!$B$11:$B$310),INDEX(半紙!$E$11:$E$310,566),IF(566&lt;=COUNTA(半紙!$B$11:$B$310)+COUNTA(条幅!$B$11:$B$310),INDEX(条幅!$E$11:$E$310,566-COUNTA(半紙!$B$11:$B$310)),IF(566&lt;=COUNTA(半紙!$B$11:$B$310)+COUNTA(条幅!$B$11:$B$310)+COUNTA(条幅4分の1!$B$11:$B$310),INDEX(条幅4分の1!$E$11:$E$310,566-COUNTA(半紙!$B$11:$B$310)-COUNTA(条幅!$B$11:$B$310)),""))))</f>
        <v/>
      </c>
      <c r="F571" s="38" t="str">
        <f>IF(IF(566&lt;=COUNTA(半紙!$B$11:$B$310),INDEX(半紙!$F$11:$F$310,566),IF(566&lt;=COUNTA(半紙!$B$11:$B$310)+COUNTA(条幅!$B$11:$B$310),INDEX(条幅!$F$11:$F$310,566-COUNTA(半紙!$B$11:$B$310)),IF(566&lt;=COUNTA(半紙!$B$11:$B$310)+COUNTA(条幅!$B$11:$B$310)+COUNTA(条幅4分の1!$B$11:$B$310),INDEX(条幅4分の1!$F$11:$F$310,566-COUNTA(半紙!$B$11:$B$310)-COUNTA(条幅!$B$11:$B$310)),"")))=0,"",IF(566&lt;=COUNTA(半紙!$B$11:$B$310),INDEX(半紙!$F$11:$F$310,566),IF(566&lt;=COUNTA(半紙!$B$11:$B$310)+COUNTA(条幅!$B$11:$B$310),INDEX(条幅!$F$11:$F$310,566-COUNTA(半紙!$B$11:$B$310)),IF(566&lt;=COUNTA(半紙!$B$11:$B$310)+COUNTA(条幅!$B$11:$B$310)+COUNTA(条幅4分の1!$B$11:$B$310),INDEX(条幅4分の1!$F$11:$F$310,566-COUNTA(半紙!$B$11:$B$310)-COUNTA(条幅!$B$11:$B$310)),""))))</f>
        <v/>
      </c>
      <c r="G571" s="38" t="str">
        <f>IF(IF(566&lt;=COUNTA(半紙!$B$11:$B$310),INDEX(半紙!$G$11:$G$310,566),IF(566&lt;=COUNTA(半紙!$B$11:$B$310)+COUNTA(条幅!$B$11:$B$310),INDEX(条幅!$G$11:$G$310,566-COUNTA(半紙!$B$11:$B$310)),IF(566&lt;=COUNTA(半紙!$B$11:$B$310)+COUNTA(条幅!$B$11:$B$310)+COUNTA(条幅4分の1!$B$11:$B$310),INDEX(条幅4分の1!$G$11:$G$310,566-COUNTA(半紙!$B$11:$B$310)-COUNTA(条幅!$B$11:$B$310)),"")))=0,"",IF(566&lt;=COUNTA(半紙!$B$11:$B$310),INDEX(半紙!$G$11:$G$310,566),IF(566&lt;=COUNTA(半紙!$B$11:$B$310)+COUNTA(条幅!$B$11:$B$310),INDEX(条幅!$G$11:$G$310,566-COUNTA(半紙!$B$11:$B$310)),IF(566&lt;=COUNTA(半紙!$B$11:$B$310)+COUNTA(条幅!$B$11:$B$310)+COUNTA(条幅4分の1!$B$11:$B$310),INDEX(条幅4分の1!$G$11:$G$310,566-COUNTA(半紙!$B$11:$B$310)-COUNTA(条幅!$B$11:$B$310)),""))))</f>
        <v/>
      </c>
      <c r="H571" s="38" t="str">
        <f>IF(IF(566&lt;=COUNTA(半紙!$B$11:$B$310),INDEX(半紙!$H$11:$H$310,566),IF(566&lt;=COUNTA(半紙!$B$11:$B$310)+COUNTA(条幅!$B$11:$B$310),INDEX(条幅!$H$11:$H$310,566-COUNTA(半紙!$B$11:$B$310)),IF(566&lt;=COUNTA(半紙!$B$11:$B$310)+COUNTA(条幅!$B$11:$B$310)+COUNTA(条幅4分の1!$B$11:$B$310),INDEX(条幅4分の1!$H$11:$H$310,566-COUNTA(半紙!$B$11:$B$310)-COUNTA(条幅!$B$11:$B$310)),"")))=0,"",IF(566&lt;=COUNTA(半紙!$B$11:$B$310),INDEX(半紙!$H$11:$H$310,566),IF(566&lt;=COUNTA(半紙!$B$11:$B$310)+COUNTA(条幅!$B$11:$B$310),INDEX(条幅!$H$11:$H$310,566-COUNTA(半紙!$B$11:$B$310)),IF(566&lt;=COUNTA(半紙!$B$11:$B$310)+COUNTA(条幅!$B$11:$B$310)+COUNTA(条幅4分の1!$B$11:$B$310),INDEX(条幅4分の1!$H$11:$H$310,566-COUNTA(半紙!$B$11:$B$310)-COUNTA(条幅!$B$11:$B$310)),""))))</f>
        <v/>
      </c>
      <c r="I571" s="38" t="str">
        <f>IF(IF(566&lt;=COUNTA(半紙!$B$11:$B$310),INDEX(半紙!$I$11:$I$310,566),IF(566&lt;=COUNTA(半紙!$B$11:$B$310)+COUNTA(条幅!$B$11:$B$310),INDEX(条幅!$I$11:$I$310,566-COUNTA(半紙!$B$11:$B$310)),IF(566&lt;=COUNTA(半紙!$B$11:$B$310)+COUNTA(条幅!$B$11:$B$310)+COUNTA(条幅4分の1!$B$11:$B$310),INDEX(条幅4分の1!$I$11:$I$310,566-COUNTA(半紙!$B$11:$B$310)-COUNTA(条幅!$B$11:$B$310)),"")))=0,"",IF(566&lt;=COUNTA(半紙!$B$11:$B$310),INDEX(半紙!$I$11:$I$310,566),IF(566&lt;=COUNTA(半紙!$B$11:$B$310)+COUNTA(条幅!$B$11:$B$310),INDEX(条幅!$I$11:$I$310,566-COUNTA(半紙!$B$11:$B$310)),IF(566&lt;=COUNTA(半紙!$B$11:$B$310)+COUNTA(条幅!$B$11:$B$310)+COUNTA(条幅4分の1!$B$11:$B$310),INDEX(条幅4分の1!$I$11:$I$310,566-COUNTA(半紙!$B$11:$B$310)-COUNTA(条幅!$B$11:$B$310)),""))))</f>
        <v/>
      </c>
      <c r="J571" s="38" t="str">
        <f>IF(IF(566&lt;=COUNTA(半紙!$B$11:$B$310),INDEX(半紙!$J$11:$J$310,566),IF(566&lt;=COUNTA(半紙!$B$11:$B$310)+COUNTA(条幅!$B$11:$B$310),INDEX(条幅!$J$11:$J$310,566-COUNTA(半紙!$B$11:$B$310)),IF(566&lt;=COUNTA(半紙!$B$11:$B$310)+COUNTA(条幅!$B$11:$B$310)+COUNTA(条幅4分の1!$B$11:$B$310),INDEX(条幅4分の1!$J$11:$J$310,566-COUNTA(半紙!$B$11:$B$310)-COUNTA(条幅!$B$11:$B$310)),"")))=0,"",IF(566&lt;=COUNTA(半紙!$B$11:$B$310),INDEX(半紙!$J$11:$J$310,566),IF(566&lt;=COUNTA(半紙!$B$11:$B$310)+COUNTA(条幅!$B$11:$B$310),INDEX(条幅!$J$11:$J$310,566-COUNTA(半紙!$B$11:$B$310)),IF(566&lt;=COUNTA(半紙!$B$11:$B$310)+COUNTA(条幅!$B$11:$B$310)+COUNTA(条幅4分の1!$B$11:$B$310),INDEX(条幅4分の1!$J$11:$J$310,566-COUNTA(半紙!$B$11:$B$310)-COUNTA(条幅!$B$11:$B$310)),""))))</f>
        <v/>
      </c>
      <c r="K571" s="38" t="str">
        <f>IF(IF(566&lt;=COUNTA(半紙!$B$11:$B$310),INDEX(半紙!$K$11:$K$310,566),IF(566&lt;=COUNTA(半紙!$B$11:$B$310)+COUNTA(条幅!$B$11:$B$310),INDEX(条幅!$K$11:$K$310,566-COUNTA(半紙!$B$11:$B$310)),IF(566&lt;=COUNTA(半紙!$B$11:$B$310)+COUNTA(条幅!$B$11:$B$310)+COUNTA(条幅4分の1!$B$11:$B$310),INDEX(条幅4分の1!$K$11:$K$310,566-COUNTA(半紙!$B$11:$B$310)-COUNTA(条幅!$B$11:$B$310)),"")))=0,"",IF(566&lt;=COUNTA(半紙!$B$11:$B$310),INDEX(半紙!$K$11:$K$310,566),IF(566&lt;=COUNTA(半紙!$B$11:$B$310)+COUNTA(条幅!$B$11:$B$310),INDEX(条幅!$K$11:$K$310,566-COUNTA(半紙!$B$11:$B$310)),IF(566&lt;=COUNTA(半紙!$B$11:$B$310)+COUNTA(条幅!$B$11:$B$310)+COUNTA(条幅4分の1!$B$11:$B$310),INDEX(条幅4分の1!$K$11:$K$310,566-COUNTA(半紙!$B$11:$B$310)-COUNTA(条幅!$B$11:$B$310)),""))))</f>
        <v/>
      </c>
      <c r="L571" s="48" t="str">
        <f>IF($B571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566))</f>
        <v/>
      </c>
    </row>
    <row r="572" spans="1:12" ht="15" customHeight="1">
      <c r="A572" s="37" t="str">
        <f>IF(567&lt;=COUNTA(半紙!$B$11:$B$310),"半紙",IF(567&lt;=COUNTA(半紙!$B$11:$B$310)+COUNTA(条幅!$B$11:$B$310),"条幅(半切)",IF(567&lt;=COUNTA(半紙!$B$11:$B$310)+COUNTA(条幅!$B$11:$B$310)+COUNTA(条幅4分の1!$B$11:$B$310),"条幅(1/4)","")))</f>
        <v/>
      </c>
      <c r="B572" s="38" t="str">
        <f>IF(IF(567&lt;=COUNTA(半紙!$B$11:$B$310),INDEX(半紙!$B$11:$B$310,567),IF(567&lt;=COUNTA(半紙!$B$11:$B$310)+COUNTA(条幅!$B$11:$B$310),INDEX(条幅!$B$11:$B$310,567-COUNTA(半紙!$B$11:$B$310)),IF(567&lt;=COUNTA(半紙!$B$11:$B$310)+COUNTA(条幅!$B$11:$B$310)+COUNTA(条幅4分の1!$B$11:$B$310),INDEX(条幅4分の1!$B$11:$B$310,567-COUNTA(半紙!$B$11:$B$310)-COUNTA(条幅!$B$11:$B$310)),"")))=0,"",IF(567&lt;=COUNTA(半紙!$B$11:$B$310),INDEX(半紙!$B$11:$B$310,567),IF(567&lt;=COUNTA(半紙!$B$11:$B$310)+COUNTA(条幅!$B$11:$B$310),INDEX(条幅!$B$11:$B$310,567-COUNTA(半紙!$B$11:$B$310)),IF(567&lt;=COUNTA(半紙!$B$11:$B$310)+COUNTA(条幅!$B$11:$B$310)+COUNTA(条幅4分の1!$B$11:$B$310),INDEX(条幅4分の1!$B$11:$B$310,567-COUNTA(半紙!$B$11:$B$310)-COUNTA(条幅!$B$11:$B$310)),""))))</f>
        <v/>
      </c>
      <c r="C572" s="38" t="str">
        <f>IF(IF(567&lt;=COUNTA(半紙!$B$11:$B$310),INDEX(半紙!$C$11:$C$310,567),IF(567&lt;=COUNTA(半紙!$B$11:$B$310)+COUNTA(条幅!$B$11:$B$310),INDEX(条幅!$C$11:$C$310,567-COUNTA(半紙!$B$11:$B$310)),IF(567&lt;=COUNTA(半紙!$B$11:$B$310)+COUNTA(条幅!$B$11:$B$310)+COUNTA(条幅4分の1!$B$11:$B$310),INDEX(条幅4分の1!$C$11:$C$310,567-COUNTA(半紙!$B$11:$B$310)-COUNTA(条幅!$B$11:$B$310)),"")))=0,"",IF(567&lt;=COUNTA(半紙!$B$11:$B$310),INDEX(半紙!$C$11:$C$310,567),IF(567&lt;=COUNTA(半紙!$B$11:$B$310)+COUNTA(条幅!$B$11:$B$310),INDEX(条幅!$C$11:$C$310,567-COUNTA(半紙!$B$11:$B$310)),IF(567&lt;=COUNTA(半紙!$B$11:$B$310)+COUNTA(条幅!$B$11:$B$310)+COUNTA(条幅4分の1!$B$11:$B$310),INDEX(条幅4分の1!$C$11:$C$310,567-COUNTA(半紙!$B$11:$B$310)-COUNTA(条幅!$B$11:$B$310)),""))))</f>
        <v/>
      </c>
      <c r="D572" s="38" t="str">
        <f>IF(IF(567&lt;=COUNTA(半紙!$B$11:$B$310),INDEX(半紙!$D$11:$D$310,567),IF(567&lt;=COUNTA(半紙!$B$11:$B$310)+COUNTA(条幅!$B$11:$B$310),INDEX(条幅!$D$11:$D$310,567-COUNTA(半紙!$B$11:$B$310)),IF(567&lt;=COUNTA(半紙!$B$11:$B$310)+COUNTA(条幅!$B$11:$B$310)+COUNTA(条幅4分の1!$B$11:$B$310),INDEX(条幅4分の1!$D$11:$D$310,567-COUNTA(半紙!$B$11:$B$310)-COUNTA(条幅!$B$11:$B$310)),"")))=0,"",IF(567&lt;=COUNTA(半紙!$B$11:$B$310),INDEX(半紙!$D$11:$D$310,567),IF(567&lt;=COUNTA(半紙!$B$11:$B$310)+COUNTA(条幅!$B$11:$B$310),INDEX(条幅!$D$11:$D$310,567-COUNTA(半紙!$B$11:$B$310)),IF(567&lt;=COUNTA(半紙!$B$11:$B$310)+COUNTA(条幅!$B$11:$B$310)+COUNTA(条幅4分の1!$B$11:$B$310),INDEX(条幅4分の1!$D$11:$D$310,567-COUNTA(半紙!$B$11:$B$310)-COUNTA(条幅!$B$11:$B$310)),""))))</f>
        <v/>
      </c>
      <c r="E572" s="38" t="str">
        <f>IF(IF(567&lt;=COUNTA(半紙!$B$11:$B$310),INDEX(半紙!$E$11:$E$310,567),IF(567&lt;=COUNTA(半紙!$B$11:$B$310)+COUNTA(条幅!$B$11:$B$310),INDEX(条幅!$E$11:$E$310,567-COUNTA(半紙!$B$11:$B$310)),IF(567&lt;=COUNTA(半紙!$B$11:$B$310)+COUNTA(条幅!$B$11:$B$310)+COUNTA(条幅4分の1!$B$11:$B$310),INDEX(条幅4分の1!$E$11:$E$310,567-COUNTA(半紙!$B$11:$B$310)-COUNTA(条幅!$B$11:$B$310)),"")))=0,"",IF(567&lt;=COUNTA(半紙!$B$11:$B$310),INDEX(半紙!$E$11:$E$310,567),IF(567&lt;=COUNTA(半紙!$B$11:$B$310)+COUNTA(条幅!$B$11:$B$310),INDEX(条幅!$E$11:$E$310,567-COUNTA(半紙!$B$11:$B$310)),IF(567&lt;=COUNTA(半紙!$B$11:$B$310)+COUNTA(条幅!$B$11:$B$310)+COUNTA(条幅4分の1!$B$11:$B$310),INDEX(条幅4分の1!$E$11:$E$310,567-COUNTA(半紙!$B$11:$B$310)-COUNTA(条幅!$B$11:$B$310)),""))))</f>
        <v/>
      </c>
      <c r="F572" s="38" t="str">
        <f>IF(IF(567&lt;=COUNTA(半紙!$B$11:$B$310),INDEX(半紙!$F$11:$F$310,567),IF(567&lt;=COUNTA(半紙!$B$11:$B$310)+COUNTA(条幅!$B$11:$B$310),INDEX(条幅!$F$11:$F$310,567-COUNTA(半紙!$B$11:$B$310)),IF(567&lt;=COUNTA(半紙!$B$11:$B$310)+COUNTA(条幅!$B$11:$B$310)+COUNTA(条幅4分の1!$B$11:$B$310),INDEX(条幅4分の1!$F$11:$F$310,567-COUNTA(半紙!$B$11:$B$310)-COUNTA(条幅!$B$11:$B$310)),"")))=0,"",IF(567&lt;=COUNTA(半紙!$B$11:$B$310),INDEX(半紙!$F$11:$F$310,567),IF(567&lt;=COUNTA(半紙!$B$11:$B$310)+COUNTA(条幅!$B$11:$B$310),INDEX(条幅!$F$11:$F$310,567-COUNTA(半紙!$B$11:$B$310)),IF(567&lt;=COUNTA(半紙!$B$11:$B$310)+COUNTA(条幅!$B$11:$B$310)+COUNTA(条幅4分の1!$B$11:$B$310),INDEX(条幅4分の1!$F$11:$F$310,567-COUNTA(半紙!$B$11:$B$310)-COUNTA(条幅!$B$11:$B$310)),""))))</f>
        <v/>
      </c>
      <c r="G572" s="38" t="str">
        <f>IF(IF(567&lt;=COUNTA(半紙!$B$11:$B$310),INDEX(半紙!$G$11:$G$310,567),IF(567&lt;=COUNTA(半紙!$B$11:$B$310)+COUNTA(条幅!$B$11:$B$310),INDEX(条幅!$G$11:$G$310,567-COUNTA(半紙!$B$11:$B$310)),IF(567&lt;=COUNTA(半紙!$B$11:$B$310)+COUNTA(条幅!$B$11:$B$310)+COUNTA(条幅4分の1!$B$11:$B$310),INDEX(条幅4分の1!$G$11:$G$310,567-COUNTA(半紙!$B$11:$B$310)-COUNTA(条幅!$B$11:$B$310)),"")))=0,"",IF(567&lt;=COUNTA(半紙!$B$11:$B$310),INDEX(半紙!$G$11:$G$310,567),IF(567&lt;=COUNTA(半紙!$B$11:$B$310)+COUNTA(条幅!$B$11:$B$310),INDEX(条幅!$G$11:$G$310,567-COUNTA(半紙!$B$11:$B$310)),IF(567&lt;=COUNTA(半紙!$B$11:$B$310)+COUNTA(条幅!$B$11:$B$310)+COUNTA(条幅4分の1!$B$11:$B$310),INDEX(条幅4分の1!$G$11:$G$310,567-COUNTA(半紙!$B$11:$B$310)-COUNTA(条幅!$B$11:$B$310)),""))))</f>
        <v/>
      </c>
      <c r="H572" s="38" t="str">
        <f>IF(IF(567&lt;=COUNTA(半紙!$B$11:$B$310),INDEX(半紙!$H$11:$H$310,567),IF(567&lt;=COUNTA(半紙!$B$11:$B$310)+COUNTA(条幅!$B$11:$B$310),INDEX(条幅!$H$11:$H$310,567-COUNTA(半紙!$B$11:$B$310)),IF(567&lt;=COUNTA(半紙!$B$11:$B$310)+COUNTA(条幅!$B$11:$B$310)+COUNTA(条幅4分の1!$B$11:$B$310),INDEX(条幅4分の1!$H$11:$H$310,567-COUNTA(半紙!$B$11:$B$310)-COUNTA(条幅!$B$11:$B$310)),"")))=0,"",IF(567&lt;=COUNTA(半紙!$B$11:$B$310),INDEX(半紙!$H$11:$H$310,567),IF(567&lt;=COUNTA(半紙!$B$11:$B$310)+COUNTA(条幅!$B$11:$B$310),INDEX(条幅!$H$11:$H$310,567-COUNTA(半紙!$B$11:$B$310)),IF(567&lt;=COUNTA(半紙!$B$11:$B$310)+COUNTA(条幅!$B$11:$B$310)+COUNTA(条幅4分の1!$B$11:$B$310),INDEX(条幅4分の1!$H$11:$H$310,567-COUNTA(半紙!$B$11:$B$310)-COUNTA(条幅!$B$11:$B$310)),""))))</f>
        <v/>
      </c>
      <c r="I572" s="38" t="str">
        <f>IF(IF(567&lt;=COUNTA(半紙!$B$11:$B$310),INDEX(半紙!$I$11:$I$310,567),IF(567&lt;=COUNTA(半紙!$B$11:$B$310)+COUNTA(条幅!$B$11:$B$310),INDEX(条幅!$I$11:$I$310,567-COUNTA(半紙!$B$11:$B$310)),IF(567&lt;=COUNTA(半紙!$B$11:$B$310)+COUNTA(条幅!$B$11:$B$310)+COUNTA(条幅4分の1!$B$11:$B$310),INDEX(条幅4分の1!$I$11:$I$310,567-COUNTA(半紙!$B$11:$B$310)-COUNTA(条幅!$B$11:$B$310)),"")))=0,"",IF(567&lt;=COUNTA(半紙!$B$11:$B$310),INDEX(半紙!$I$11:$I$310,567),IF(567&lt;=COUNTA(半紙!$B$11:$B$310)+COUNTA(条幅!$B$11:$B$310),INDEX(条幅!$I$11:$I$310,567-COUNTA(半紙!$B$11:$B$310)),IF(567&lt;=COUNTA(半紙!$B$11:$B$310)+COUNTA(条幅!$B$11:$B$310)+COUNTA(条幅4分の1!$B$11:$B$310),INDEX(条幅4分の1!$I$11:$I$310,567-COUNTA(半紙!$B$11:$B$310)-COUNTA(条幅!$B$11:$B$310)),""))))</f>
        <v/>
      </c>
      <c r="J572" s="38" t="str">
        <f>IF(IF(567&lt;=COUNTA(半紙!$B$11:$B$310),INDEX(半紙!$J$11:$J$310,567),IF(567&lt;=COUNTA(半紙!$B$11:$B$310)+COUNTA(条幅!$B$11:$B$310),INDEX(条幅!$J$11:$J$310,567-COUNTA(半紙!$B$11:$B$310)),IF(567&lt;=COUNTA(半紙!$B$11:$B$310)+COUNTA(条幅!$B$11:$B$310)+COUNTA(条幅4分の1!$B$11:$B$310),INDEX(条幅4分の1!$J$11:$J$310,567-COUNTA(半紙!$B$11:$B$310)-COUNTA(条幅!$B$11:$B$310)),"")))=0,"",IF(567&lt;=COUNTA(半紙!$B$11:$B$310),INDEX(半紙!$J$11:$J$310,567),IF(567&lt;=COUNTA(半紙!$B$11:$B$310)+COUNTA(条幅!$B$11:$B$310),INDEX(条幅!$J$11:$J$310,567-COUNTA(半紙!$B$11:$B$310)),IF(567&lt;=COUNTA(半紙!$B$11:$B$310)+COUNTA(条幅!$B$11:$B$310)+COUNTA(条幅4分の1!$B$11:$B$310),INDEX(条幅4分の1!$J$11:$J$310,567-COUNTA(半紙!$B$11:$B$310)-COUNTA(条幅!$B$11:$B$310)),""))))</f>
        <v/>
      </c>
      <c r="K572" s="38" t="str">
        <f>IF(IF(567&lt;=COUNTA(半紙!$B$11:$B$310),INDEX(半紙!$K$11:$K$310,567),IF(567&lt;=COUNTA(半紙!$B$11:$B$310)+COUNTA(条幅!$B$11:$B$310),INDEX(条幅!$K$11:$K$310,567-COUNTA(半紙!$B$11:$B$310)),IF(567&lt;=COUNTA(半紙!$B$11:$B$310)+COUNTA(条幅!$B$11:$B$310)+COUNTA(条幅4分の1!$B$11:$B$310),INDEX(条幅4分の1!$K$11:$K$310,567-COUNTA(半紙!$B$11:$B$310)-COUNTA(条幅!$B$11:$B$310)),"")))=0,"",IF(567&lt;=COUNTA(半紙!$B$11:$B$310),INDEX(半紙!$K$11:$K$310,567),IF(567&lt;=COUNTA(半紙!$B$11:$B$310)+COUNTA(条幅!$B$11:$B$310),INDEX(条幅!$K$11:$K$310,567-COUNTA(半紙!$B$11:$B$310)),IF(567&lt;=COUNTA(半紙!$B$11:$B$310)+COUNTA(条幅!$B$11:$B$310)+COUNTA(条幅4分の1!$B$11:$B$310),INDEX(条幅4分の1!$K$11:$K$310,567-COUNTA(半紙!$B$11:$B$310)-COUNTA(条幅!$B$11:$B$310)),""))))</f>
        <v/>
      </c>
      <c r="L572" s="48" t="str">
        <f>IF($B572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567))</f>
        <v/>
      </c>
    </row>
    <row r="573" spans="1:12" ht="15" customHeight="1">
      <c r="A573" s="37" t="str">
        <f>IF(568&lt;=COUNTA(半紙!$B$11:$B$310),"半紙",IF(568&lt;=COUNTA(半紙!$B$11:$B$310)+COUNTA(条幅!$B$11:$B$310),"条幅(半切)",IF(568&lt;=COUNTA(半紙!$B$11:$B$310)+COUNTA(条幅!$B$11:$B$310)+COUNTA(条幅4分の1!$B$11:$B$310),"条幅(1/4)","")))</f>
        <v/>
      </c>
      <c r="B573" s="38" t="str">
        <f>IF(IF(568&lt;=COUNTA(半紙!$B$11:$B$310),INDEX(半紙!$B$11:$B$310,568),IF(568&lt;=COUNTA(半紙!$B$11:$B$310)+COUNTA(条幅!$B$11:$B$310),INDEX(条幅!$B$11:$B$310,568-COUNTA(半紙!$B$11:$B$310)),IF(568&lt;=COUNTA(半紙!$B$11:$B$310)+COUNTA(条幅!$B$11:$B$310)+COUNTA(条幅4分の1!$B$11:$B$310),INDEX(条幅4分の1!$B$11:$B$310,568-COUNTA(半紙!$B$11:$B$310)-COUNTA(条幅!$B$11:$B$310)),"")))=0,"",IF(568&lt;=COUNTA(半紙!$B$11:$B$310),INDEX(半紙!$B$11:$B$310,568),IF(568&lt;=COUNTA(半紙!$B$11:$B$310)+COUNTA(条幅!$B$11:$B$310),INDEX(条幅!$B$11:$B$310,568-COUNTA(半紙!$B$11:$B$310)),IF(568&lt;=COUNTA(半紙!$B$11:$B$310)+COUNTA(条幅!$B$11:$B$310)+COUNTA(条幅4分の1!$B$11:$B$310),INDEX(条幅4分の1!$B$11:$B$310,568-COUNTA(半紙!$B$11:$B$310)-COUNTA(条幅!$B$11:$B$310)),""))))</f>
        <v/>
      </c>
      <c r="C573" s="38" t="str">
        <f>IF(IF(568&lt;=COUNTA(半紙!$B$11:$B$310),INDEX(半紙!$C$11:$C$310,568),IF(568&lt;=COUNTA(半紙!$B$11:$B$310)+COUNTA(条幅!$B$11:$B$310),INDEX(条幅!$C$11:$C$310,568-COUNTA(半紙!$B$11:$B$310)),IF(568&lt;=COUNTA(半紙!$B$11:$B$310)+COUNTA(条幅!$B$11:$B$310)+COUNTA(条幅4分の1!$B$11:$B$310),INDEX(条幅4分の1!$C$11:$C$310,568-COUNTA(半紙!$B$11:$B$310)-COUNTA(条幅!$B$11:$B$310)),"")))=0,"",IF(568&lt;=COUNTA(半紙!$B$11:$B$310),INDEX(半紙!$C$11:$C$310,568),IF(568&lt;=COUNTA(半紙!$B$11:$B$310)+COUNTA(条幅!$B$11:$B$310),INDEX(条幅!$C$11:$C$310,568-COUNTA(半紙!$B$11:$B$310)),IF(568&lt;=COUNTA(半紙!$B$11:$B$310)+COUNTA(条幅!$B$11:$B$310)+COUNTA(条幅4分の1!$B$11:$B$310),INDEX(条幅4分の1!$C$11:$C$310,568-COUNTA(半紙!$B$11:$B$310)-COUNTA(条幅!$B$11:$B$310)),""))))</f>
        <v/>
      </c>
      <c r="D573" s="38" t="str">
        <f>IF(IF(568&lt;=COUNTA(半紙!$B$11:$B$310),INDEX(半紙!$D$11:$D$310,568),IF(568&lt;=COUNTA(半紙!$B$11:$B$310)+COUNTA(条幅!$B$11:$B$310),INDEX(条幅!$D$11:$D$310,568-COUNTA(半紙!$B$11:$B$310)),IF(568&lt;=COUNTA(半紙!$B$11:$B$310)+COUNTA(条幅!$B$11:$B$310)+COUNTA(条幅4分の1!$B$11:$B$310),INDEX(条幅4分の1!$D$11:$D$310,568-COUNTA(半紙!$B$11:$B$310)-COUNTA(条幅!$B$11:$B$310)),"")))=0,"",IF(568&lt;=COUNTA(半紙!$B$11:$B$310),INDEX(半紙!$D$11:$D$310,568),IF(568&lt;=COUNTA(半紙!$B$11:$B$310)+COUNTA(条幅!$B$11:$B$310),INDEX(条幅!$D$11:$D$310,568-COUNTA(半紙!$B$11:$B$310)),IF(568&lt;=COUNTA(半紙!$B$11:$B$310)+COUNTA(条幅!$B$11:$B$310)+COUNTA(条幅4分の1!$B$11:$B$310),INDEX(条幅4分の1!$D$11:$D$310,568-COUNTA(半紙!$B$11:$B$310)-COUNTA(条幅!$B$11:$B$310)),""))))</f>
        <v/>
      </c>
      <c r="E573" s="38" t="str">
        <f>IF(IF(568&lt;=COUNTA(半紙!$B$11:$B$310),INDEX(半紙!$E$11:$E$310,568),IF(568&lt;=COUNTA(半紙!$B$11:$B$310)+COUNTA(条幅!$B$11:$B$310),INDEX(条幅!$E$11:$E$310,568-COUNTA(半紙!$B$11:$B$310)),IF(568&lt;=COUNTA(半紙!$B$11:$B$310)+COUNTA(条幅!$B$11:$B$310)+COUNTA(条幅4分の1!$B$11:$B$310),INDEX(条幅4分の1!$E$11:$E$310,568-COUNTA(半紙!$B$11:$B$310)-COUNTA(条幅!$B$11:$B$310)),"")))=0,"",IF(568&lt;=COUNTA(半紙!$B$11:$B$310),INDEX(半紙!$E$11:$E$310,568),IF(568&lt;=COUNTA(半紙!$B$11:$B$310)+COUNTA(条幅!$B$11:$B$310),INDEX(条幅!$E$11:$E$310,568-COUNTA(半紙!$B$11:$B$310)),IF(568&lt;=COUNTA(半紙!$B$11:$B$310)+COUNTA(条幅!$B$11:$B$310)+COUNTA(条幅4分の1!$B$11:$B$310),INDEX(条幅4分の1!$E$11:$E$310,568-COUNTA(半紙!$B$11:$B$310)-COUNTA(条幅!$B$11:$B$310)),""))))</f>
        <v/>
      </c>
      <c r="F573" s="38" t="str">
        <f>IF(IF(568&lt;=COUNTA(半紙!$B$11:$B$310),INDEX(半紙!$F$11:$F$310,568),IF(568&lt;=COUNTA(半紙!$B$11:$B$310)+COUNTA(条幅!$B$11:$B$310),INDEX(条幅!$F$11:$F$310,568-COUNTA(半紙!$B$11:$B$310)),IF(568&lt;=COUNTA(半紙!$B$11:$B$310)+COUNTA(条幅!$B$11:$B$310)+COUNTA(条幅4分の1!$B$11:$B$310),INDEX(条幅4分の1!$F$11:$F$310,568-COUNTA(半紙!$B$11:$B$310)-COUNTA(条幅!$B$11:$B$310)),"")))=0,"",IF(568&lt;=COUNTA(半紙!$B$11:$B$310),INDEX(半紙!$F$11:$F$310,568),IF(568&lt;=COUNTA(半紙!$B$11:$B$310)+COUNTA(条幅!$B$11:$B$310),INDEX(条幅!$F$11:$F$310,568-COUNTA(半紙!$B$11:$B$310)),IF(568&lt;=COUNTA(半紙!$B$11:$B$310)+COUNTA(条幅!$B$11:$B$310)+COUNTA(条幅4分の1!$B$11:$B$310),INDEX(条幅4分の1!$F$11:$F$310,568-COUNTA(半紙!$B$11:$B$310)-COUNTA(条幅!$B$11:$B$310)),""))))</f>
        <v/>
      </c>
      <c r="G573" s="38" t="str">
        <f>IF(IF(568&lt;=COUNTA(半紙!$B$11:$B$310),INDEX(半紙!$G$11:$G$310,568),IF(568&lt;=COUNTA(半紙!$B$11:$B$310)+COUNTA(条幅!$B$11:$B$310),INDEX(条幅!$G$11:$G$310,568-COUNTA(半紙!$B$11:$B$310)),IF(568&lt;=COUNTA(半紙!$B$11:$B$310)+COUNTA(条幅!$B$11:$B$310)+COUNTA(条幅4分の1!$B$11:$B$310),INDEX(条幅4分の1!$G$11:$G$310,568-COUNTA(半紙!$B$11:$B$310)-COUNTA(条幅!$B$11:$B$310)),"")))=0,"",IF(568&lt;=COUNTA(半紙!$B$11:$B$310),INDEX(半紙!$G$11:$G$310,568),IF(568&lt;=COUNTA(半紙!$B$11:$B$310)+COUNTA(条幅!$B$11:$B$310),INDEX(条幅!$G$11:$G$310,568-COUNTA(半紙!$B$11:$B$310)),IF(568&lt;=COUNTA(半紙!$B$11:$B$310)+COUNTA(条幅!$B$11:$B$310)+COUNTA(条幅4分の1!$B$11:$B$310),INDEX(条幅4分の1!$G$11:$G$310,568-COUNTA(半紙!$B$11:$B$310)-COUNTA(条幅!$B$11:$B$310)),""))))</f>
        <v/>
      </c>
      <c r="H573" s="38" t="str">
        <f>IF(IF(568&lt;=COUNTA(半紙!$B$11:$B$310),INDEX(半紙!$H$11:$H$310,568),IF(568&lt;=COUNTA(半紙!$B$11:$B$310)+COUNTA(条幅!$B$11:$B$310),INDEX(条幅!$H$11:$H$310,568-COUNTA(半紙!$B$11:$B$310)),IF(568&lt;=COUNTA(半紙!$B$11:$B$310)+COUNTA(条幅!$B$11:$B$310)+COUNTA(条幅4分の1!$B$11:$B$310),INDEX(条幅4分の1!$H$11:$H$310,568-COUNTA(半紙!$B$11:$B$310)-COUNTA(条幅!$B$11:$B$310)),"")))=0,"",IF(568&lt;=COUNTA(半紙!$B$11:$B$310),INDEX(半紙!$H$11:$H$310,568),IF(568&lt;=COUNTA(半紙!$B$11:$B$310)+COUNTA(条幅!$B$11:$B$310),INDEX(条幅!$H$11:$H$310,568-COUNTA(半紙!$B$11:$B$310)),IF(568&lt;=COUNTA(半紙!$B$11:$B$310)+COUNTA(条幅!$B$11:$B$310)+COUNTA(条幅4分の1!$B$11:$B$310),INDEX(条幅4分の1!$H$11:$H$310,568-COUNTA(半紙!$B$11:$B$310)-COUNTA(条幅!$B$11:$B$310)),""))))</f>
        <v/>
      </c>
      <c r="I573" s="38" t="str">
        <f>IF(IF(568&lt;=COUNTA(半紙!$B$11:$B$310),INDEX(半紙!$I$11:$I$310,568),IF(568&lt;=COUNTA(半紙!$B$11:$B$310)+COUNTA(条幅!$B$11:$B$310),INDEX(条幅!$I$11:$I$310,568-COUNTA(半紙!$B$11:$B$310)),IF(568&lt;=COUNTA(半紙!$B$11:$B$310)+COUNTA(条幅!$B$11:$B$310)+COUNTA(条幅4分の1!$B$11:$B$310),INDEX(条幅4分の1!$I$11:$I$310,568-COUNTA(半紙!$B$11:$B$310)-COUNTA(条幅!$B$11:$B$310)),"")))=0,"",IF(568&lt;=COUNTA(半紙!$B$11:$B$310),INDEX(半紙!$I$11:$I$310,568),IF(568&lt;=COUNTA(半紙!$B$11:$B$310)+COUNTA(条幅!$B$11:$B$310),INDEX(条幅!$I$11:$I$310,568-COUNTA(半紙!$B$11:$B$310)),IF(568&lt;=COUNTA(半紙!$B$11:$B$310)+COUNTA(条幅!$B$11:$B$310)+COUNTA(条幅4分の1!$B$11:$B$310),INDEX(条幅4分の1!$I$11:$I$310,568-COUNTA(半紙!$B$11:$B$310)-COUNTA(条幅!$B$11:$B$310)),""))))</f>
        <v/>
      </c>
      <c r="J573" s="38" t="str">
        <f>IF(IF(568&lt;=COUNTA(半紙!$B$11:$B$310),INDEX(半紙!$J$11:$J$310,568),IF(568&lt;=COUNTA(半紙!$B$11:$B$310)+COUNTA(条幅!$B$11:$B$310),INDEX(条幅!$J$11:$J$310,568-COUNTA(半紙!$B$11:$B$310)),IF(568&lt;=COUNTA(半紙!$B$11:$B$310)+COUNTA(条幅!$B$11:$B$310)+COUNTA(条幅4分の1!$B$11:$B$310),INDEX(条幅4分の1!$J$11:$J$310,568-COUNTA(半紙!$B$11:$B$310)-COUNTA(条幅!$B$11:$B$310)),"")))=0,"",IF(568&lt;=COUNTA(半紙!$B$11:$B$310),INDEX(半紙!$J$11:$J$310,568),IF(568&lt;=COUNTA(半紙!$B$11:$B$310)+COUNTA(条幅!$B$11:$B$310),INDEX(条幅!$J$11:$J$310,568-COUNTA(半紙!$B$11:$B$310)),IF(568&lt;=COUNTA(半紙!$B$11:$B$310)+COUNTA(条幅!$B$11:$B$310)+COUNTA(条幅4分の1!$B$11:$B$310),INDEX(条幅4分の1!$J$11:$J$310,568-COUNTA(半紙!$B$11:$B$310)-COUNTA(条幅!$B$11:$B$310)),""))))</f>
        <v/>
      </c>
      <c r="K573" s="38" t="str">
        <f>IF(IF(568&lt;=COUNTA(半紙!$B$11:$B$310),INDEX(半紙!$K$11:$K$310,568),IF(568&lt;=COUNTA(半紙!$B$11:$B$310)+COUNTA(条幅!$B$11:$B$310),INDEX(条幅!$K$11:$K$310,568-COUNTA(半紙!$B$11:$B$310)),IF(568&lt;=COUNTA(半紙!$B$11:$B$310)+COUNTA(条幅!$B$11:$B$310)+COUNTA(条幅4分の1!$B$11:$B$310),INDEX(条幅4分の1!$K$11:$K$310,568-COUNTA(半紙!$B$11:$B$310)-COUNTA(条幅!$B$11:$B$310)),"")))=0,"",IF(568&lt;=COUNTA(半紙!$B$11:$B$310),INDEX(半紙!$K$11:$K$310,568),IF(568&lt;=COUNTA(半紙!$B$11:$B$310)+COUNTA(条幅!$B$11:$B$310),INDEX(条幅!$K$11:$K$310,568-COUNTA(半紙!$B$11:$B$310)),IF(568&lt;=COUNTA(半紙!$B$11:$B$310)+COUNTA(条幅!$B$11:$B$310)+COUNTA(条幅4分の1!$B$11:$B$310),INDEX(条幅4分の1!$K$11:$K$310,568-COUNTA(半紙!$B$11:$B$310)-COUNTA(条幅!$B$11:$B$310)),""))))</f>
        <v/>
      </c>
      <c r="L573" s="48" t="str">
        <f>IF($B573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568))</f>
        <v/>
      </c>
    </row>
    <row r="574" spans="1:12" ht="15" customHeight="1">
      <c r="A574" s="37" t="str">
        <f>IF(569&lt;=COUNTA(半紙!$B$11:$B$310),"半紙",IF(569&lt;=COUNTA(半紙!$B$11:$B$310)+COUNTA(条幅!$B$11:$B$310),"条幅(半切)",IF(569&lt;=COUNTA(半紙!$B$11:$B$310)+COUNTA(条幅!$B$11:$B$310)+COUNTA(条幅4分の1!$B$11:$B$310),"条幅(1/4)","")))</f>
        <v/>
      </c>
      <c r="B574" s="38" t="str">
        <f>IF(IF(569&lt;=COUNTA(半紙!$B$11:$B$310),INDEX(半紙!$B$11:$B$310,569),IF(569&lt;=COUNTA(半紙!$B$11:$B$310)+COUNTA(条幅!$B$11:$B$310),INDEX(条幅!$B$11:$B$310,569-COUNTA(半紙!$B$11:$B$310)),IF(569&lt;=COUNTA(半紙!$B$11:$B$310)+COUNTA(条幅!$B$11:$B$310)+COUNTA(条幅4分の1!$B$11:$B$310),INDEX(条幅4分の1!$B$11:$B$310,569-COUNTA(半紙!$B$11:$B$310)-COUNTA(条幅!$B$11:$B$310)),"")))=0,"",IF(569&lt;=COUNTA(半紙!$B$11:$B$310),INDEX(半紙!$B$11:$B$310,569),IF(569&lt;=COUNTA(半紙!$B$11:$B$310)+COUNTA(条幅!$B$11:$B$310),INDEX(条幅!$B$11:$B$310,569-COUNTA(半紙!$B$11:$B$310)),IF(569&lt;=COUNTA(半紙!$B$11:$B$310)+COUNTA(条幅!$B$11:$B$310)+COUNTA(条幅4分の1!$B$11:$B$310),INDEX(条幅4分の1!$B$11:$B$310,569-COUNTA(半紙!$B$11:$B$310)-COUNTA(条幅!$B$11:$B$310)),""))))</f>
        <v/>
      </c>
      <c r="C574" s="38" t="str">
        <f>IF(IF(569&lt;=COUNTA(半紙!$B$11:$B$310),INDEX(半紙!$C$11:$C$310,569),IF(569&lt;=COUNTA(半紙!$B$11:$B$310)+COUNTA(条幅!$B$11:$B$310),INDEX(条幅!$C$11:$C$310,569-COUNTA(半紙!$B$11:$B$310)),IF(569&lt;=COUNTA(半紙!$B$11:$B$310)+COUNTA(条幅!$B$11:$B$310)+COUNTA(条幅4分の1!$B$11:$B$310),INDEX(条幅4分の1!$C$11:$C$310,569-COUNTA(半紙!$B$11:$B$310)-COUNTA(条幅!$B$11:$B$310)),"")))=0,"",IF(569&lt;=COUNTA(半紙!$B$11:$B$310),INDEX(半紙!$C$11:$C$310,569),IF(569&lt;=COUNTA(半紙!$B$11:$B$310)+COUNTA(条幅!$B$11:$B$310),INDEX(条幅!$C$11:$C$310,569-COUNTA(半紙!$B$11:$B$310)),IF(569&lt;=COUNTA(半紙!$B$11:$B$310)+COUNTA(条幅!$B$11:$B$310)+COUNTA(条幅4分の1!$B$11:$B$310),INDEX(条幅4分の1!$C$11:$C$310,569-COUNTA(半紙!$B$11:$B$310)-COUNTA(条幅!$B$11:$B$310)),""))))</f>
        <v/>
      </c>
      <c r="D574" s="38" t="str">
        <f>IF(IF(569&lt;=COUNTA(半紙!$B$11:$B$310),INDEX(半紙!$D$11:$D$310,569),IF(569&lt;=COUNTA(半紙!$B$11:$B$310)+COUNTA(条幅!$B$11:$B$310),INDEX(条幅!$D$11:$D$310,569-COUNTA(半紙!$B$11:$B$310)),IF(569&lt;=COUNTA(半紙!$B$11:$B$310)+COUNTA(条幅!$B$11:$B$310)+COUNTA(条幅4分の1!$B$11:$B$310),INDEX(条幅4分の1!$D$11:$D$310,569-COUNTA(半紙!$B$11:$B$310)-COUNTA(条幅!$B$11:$B$310)),"")))=0,"",IF(569&lt;=COUNTA(半紙!$B$11:$B$310),INDEX(半紙!$D$11:$D$310,569),IF(569&lt;=COUNTA(半紙!$B$11:$B$310)+COUNTA(条幅!$B$11:$B$310),INDEX(条幅!$D$11:$D$310,569-COUNTA(半紙!$B$11:$B$310)),IF(569&lt;=COUNTA(半紙!$B$11:$B$310)+COUNTA(条幅!$B$11:$B$310)+COUNTA(条幅4分の1!$B$11:$B$310),INDEX(条幅4分の1!$D$11:$D$310,569-COUNTA(半紙!$B$11:$B$310)-COUNTA(条幅!$B$11:$B$310)),""))))</f>
        <v/>
      </c>
      <c r="E574" s="38" t="str">
        <f>IF(IF(569&lt;=COUNTA(半紙!$B$11:$B$310),INDEX(半紙!$E$11:$E$310,569),IF(569&lt;=COUNTA(半紙!$B$11:$B$310)+COUNTA(条幅!$B$11:$B$310),INDEX(条幅!$E$11:$E$310,569-COUNTA(半紙!$B$11:$B$310)),IF(569&lt;=COUNTA(半紙!$B$11:$B$310)+COUNTA(条幅!$B$11:$B$310)+COUNTA(条幅4分の1!$B$11:$B$310),INDEX(条幅4分の1!$E$11:$E$310,569-COUNTA(半紙!$B$11:$B$310)-COUNTA(条幅!$B$11:$B$310)),"")))=0,"",IF(569&lt;=COUNTA(半紙!$B$11:$B$310),INDEX(半紙!$E$11:$E$310,569),IF(569&lt;=COUNTA(半紙!$B$11:$B$310)+COUNTA(条幅!$B$11:$B$310),INDEX(条幅!$E$11:$E$310,569-COUNTA(半紙!$B$11:$B$310)),IF(569&lt;=COUNTA(半紙!$B$11:$B$310)+COUNTA(条幅!$B$11:$B$310)+COUNTA(条幅4分の1!$B$11:$B$310),INDEX(条幅4分の1!$E$11:$E$310,569-COUNTA(半紙!$B$11:$B$310)-COUNTA(条幅!$B$11:$B$310)),""))))</f>
        <v/>
      </c>
      <c r="F574" s="38" t="str">
        <f>IF(IF(569&lt;=COUNTA(半紙!$B$11:$B$310),INDEX(半紙!$F$11:$F$310,569),IF(569&lt;=COUNTA(半紙!$B$11:$B$310)+COUNTA(条幅!$B$11:$B$310),INDEX(条幅!$F$11:$F$310,569-COUNTA(半紙!$B$11:$B$310)),IF(569&lt;=COUNTA(半紙!$B$11:$B$310)+COUNTA(条幅!$B$11:$B$310)+COUNTA(条幅4分の1!$B$11:$B$310),INDEX(条幅4分の1!$F$11:$F$310,569-COUNTA(半紙!$B$11:$B$310)-COUNTA(条幅!$B$11:$B$310)),"")))=0,"",IF(569&lt;=COUNTA(半紙!$B$11:$B$310),INDEX(半紙!$F$11:$F$310,569),IF(569&lt;=COUNTA(半紙!$B$11:$B$310)+COUNTA(条幅!$B$11:$B$310),INDEX(条幅!$F$11:$F$310,569-COUNTA(半紙!$B$11:$B$310)),IF(569&lt;=COUNTA(半紙!$B$11:$B$310)+COUNTA(条幅!$B$11:$B$310)+COUNTA(条幅4分の1!$B$11:$B$310),INDEX(条幅4分の1!$F$11:$F$310,569-COUNTA(半紙!$B$11:$B$310)-COUNTA(条幅!$B$11:$B$310)),""))))</f>
        <v/>
      </c>
      <c r="G574" s="38" t="str">
        <f>IF(IF(569&lt;=COUNTA(半紙!$B$11:$B$310),INDEX(半紙!$G$11:$G$310,569),IF(569&lt;=COUNTA(半紙!$B$11:$B$310)+COUNTA(条幅!$B$11:$B$310),INDEX(条幅!$G$11:$G$310,569-COUNTA(半紙!$B$11:$B$310)),IF(569&lt;=COUNTA(半紙!$B$11:$B$310)+COUNTA(条幅!$B$11:$B$310)+COUNTA(条幅4分の1!$B$11:$B$310),INDEX(条幅4分の1!$G$11:$G$310,569-COUNTA(半紙!$B$11:$B$310)-COUNTA(条幅!$B$11:$B$310)),"")))=0,"",IF(569&lt;=COUNTA(半紙!$B$11:$B$310),INDEX(半紙!$G$11:$G$310,569),IF(569&lt;=COUNTA(半紙!$B$11:$B$310)+COUNTA(条幅!$B$11:$B$310),INDEX(条幅!$G$11:$G$310,569-COUNTA(半紙!$B$11:$B$310)),IF(569&lt;=COUNTA(半紙!$B$11:$B$310)+COUNTA(条幅!$B$11:$B$310)+COUNTA(条幅4分の1!$B$11:$B$310),INDEX(条幅4分の1!$G$11:$G$310,569-COUNTA(半紙!$B$11:$B$310)-COUNTA(条幅!$B$11:$B$310)),""))))</f>
        <v/>
      </c>
      <c r="H574" s="38" t="str">
        <f>IF(IF(569&lt;=COUNTA(半紙!$B$11:$B$310),INDEX(半紙!$H$11:$H$310,569),IF(569&lt;=COUNTA(半紙!$B$11:$B$310)+COUNTA(条幅!$B$11:$B$310),INDEX(条幅!$H$11:$H$310,569-COUNTA(半紙!$B$11:$B$310)),IF(569&lt;=COUNTA(半紙!$B$11:$B$310)+COUNTA(条幅!$B$11:$B$310)+COUNTA(条幅4分の1!$B$11:$B$310),INDEX(条幅4分の1!$H$11:$H$310,569-COUNTA(半紙!$B$11:$B$310)-COUNTA(条幅!$B$11:$B$310)),"")))=0,"",IF(569&lt;=COUNTA(半紙!$B$11:$B$310),INDEX(半紙!$H$11:$H$310,569),IF(569&lt;=COUNTA(半紙!$B$11:$B$310)+COUNTA(条幅!$B$11:$B$310),INDEX(条幅!$H$11:$H$310,569-COUNTA(半紙!$B$11:$B$310)),IF(569&lt;=COUNTA(半紙!$B$11:$B$310)+COUNTA(条幅!$B$11:$B$310)+COUNTA(条幅4分の1!$B$11:$B$310),INDEX(条幅4分の1!$H$11:$H$310,569-COUNTA(半紙!$B$11:$B$310)-COUNTA(条幅!$B$11:$B$310)),""))))</f>
        <v/>
      </c>
      <c r="I574" s="38" t="str">
        <f>IF(IF(569&lt;=COUNTA(半紙!$B$11:$B$310),INDEX(半紙!$I$11:$I$310,569),IF(569&lt;=COUNTA(半紙!$B$11:$B$310)+COUNTA(条幅!$B$11:$B$310),INDEX(条幅!$I$11:$I$310,569-COUNTA(半紙!$B$11:$B$310)),IF(569&lt;=COUNTA(半紙!$B$11:$B$310)+COUNTA(条幅!$B$11:$B$310)+COUNTA(条幅4分の1!$B$11:$B$310),INDEX(条幅4分の1!$I$11:$I$310,569-COUNTA(半紙!$B$11:$B$310)-COUNTA(条幅!$B$11:$B$310)),"")))=0,"",IF(569&lt;=COUNTA(半紙!$B$11:$B$310),INDEX(半紙!$I$11:$I$310,569),IF(569&lt;=COUNTA(半紙!$B$11:$B$310)+COUNTA(条幅!$B$11:$B$310),INDEX(条幅!$I$11:$I$310,569-COUNTA(半紙!$B$11:$B$310)),IF(569&lt;=COUNTA(半紙!$B$11:$B$310)+COUNTA(条幅!$B$11:$B$310)+COUNTA(条幅4分の1!$B$11:$B$310),INDEX(条幅4分の1!$I$11:$I$310,569-COUNTA(半紙!$B$11:$B$310)-COUNTA(条幅!$B$11:$B$310)),""))))</f>
        <v/>
      </c>
      <c r="J574" s="38" t="str">
        <f>IF(IF(569&lt;=COUNTA(半紙!$B$11:$B$310),INDEX(半紙!$J$11:$J$310,569),IF(569&lt;=COUNTA(半紙!$B$11:$B$310)+COUNTA(条幅!$B$11:$B$310),INDEX(条幅!$J$11:$J$310,569-COUNTA(半紙!$B$11:$B$310)),IF(569&lt;=COUNTA(半紙!$B$11:$B$310)+COUNTA(条幅!$B$11:$B$310)+COUNTA(条幅4分の1!$B$11:$B$310),INDEX(条幅4分の1!$J$11:$J$310,569-COUNTA(半紙!$B$11:$B$310)-COUNTA(条幅!$B$11:$B$310)),"")))=0,"",IF(569&lt;=COUNTA(半紙!$B$11:$B$310),INDEX(半紙!$J$11:$J$310,569),IF(569&lt;=COUNTA(半紙!$B$11:$B$310)+COUNTA(条幅!$B$11:$B$310),INDEX(条幅!$J$11:$J$310,569-COUNTA(半紙!$B$11:$B$310)),IF(569&lt;=COUNTA(半紙!$B$11:$B$310)+COUNTA(条幅!$B$11:$B$310)+COUNTA(条幅4分の1!$B$11:$B$310),INDEX(条幅4分の1!$J$11:$J$310,569-COUNTA(半紙!$B$11:$B$310)-COUNTA(条幅!$B$11:$B$310)),""))))</f>
        <v/>
      </c>
      <c r="K574" s="38" t="str">
        <f>IF(IF(569&lt;=COUNTA(半紙!$B$11:$B$310),INDEX(半紙!$K$11:$K$310,569),IF(569&lt;=COUNTA(半紙!$B$11:$B$310)+COUNTA(条幅!$B$11:$B$310),INDEX(条幅!$K$11:$K$310,569-COUNTA(半紙!$B$11:$B$310)),IF(569&lt;=COUNTA(半紙!$B$11:$B$310)+COUNTA(条幅!$B$11:$B$310)+COUNTA(条幅4分の1!$B$11:$B$310),INDEX(条幅4分の1!$K$11:$K$310,569-COUNTA(半紙!$B$11:$B$310)-COUNTA(条幅!$B$11:$B$310)),"")))=0,"",IF(569&lt;=COUNTA(半紙!$B$11:$B$310),INDEX(半紙!$K$11:$K$310,569),IF(569&lt;=COUNTA(半紙!$B$11:$B$310)+COUNTA(条幅!$B$11:$B$310),INDEX(条幅!$K$11:$K$310,569-COUNTA(半紙!$B$11:$B$310)),IF(569&lt;=COUNTA(半紙!$B$11:$B$310)+COUNTA(条幅!$B$11:$B$310)+COUNTA(条幅4分の1!$B$11:$B$310),INDEX(条幅4分の1!$K$11:$K$310,569-COUNTA(半紙!$B$11:$B$310)-COUNTA(条幅!$B$11:$B$310)),""))))</f>
        <v/>
      </c>
      <c r="L574" s="48" t="str">
        <f>IF($B574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569))</f>
        <v/>
      </c>
    </row>
    <row r="575" spans="1:12" ht="15" customHeight="1">
      <c r="A575" s="37" t="str">
        <f>IF(570&lt;=COUNTA(半紙!$B$11:$B$310),"半紙",IF(570&lt;=COUNTA(半紙!$B$11:$B$310)+COUNTA(条幅!$B$11:$B$310),"条幅(半切)",IF(570&lt;=COUNTA(半紙!$B$11:$B$310)+COUNTA(条幅!$B$11:$B$310)+COUNTA(条幅4分の1!$B$11:$B$310),"条幅(1/4)","")))</f>
        <v/>
      </c>
      <c r="B575" s="38" t="str">
        <f>IF(IF(570&lt;=COUNTA(半紙!$B$11:$B$310),INDEX(半紙!$B$11:$B$310,570),IF(570&lt;=COUNTA(半紙!$B$11:$B$310)+COUNTA(条幅!$B$11:$B$310),INDEX(条幅!$B$11:$B$310,570-COUNTA(半紙!$B$11:$B$310)),IF(570&lt;=COUNTA(半紙!$B$11:$B$310)+COUNTA(条幅!$B$11:$B$310)+COUNTA(条幅4分の1!$B$11:$B$310),INDEX(条幅4分の1!$B$11:$B$310,570-COUNTA(半紙!$B$11:$B$310)-COUNTA(条幅!$B$11:$B$310)),"")))=0,"",IF(570&lt;=COUNTA(半紙!$B$11:$B$310),INDEX(半紙!$B$11:$B$310,570),IF(570&lt;=COUNTA(半紙!$B$11:$B$310)+COUNTA(条幅!$B$11:$B$310),INDEX(条幅!$B$11:$B$310,570-COUNTA(半紙!$B$11:$B$310)),IF(570&lt;=COUNTA(半紙!$B$11:$B$310)+COUNTA(条幅!$B$11:$B$310)+COUNTA(条幅4分の1!$B$11:$B$310),INDEX(条幅4分の1!$B$11:$B$310,570-COUNTA(半紙!$B$11:$B$310)-COUNTA(条幅!$B$11:$B$310)),""))))</f>
        <v/>
      </c>
      <c r="C575" s="38" t="str">
        <f>IF(IF(570&lt;=COUNTA(半紙!$B$11:$B$310),INDEX(半紙!$C$11:$C$310,570),IF(570&lt;=COUNTA(半紙!$B$11:$B$310)+COUNTA(条幅!$B$11:$B$310),INDEX(条幅!$C$11:$C$310,570-COUNTA(半紙!$B$11:$B$310)),IF(570&lt;=COUNTA(半紙!$B$11:$B$310)+COUNTA(条幅!$B$11:$B$310)+COUNTA(条幅4分の1!$B$11:$B$310),INDEX(条幅4分の1!$C$11:$C$310,570-COUNTA(半紙!$B$11:$B$310)-COUNTA(条幅!$B$11:$B$310)),"")))=0,"",IF(570&lt;=COUNTA(半紙!$B$11:$B$310),INDEX(半紙!$C$11:$C$310,570),IF(570&lt;=COUNTA(半紙!$B$11:$B$310)+COUNTA(条幅!$B$11:$B$310),INDEX(条幅!$C$11:$C$310,570-COUNTA(半紙!$B$11:$B$310)),IF(570&lt;=COUNTA(半紙!$B$11:$B$310)+COUNTA(条幅!$B$11:$B$310)+COUNTA(条幅4分の1!$B$11:$B$310),INDEX(条幅4分の1!$C$11:$C$310,570-COUNTA(半紙!$B$11:$B$310)-COUNTA(条幅!$B$11:$B$310)),""))))</f>
        <v/>
      </c>
      <c r="D575" s="38" t="str">
        <f>IF(IF(570&lt;=COUNTA(半紙!$B$11:$B$310),INDEX(半紙!$D$11:$D$310,570),IF(570&lt;=COUNTA(半紙!$B$11:$B$310)+COUNTA(条幅!$B$11:$B$310),INDEX(条幅!$D$11:$D$310,570-COUNTA(半紙!$B$11:$B$310)),IF(570&lt;=COUNTA(半紙!$B$11:$B$310)+COUNTA(条幅!$B$11:$B$310)+COUNTA(条幅4分の1!$B$11:$B$310),INDEX(条幅4分の1!$D$11:$D$310,570-COUNTA(半紙!$B$11:$B$310)-COUNTA(条幅!$B$11:$B$310)),"")))=0,"",IF(570&lt;=COUNTA(半紙!$B$11:$B$310),INDEX(半紙!$D$11:$D$310,570),IF(570&lt;=COUNTA(半紙!$B$11:$B$310)+COUNTA(条幅!$B$11:$B$310),INDEX(条幅!$D$11:$D$310,570-COUNTA(半紙!$B$11:$B$310)),IF(570&lt;=COUNTA(半紙!$B$11:$B$310)+COUNTA(条幅!$B$11:$B$310)+COUNTA(条幅4分の1!$B$11:$B$310),INDEX(条幅4分の1!$D$11:$D$310,570-COUNTA(半紙!$B$11:$B$310)-COUNTA(条幅!$B$11:$B$310)),""))))</f>
        <v/>
      </c>
      <c r="E575" s="38" t="str">
        <f>IF(IF(570&lt;=COUNTA(半紙!$B$11:$B$310),INDEX(半紙!$E$11:$E$310,570),IF(570&lt;=COUNTA(半紙!$B$11:$B$310)+COUNTA(条幅!$B$11:$B$310),INDEX(条幅!$E$11:$E$310,570-COUNTA(半紙!$B$11:$B$310)),IF(570&lt;=COUNTA(半紙!$B$11:$B$310)+COUNTA(条幅!$B$11:$B$310)+COUNTA(条幅4分の1!$B$11:$B$310),INDEX(条幅4分の1!$E$11:$E$310,570-COUNTA(半紙!$B$11:$B$310)-COUNTA(条幅!$B$11:$B$310)),"")))=0,"",IF(570&lt;=COUNTA(半紙!$B$11:$B$310),INDEX(半紙!$E$11:$E$310,570),IF(570&lt;=COUNTA(半紙!$B$11:$B$310)+COUNTA(条幅!$B$11:$B$310),INDEX(条幅!$E$11:$E$310,570-COUNTA(半紙!$B$11:$B$310)),IF(570&lt;=COUNTA(半紙!$B$11:$B$310)+COUNTA(条幅!$B$11:$B$310)+COUNTA(条幅4分の1!$B$11:$B$310),INDEX(条幅4分の1!$E$11:$E$310,570-COUNTA(半紙!$B$11:$B$310)-COUNTA(条幅!$B$11:$B$310)),""))))</f>
        <v/>
      </c>
      <c r="F575" s="38" t="str">
        <f>IF(IF(570&lt;=COUNTA(半紙!$B$11:$B$310),INDEX(半紙!$F$11:$F$310,570),IF(570&lt;=COUNTA(半紙!$B$11:$B$310)+COUNTA(条幅!$B$11:$B$310),INDEX(条幅!$F$11:$F$310,570-COUNTA(半紙!$B$11:$B$310)),IF(570&lt;=COUNTA(半紙!$B$11:$B$310)+COUNTA(条幅!$B$11:$B$310)+COUNTA(条幅4分の1!$B$11:$B$310),INDEX(条幅4分の1!$F$11:$F$310,570-COUNTA(半紙!$B$11:$B$310)-COUNTA(条幅!$B$11:$B$310)),"")))=0,"",IF(570&lt;=COUNTA(半紙!$B$11:$B$310),INDEX(半紙!$F$11:$F$310,570),IF(570&lt;=COUNTA(半紙!$B$11:$B$310)+COUNTA(条幅!$B$11:$B$310),INDEX(条幅!$F$11:$F$310,570-COUNTA(半紙!$B$11:$B$310)),IF(570&lt;=COUNTA(半紙!$B$11:$B$310)+COUNTA(条幅!$B$11:$B$310)+COUNTA(条幅4分の1!$B$11:$B$310),INDEX(条幅4分の1!$F$11:$F$310,570-COUNTA(半紙!$B$11:$B$310)-COUNTA(条幅!$B$11:$B$310)),""))))</f>
        <v/>
      </c>
      <c r="G575" s="38" t="str">
        <f>IF(IF(570&lt;=COUNTA(半紙!$B$11:$B$310),INDEX(半紙!$G$11:$G$310,570),IF(570&lt;=COUNTA(半紙!$B$11:$B$310)+COUNTA(条幅!$B$11:$B$310),INDEX(条幅!$G$11:$G$310,570-COUNTA(半紙!$B$11:$B$310)),IF(570&lt;=COUNTA(半紙!$B$11:$B$310)+COUNTA(条幅!$B$11:$B$310)+COUNTA(条幅4分の1!$B$11:$B$310),INDEX(条幅4分の1!$G$11:$G$310,570-COUNTA(半紙!$B$11:$B$310)-COUNTA(条幅!$B$11:$B$310)),"")))=0,"",IF(570&lt;=COUNTA(半紙!$B$11:$B$310),INDEX(半紙!$G$11:$G$310,570),IF(570&lt;=COUNTA(半紙!$B$11:$B$310)+COUNTA(条幅!$B$11:$B$310),INDEX(条幅!$G$11:$G$310,570-COUNTA(半紙!$B$11:$B$310)),IF(570&lt;=COUNTA(半紙!$B$11:$B$310)+COUNTA(条幅!$B$11:$B$310)+COUNTA(条幅4分の1!$B$11:$B$310),INDEX(条幅4分の1!$G$11:$G$310,570-COUNTA(半紙!$B$11:$B$310)-COUNTA(条幅!$B$11:$B$310)),""))))</f>
        <v/>
      </c>
      <c r="H575" s="38" t="str">
        <f>IF(IF(570&lt;=COUNTA(半紙!$B$11:$B$310),INDEX(半紙!$H$11:$H$310,570),IF(570&lt;=COUNTA(半紙!$B$11:$B$310)+COUNTA(条幅!$B$11:$B$310),INDEX(条幅!$H$11:$H$310,570-COUNTA(半紙!$B$11:$B$310)),IF(570&lt;=COUNTA(半紙!$B$11:$B$310)+COUNTA(条幅!$B$11:$B$310)+COUNTA(条幅4分の1!$B$11:$B$310),INDEX(条幅4分の1!$H$11:$H$310,570-COUNTA(半紙!$B$11:$B$310)-COUNTA(条幅!$B$11:$B$310)),"")))=0,"",IF(570&lt;=COUNTA(半紙!$B$11:$B$310),INDEX(半紙!$H$11:$H$310,570),IF(570&lt;=COUNTA(半紙!$B$11:$B$310)+COUNTA(条幅!$B$11:$B$310),INDEX(条幅!$H$11:$H$310,570-COUNTA(半紙!$B$11:$B$310)),IF(570&lt;=COUNTA(半紙!$B$11:$B$310)+COUNTA(条幅!$B$11:$B$310)+COUNTA(条幅4分の1!$B$11:$B$310),INDEX(条幅4分の1!$H$11:$H$310,570-COUNTA(半紙!$B$11:$B$310)-COUNTA(条幅!$B$11:$B$310)),""))))</f>
        <v/>
      </c>
      <c r="I575" s="38" t="str">
        <f>IF(IF(570&lt;=COUNTA(半紙!$B$11:$B$310),INDEX(半紙!$I$11:$I$310,570),IF(570&lt;=COUNTA(半紙!$B$11:$B$310)+COUNTA(条幅!$B$11:$B$310),INDEX(条幅!$I$11:$I$310,570-COUNTA(半紙!$B$11:$B$310)),IF(570&lt;=COUNTA(半紙!$B$11:$B$310)+COUNTA(条幅!$B$11:$B$310)+COUNTA(条幅4分の1!$B$11:$B$310),INDEX(条幅4分の1!$I$11:$I$310,570-COUNTA(半紙!$B$11:$B$310)-COUNTA(条幅!$B$11:$B$310)),"")))=0,"",IF(570&lt;=COUNTA(半紙!$B$11:$B$310),INDEX(半紙!$I$11:$I$310,570),IF(570&lt;=COUNTA(半紙!$B$11:$B$310)+COUNTA(条幅!$B$11:$B$310),INDEX(条幅!$I$11:$I$310,570-COUNTA(半紙!$B$11:$B$310)),IF(570&lt;=COUNTA(半紙!$B$11:$B$310)+COUNTA(条幅!$B$11:$B$310)+COUNTA(条幅4分の1!$B$11:$B$310),INDEX(条幅4分の1!$I$11:$I$310,570-COUNTA(半紙!$B$11:$B$310)-COUNTA(条幅!$B$11:$B$310)),""))))</f>
        <v/>
      </c>
      <c r="J575" s="38" t="str">
        <f>IF(IF(570&lt;=COUNTA(半紙!$B$11:$B$310),INDEX(半紙!$J$11:$J$310,570),IF(570&lt;=COUNTA(半紙!$B$11:$B$310)+COUNTA(条幅!$B$11:$B$310),INDEX(条幅!$J$11:$J$310,570-COUNTA(半紙!$B$11:$B$310)),IF(570&lt;=COUNTA(半紙!$B$11:$B$310)+COUNTA(条幅!$B$11:$B$310)+COUNTA(条幅4分の1!$B$11:$B$310),INDEX(条幅4分の1!$J$11:$J$310,570-COUNTA(半紙!$B$11:$B$310)-COUNTA(条幅!$B$11:$B$310)),"")))=0,"",IF(570&lt;=COUNTA(半紙!$B$11:$B$310),INDEX(半紙!$J$11:$J$310,570),IF(570&lt;=COUNTA(半紙!$B$11:$B$310)+COUNTA(条幅!$B$11:$B$310),INDEX(条幅!$J$11:$J$310,570-COUNTA(半紙!$B$11:$B$310)),IF(570&lt;=COUNTA(半紙!$B$11:$B$310)+COUNTA(条幅!$B$11:$B$310)+COUNTA(条幅4分の1!$B$11:$B$310),INDEX(条幅4分の1!$J$11:$J$310,570-COUNTA(半紙!$B$11:$B$310)-COUNTA(条幅!$B$11:$B$310)),""))))</f>
        <v/>
      </c>
      <c r="K575" s="38" t="str">
        <f>IF(IF(570&lt;=COUNTA(半紙!$B$11:$B$310),INDEX(半紙!$K$11:$K$310,570),IF(570&lt;=COUNTA(半紙!$B$11:$B$310)+COUNTA(条幅!$B$11:$B$310),INDEX(条幅!$K$11:$K$310,570-COUNTA(半紙!$B$11:$B$310)),IF(570&lt;=COUNTA(半紙!$B$11:$B$310)+COUNTA(条幅!$B$11:$B$310)+COUNTA(条幅4分の1!$B$11:$B$310),INDEX(条幅4分の1!$K$11:$K$310,570-COUNTA(半紙!$B$11:$B$310)-COUNTA(条幅!$B$11:$B$310)),"")))=0,"",IF(570&lt;=COUNTA(半紙!$B$11:$B$310),INDEX(半紙!$K$11:$K$310,570),IF(570&lt;=COUNTA(半紙!$B$11:$B$310)+COUNTA(条幅!$B$11:$B$310),INDEX(条幅!$K$11:$K$310,570-COUNTA(半紙!$B$11:$B$310)),IF(570&lt;=COUNTA(半紙!$B$11:$B$310)+COUNTA(条幅!$B$11:$B$310)+COUNTA(条幅4分の1!$B$11:$B$310),INDEX(条幅4分の1!$K$11:$K$310,570-COUNTA(半紙!$B$11:$B$310)-COUNTA(条幅!$B$11:$B$310)),""))))</f>
        <v/>
      </c>
      <c r="L575" s="48" t="str">
        <f>IF($B575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570))</f>
        <v/>
      </c>
    </row>
    <row r="576" spans="1:12" ht="15" customHeight="1">
      <c r="A576" s="37" t="str">
        <f>IF(571&lt;=COUNTA(半紙!$B$11:$B$310),"半紙",IF(571&lt;=COUNTA(半紙!$B$11:$B$310)+COUNTA(条幅!$B$11:$B$310),"条幅(半切)",IF(571&lt;=COUNTA(半紙!$B$11:$B$310)+COUNTA(条幅!$B$11:$B$310)+COUNTA(条幅4分の1!$B$11:$B$310),"条幅(1/4)","")))</f>
        <v/>
      </c>
      <c r="B576" s="38" t="str">
        <f>IF(IF(571&lt;=COUNTA(半紙!$B$11:$B$310),INDEX(半紙!$B$11:$B$310,571),IF(571&lt;=COUNTA(半紙!$B$11:$B$310)+COUNTA(条幅!$B$11:$B$310),INDEX(条幅!$B$11:$B$310,571-COUNTA(半紙!$B$11:$B$310)),IF(571&lt;=COUNTA(半紙!$B$11:$B$310)+COUNTA(条幅!$B$11:$B$310)+COUNTA(条幅4分の1!$B$11:$B$310),INDEX(条幅4分の1!$B$11:$B$310,571-COUNTA(半紙!$B$11:$B$310)-COUNTA(条幅!$B$11:$B$310)),"")))=0,"",IF(571&lt;=COUNTA(半紙!$B$11:$B$310),INDEX(半紙!$B$11:$B$310,571),IF(571&lt;=COUNTA(半紙!$B$11:$B$310)+COUNTA(条幅!$B$11:$B$310),INDEX(条幅!$B$11:$B$310,571-COUNTA(半紙!$B$11:$B$310)),IF(571&lt;=COUNTA(半紙!$B$11:$B$310)+COUNTA(条幅!$B$11:$B$310)+COUNTA(条幅4分の1!$B$11:$B$310),INDEX(条幅4分の1!$B$11:$B$310,571-COUNTA(半紙!$B$11:$B$310)-COUNTA(条幅!$B$11:$B$310)),""))))</f>
        <v/>
      </c>
      <c r="C576" s="38" t="str">
        <f>IF(IF(571&lt;=COUNTA(半紙!$B$11:$B$310),INDEX(半紙!$C$11:$C$310,571),IF(571&lt;=COUNTA(半紙!$B$11:$B$310)+COUNTA(条幅!$B$11:$B$310),INDEX(条幅!$C$11:$C$310,571-COUNTA(半紙!$B$11:$B$310)),IF(571&lt;=COUNTA(半紙!$B$11:$B$310)+COUNTA(条幅!$B$11:$B$310)+COUNTA(条幅4分の1!$B$11:$B$310),INDEX(条幅4分の1!$C$11:$C$310,571-COUNTA(半紙!$B$11:$B$310)-COUNTA(条幅!$B$11:$B$310)),"")))=0,"",IF(571&lt;=COUNTA(半紙!$B$11:$B$310),INDEX(半紙!$C$11:$C$310,571),IF(571&lt;=COUNTA(半紙!$B$11:$B$310)+COUNTA(条幅!$B$11:$B$310),INDEX(条幅!$C$11:$C$310,571-COUNTA(半紙!$B$11:$B$310)),IF(571&lt;=COUNTA(半紙!$B$11:$B$310)+COUNTA(条幅!$B$11:$B$310)+COUNTA(条幅4分の1!$B$11:$B$310),INDEX(条幅4分の1!$C$11:$C$310,571-COUNTA(半紙!$B$11:$B$310)-COUNTA(条幅!$B$11:$B$310)),""))))</f>
        <v/>
      </c>
      <c r="D576" s="38" t="str">
        <f>IF(IF(571&lt;=COUNTA(半紙!$B$11:$B$310),INDEX(半紙!$D$11:$D$310,571),IF(571&lt;=COUNTA(半紙!$B$11:$B$310)+COUNTA(条幅!$B$11:$B$310),INDEX(条幅!$D$11:$D$310,571-COUNTA(半紙!$B$11:$B$310)),IF(571&lt;=COUNTA(半紙!$B$11:$B$310)+COUNTA(条幅!$B$11:$B$310)+COUNTA(条幅4分の1!$B$11:$B$310),INDEX(条幅4分の1!$D$11:$D$310,571-COUNTA(半紙!$B$11:$B$310)-COUNTA(条幅!$B$11:$B$310)),"")))=0,"",IF(571&lt;=COUNTA(半紙!$B$11:$B$310),INDEX(半紙!$D$11:$D$310,571),IF(571&lt;=COUNTA(半紙!$B$11:$B$310)+COUNTA(条幅!$B$11:$B$310),INDEX(条幅!$D$11:$D$310,571-COUNTA(半紙!$B$11:$B$310)),IF(571&lt;=COUNTA(半紙!$B$11:$B$310)+COUNTA(条幅!$B$11:$B$310)+COUNTA(条幅4分の1!$B$11:$B$310),INDEX(条幅4分の1!$D$11:$D$310,571-COUNTA(半紙!$B$11:$B$310)-COUNTA(条幅!$B$11:$B$310)),""))))</f>
        <v/>
      </c>
      <c r="E576" s="38" t="str">
        <f>IF(IF(571&lt;=COUNTA(半紙!$B$11:$B$310),INDEX(半紙!$E$11:$E$310,571),IF(571&lt;=COUNTA(半紙!$B$11:$B$310)+COUNTA(条幅!$B$11:$B$310),INDEX(条幅!$E$11:$E$310,571-COUNTA(半紙!$B$11:$B$310)),IF(571&lt;=COUNTA(半紙!$B$11:$B$310)+COUNTA(条幅!$B$11:$B$310)+COUNTA(条幅4分の1!$B$11:$B$310),INDEX(条幅4分の1!$E$11:$E$310,571-COUNTA(半紙!$B$11:$B$310)-COUNTA(条幅!$B$11:$B$310)),"")))=0,"",IF(571&lt;=COUNTA(半紙!$B$11:$B$310),INDEX(半紙!$E$11:$E$310,571),IF(571&lt;=COUNTA(半紙!$B$11:$B$310)+COUNTA(条幅!$B$11:$B$310),INDEX(条幅!$E$11:$E$310,571-COUNTA(半紙!$B$11:$B$310)),IF(571&lt;=COUNTA(半紙!$B$11:$B$310)+COUNTA(条幅!$B$11:$B$310)+COUNTA(条幅4分の1!$B$11:$B$310),INDEX(条幅4分の1!$E$11:$E$310,571-COUNTA(半紙!$B$11:$B$310)-COUNTA(条幅!$B$11:$B$310)),""))))</f>
        <v/>
      </c>
      <c r="F576" s="38" t="str">
        <f>IF(IF(571&lt;=COUNTA(半紙!$B$11:$B$310),INDEX(半紙!$F$11:$F$310,571),IF(571&lt;=COUNTA(半紙!$B$11:$B$310)+COUNTA(条幅!$B$11:$B$310),INDEX(条幅!$F$11:$F$310,571-COUNTA(半紙!$B$11:$B$310)),IF(571&lt;=COUNTA(半紙!$B$11:$B$310)+COUNTA(条幅!$B$11:$B$310)+COUNTA(条幅4分の1!$B$11:$B$310),INDEX(条幅4分の1!$F$11:$F$310,571-COUNTA(半紙!$B$11:$B$310)-COUNTA(条幅!$B$11:$B$310)),"")))=0,"",IF(571&lt;=COUNTA(半紙!$B$11:$B$310),INDEX(半紙!$F$11:$F$310,571),IF(571&lt;=COUNTA(半紙!$B$11:$B$310)+COUNTA(条幅!$B$11:$B$310),INDEX(条幅!$F$11:$F$310,571-COUNTA(半紙!$B$11:$B$310)),IF(571&lt;=COUNTA(半紙!$B$11:$B$310)+COUNTA(条幅!$B$11:$B$310)+COUNTA(条幅4分の1!$B$11:$B$310),INDEX(条幅4分の1!$F$11:$F$310,571-COUNTA(半紙!$B$11:$B$310)-COUNTA(条幅!$B$11:$B$310)),""))))</f>
        <v/>
      </c>
      <c r="G576" s="38" t="str">
        <f>IF(IF(571&lt;=COUNTA(半紙!$B$11:$B$310),INDEX(半紙!$G$11:$G$310,571),IF(571&lt;=COUNTA(半紙!$B$11:$B$310)+COUNTA(条幅!$B$11:$B$310),INDEX(条幅!$G$11:$G$310,571-COUNTA(半紙!$B$11:$B$310)),IF(571&lt;=COUNTA(半紙!$B$11:$B$310)+COUNTA(条幅!$B$11:$B$310)+COUNTA(条幅4分の1!$B$11:$B$310),INDEX(条幅4分の1!$G$11:$G$310,571-COUNTA(半紙!$B$11:$B$310)-COUNTA(条幅!$B$11:$B$310)),"")))=0,"",IF(571&lt;=COUNTA(半紙!$B$11:$B$310),INDEX(半紙!$G$11:$G$310,571),IF(571&lt;=COUNTA(半紙!$B$11:$B$310)+COUNTA(条幅!$B$11:$B$310),INDEX(条幅!$G$11:$G$310,571-COUNTA(半紙!$B$11:$B$310)),IF(571&lt;=COUNTA(半紙!$B$11:$B$310)+COUNTA(条幅!$B$11:$B$310)+COUNTA(条幅4分の1!$B$11:$B$310),INDEX(条幅4分の1!$G$11:$G$310,571-COUNTA(半紙!$B$11:$B$310)-COUNTA(条幅!$B$11:$B$310)),""))))</f>
        <v/>
      </c>
      <c r="H576" s="38" t="str">
        <f>IF(IF(571&lt;=COUNTA(半紙!$B$11:$B$310),INDEX(半紙!$H$11:$H$310,571),IF(571&lt;=COUNTA(半紙!$B$11:$B$310)+COUNTA(条幅!$B$11:$B$310),INDEX(条幅!$H$11:$H$310,571-COUNTA(半紙!$B$11:$B$310)),IF(571&lt;=COUNTA(半紙!$B$11:$B$310)+COUNTA(条幅!$B$11:$B$310)+COUNTA(条幅4分の1!$B$11:$B$310),INDEX(条幅4分の1!$H$11:$H$310,571-COUNTA(半紙!$B$11:$B$310)-COUNTA(条幅!$B$11:$B$310)),"")))=0,"",IF(571&lt;=COUNTA(半紙!$B$11:$B$310),INDEX(半紙!$H$11:$H$310,571),IF(571&lt;=COUNTA(半紙!$B$11:$B$310)+COUNTA(条幅!$B$11:$B$310),INDEX(条幅!$H$11:$H$310,571-COUNTA(半紙!$B$11:$B$310)),IF(571&lt;=COUNTA(半紙!$B$11:$B$310)+COUNTA(条幅!$B$11:$B$310)+COUNTA(条幅4分の1!$B$11:$B$310),INDEX(条幅4分の1!$H$11:$H$310,571-COUNTA(半紙!$B$11:$B$310)-COUNTA(条幅!$B$11:$B$310)),""))))</f>
        <v/>
      </c>
      <c r="I576" s="38" t="str">
        <f>IF(IF(571&lt;=COUNTA(半紙!$B$11:$B$310),INDEX(半紙!$I$11:$I$310,571),IF(571&lt;=COUNTA(半紙!$B$11:$B$310)+COUNTA(条幅!$B$11:$B$310),INDEX(条幅!$I$11:$I$310,571-COUNTA(半紙!$B$11:$B$310)),IF(571&lt;=COUNTA(半紙!$B$11:$B$310)+COUNTA(条幅!$B$11:$B$310)+COUNTA(条幅4分の1!$B$11:$B$310),INDEX(条幅4分の1!$I$11:$I$310,571-COUNTA(半紙!$B$11:$B$310)-COUNTA(条幅!$B$11:$B$310)),"")))=0,"",IF(571&lt;=COUNTA(半紙!$B$11:$B$310),INDEX(半紙!$I$11:$I$310,571),IF(571&lt;=COUNTA(半紙!$B$11:$B$310)+COUNTA(条幅!$B$11:$B$310),INDEX(条幅!$I$11:$I$310,571-COUNTA(半紙!$B$11:$B$310)),IF(571&lt;=COUNTA(半紙!$B$11:$B$310)+COUNTA(条幅!$B$11:$B$310)+COUNTA(条幅4分の1!$B$11:$B$310),INDEX(条幅4分の1!$I$11:$I$310,571-COUNTA(半紙!$B$11:$B$310)-COUNTA(条幅!$B$11:$B$310)),""))))</f>
        <v/>
      </c>
      <c r="J576" s="38" t="str">
        <f>IF(IF(571&lt;=COUNTA(半紙!$B$11:$B$310),INDEX(半紙!$J$11:$J$310,571),IF(571&lt;=COUNTA(半紙!$B$11:$B$310)+COUNTA(条幅!$B$11:$B$310),INDEX(条幅!$J$11:$J$310,571-COUNTA(半紙!$B$11:$B$310)),IF(571&lt;=COUNTA(半紙!$B$11:$B$310)+COUNTA(条幅!$B$11:$B$310)+COUNTA(条幅4分の1!$B$11:$B$310),INDEX(条幅4分の1!$J$11:$J$310,571-COUNTA(半紙!$B$11:$B$310)-COUNTA(条幅!$B$11:$B$310)),"")))=0,"",IF(571&lt;=COUNTA(半紙!$B$11:$B$310),INDEX(半紙!$J$11:$J$310,571),IF(571&lt;=COUNTA(半紙!$B$11:$B$310)+COUNTA(条幅!$B$11:$B$310),INDEX(条幅!$J$11:$J$310,571-COUNTA(半紙!$B$11:$B$310)),IF(571&lt;=COUNTA(半紙!$B$11:$B$310)+COUNTA(条幅!$B$11:$B$310)+COUNTA(条幅4分の1!$B$11:$B$310),INDEX(条幅4分の1!$J$11:$J$310,571-COUNTA(半紙!$B$11:$B$310)-COUNTA(条幅!$B$11:$B$310)),""))))</f>
        <v/>
      </c>
      <c r="K576" s="38" t="str">
        <f>IF(IF(571&lt;=COUNTA(半紙!$B$11:$B$310),INDEX(半紙!$K$11:$K$310,571),IF(571&lt;=COUNTA(半紙!$B$11:$B$310)+COUNTA(条幅!$B$11:$B$310),INDEX(条幅!$K$11:$K$310,571-COUNTA(半紙!$B$11:$B$310)),IF(571&lt;=COUNTA(半紙!$B$11:$B$310)+COUNTA(条幅!$B$11:$B$310)+COUNTA(条幅4分の1!$B$11:$B$310),INDEX(条幅4分の1!$K$11:$K$310,571-COUNTA(半紙!$B$11:$B$310)-COUNTA(条幅!$B$11:$B$310)),"")))=0,"",IF(571&lt;=COUNTA(半紙!$B$11:$B$310),INDEX(半紙!$K$11:$K$310,571),IF(571&lt;=COUNTA(半紙!$B$11:$B$310)+COUNTA(条幅!$B$11:$B$310),INDEX(条幅!$K$11:$K$310,571-COUNTA(半紙!$B$11:$B$310)),IF(571&lt;=COUNTA(半紙!$B$11:$B$310)+COUNTA(条幅!$B$11:$B$310)+COUNTA(条幅4分の1!$B$11:$B$310),INDEX(条幅4分の1!$K$11:$K$310,571-COUNTA(半紙!$B$11:$B$310)-COUNTA(条幅!$B$11:$B$310)),""))))</f>
        <v/>
      </c>
      <c r="L576" s="48" t="str">
        <f>IF($B576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571))</f>
        <v/>
      </c>
    </row>
    <row r="577" spans="1:12" ht="15" customHeight="1">
      <c r="A577" s="37" t="str">
        <f>IF(572&lt;=COUNTA(半紙!$B$11:$B$310),"半紙",IF(572&lt;=COUNTA(半紙!$B$11:$B$310)+COUNTA(条幅!$B$11:$B$310),"条幅(半切)",IF(572&lt;=COUNTA(半紙!$B$11:$B$310)+COUNTA(条幅!$B$11:$B$310)+COUNTA(条幅4分の1!$B$11:$B$310),"条幅(1/4)","")))</f>
        <v/>
      </c>
      <c r="B577" s="38" t="str">
        <f>IF(IF(572&lt;=COUNTA(半紙!$B$11:$B$310),INDEX(半紙!$B$11:$B$310,572),IF(572&lt;=COUNTA(半紙!$B$11:$B$310)+COUNTA(条幅!$B$11:$B$310),INDEX(条幅!$B$11:$B$310,572-COUNTA(半紙!$B$11:$B$310)),IF(572&lt;=COUNTA(半紙!$B$11:$B$310)+COUNTA(条幅!$B$11:$B$310)+COUNTA(条幅4分の1!$B$11:$B$310),INDEX(条幅4分の1!$B$11:$B$310,572-COUNTA(半紙!$B$11:$B$310)-COUNTA(条幅!$B$11:$B$310)),"")))=0,"",IF(572&lt;=COUNTA(半紙!$B$11:$B$310),INDEX(半紙!$B$11:$B$310,572),IF(572&lt;=COUNTA(半紙!$B$11:$B$310)+COUNTA(条幅!$B$11:$B$310),INDEX(条幅!$B$11:$B$310,572-COUNTA(半紙!$B$11:$B$310)),IF(572&lt;=COUNTA(半紙!$B$11:$B$310)+COUNTA(条幅!$B$11:$B$310)+COUNTA(条幅4分の1!$B$11:$B$310),INDEX(条幅4分の1!$B$11:$B$310,572-COUNTA(半紙!$B$11:$B$310)-COUNTA(条幅!$B$11:$B$310)),""))))</f>
        <v/>
      </c>
      <c r="C577" s="38" t="str">
        <f>IF(IF(572&lt;=COUNTA(半紙!$B$11:$B$310),INDEX(半紙!$C$11:$C$310,572),IF(572&lt;=COUNTA(半紙!$B$11:$B$310)+COUNTA(条幅!$B$11:$B$310),INDEX(条幅!$C$11:$C$310,572-COUNTA(半紙!$B$11:$B$310)),IF(572&lt;=COUNTA(半紙!$B$11:$B$310)+COUNTA(条幅!$B$11:$B$310)+COUNTA(条幅4分の1!$B$11:$B$310),INDEX(条幅4分の1!$C$11:$C$310,572-COUNTA(半紙!$B$11:$B$310)-COUNTA(条幅!$B$11:$B$310)),"")))=0,"",IF(572&lt;=COUNTA(半紙!$B$11:$B$310),INDEX(半紙!$C$11:$C$310,572),IF(572&lt;=COUNTA(半紙!$B$11:$B$310)+COUNTA(条幅!$B$11:$B$310),INDEX(条幅!$C$11:$C$310,572-COUNTA(半紙!$B$11:$B$310)),IF(572&lt;=COUNTA(半紙!$B$11:$B$310)+COUNTA(条幅!$B$11:$B$310)+COUNTA(条幅4分の1!$B$11:$B$310),INDEX(条幅4分の1!$C$11:$C$310,572-COUNTA(半紙!$B$11:$B$310)-COUNTA(条幅!$B$11:$B$310)),""))))</f>
        <v/>
      </c>
      <c r="D577" s="38" t="str">
        <f>IF(IF(572&lt;=COUNTA(半紙!$B$11:$B$310),INDEX(半紙!$D$11:$D$310,572),IF(572&lt;=COUNTA(半紙!$B$11:$B$310)+COUNTA(条幅!$B$11:$B$310),INDEX(条幅!$D$11:$D$310,572-COUNTA(半紙!$B$11:$B$310)),IF(572&lt;=COUNTA(半紙!$B$11:$B$310)+COUNTA(条幅!$B$11:$B$310)+COUNTA(条幅4分の1!$B$11:$B$310),INDEX(条幅4分の1!$D$11:$D$310,572-COUNTA(半紙!$B$11:$B$310)-COUNTA(条幅!$B$11:$B$310)),"")))=0,"",IF(572&lt;=COUNTA(半紙!$B$11:$B$310),INDEX(半紙!$D$11:$D$310,572),IF(572&lt;=COUNTA(半紙!$B$11:$B$310)+COUNTA(条幅!$B$11:$B$310),INDEX(条幅!$D$11:$D$310,572-COUNTA(半紙!$B$11:$B$310)),IF(572&lt;=COUNTA(半紙!$B$11:$B$310)+COUNTA(条幅!$B$11:$B$310)+COUNTA(条幅4分の1!$B$11:$B$310),INDEX(条幅4分の1!$D$11:$D$310,572-COUNTA(半紙!$B$11:$B$310)-COUNTA(条幅!$B$11:$B$310)),""))))</f>
        <v/>
      </c>
      <c r="E577" s="38" t="str">
        <f>IF(IF(572&lt;=COUNTA(半紙!$B$11:$B$310),INDEX(半紙!$E$11:$E$310,572),IF(572&lt;=COUNTA(半紙!$B$11:$B$310)+COUNTA(条幅!$B$11:$B$310),INDEX(条幅!$E$11:$E$310,572-COUNTA(半紙!$B$11:$B$310)),IF(572&lt;=COUNTA(半紙!$B$11:$B$310)+COUNTA(条幅!$B$11:$B$310)+COUNTA(条幅4分の1!$B$11:$B$310),INDEX(条幅4分の1!$E$11:$E$310,572-COUNTA(半紙!$B$11:$B$310)-COUNTA(条幅!$B$11:$B$310)),"")))=0,"",IF(572&lt;=COUNTA(半紙!$B$11:$B$310),INDEX(半紙!$E$11:$E$310,572),IF(572&lt;=COUNTA(半紙!$B$11:$B$310)+COUNTA(条幅!$B$11:$B$310),INDEX(条幅!$E$11:$E$310,572-COUNTA(半紙!$B$11:$B$310)),IF(572&lt;=COUNTA(半紙!$B$11:$B$310)+COUNTA(条幅!$B$11:$B$310)+COUNTA(条幅4分の1!$B$11:$B$310),INDEX(条幅4分の1!$E$11:$E$310,572-COUNTA(半紙!$B$11:$B$310)-COUNTA(条幅!$B$11:$B$310)),""))))</f>
        <v/>
      </c>
      <c r="F577" s="38" t="str">
        <f>IF(IF(572&lt;=COUNTA(半紙!$B$11:$B$310),INDEX(半紙!$F$11:$F$310,572),IF(572&lt;=COUNTA(半紙!$B$11:$B$310)+COUNTA(条幅!$B$11:$B$310),INDEX(条幅!$F$11:$F$310,572-COUNTA(半紙!$B$11:$B$310)),IF(572&lt;=COUNTA(半紙!$B$11:$B$310)+COUNTA(条幅!$B$11:$B$310)+COUNTA(条幅4分の1!$B$11:$B$310),INDEX(条幅4分の1!$F$11:$F$310,572-COUNTA(半紙!$B$11:$B$310)-COUNTA(条幅!$B$11:$B$310)),"")))=0,"",IF(572&lt;=COUNTA(半紙!$B$11:$B$310),INDEX(半紙!$F$11:$F$310,572),IF(572&lt;=COUNTA(半紙!$B$11:$B$310)+COUNTA(条幅!$B$11:$B$310),INDEX(条幅!$F$11:$F$310,572-COUNTA(半紙!$B$11:$B$310)),IF(572&lt;=COUNTA(半紙!$B$11:$B$310)+COUNTA(条幅!$B$11:$B$310)+COUNTA(条幅4分の1!$B$11:$B$310),INDEX(条幅4分の1!$F$11:$F$310,572-COUNTA(半紙!$B$11:$B$310)-COUNTA(条幅!$B$11:$B$310)),""))))</f>
        <v/>
      </c>
      <c r="G577" s="38" t="str">
        <f>IF(IF(572&lt;=COUNTA(半紙!$B$11:$B$310),INDEX(半紙!$G$11:$G$310,572),IF(572&lt;=COUNTA(半紙!$B$11:$B$310)+COUNTA(条幅!$B$11:$B$310),INDEX(条幅!$G$11:$G$310,572-COUNTA(半紙!$B$11:$B$310)),IF(572&lt;=COUNTA(半紙!$B$11:$B$310)+COUNTA(条幅!$B$11:$B$310)+COUNTA(条幅4分の1!$B$11:$B$310),INDEX(条幅4分の1!$G$11:$G$310,572-COUNTA(半紙!$B$11:$B$310)-COUNTA(条幅!$B$11:$B$310)),"")))=0,"",IF(572&lt;=COUNTA(半紙!$B$11:$B$310),INDEX(半紙!$G$11:$G$310,572),IF(572&lt;=COUNTA(半紙!$B$11:$B$310)+COUNTA(条幅!$B$11:$B$310),INDEX(条幅!$G$11:$G$310,572-COUNTA(半紙!$B$11:$B$310)),IF(572&lt;=COUNTA(半紙!$B$11:$B$310)+COUNTA(条幅!$B$11:$B$310)+COUNTA(条幅4分の1!$B$11:$B$310),INDEX(条幅4分の1!$G$11:$G$310,572-COUNTA(半紙!$B$11:$B$310)-COUNTA(条幅!$B$11:$B$310)),""))))</f>
        <v/>
      </c>
      <c r="H577" s="38" t="str">
        <f>IF(IF(572&lt;=COUNTA(半紙!$B$11:$B$310),INDEX(半紙!$H$11:$H$310,572),IF(572&lt;=COUNTA(半紙!$B$11:$B$310)+COUNTA(条幅!$B$11:$B$310),INDEX(条幅!$H$11:$H$310,572-COUNTA(半紙!$B$11:$B$310)),IF(572&lt;=COUNTA(半紙!$B$11:$B$310)+COUNTA(条幅!$B$11:$B$310)+COUNTA(条幅4分の1!$B$11:$B$310),INDEX(条幅4分の1!$H$11:$H$310,572-COUNTA(半紙!$B$11:$B$310)-COUNTA(条幅!$B$11:$B$310)),"")))=0,"",IF(572&lt;=COUNTA(半紙!$B$11:$B$310),INDEX(半紙!$H$11:$H$310,572),IF(572&lt;=COUNTA(半紙!$B$11:$B$310)+COUNTA(条幅!$B$11:$B$310),INDEX(条幅!$H$11:$H$310,572-COUNTA(半紙!$B$11:$B$310)),IF(572&lt;=COUNTA(半紙!$B$11:$B$310)+COUNTA(条幅!$B$11:$B$310)+COUNTA(条幅4分の1!$B$11:$B$310),INDEX(条幅4分の1!$H$11:$H$310,572-COUNTA(半紙!$B$11:$B$310)-COUNTA(条幅!$B$11:$B$310)),""))))</f>
        <v/>
      </c>
      <c r="I577" s="38" t="str">
        <f>IF(IF(572&lt;=COUNTA(半紙!$B$11:$B$310),INDEX(半紙!$I$11:$I$310,572),IF(572&lt;=COUNTA(半紙!$B$11:$B$310)+COUNTA(条幅!$B$11:$B$310),INDEX(条幅!$I$11:$I$310,572-COUNTA(半紙!$B$11:$B$310)),IF(572&lt;=COUNTA(半紙!$B$11:$B$310)+COUNTA(条幅!$B$11:$B$310)+COUNTA(条幅4分の1!$B$11:$B$310),INDEX(条幅4分の1!$I$11:$I$310,572-COUNTA(半紙!$B$11:$B$310)-COUNTA(条幅!$B$11:$B$310)),"")))=0,"",IF(572&lt;=COUNTA(半紙!$B$11:$B$310),INDEX(半紙!$I$11:$I$310,572),IF(572&lt;=COUNTA(半紙!$B$11:$B$310)+COUNTA(条幅!$B$11:$B$310),INDEX(条幅!$I$11:$I$310,572-COUNTA(半紙!$B$11:$B$310)),IF(572&lt;=COUNTA(半紙!$B$11:$B$310)+COUNTA(条幅!$B$11:$B$310)+COUNTA(条幅4分の1!$B$11:$B$310),INDEX(条幅4分の1!$I$11:$I$310,572-COUNTA(半紙!$B$11:$B$310)-COUNTA(条幅!$B$11:$B$310)),""))))</f>
        <v/>
      </c>
      <c r="J577" s="38" t="str">
        <f>IF(IF(572&lt;=COUNTA(半紙!$B$11:$B$310),INDEX(半紙!$J$11:$J$310,572),IF(572&lt;=COUNTA(半紙!$B$11:$B$310)+COUNTA(条幅!$B$11:$B$310),INDEX(条幅!$J$11:$J$310,572-COUNTA(半紙!$B$11:$B$310)),IF(572&lt;=COUNTA(半紙!$B$11:$B$310)+COUNTA(条幅!$B$11:$B$310)+COUNTA(条幅4分の1!$B$11:$B$310),INDEX(条幅4分の1!$J$11:$J$310,572-COUNTA(半紙!$B$11:$B$310)-COUNTA(条幅!$B$11:$B$310)),"")))=0,"",IF(572&lt;=COUNTA(半紙!$B$11:$B$310),INDEX(半紙!$J$11:$J$310,572),IF(572&lt;=COUNTA(半紙!$B$11:$B$310)+COUNTA(条幅!$B$11:$B$310),INDEX(条幅!$J$11:$J$310,572-COUNTA(半紙!$B$11:$B$310)),IF(572&lt;=COUNTA(半紙!$B$11:$B$310)+COUNTA(条幅!$B$11:$B$310)+COUNTA(条幅4分の1!$B$11:$B$310),INDEX(条幅4分の1!$J$11:$J$310,572-COUNTA(半紙!$B$11:$B$310)-COUNTA(条幅!$B$11:$B$310)),""))))</f>
        <v/>
      </c>
      <c r="K577" s="38" t="str">
        <f>IF(IF(572&lt;=COUNTA(半紙!$B$11:$B$310),INDEX(半紙!$K$11:$K$310,572),IF(572&lt;=COUNTA(半紙!$B$11:$B$310)+COUNTA(条幅!$B$11:$B$310),INDEX(条幅!$K$11:$K$310,572-COUNTA(半紙!$B$11:$B$310)),IF(572&lt;=COUNTA(半紙!$B$11:$B$310)+COUNTA(条幅!$B$11:$B$310)+COUNTA(条幅4分の1!$B$11:$B$310),INDEX(条幅4分の1!$K$11:$K$310,572-COUNTA(半紙!$B$11:$B$310)-COUNTA(条幅!$B$11:$B$310)),"")))=0,"",IF(572&lt;=COUNTA(半紙!$B$11:$B$310),INDEX(半紙!$K$11:$K$310,572),IF(572&lt;=COUNTA(半紙!$B$11:$B$310)+COUNTA(条幅!$B$11:$B$310),INDEX(条幅!$K$11:$K$310,572-COUNTA(半紙!$B$11:$B$310)),IF(572&lt;=COUNTA(半紙!$B$11:$B$310)+COUNTA(条幅!$B$11:$B$310)+COUNTA(条幅4分の1!$B$11:$B$310),INDEX(条幅4分の1!$K$11:$K$310,572-COUNTA(半紙!$B$11:$B$310)-COUNTA(条幅!$B$11:$B$310)),""))))</f>
        <v/>
      </c>
      <c r="L577" s="48" t="str">
        <f>IF($B577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572))</f>
        <v/>
      </c>
    </row>
    <row r="578" spans="1:12" ht="15" customHeight="1">
      <c r="A578" s="37" t="str">
        <f>IF(573&lt;=COUNTA(半紙!$B$11:$B$310),"半紙",IF(573&lt;=COUNTA(半紙!$B$11:$B$310)+COUNTA(条幅!$B$11:$B$310),"条幅(半切)",IF(573&lt;=COUNTA(半紙!$B$11:$B$310)+COUNTA(条幅!$B$11:$B$310)+COUNTA(条幅4分の1!$B$11:$B$310),"条幅(1/4)","")))</f>
        <v/>
      </c>
      <c r="B578" s="38" t="str">
        <f>IF(IF(573&lt;=COUNTA(半紙!$B$11:$B$310),INDEX(半紙!$B$11:$B$310,573),IF(573&lt;=COUNTA(半紙!$B$11:$B$310)+COUNTA(条幅!$B$11:$B$310),INDEX(条幅!$B$11:$B$310,573-COUNTA(半紙!$B$11:$B$310)),IF(573&lt;=COUNTA(半紙!$B$11:$B$310)+COUNTA(条幅!$B$11:$B$310)+COUNTA(条幅4分の1!$B$11:$B$310),INDEX(条幅4分の1!$B$11:$B$310,573-COUNTA(半紙!$B$11:$B$310)-COUNTA(条幅!$B$11:$B$310)),"")))=0,"",IF(573&lt;=COUNTA(半紙!$B$11:$B$310),INDEX(半紙!$B$11:$B$310,573),IF(573&lt;=COUNTA(半紙!$B$11:$B$310)+COUNTA(条幅!$B$11:$B$310),INDEX(条幅!$B$11:$B$310,573-COUNTA(半紙!$B$11:$B$310)),IF(573&lt;=COUNTA(半紙!$B$11:$B$310)+COUNTA(条幅!$B$11:$B$310)+COUNTA(条幅4分の1!$B$11:$B$310),INDEX(条幅4分の1!$B$11:$B$310,573-COUNTA(半紙!$B$11:$B$310)-COUNTA(条幅!$B$11:$B$310)),""))))</f>
        <v/>
      </c>
      <c r="C578" s="38" t="str">
        <f>IF(IF(573&lt;=COUNTA(半紙!$B$11:$B$310),INDEX(半紙!$C$11:$C$310,573),IF(573&lt;=COUNTA(半紙!$B$11:$B$310)+COUNTA(条幅!$B$11:$B$310),INDEX(条幅!$C$11:$C$310,573-COUNTA(半紙!$B$11:$B$310)),IF(573&lt;=COUNTA(半紙!$B$11:$B$310)+COUNTA(条幅!$B$11:$B$310)+COUNTA(条幅4分の1!$B$11:$B$310),INDEX(条幅4分の1!$C$11:$C$310,573-COUNTA(半紙!$B$11:$B$310)-COUNTA(条幅!$B$11:$B$310)),"")))=0,"",IF(573&lt;=COUNTA(半紙!$B$11:$B$310),INDEX(半紙!$C$11:$C$310,573),IF(573&lt;=COUNTA(半紙!$B$11:$B$310)+COUNTA(条幅!$B$11:$B$310),INDEX(条幅!$C$11:$C$310,573-COUNTA(半紙!$B$11:$B$310)),IF(573&lt;=COUNTA(半紙!$B$11:$B$310)+COUNTA(条幅!$B$11:$B$310)+COUNTA(条幅4分の1!$B$11:$B$310),INDEX(条幅4分の1!$C$11:$C$310,573-COUNTA(半紙!$B$11:$B$310)-COUNTA(条幅!$B$11:$B$310)),""))))</f>
        <v/>
      </c>
      <c r="D578" s="38" t="str">
        <f>IF(IF(573&lt;=COUNTA(半紙!$B$11:$B$310),INDEX(半紙!$D$11:$D$310,573),IF(573&lt;=COUNTA(半紙!$B$11:$B$310)+COUNTA(条幅!$B$11:$B$310),INDEX(条幅!$D$11:$D$310,573-COUNTA(半紙!$B$11:$B$310)),IF(573&lt;=COUNTA(半紙!$B$11:$B$310)+COUNTA(条幅!$B$11:$B$310)+COUNTA(条幅4分の1!$B$11:$B$310),INDEX(条幅4分の1!$D$11:$D$310,573-COUNTA(半紙!$B$11:$B$310)-COUNTA(条幅!$B$11:$B$310)),"")))=0,"",IF(573&lt;=COUNTA(半紙!$B$11:$B$310),INDEX(半紙!$D$11:$D$310,573),IF(573&lt;=COUNTA(半紙!$B$11:$B$310)+COUNTA(条幅!$B$11:$B$310),INDEX(条幅!$D$11:$D$310,573-COUNTA(半紙!$B$11:$B$310)),IF(573&lt;=COUNTA(半紙!$B$11:$B$310)+COUNTA(条幅!$B$11:$B$310)+COUNTA(条幅4分の1!$B$11:$B$310),INDEX(条幅4分の1!$D$11:$D$310,573-COUNTA(半紙!$B$11:$B$310)-COUNTA(条幅!$B$11:$B$310)),""))))</f>
        <v/>
      </c>
      <c r="E578" s="38" t="str">
        <f>IF(IF(573&lt;=COUNTA(半紙!$B$11:$B$310),INDEX(半紙!$E$11:$E$310,573),IF(573&lt;=COUNTA(半紙!$B$11:$B$310)+COUNTA(条幅!$B$11:$B$310),INDEX(条幅!$E$11:$E$310,573-COUNTA(半紙!$B$11:$B$310)),IF(573&lt;=COUNTA(半紙!$B$11:$B$310)+COUNTA(条幅!$B$11:$B$310)+COUNTA(条幅4分の1!$B$11:$B$310),INDEX(条幅4分の1!$E$11:$E$310,573-COUNTA(半紙!$B$11:$B$310)-COUNTA(条幅!$B$11:$B$310)),"")))=0,"",IF(573&lt;=COUNTA(半紙!$B$11:$B$310),INDEX(半紙!$E$11:$E$310,573),IF(573&lt;=COUNTA(半紙!$B$11:$B$310)+COUNTA(条幅!$B$11:$B$310),INDEX(条幅!$E$11:$E$310,573-COUNTA(半紙!$B$11:$B$310)),IF(573&lt;=COUNTA(半紙!$B$11:$B$310)+COUNTA(条幅!$B$11:$B$310)+COUNTA(条幅4分の1!$B$11:$B$310),INDEX(条幅4分の1!$E$11:$E$310,573-COUNTA(半紙!$B$11:$B$310)-COUNTA(条幅!$B$11:$B$310)),""))))</f>
        <v/>
      </c>
      <c r="F578" s="38" t="str">
        <f>IF(IF(573&lt;=COUNTA(半紙!$B$11:$B$310),INDEX(半紙!$F$11:$F$310,573),IF(573&lt;=COUNTA(半紙!$B$11:$B$310)+COUNTA(条幅!$B$11:$B$310),INDEX(条幅!$F$11:$F$310,573-COUNTA(半紙!$B$11:$B$310)),IF(573&lt;=COUNTA(半紙!$B$11:$B$310)+COUNTA(条幅!$B$11:$B$310)+COUNTA(条幅4分の1!$B$11:$B$310),INDEX(条幅4分の1!$F$11:$F$310,573-COUNTA(半紙!$B$11:$B$310)-COUNTA(条幅!$B$11:$B$310)),"")))=0,"",IF(573&lt;=COUNTA(半紙!$B$11:$B$310),INDEX(半紙!$F$11:$F$310,573),IF(573&lt;=COUNTA(半紙!$B$11:$B$310)+COUNTA(条幅!$B$11:$B$310),INDEX(条幅!$F$11:$F$310,573-COUNTA(半紙!$B$11:$B$310)),IF(573&lt;=COUNTA(半紙!$B$11:$B$310)+COUNTA(条幅!$B$11:$B$310)+COUNTA(条幅4分の1!$B$11:$B$310),INDEX(条幅4分の1!$F$11:$F$310,573-COUNTA(半紙!$B$11:$B$310)-COUNTA(条幅!$B$11:$B$310)),""))))</f>
        <v/>
      </c>
      <c r="G578" s="38" t="str">
        <f>IF(IF(573&lt;=COUNTA(半紙!$B$11:$B$310),INDEX(半紙!$G$11:$G$310,573),IF(573&lt;=COUNTA(半紙!$B$11:$B$310)+COUNTA(条幅!$B$11:$B$310),INDEX(条幅!$G$11:$G$310,573-COUNTA(半紙!$B$11:$B$310)),IF(573&lt;=COUNTA(半紙!$B$11:$B$310)+COUNTA(条幅!$B$11:$B$310)+COUNTA(条幅4分の1!$B$11:$B$310),INDEX(条幅4分の1!$G$11:$G$310,573-COUNTA(半紙!$B$11:$B$310)-COUNTA(条幅!$B$11:$B$310)),"")))=0,"",IF(573&lt;=COUNTA(半紙!$B$11:$B$310),INDEX(半紙!$G$11:$G$310,573),IF(573&lt;=COUNTA(半紙!$B$11:$B$310)+COUNTA(条幅!$B$11:$B$310),INDEX(条幅!$G$11:$G$310,573-COUNTA(半紙!$B$11:$B$310)),IF(573&lt;=COUNTA(半紙!$B$11:$B$310)+COUNTA(条幅!$B$11:$B$310)+COUNTA(条幅4分の1!$B$11:$B$310),INDEX(条幅4分の1!$G$11:$G$310,573-COUNTA(半紙!$B$11:$B$310)-COUNTA(条幅!$B$11:$B$310)),""))))</f>
        <v/>
      </c>
      <c r="H578" s="38" t="str">
        <f>IF(IF(573&lt;=COUNTA(半紙!$B$11:$B$310),INDEX(半紙!$H$11:$H$310,573),IF(573&lt;=COUNTA(半紙!$B$11:$B$310)+COUNTA(条幅!$B$11:$B$310),INDEX(条幅!$H$11:$H$310,573-COUNTA(半紙!$B$11:$B$310)),IF(573&lt;=COUNTA(半紙!$B$11:$B$310)+COUNTA(条幅!$B$11:$B$310)+COUNTA(条幅4分の1!$B$11:$B$310),INDEX(条幅4分の1!$H$11:$H$310,573-COUNTA(半紙!$B$11:$B$310)-COUNTA(条幅!$B$11:$B$310)),"")))=0,"",IF(573&lt;=COUNTA(半紙!$B$11:$B$310),INDEX(半紙!$H$11:$H$310,573),IF(573&lt;=COUNTA(半紙!$B$11:$B$310)+COUNTA(条幅!$B$11:$B$310),INDEX(条幅!$H$11:$H$310,573-COUNTA(半紙!$B$11:$B$310)),IF(573&lt;=COUNTA(半紙!$B$11:$B$310)+COUNTA(条幅!$B$11:$B$310)+COUNTA(条幅4分の1!$B$11:$B$310),INDEX(条幅4分の1!$H$11:$H$310,573-COUNTA(半紙!$B$11:$B$310)-COUNTA(条幅!$B$11:$B$310)),""))))</f>
        <v/>
      </c>
      <c r="I578" s="38" t="str">
        <f>IF(IF(573&lt;=COUNTA(半紙!$B$11:$B$310),INDEX(半紙!$I$11:$I$310,573),IF(573&lt;=COUNTA(半紙!$B$11:$B$310)+COUNTA(条幅!$B$11:$B$310),INDEX(条幅!$I$11:$I$310,573-COUNTA(半紙!$B$11:$B$310)),IF(573&lt;=COUNTA(半紙!$B$11:$B$310)+COUNTA(条幅!$B$11:$B$310)+COUNTA(条幅4分の1!$B$11:$B$310),INDEX(条幅4分の1!$I$11:$I$310,573-COUNTA(半紙!$B$11:$B$310)-COUNTA(条幅!$B$11:$B$310)),"")))=0,"",IF(573&lt;=COUNTA(半紙!$B$11:$B$310),INDEX(半紙!$I$11:$I$310,573),IF(573&lt;=COUNTA(半紙!$B$11:$B$310)+COUNTA(条幅!$B$11:$B$310),INDEX(条幅!$I$11:$I$310,573-COUNTA(半紙!$B$11:$B$310)),IF(573&lt;=COUNTA(半紙!$B$11:$B$310)+COUNTA(条幅!$B$11:$B$310)+COUNTA(条幅4分の1!$B$11:$B$310),INDEX(条幅4分の1!$I$11:$I$310,573-COUNTA(半紙!$B$11:$B$310)-COUNTA(条幅!$B$11:$B$310)),""))))</f>
        <v/>
      </c>
      <c r="J578" s="38" t="str">
        <f>IF(IF(573&lt;=COUNTA(半紙!$B$11:$B$310),INDEX(半紙!$J$11:$J$310,573),IF(573&lt;=COUNTA(半紙!$B$11:$B$310)+COUNTA(条幅!$B$11:$B$310),INDEX(条幅!$J$11:$J$310,573-COUNTA(半紙!$B$11:$B$310)),IF(573&lt;=COUNTA(半紙!$B$11:$B$310)+COUNTA(条幅!$B$11:$B$310)+COUNTA(条幅4分の1!$B$11:$B$310),INDEX(条幅4分の1!$J$11:$J$310,573-COUNTA(半紙!$B$11:$B$310)-COUNTA(条幅!$B$11:$B$310)),"")))=0,"",IF(573&lt;=COUNTA(半紙!$B$11:$B$310),INDEX(半紙!$J$11:$J$310,573),IF(573&lt;=COUNTA(半紙!$B$11:$B$310)+COUNTA(条幅!$B$11:$B$310),INDEX(条幅!$J$11:$J$310,573-COUNTA(半紙!$B$11:$B$310)),IF(573&lt;=COUNTA(半紙!$B$11:$B$310)+COUNTA(条幅!$B$11:$B$310)+COUNTA(条幅4分の1!$B$11:$B$310),INDEX(条幅4分の1!$J$11:$J$310,573-COUNTA(半紙!$B$11:$B$310)-COUNTA(条幅!$B$11:$B$310)),""))))</f>
        <v/>
      </c>
      <c r="K578" s="38" t="str">
        <f>IF(IF(573&lt;=COUNTA(半紙!$B$11:$B$310),INDEX(半紙!$K$11:$K$310,573),IF(573&lt;=COUNTA(半紙!$B$11:$B$310)+COUNTA(条幅!$B$11:$B$310),INDEX(条幅!$K$11:$K$310,573-COUNTA(半紙!$B$11:$B$310)),IF(573&lt;=COUNTA(半紙!$B$11:$B$310)+COUNTA(条幅!$B$11:$B$310)+COUNTA(条幅4分の1!$B$11:$B$310),INDEX(条幅4分の1!$K$11:$K$310,573-COUNTA(半紙!$B$11:$B$310)-COUNTA(条幅!$B$11:$B$310)),"")))=0,"",IF(573&lt;=COUNTA(半紙!$B$11:$B$310),INDEX(半紙!$K$11:$K$310,573),IF(573&lt;=COUNTA(半紙!$B$11:$B$310)+COUNTA(条幅!$B$11:$B$310),INDEX(条幅!$K$11:$K$310,573-COUNTA(半紙!$B$11:$B$310)),IF(573&lt;=COUNTA(半紙!$B$11:$B$310)+COUNTA(条幅!$B$11:$B$310)+COUNTA(条幅4分の1!$B$11:$B$310),INDEX(条幅4分の1!$K$11:$K$310,573-COUNTA(半紙!$B$11:$B$310)-COUNTA(条幅!$B$11:$B$310)),""))))</f>
        <v/>
      </c>
      <c r="L578" s="48" t="str">
        <f>IF($B578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573))</f>
        <v/>
      </c>
    </row>
    <row r="579" spans="1:12" ht="15" customHeight="1">
      <c r="A579" s="37" t="str">
        <f>IF(574&lt;=COUNTA(半紙!$B$11:$B$310),"半紙",IF(574&lt;=COUNTA(半紙!$B$11:$B$310)+COUNTA(条幅!$B$11:$B$310),"条幅(半切)",IF(574&lt;=COUNTA(半紙!$B$11:$B$310)+COUNTA(条幅!$B$11:$B$310)+COUNTA(条幅4分の1!$B$11:$B$310),"条幅(1/4)","")))</f>
        <v/>
      </c>
      <c r="B579" s="38" t="str">
        <f>IF(IF(574&lt;=COUNTA(半紙!$B$11:$B$310),INDEX(半紙!$B$11:$B$310,574),IF(574&lt;=COUNTA(半紙!$B$11:$B$310)+COUNTA(条幅!$B$11:$B$310),INDEX(条幅!$B$11:$B$310,574-COUNTA(半紙!$B$11:$B$310)),IF(574&lt;=COUNTA(半紙!$B$11:$B$310)+COUNTA(条幅!$B$11:$B$310)+COUNTA(条幅4分の1!$B$11:$B$310),INDEX(条幅4分の1!$B$11:$B$310,574-COUNTA(半紙!$B$11:$B$310)-COUNTA(条幅!$B$11:$B$310)),"")))=0,"",IF(574&lt;=COUNTA(半紙!$B$11:$B$310),INDEX(半紙!$B$11:$B$310,574),IF(574&lt;=COUNTA(半紙!$B$11:$B$310)+COUNTA(条幅!$B$11:$B$310),INDEX(条幅!$B$11:$B$310,574-COUNTA(半紙!$B$11:$B$310)),IF(574&lt;=COUNTA(半紙!$B$11:$B$310)+COUNTA(条幅!$B$11:$B$310)+COUNTA(条幅4分の1!$B$11:$B$310),INDEX(条幅4分の1!$B$11:$B$310,574-COUNTA(半紙!$B$11:$B$310)-COUNTA(条幅!$B$11:$B$310)),""))))</f>
        <v/>
      </c>
      <c r="C579" s="38" t="str">
        <f>IF(IF(574&lt;=COUNTA(半紙!$B$11:$B$310),INDEX(半紙!$C$11:$C$310,574),IF(574&lt;=COUNTA(半紙!$B$11:$B$310)+COUNTA(条幅!$B$11:$B$310),INDEX(条幅!$C$11:$C$310,574-COUNTA(半紙!$B$11:$B$310)),IF(574&lt;=COUNTA(半紙!$B$11:$B$310)+COUNTA(条幅!$B$11:$B$310)+COUNTA(条幅4分の1!$B$11:$B$310),INDEX(条幅4分の1!$C$11:$C$310,574-COUNTA(半紙!$B$11:$B$310)-COUNTA(条幅!$B$11:$B$310)),"")))=0,"",IF(574&lt;=COUNTA(半紙!$B$11:$B$310),INDEX(半紙!$C$11:$C$310,574),IF(574&lt;=COUNTA(半紙!$B$11:$B$310)+COUNTA(条幅!$B$11:$B$310),INDEX(条幅!$C$11:$C$310,574-COUNTA(半紙!$B$11:$B$310)),IF(574&lt;=COUNTA(半紙!$B$11:$B$310)+COUNTA(条幅!$B$11:$B$310)+COUNTA(条幅4分の1!$B$11:$B$310),INDEX(条幅4分の1!$C$11:$C$310,574-COUNTA(半紙!$B$11:$B$310)-COUNTA(条幅!$B$11:$B$310)),""))))</f>
        <v/>
      </c>
      <c r="D579" s="38" t="str">
        <f>IF(IF(574&lt;=COUNTA(半紙!$B$11:$B$310),INDEX(半紙!$D$11:$D$310,574),IF(574&lt;=COUNTA(半紙!$B$11:$B$310)+COUNTA(条幅!$B$11:$B$310),INDEX(条幅!$D$11:$D$310,574-COUNTA(半紙!$B$11:$B$310)),IF(574&lt;=COUNTA(半紙!$B$11:$B$310)+COUNTA(条幅!$B$11:$B$310)+COUNTA(条幅4分の1!$B$11:$B$310),INDEX(条幅4分の1!$D$11:$D$310,574-COUNTA(半紙!$B$11:$B$310)-COUNTA(条幅!$B$11:$B$310)),"")))=0,"",IF(574&lt;=COUNTA(半紙!$B$11:$B$310),INDEX(半紙!$D$11:$D$310,574),IF(574&lt;=COUNTA(半紙!$B$11:$B$310)+COUNTA(条幅!$B$11:$B$310),INDEX(条幅!$D$11:$D$310,574-COUNTA(半紙!$B$11:$B$310)),IF(574&lt;=COUNTA(半紙!$B$11:$B$310)+COUNTA(条幅!$B$11:$B$310)+COUNTA(条幅4分の1!$B$11:$B$310),INDEX(条幅4分の1!$D$11:$D$310,574-COUNTA(半紙!$B$11:$B$310)-COUNTA(条幅!$B$11:$B$310)),""))))</f>
        <v/>
      </c>
      <c r="E579" s="38" t="str">
        <f>IF(IF(574&lt;=COUNTA(半紙!$B$11:$B$310),INDEX(半紙!$E$11:$E$310,574),IF(574&lt;=COUNTA(半紙!$B$11:$B$310)+COUNTA(条幅!$B$11:$B$310),INDEX(条幅!$E$11:$E$310,574-COUNTA(半紙!$B$11:$B$310)),IF(574&lt;=COUNTA(半紙!$B$11:$B$310)+COUNTA(条幅!$B$11:$B$310)+COUNTA(条幅4分の1!$B$11:$B$310),INDEX(条幅4分の1!$E$11:$E$310,574-COUNTA(半紙!$B$11:$B$310)-COUNTA(条幅!$B$11:$B$310)),"")))=0,"",IF(574&lt;=COUNTA(半紙!$B$11:$B$310),INDEX(半紙!$E$11:$E$310,574),IF(574&lt;=COUNTA(半紙!$B$11:$B$310)+COUNTA(条幅!$B$11:$B$310),INDEX(条幅!$E$11:$E$310,574-COUNTA(半紙!$B$11:$B$310)),IF(574&lt;=COUNTA(半紙!$B$11:$B$310)+COUNTA(条幅!$B$11:$B$310)+COUNTA(条幅4分の1!$B$11:$B$310),INDEX(条幅4分の1!$E$11:$E$310,574-COUNTA(半紙!$B$11:$B$310)-COUNTA(条幅!$B$11:$B$310)),""))))</f>
        <v/>
      </c>
      <c r="F579" s="38" t="str">
        <f>IF(IF(574&lt;=COUNTA(半紙!$B$11:$B$310),INDEX(半紙!$F$11:$F$310,574),IF(574&lt;=COUNTA(半紙!$B$11:$B$310)+COUNTA(条幅!$B$11:$B$310),INDEX(条幅!$F$11:$F$310,574-COUNTA(半紙!$B$11:$B$310)),IF(574&lt;=COUNTA(半紙!$B$11:$B$310)+COUNTA(条幅!$B$11:$B$310)+COUNTA(条幅4分の1!$B$11:$B$310),INDEX(条幅4分の1!$F$11:$F$310,574-COUNTA(半紙!$B$11:$B$310)-COUNTA(条幅!$B$11:$B$310)),"")))=0,"",IF(574&lt;=COUNTA(半紙!$B$11:$B$310),INDEX(半紙!$F$11:$F$310,574),IF(574&lt;=COUNTA(半紙!$B$11:$B$310)+COUNTA(条幅!$B$11:$B$310),INDEX(条幅!$F$11:$F$310,574-COUNTA(半紙!$B$11:$B$310)),IF(574&lt;=COUNTA(半紙!$B$11:$B$310)+COUNTA(条幅!$B$11:$B$310)+COUNTA(条幅4分の1!$B$11:$B$310),INDEX(条幅4分の1!$F$11:$F$310,574-COUNTA(半紙!$B$11:$B$310)-COUNTA(条幅!$B$11:$B$310)),""))))</f>
        <v/>
      </c>
      <c r="G579" s="38" t="str">
        <f>IF(IF(574&lt;=COUNTA(半紙!$B$11:$B$310),INDEX(半紙!$G$11:$G$310,574),IF(574&lt;=COUNTA(半紙!$B$11:$B$310)+COUNTA(条幅!$B$11:$B$310),INDEX(条幅!$G$11:$G$310,574-COUNTA(半紙!$B$11:$B$310)),IF(574&lt;=COUNTA(半紙!$B$11:$B$310)+COUNTA(条幅!$B$11:$B$310)+COUNTA(条幅4分の1!$B$11:$B$310),INDEX(条幅4分の1!$G$11:$G$310,574-COUNTA(半紙!$B$11:$B$310)-COUNTA(条幅!$B$11:$B$310)),"")))=0,"",IF(574&lt;=COUNTA(半紙!$B$11:$B$310),INDEX(半紙!$G$11:$G$310,574),IF(574&lt;=COUNTA(半紙!$B$11:$B$310)+COUNTA(条幅!$B$11:$B$310),INDEX(条幅!$G$11:$G$310,574-COUNTA(半紙!$B$11:$B$310)),IF(574&lt;=COUNTA(半紙!$B$11:$B$310)+COUNTA(条幅!$B$11:$B$310)+COUNTA(条幅4分の1!$B$11:$B$310),INDEX(条幅4分の1!$G$11:$G$310,574-COUNTA(半紙!$B$11:$B$310)-COUNTA(条幅!$B$11:$B$310)),""))))</f>
        <v/>
      </c>
      <c r="H579" s="38" t="str">
        <f>IF(IF(574&lt;=COUNTA(半紙!$B$11:$B$310),INDEX(半紙!$H$11:$H$310,574),IF(574&lt;=COUNTA(半紙!$B$11:$B$310)+COUNTA(条幅!$B$11:$B$310),INDEX(条幅!$H$11:$H$310,574-COUNTA(半紙!$B$11:$B$310)),IF(574&lt;=COUNTA(半紙!$B$11:$B$310)+COUNTA(条幅!$B$11:$B$310)+COUNTA(条幅4分の1!$B$11:$B$310),INDEX(条幅4分の1!$H$11:$H$310,574-COUNTA(半紙!$B$11:$B$310)-COUNTA(条幅!$B$11:$B$310)),"")))=0,"",IF(574&lt;=COUNTA(半紙!$B$11:$B$310),INDEX(半紙!$H$11:$H$310,574),IF(574&lt;=COUNTA(半紙!$B$11:$B$310)+COUNTA(条幅!$B$11:$B$310),INDEX(条幅!$H$11:$H$310,574-COUNTA(半紙!$B$11:$B$310)),IF(574&lt;=COUNTA(半紙!$B$11:$B$310)+COUNTA(条幅!$B$11:$B$310)+COUNTA(条幅4分の1!$B$11:$B$310),INDEX(条幅4分の1!$H$11:$H$310,574-COUNTA(半紙!$B$11:$B$310)-COUNTA(条幅!$B$11:$B$310)),""))))</f>
        <v/>
      </c>
      <c r="I579" s="38" t="str">
        <f>IF(IF(574&lt;=COUNTA(半紙!$B$11:$B$310),INDEX(半紙!$I$11:$I$310,574),IF(574&lt;=COUNTA(半紙!$B$11:$B$310)+COUNTA(条幅!$B$11:$B$310),INDEX(条幅!$I$11:$I$310,574-COUNTA(半紙!$B$11:$B$310)),IF(574&lt;=COUNTA(半紙!$B$11:$B$310)+COUNTA(条幅!$B$11:$B$310)+COUNTA(条幅4分の1!$B$11:$B$310),INDEX(条幅4分の1!$I$11:$I$310,574-COUNTA(半紙!$B$11:$B$310)-COUNTA(条幅!$B$11:$B$310)),"")))=0,"",IF(574&lt;=COUNTA(半紙!$B$11:$B$310),INDEX(半紙!$I$11:$I$310,574),IF(574&lt;=COUNTA(半紙!$B$11:$B$310)+COUNTA(条幅!$B$11:$B$310),INDEX(条幅!$I$11:$I$310,574-COUNTA(半紙!$B$11:$B$310)),IF(574&lt;=COUNTA(半紙!$B$11:$B$310)+COUNTA(条幅!$B$11:$B$310)+COUNTA(条幅4分の1!$B$11:$B$310),INDEX(条幅4分の1!$I$11:$I$310,574-COUNTA(半紙!$B$11:$B$310)-COUNTA(条幅!$B$11:$B$310)),""))))</f>
        <v/>
      </c>
      <c r="J579" s="38" t="str">
        <f>IF(IF(574&lt;=COUNTA(半紙!$B$11:$B$310),INDEX(半紙!$J$11:$J$310,574),IF(574&lt;=COUNTA(半紙!$B$11:$B$310)+COUNTA(条幅!$B$11:$B$310),INDEX(条幅!$J$11:$J$310,574-COUNTA(半紙!$B$11:$B$310)),IF(574&lt;=COUNTA(半紙!$B$11:$B$310)+COUNTA(条幅!$B$11:$B$310)+COUNTA(条幅4分の1!$B$11:$B$310),INDEX(条幅4分の1!$J$11:$J$310,574-COUNTA(半紙!$B$11:$B$310)-COUNTA(条幅!$B$11:$B$310)),"")))=0,"",IF(574&lt;=COUNTA(半紙!$B$11:$B$310),INDEX(半紙!$J$11:$J$310,574),IF(574&lt;=COUNTA(半紙!$B$11:$B$310)+COUNTA(条幅!$B$11:$B$310),INDEX(条幅!$J$11:$J$310,574-COUNTA(半紙!$B$11:$B$310)),IF(574&lt;=COUNTA(半紙!$B$11:$B$310)+COUNTA(条幅!$B$11:$B$310)+COUNTA(条幅4分の1!$B$11:$B$310),INDEX(条幅4分の1!$J$11:$J$310,574-COUNTA(半紙!$B$11:$B$310)-COUNTA(条幅!$B$11:$B$310)),""))))</f>
        <v/>
      </c>
      <c r="K579" s="38" t="str">
        <f>IF(IF(574&lt;=COUNTA(半紙!$B$11:$B$310),INDEX(半紙!$K$11:$K$310,574),IF(574&lt;=COUNTA(半紙!$B$11:$B$310)+COUNTA(条幅!$B$11:$B$310),INDEX(条幅!$K$11:$K$310,574-COUNTA(半紙!$B$11:$B$310)),IF(574&lt;=COUNTA(半紙!$B$11:$B$310)+COUNTA(条幅!$B$11:$B$310)+COUNTA(条幅4分の1!$B$11:$B$310),INDEX(条幅4分の1!$K$11:$K$310,574-COUNTA(半紙!$B$11:$B$310)-COUNTA(条幅!$B$11:$B$310)),"")))=0,"",IF(574&lt;=COUNTA(半紙!$B$11:$B$310),INDEX(半紙!$K$11:$K$310,574),IF(574&lt;=COUNTA(半紙!$B$11:$B$310)+COUNTA(条幅!$B$11:$B$310),INDEX(条幅!$K$11:$K$310,574-COUNTA(半紙!$B$11:$B$310)),IF(574&lt;=COUNTA(半紙!$B$11:$B$310)+COUNTA(条幅!$B$11:$B$310)+COUNTA(条幅4分の1!$B$11:$B$310),INDEX(条幅4分の1!$K$11:$K$310,574-COUNTA(半紙!$B$11:$B$310)-COUNTA(条幅!$B$11:$B$310)),""))))</f>
        <v/>
      </c>
      <c r="L579" s="48" t="str">
        <f>IF($B579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574))</f>
        <v/>
      </c>
    </row>
    <row r="580" spans="1:12" ht="15" customHeight="1">
      <c r="A580" s="37" t="str">
        <f>IF(575&lt;=COUNTA(半紙!$B$11:$B$310),"半紙",IF(575&lt;=COUNTA(半紙!$B$11:$B$310)+COUNTA(条幅!$B$11:$B$310),"条幅(半切)",IF(575&lt;=COUNTA(半紙!$B$11:$B$310)+COUNTA(条幅!$B$11:$B$310)+COUNTA(条幅4分の1!$B$11:$B$310),"条幅(1/4)","")))</f>
        <v/>
      </c>
      <c r="B580" s="38" t="str">
        <f>IF(IF(575&lt;=COUNTA(半紙!$B$11:$B$310),INDEX(半紙!$B$11:$B$310,575),IF(575&lt;=COUNTA(半紙!$B$11:$B$310)+COUNTA(条幅!$B$11:$B$310),INDEX(条幅!$B$11:$B$310,575-COUNTA(半紙!$B$11:$B$310)),IF(575&lt;=COUNTA(半紙!$B$11:$B$310)+COUNTA(条幅!$B$11:$B$310)+COUNTA(条幅4分の1!$B$11:$B$310),INDEX(条幅4分の1!$B$11:$B$310,575-COUNTA(半紙!$B$11:$B$310)-COUNTA(条幅!$B$11:$B$310)),"")))=0,"",IF(575&lt;=COUNTA(半紙!$B$11:$B$310),INDEX(半紙!$B$11:$B$310,575),IF(575&lt;=COUNTA(半紙!$B$11:$B$310)+COUNTA(条幅!$B$11:$B$310),INDEX(条幅!$B$11:$B$310,575-COUNTA(半紙!$B$11:$B$310)),IF(575&lt;=COUNTA(半紙!$B$11:$B$310)+COUNTA(条幅!$B$11:$B$310)+COUNTA(条幅4分の1!$B$11:$B$310),INDEX(条幅4分の1!$B$11:$B$310,575-COUNTA(半紙!$B$11:$B$310)-COUNTA(条幅!$B$11:$B$310)),""))))</f>
        <v/>
      </c>
      <c r="C580" s="38" t="str">
        <f>IF(IF(575&lt;=COUNTA(半紙!$B$11:$B$310),INDEX(半紙!$C$11:$C$310,575),IF(575&lt;=COUNTA(半紙!$B$11:$B$310)+COUNTA(条幅!$B$11:$B$310),INDEX(条幅!$C$11:$C$310,575-COUNTA(半紙!$B$11:$B$310)),IF(575&lt;=COUNTA(半紙!$B$11:$B$310)+COUNTA(条幅!$B$11:$B$310)+COUNTA(条幅4分の1!$B$11:$B$310),INDEX(条幅4分の1!$C$11:$C$310,575-COUNTA(半紙!$B$11:$B$310)-COUNTA(条幅!$B$11:$B$310)),"")))=0,"",IF(575&lt;=COUNTA(半紙!$B$11:$B$310),INDEX(半紙!$C$11:$C$310,575),IF(575&lt;=COUNTA(半紙!$B$11:$B$310)+COUNTA(条幅!$B$11:$B$310),INDEX(条幅!$C$11:$C$310,575-COUNTA(半紙!$B$11:$B$310)),IF(575&lt;=COUNTA(半紙!$B$11:$B$310)+COUNTA(条幅!$B$11:$B$310)+COUNTA(条幅4分の1!$B$11:$B$310),INDEX(条幅4分の1!$C$11:$C$310,575-COUNTA(半紙!$B$11:$B$310)-COUNTA(条幅!$B$11:$B$310)),""))))</f>
        <v/>
      </c>
      <c r="D580" s="38" t="str">
        <f>IF(IF(575&lt;=COUNTA(半紙!$B$11:$B$310),INDEX(半紙!$D$11:$D$310,575),IF(575&lt;=COUNTA(半紙!$B$11:$B$310)+COUNTA(条幅!$B$11:$B$310),INDEX(条幅!$D$11:$D$310,575-COUNTA(半紙!$B$11:$B$310)),IF(575&lt;=COUNTA(半紙!$B$11:$B$310)+COUNTA(条幅!$B$11:$B$310)+COUNTA(条幅4分の1!$B$11:$B$310),INDEX(条幅4分の1!$D$11:$D$310,575-COUNTA(半紙!$B$11:$B$310)-COUNTA(条幅!$B$11:$B$310)),"")))=0,"",IF(575&lt;=COUNTA(半紙!$B$11:$B$310),INDEX(半紙!$D$11:$D$310,575),IF(575&lt;=COUNTA(半紙!$B$11:$B$310)+COUNTA(条幅!$B$11:$B$310),INDEX(条幅!$D$11:$D$310,575-COUNTA(半紙!$B$11:$B$310)),IF(575&lt;=COUNTA(半紙!$B$11:$B$310)+COUNTA(条幅!$B$11:$B$310)+COUNTA(条幅4分の1!$B$11:$B$310),INDEX(条幅4分の1!$D$11:$D$310,575-COUNTA(半紙!$B$11:$B$310)-COUNTA(条幅!$B$11:$B$310)),""))))</f>
        <v/>
      </c>
      <c r="E580" s="38" t="str">
        <f>IF(IF(575&lt;=COUNTA(半紙!$B$11:$B$310),INDEX(半紙!$E$11:$E$310,575),IF(575&lt;=COUNTA(半紙!$B$11:$B$310)+COUNTA(条幅!$B$11:$B$310),INDEX(条幅!$E$11:$E$310,575-COUNTA(半紙!$B$11:$B$310)),IF(575&lt;=COUNTA(半紙!$B$11:$B$310)+COUNTA(条幅!$B$11:$B$310)+COUNTA(条幅4分の1!$B$11:$B$310),INDEX(条幅4分の1!$E$11:$E$310,575-COUNTA(半紙!$B$11:$B$310)-COUNTA(条幅!$B$11:$B$310)),"")))=0,"",IF(575&lt;=COUNTA(半紙!$B$11:$B$310),INDEX(半紙!$E$11:$E$310,575),IF(575&lt;=COUNTA(半紙!$B$11:$B$310)+COUNTA(条幅!$B$11:$B$310),INDEX(条幅!$E$11:$E$310,575-COUNTA(半紙!$B$11:$B$310)),IF(575&lt;=COUNTA(半紙!$B$11:$B$310)+COUNTA(条幅!$B$11:$B$310)+COUNTA(条幅4分の1!$B$11:$B$310),INDEX(条幅4分の1!$E$11:$E$310,575-COUNTA(半紙!$B$11:$B$310)-COUNTA(条幅!$B$11:$B$310)),""))))</f>
        <v/>
      </c>
      <c r="F580" s="38" t="str">
        <f>IF(IF(575&lt;=COUNTA(半紙!$B$11:$B$310),INDEX(半紙!$F$11:$F$310,575),IF(575&lt;=COUNTA(半紙!$B$11:$B$310)+COUNTA(条幅!$B$11:$B$310),INDEX(条幅!$F$11:$F$310,575-COUNTA(半紙!$B$11:$B$310)),IF(575&lt;=COUNTA(半紙!$B$11:$B$310)+COUNTA(条幅!$B$11:$B$310)+COUNTA(条幅4分の1!$B$11:$B$310),INDEX(条幅4分の1!$F$11:$F$310,575-COUNTA(半紙!$B$11:$B$310)-COUNTA(条幅!$B$11:$B$310)),"")))=0,"",IF(575&lt;=COUNTA(半紙!$B$11:$B$310),INDEX(半紙!$F$11:$F$310,575),IF(575&lt;=COUNTA(半紙!$B$11:$B$310)+COUNTA(条幅!$B$11:$B$310),INDEX(条幅!$F$11:$F$310,575-COUNTA(半紙!$B$11:$B$310)),IF(575&lt;=COUNTA(半紙!$B$11:$B$310)+COUNTA(条幅!$B$11:$B$310)+COUNTA(条幅4分の1!$B$11:$B$310),INDEX(条幅4分の1!$F$11:$F$310,575-COUNTA(半紙!$B$11:$B$310)-COUNTA(条幅!$B$11:$B$310)),""))))</f>
        <v/>
      </c>
      <c r="G580" s="38" t="str">
        <f>IF(IF(575&lt;=COUNTA(半紙!$B$11:$B$310),INDEX(半紙!$G$11:$G$310,575),IF(575&lt;=COUNTA(半紙!$B$11:$B$310)+COUNTA(条幅!$B$11:$B$310),INDEX(条幅!$G$11:$G$310,575-COUNTA(半紙!$B$11:$B$310)),IF(575&lt;=COUNTA(半紙!$B$11:$B$310)+COUNTA(条幅!$B$11:$B$310)+COUNTA(条幅4分の1!$B$11:$B$310),INDEX(条幅4分の1!$G$11:$G$310,575-COUNTA(半紙!$B$11:$B$310)-COUNTA(条幅!$B$11:$B$310)),"")))=0,"",IF(575&lt;=COUNTA(半紙!$B$11:$B$310),INDEX(半紙!$G$11:$G$310,575),IF(575&lt;=COUNTA(半紙!$B$11:$B$310)+COUNTA(条幅!$B$11:$B$310),INDEX(条幅!$G$11:$G$310,575-COUNTA(半紙!$B$11:$B$310)),IF(575&lt;=COUNTA(半紙!$B$11:$B$310)+COUNTA(条幅!$B$11:$B$310)+COUNTA(条幅4分の1!$B$11:$B$310),INDEX(条幅4分の1!$G$11:$G$310,575-COUNTA(半紙!$B$11:$B$310)-COUNTA(条幅!$B$11:$B$310)),""))))</f>
        <v/>
      </c>
      <c r="H580" s="38" t="str">
        <f>IF(IF(575&lt;=COUNTA(半紙!$B$11:$B$310),INDEX(半紙!$H$11:$H$310,575),IF(575&lt;=COUNTA(半紙!$B$11:$B$310)+COUNTA(条幅!$B$11:$B$310),INDEX(条幅!$H$11:$H$310,575-COUNTA(半紙!$B$11:$B$310)),IF(575&lt;=COUNTA(半紙!$B$11:$B$310)+COUNTA(条幅!$B$11:$B$310)+COUNTA(条幅4分の1!$B$11:$B$310),INDEX(条幅4分の1!$H$11:$H$310,575-COUNTA(半紙!$B$11:$B$310)-COUNTA(条幅!$B$11:$B$310)),"")))=0,"",IF(575&lt;=COUNTA(半紙!$B$11:$B$310),INDEX(半紙!$H$11:$H$310,575),IF(575&lt;=COUNTA(半紙!$B$11:$B$310)+COUNTA(条幅!$B$11:$B$310),INDEX(条幅!$H$11:$H$310,575-COUNTA(半紙!$B$11:$B$310)),IF(575&lt;=COUNTA(半紙!$B$11:$B$310)+COUNTA(条幅!$B$11:$B$310)+COUNTA(条幅4分の1!$B$11:$B$310),INDEX(条幅4分の1!$H$11:$H$310,575-COUNTA(半紙!$B$11:$B$310)-COUNTA(条幅!$B$11:$B$310)),""))))</f>
        <v/>
      </c>
      <c r="I580" s="38" t="str">
        <f>IF(IF(575&lt;=COUNTA(半紙!$B$11:$B$310),INDEX(半紙!$I$11:$I$310,575),IF(575&lt;=COUNTA(半紙!$B$11:$B$310)+COUNTA(条幅!$B$11:$B$310),INDEX(条幅!$I$11:$I$310,575-COUNTA(半紙!$B$11:$B$310)),IF(575&lt;=COUNTA(半紙!$B$11:$B$310)+COUNTA(条幅!$B$11:$B$310)+COUNTA(条幅4分の1!$B$11:$B$310),INDEX(条幅4分の1!$I$11:$I$310,575-COUNTA(半紙!$B$11:$B$310)-COUNTA(条幅!$B$11:$B$310)),"")))=0,"",IF(575&lt;=COUNTA(半紙!$B$11:$B$310),INDEX(半紙!$I$11:$I$310,575),IF(575&lt;=COUNTA(半紙!$B$11:$B$310)+COUNTA(条幅!$B$11:$B$310),INDEX(条幅!$I$11:$I$310,575-COUNTA(半紙!$B$11:$B$310)),IF(575&lt;=COUNTA(半紙!$B$11:$B$310)+COUNTA(条幅!$B$11:$B$310)+COUNTA(条幅4分の1!$B$11:$B$310),INDEX(条幅4分の1!$I$11:$I$310,575-COUNTA(半紙!$B$11:$B$310)-COUNTA(条幅!$B$11:$B$310)),""))))</f>
        <v/>
      </c>
      <c r="J580" s="38" t="str">
        <f>IF(IF(575&lt;=COUNTA(半紙!$B$11:$B$310),INDEX(半紙!$J$11:$J$310,575),IF(575&lt;=COUNTA(半紙!$B$11:$B$310)+COUNTA(条幅!$B$11:$B$310),INDEX(条幅!$J$11:$J$310,575-COUNTA(半紙!$B$11:$B$310)),IF(575&lt;=COUNTA(半紙!$B$11:$B$310)+COUNTA(条幅!$B$11:$B$310)+COUNTA(条幅4分の1!$B$11:$B$310),INDEX(条幅4分の1!$J$11:$J$310,575-COUNTA(半紙!$B$11:$B$310)-COUNTA(条幅!$B$11:$B$310)),"")))=0,"",IF(575&lt;=COUNTA(半紙!$B$11:$B$310),INDEX(半紙!$J$11:$J$310,575),IF(575&lt;=COUNTA(半紙!$B$11:$B$310)+COUNTA(条幅!$B$11:$B$310),INDEX(条幅!$J$11:$J$310,575-COUNTA(半紙!$B$11:$B$310)),IF(575&lt;=COUNTA(半紙!$B$11:$B$310)+COUNTA(条幅!$B$11:$B$310)+COUNTA(条幅4分の1!$B$11:$B$310),INDEX(条幅4分の1!$J$11:$J$310,575-COUNTA(半紙!$B$11:$B$310)-COUNTA(条幅!$B$11:$B$310)),""))))</f>
        <v/>
      </c>
      <c r="K580" s="38" t="str">
        <f>IF(IF(575&lt;=COUNTA(半紙!$B$11:$B$310),INDEX(半紙!$K$11:$K$310,575),IF(575&lt;=COUNTA(半紙!$B$11:$B$310)+COUNTA(条幅!$B$11:$B$310),INDEX(条幅!$K$11:$K$310,575-COUNTA(半紙!$B$11:$B$310)),IF(575&lt;=COUNTA(半紙!$B$11:$B$310)+COUNTA(条幅!$B$11:$B$310)+COUNTA(条幅4分の1!$B$11:$B$310),INDEX(条幅4分の1!$K$11:$K$310,575-COUNTA(半紙!$B$11:$B$310)-COUNTA(条幅!$B$11:$B$310)),"")))=0,"",IF(575&lt;=COUNTA(半紙!$B$11:$B$310),INDEX(半紙!$K$11:$K$310,575),IF(575&lt;=COUNTA(半紙!$B$11:$B$310)+COUNTA(条幅!$B$11:$B$310),INDEX(条幅!$K$11:$K$310,575-COUNTA(半紙!$B$11:$B$310)),IF(575&lt;=COUNTA(半紙!$B$11:$B$310)+COUNTA(条幅!$B$11:$B$310)+COUNTA(条幅4分の1!$B$11:$B$310),INDEX(条幅4分の1!$K$11:$K$310,575-COUNTA(半紙!$B$11:$B$310)-COUNTA(条幅!$B$11:$B$310)),""))))</f>
        <v/>
      </c>
      <c r="L580" s="48" t="str">
        <f>IF($B580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575))</f>
        <v/>
      </c>
    </row>
    <row r="581" spans="1:12" ht="15" customHeight="1">
      <c r="A581" s="37" t="str">
        <f>IF(576&lt;=COUNTA(半紙!$B$11:$B$310),"半紙",IF(576&lt;=COUNTA(半紙!$B$11:$B$310)+COUNTA(条幅!$B$11:$B$310),"条幅(半切)",IF(576&lt;=COUNTA(半紙!$B$11:$B$310)+COUNTA(条幅!$B$11:$B$310)+COUNTA(条幅4分の1!$B$11:$B$310),"条幅(1/4)","")))</f>
        <v/>
      </c>
      <c r="B581" s="38" t="str">
        <f>IF(IF(576&lt;=COUNTA(半紙!$B$11:$B$310),INDEX(半紙!$B$11:$B$310,576),IF(576&lt;=COUNTA(半紙!$B$11:$B$310)+COUNTA(条幅!$B$11:$B$310),INDEX(条幅!$B$11:$B$310,576-COUNTA(半紙!$B$11:$B$310)),IF(576&lt;=COUNTA(半紙!$B$11:$B$310)+COUNTA(条幅!$B$11:$B$310)+COUNTA(条幅4分の1!$B$11:$B$310),INDEX(条幅4分の1!$B$11:$B$310,576-COUNTA(半紙!$B$11:$B$310)-COUNTA(条幅!$B$11:$B$310)),"")))=0,"",IF(576&lt;=COUNTA(半紙!$B$11:$B$310),INDEX(半紙!$B$11:$B$310,576),IF(576&lt;=COUNTA(半紙!$B$11:$B$310)+COUNTA(条幅!$B$11:$B$310),INDEX(条幅!$B$11:$B$310,576-COUNTA(半紙!$B$11:$B$310)),IF(576&lt;=COUNTA(半紙!$B$11:$B$310)+COUNTA(条幅!$B$11:$B$310)+COUNTA(条幅4分の1!$B$11:$B$310),INDEX(条幅4分の1!$B$11:$B$310,576-COUNTA(半紙!$B$11:$B$310)-COUNTA(条幅!$B$11:$B$310)),""))))</f>
        <v/>
      </c>
      <c r="C581" s="38" t="str">
        <f>IF(IF(576&lt;=COUNTA(半紙!$B$11:$B$310),INDEX(半紙!$C$11:$C$310,576),IF(576&lt;=COUNTA(半紙!$B$11:$B$310)+COUNTA(条幅!$B$11:$B$310),INDEX(条幅!$C$11:$C$310,576-COUNTA(半紙!$B$11:$B$310)),IF(576&lt;=COUNTA(半紙!$B$11:$B$310)+COUNTA(条幅!$B$11:$B$310)+COUNTA(条幅4分の1!$B$11:$B$310),INDEX(条幅4分の1!$C$11:$C$310,576-COUNTA(半紙!$B$11:$B$310)-COUNTA(条幅!$B$11:$B$310)),"")))=0,"",IF(576&lt;=COUNTA(半紙!$B$11:$B$310),INDEX(半紙!$C$11:$C$310,576),IF(576&lt;=COUNTA(半紙!$B$11:$B$310)+COUNTA(条幅!$B$11:$B$310),INDEX(条幅!$C$11:$C$310,576-COUNTA(半紙!$B$11:$B$310)),IF(576&lt;=COUNTA(半紙!$B$11:$B$310)+COUNTA(条幅!$B$11:$B$310)+COUNTA(条幅4分の1!$B$11:$B$310),INDEX(条幅4分の1!$C$11:$C$310,576-COUNTA(半紙!$B$11:$B$310)-COUNTA(条幅!$B$11:$B$310)),""))))</f>
        <v/>
      </c>
      <c r="D581" s="38" t="str">
        <f>IF(IF(576&lt;=COUNTA(半紙!$B$11:$B$310),INDEX(半紙!$D$11:$D$310,576),IF(576&lt;=COUNTA(半紙!$B$11:$B$310)+COUNTA(条幅!$B$11:$B$310),INDEX(条幅!$D$11:$D$310,576-COUNTA(半紙!$B$11:$B$310)),IF(576&lt;=COUNTA(半紙!$B$11:$B$310)+COUNTA(条幅!$B$11:$B$310)+COUNTA(条幅4分の1!$B$11:$B$310),INDEX(条幅4分の1!$D$11:$D$310,576-COUNTA(半紙!$B$11:$B$310)-COUNTA(条幅!$B$11:$B$310)),"")))=0,"",IF(576&lt;=COUNTA(半紙!$B$11:$B$310),INDEX(半紙!$D$11:$D$310,576),IF(576&lt;=COUNTA(半紙!$B$11:$B$310)+COUNTA(条幅!$B$11:$B$310),INDEX(条幅!$D$11:$D$310,576-COUNTA(半紙!$B$11:$B$310)),IF(576&lt;=COUNTA(半紙!$B$11:$B$310)+COUNTA(条幅!$B$11:$B$310)+COUNTA(条幅4分の1!$B$11:$B$310),INDEX(条幅4分の1!$D$11:$D$310,576-COUNTA(半紙!$B$11:$B$310)-COUNTA(条幅!$B$11:$B$310)),""))))</f>
        <v/>
      </c>
      <c r="E581" s="38" t="str">
        <f>IF(IF(576&lt;=COUNTA(半紙!$B$11:$B$310),INDEX(半紙!$E$11:$E$310,576),IF(576&lt;=COUNTA(半紙!$B$11:$B$310)+COUNTA(条幅!$B$11:$B$310),INDEX(条幅!$E$11:$E$310,576-COUNTA(半紙!$B$11:$B$310)),IF(576&lt;=COUNTA(半紙!$B$11:$B$310)+COUNTA(条幅!$B$11:$B$310)+COUNTA(条幅4分の1!$B$11:$B$310),INDEX(条幅4分の1!$E$11:$E$310,576-COUNTA(半紙!$B$11:$B$310)-COUNTA(条幅!$B$11:$B$310)),"")))=0,"",IF(576&lt;=COUNTA(半紙!$B$11:$B$310),INDEX(半紙!$E$11:$E$310,576),IF(576&lt;=COUNTA(半紙!$B$11:$B$310)+COUNTA(条幅!$B$11:$B$310),INDEX(条幅!$E$11:$E$310,576-COUNTA(半紙!$B$11:$B$310)),IF(576&lt;=COUNTA(半紙!$B$11:$B$310)+COUNTA(条幅!$B$11:$B$310)+COUNTA(条幅4分の1!$B$11:$B$310),INDEX(条幅4分の1!$E$11:$E$310,576-COUNTA(半紙!$B$11:$B$310)-COUNTA(条幅!$B$11:$B$310)),""))))</f>
        <v/>
      </c>
      <c r="F581" s="38" t="str">
        <f>IF(IF(576&lt;=COUNTA(半紙!$B$11:$B$310),INDEX(半紙!$F$11:$F$310,576),IF(576&lt;=COUNTA(半紙!$B$11:$B$310)+COUNTA(条幅!$B$11:$B$310),INDEX(条幅!$F$11:$F$310,576-COUNTA(半紙!$B$11:$B$310)),IF(576&lt;=COUNTA(半紙!$B$11:$B$310)+COUNTA(条幅!$B$11:$B$310)+COUNTA(条幅4分の1!$B$11:$B$310),INDEX(条幅4分の1!$F$11:$F$310,576-COUNTA(半紙!$B$11:$B$310)-COUNTA(条幅!$B$11:$B$310)),"")))=0,"",IF(576&lt;=COUNTA(半紙!$B$11:$B$310),INDEX(半紙!$F$11:$F$310,576),IF(576&lt;=COUNTA(半紙!$B$11:$B$310)+COUNTA(条幅!$B$11:$B$310),INDEX(条幅!$F$11:$F$310,576-COUNTA(半紙!$B$11:$B$310)),IF(576&lt;=COUNTA(半紙!$B$11:$B$310)+COUNTA(条幅!$B$11:$B$310)+COUNTA(条幅4分の1!$B$11:$B$310),INDEX(条幅4分の1!$F$11:$F$310,576-COUNTA(半紙!$B$11:$B$310)-COUNTA(条幅!$B$11:$B$310)),""))))</f>
        <v/>
      </c>
      <c r="G581" s="38" t="str">
        <f>IF(IF(576&lt;=COUNTA(半紙!$B$11:$B$310),INDEX(半紙!$G$11:$G$310,576),IF(576&lt;=COUNTA(半紙!$B$11:$B$310)+COUNTA(条幅!$B$11:$B$310),INDEX(条幅!$G$11:$G$310,576-COUNTA(半紙!$B$11:$B$310)),IF(576&lt;=COUNTA(半紙!$B$11:$B$310)+COUNTA(条幅!$B$11:$B$310)+COUNTA(条幅4分の1!$B$11:$B$310),INDEX(条幅4分の1!$G$11:$G$310,576-COUNTA(半紙!$B$11:$B$310)-COUNTA(条幅!$B$11:$B$310)),"")))=0,"",IF(576&lt;=COUNTA(半紙!$B$11:$B$310),INDEX(半紙!$G$11:$G$310,576),IF(576&lt;=COUNTA(半紙!$B$11:$B$310)+COUNTA(条幅!$B$11:$B$310),INDEX(条幅!$G$11:$G$310,576-COUNTA(半紙!$B$11:$B$310)),IF(576&lt;=COUNTA(半紙!$B$11:$B$310)+COUNTA(条幅!$B$11:$B$310)+COUNTA(条幅4分の1!$B$11:$B$310),INDEX(条幅4分の1!$G$11:$G$310,576-COUNTA(半紙!$B$11:$B$310)-COUNTA(条幅!$B$11:$B$310)),""))))</f>
        <v/>
      </c>
      <c r="H581" s="38" t="str">
        <f>IF(IF(576&lt;=COUNTA(半紙!$B$11:$B$310),INDEX(半紙!$H$11:$H$310,576),IF(576&lt;=COUNTA(半紙!$B$11:$B$310)+COUNTA(条幅!$B$11:$B$310),INDEX(条幅!$H$11:$H$310,576-COUNTA(半紙!$B$11:$B$310)),IF(576&lt;=COUNTA(半紙!$B$11:$B$310)+COUNTA(条幅!$B$11:$B$310)+COUNTA(条幅4分の1!$B$11:$B$310),INDEX(条幅4分の1!$H$11:$H$310,576-COUNTA(半紙!$B$11:$B$310)-COUNTA(条幅!$B$11:$B$310)),"")))=0,"",IF(576&lt;=COUNTA(半紙!$B$11:$B$310),INDEX(半紙!$H$11:$H$310,576),IF(576&lt;=COUNTA(半紙!$B$11:$B$310)+COUNTA(条幅!$B$11:$B$310),INDEX(条幅!$H$11:$H$310,576-COUNTA(半紙!$B$11:$B$310)),IF(576&lt;=COUNTA(半紙!$B$11:$B$310)+COUNTA(条幅!$B$11:$B$310)+COUNTA(条幅4分の1!$B$11:$B$310),INDEX(条幅4分の1!$H$11:$H$310,576-COUNTA(半紙!$B$11:$B$310)-COUNTA(条幅!$B$11:$B$310)),""))))</f>
        <v/>
      </c>
      <c r="I581" s="38" t="str">
        <f>IF(IF(576&lt;=COUNTA(半紙!$B$11:$B$310),INDEX(半紙!$I$11:$I$310,576),IF(576&lt;=COUNTA(半紙!$B$11:$B$310)+COUNTA(条幅!$B$11:$B$310),INDEX(条幅!$I$11:$I$310,576-COUNTA(半紙!$B$11:$B$310)),IF(576&lt;=COUNTA(半紙!$B$11:$B$310)+COUNTA(条幅!$B$11:$B$310)+COUNTA(条幅4分の1!$B$11:$B$310),INDEX(条幅4分の1!$I$11:$I$310,576-COUNTA(半紙!$B$11:$B$310)-COUNTA(条幅!$B$11:$B$310)),"")))=0,"",IF(576&lt;=COUNTA(半紙!$B$11:$B$310),INDEX(半紙!$I$11:$I$310,576),IF(576&lt;=COUNTA(半紙!$B$11:$B$310)+COUNTA(条幅!$B$11:$B$310),INDEX(条幅!$I$11:$I$310,576-COUNTA(半紙!$B$11:$B$310)),IF(576&lt;=COUNTA(半紙!$B$11:$B$310)+COUNTA(条幅!$B$11:$B$310)+COUNTA(条幅4分の1!$B$11:$B$310),INDEX(条幅4分の1!$I$11:$I$310,576-COUNTA(半紙!$B$11:$B$310)-COUNTA(条幅!$B$11:$B$310)),""))))</f>
        <v/>
      </c>
      <c r="J581" s="38" t="str">
        <f>IF(IF(576&lt;=COUNTA(半紙!$B$11:$B$310),INDEX(半紙!$J$11:$J$310,576),IF(576&lt;=COUNTA(半紙!$B$11:$B$310)+COUNTA(条幅!$B$11:$B$310),INDEX(条幅!$J$11:$J$310,576-COUNTA(半紙!$B$11:$B$310)),IF(576&lt;=COUNTA(半紙!$B$11:$B$310)+COUNTA(条幅!$B$11:$B$310)+COUNTA(条幅4分の1!$B$11:$B$310),INDEX(条幅4分の1!$J$11:$J$310,576-COUNTA(半紙!$B$11:$B$310)-COUNTA(条幅!$B$11:$B$310)),"")))=0,"",IF(576&lt;=COUNTA(半紙!$B$11:$B$310),INDEX(半紙!$J$11:$J$310,576),IF(576&lt;=COUNTA(半紙!$B$11:$B$310)+COUNTA(条幅!$B$11:$B$310),INDEX(条幅!$J$11:$J$310,576-COUNTA(半紙!$B$11:$B$310)),IF(576&lt;=COUNTA(半紙!$B$11:$B$310)+COUNTA(条幅!$B$11:$B$310)+COUNTA(条幅4分の1!$B$11:$B$310),INDEX(条幅4分の1!$J$11:$J$310,576-COUNTA(半紙!$B$11:$B$310)-COUNTA(条幅!$B$11:$B$310)),""))))</f>
        <v/>
      </c>
      <c r="K581" s="38" t="str">
        <f>IF(IF(576&lt;=COUNTA(半紙!$B$11:$B$310),INDEX(半紙!$K$11:$K$310,576),IF(576&lt;=COUNTA(半紙!$B$11:$B$310)+COUNTA(条幅!$B$11:$B$310),INDEX(条幅!$K$11:$K$310,576-COUNTA(半紙!$B$11:$B$310)),IF(576&lt;=COUNTA(半紙!$B$11:$B$310)+COUNTA(条幅!$B$11:$B$310)+COUNTA(条幅4分の1!$B$11:$B$310),INDEX(条幅4分の1!$K$11:$K$310,576-COUNTA(半紙!$B$11:$B$310)-COUNTA(条幅!$B$11:$B$310)),"")))=0,"",IF(576&lt;=COUNTA(半紙!$B$11:$B$310),INDEX(半紙!$K$11:$K$310,576),IF(576&lt;=COUNTA(半紙!$B$11:$B$310)+COUNTA(条幅!$B$11:$B$310),INDEX(条幅!$K$11:$K$310,576-COUNTA(半紙!$B$11:$B$310)),IF(576&lt;=COUNTA(半紙!$B$11:$B$310)+COUNTA(条幅!$B$11:$B$310)+COUNTA(条幅4分の1!$B$11:$B$310),INDEX(条幅4分の1!$K$11:$K$310,576-COUNTA(半紙!$B$11:$B$310)-COUNTA(条幅!$B$11:$B$310)),""))))</f>
        <v/>
      </c>
      <c r="L581" s="48" t="str">
        <f>IF($B581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576))</f>
        <v/>
      </c>
    </row>
    <row r="582" spans="1:12" ht="15" customHeight="1">
      <c r="A582" s="37" t="str">
        <f>IF(577&lt;=COUNTA(半紙!$B$11:$B$310),"半紙",IF(577&lt;=COUNTA(半紙!$B$11:$B$310)+COUNTA(条幅!$B$11:$B$310),"条幅(半切)",IF(577&lt;=COUNTA(半紙!$B$11:$B$310)+COUNTA(条幅!$B$11:$B$310)+COUNTA(条幅4分の1!$B$11:$B$310),"条幅(1/4)","")))</f>
        <v/>
      </c>
      <c r="B582" s="38" t="str">
        <f>IF(IF(577&lt;=COUNTA(半紙!$B$11:$B$310),INDEX(半紙!$B$11:$B$310,577),IF(577&lt;=COUNTA(半紙!$B$11:$B$310)+COUNTA(条幅!$B$11:$B$310),INDEX(条幅!$B$11:$B$310,577-COUNTA(半紙!$B$11:$B$310)),IF(577&lt;=COUNTA(半紙!$B$11:$B$310)+COUNTA(条幅!$B$11:$B$310)+COUNTA(条幅4分の1!$B$11:$B$310),INDEX(条幅4分の1!$B$11:$B$310,577-COUNTA(半紙!$B$11:$B$310)-COUNTA(条幅!$B$11:$B$310)),"")))=0,"",IF(577&lt;=COUNTA(半紙!$B$11:$B$310),INDEX(半紙!$B$11:$B$310,577),IF(577&lt;=COUNTA(半紙!$B$11:$B$310)+COUNTA(条幅!$B$11:$B$310),INDEX(条幅!$B$11:$B$310,577-COUNTA(半紙!$B$11:$B$310)),IF(577&lt;=COUNTA(半紙!$B$11:$B$310)+COUNTA(条幅!$B$11:$B$310)+COUNTA(条幅4分の1!$B$11:$B$310),INDEX(条幅4分の1!$B$11:$B$310,577-COUNTA(半紙!$B$11:$B$310)-COUNTA(条幅!$B$11:$B$310)),""))))</f>
        <v/>
      </c>
      <c r="C582" s="38" t="str">
        <f>IF(IF(577&lt;=COUNTA(半紙!$B$11:$B$310),INDEX(半紙!$C$11:$C$310,577),IF(577&lt;=COUNTA(半紙!$B$11:$B$310)+COUNTA(条幅!$B$11:$B$310),INDEX(条幅!$C$11:$C$310,577-COUNTA(半紙!$B$11:$B$310)),IF(577&lt;=COUNTA(半紙!$B$11:$B$310)+COUNTA(条幅!$B$11:$B$310)+COUNTA(条幅4分の1!$B$11:$B$310),INDEX(条幅4分の1!$C$11:$C$310,577-COUNTA(半紙!$B$11:$B$310)-COUNTA(条幅!$B$11:$B$310)),"")))=0,"",IF(577&lt;=COUNTA(半紙!$B$11:$B$310),INDEX(半紙!$C$11:$C$310,577),IF(577&lt;=COUNTA(半紙!$B$11:$B$310)+COUNTA(条幅!$B$11:$B$310),INDEX(条幅!$C$11:$C$310,577-COUNTA(半紙!$B$11:$B$310)),IF(577&lt;=COUNTA(半紙!$B$11:$B$310)+COUNTA(条幅!$B$11:$B$310)+COUNTA(条幅4分の1!$B$11:$B$310),INDEX(条幅4分の1!$C$11:$C$310,577-COUNTA(半紙!$B$11:$B$310)-COUNTA(条幅!$B$11:$B$310)),""))))</f>
        <v/>
      </c>
      <c r="D582" s="38" t="str">
        <f>IF(IF(577&lt;=COUNTA(半紙!$B$11:$B$310),INDEX(半紙!$D$11:$D$310,577),IF(577&lt;=COUNTA(半紙!$B$11:$B$310)+COUNTA(条幅!$B$11:$B$310),INDEX(条幅!$D$11:$D$310,577-COUNTA(半紙!$B$11:$B$310)),IF(577&lt;=COUNTA(半紙!$B$11:$B$310)+COUNTA(条幅!$B$11:$B$310)+COUNTA(条幅4分の1!$B$11:$B$310),INDEX(条幅4分の1!$D$11:$D$310,577-COUNTA(半紙!$B$11:$B$310)-COUNTA(条幅!$B$11:$B$310)),"")))=0,"",IF(577&lt;=COUNTA(半紙!$B$11:$B$310),INDEX(半紙!$D$11:$D$310,577),IF(577&lt;=COUNTA(半紙!$B$11:$B$310)+COUNTA(条幅!$B$11:$B$310),INDEX(条幅!$D$11:$D$310,577-COUNTA(半紙!$B$11:$B$310)),IF(577&lt;=COUNTA(半紙!$B$11:$B$310)+COUNTA(条幅!$B$11:$B$310)+COUNTA(条幅4分の1!$B$11:$B$310),INDEX(条幅4分の1!$D$11:$D$310,577-COUNTA(半紙!$B$11:$B$310)-COUNTA(条幅!$B$11:$B$310)),""))))</f>
        <v/>
      </c>
      <c r="E582" s="38" t="str">
        <f>IF(IF(577&lt;=COUNTA(半紙!$B$11:$B$310),INDEX(半紙!$E$11:$E$310,577),IF(577&lt;=COUNTA(半紙!$B$11:$B$310)+COUNTA(条幅!$B$11:$B$310),INDEX(条幅!$E$11:$E$310,577-COUNTA(半紙!$B$11:$B$310)),IF(577&lt;=COUNTA(半紙!$B$11:$B$310)+COUNTA(条幅!$B$11:$B$310)+COUNTA(条幅4分の1!$B$11:$B$310),INDEX(条幅4分の1!$E$11:$E$310,577-COUNTA(半紙!$B$11:$B$310)-COUNTA(条幅!$B$11:$B$310)),"")))=0,"",IF(577&lt;=COUNTA(半紙!$B$11:$B$310),INDEX(半紙!$E$11:$E$310,577),IF(577&lt;=COUNTA(半紙!$B$11:$B$310)+COUNTA(条幅!$B$11:$B$310),INDEX(条幅!$E$11:$E$310,577-COUNTA(半紙!$B$11:$B$310)),IF(577&lt;=COUNTA(半紙!$B$11:$B$310)+COUNTA(条幅!$B$11:$B$310)+COUNTA(条幅4分の1!$B$11:$B$310),INDEX(条幅4分の1!$E$11:$E$310,577-COUNTA(半紙!$B$11:$B$310)-COUNTA(条幅!$B$11:$B$310)),""))))</f>
        <v/>
      </c>
      <c r="F582" s="38" t="str">
        <f>IF(IF(577&lt;=COUNTA(半紙!$B$11:$B$310),INDEX(半紙!$F$11:$F$310,577),IF(577&lt;=COUNTA(半紙!$B$11:$B$310)+COUNTA(条幅!$B$11:$B$310),INDEX(条幅!$F$11:$F$310,577-COUNTA(半紙!$B$11:$B$310)),IF(577&lt;=COUNTA(半紙!$B$11:$B$310)+COUNTA(条幅!$B$11:$B$310)+COUNTA(条幅4分の1!$B$11:$B$310),INDEX(条幅4分の1!$F$11:$F$310,577-COUNTA(半紙!$B$11:$B$310)-COUNTA(条幅!$B$11:$B$310)),"")))=0,"",IF(577&lt;=COUNTA(半紙!$B$11:$B$310),INDEX(半紙!$F$11:$F$310,577),IF(577&lt;=COUNTA(半紙!$B$11:$B$310)+COUNTA(条幅!$B$11:$B$310),INDEX(条幅!$F$11:$F$310,577-COUNTA(半紙!$B$11:$B$310)),IF(577&lt;=COUNTA(半紙!$B$11:$B$310)+COUNTA(条幅!$B$11:$B$310)+COUNTA(条幅4分の1!$B$11:$B$310),INDEX(条幅4分の1!$F$11:$F$310,577-COUNTA(半紙!$B$11:$B$310)-COUNTA(条幅!$B$11:$B$310)),""))))</f>
        <v/>
      </c>
      <c r="G582" s="38" t="str">
        <f>IF(IF(577&lt;=COUNTA(半紙!$B$11:$B$310),INDEX(半紙!$G$11:$G$310,577),IF(577&lt;=COUNTA(半紙!$B$11:$B$310)+COUNTA(条幅!$B$11:$B$310),INDEX(条幅!$G$11:$G$310,577-COUNTA(半紙!$B$11:$B$310)),IF(577&lt;=COUNTA(半紙!$B$11:$B$310)+COUNTA(条幅!$B$11:$B$310)+COUNTA(条幅4分の1!$B$11:$B$310),INDEX(条幅4分の1!$G$11:$G$310,577-COUNTA(半紙!$B$11:$B$310)-COUNTA(条幅!$B$11:$B$310)),"")))=0,"",IF(577&lt;=COUNTA(半紙!$B$11:$B$310),INDEX(半紙!$G$11:$G$310,577),IF(577&lt;=COUNTA(半紙!$B$11:$B$310)+COUNTA(条幅!$B$11:$B$310),INDEX(条幅!$G$11:$G$310,577-COUNTA(半紙!$B$11:$B$310)),IF(577&lt;=COUNTA(半紙!$B$11:$B$310)+COUNTA(条幅!$B$11:$B$310)+COUNTA(条幅4分の1!$B$11:$B$310),INDEX(条幅4分の1!$G$11:$G$310,577-COUNTA(半紙!$B$11:$B$310)-COUNTA(条幅!$B$11:$B$310)),""))))</f>
        <v/>
      </c>
      <c r="H582" s="38" t="str">
        <f>IF(IF(577&lt;=COUNTA(半紙!$B$11:$B$310),INDEX(半紙!$H$11:$H$310,577),IF(577&lt;=COUNTA(半紙!$B$11:$B$310)+COUNTA(条幅!$B$11:$B$310),INDEX(条幅!$H$11:$H$310,577-COUNTA(半紙!$B$11:$B$310)),IF(577&lt;=COUNTA(半紙!$B$11:$B$310)+COUNTA(条幅!$B$11:$B$310)+COUNTA(条幅4分の1!$B$11:$B$310),INDEX(条幅4分の1!$H$11:$H$310,577-COUNTA(半紙!$B$11:$B$310)-COUNTA(条幅!$B$11:$B$310)),"")))=0,"",IF(577&lt;=COUNTA(半紙!$B$11:$B$310),INDEX(半紙!$H$11:$H$310,577),IF(577&lt;=COUNTA(半紙!$B$11:$B$310)+COUNTA(条幅!$B$11:$B$310),INDEX(条幅!$H$11:$H$310,577-COUNTA(半紙!$B$11:$B$310)),IF(577&lt;=COUNTA(半紙!$B$11:$B$310)+COUNTA(条幅!$B$11:$B$310)+COUNTA(条幅4分の1!$B$11:$B$310),INDEX(条幅4分の1!$H$11:$H$310,577-COUNTA(半紙!$B$11:$B$310)-COUNTA(条幅!$B$11:$B$310)),""))))</f>
        <v/>
      </c>
      <c r="I582" s="38" t="str">
        <f>IF(IF(577&lt;=COUNTA(半紙!$B$11:$B$310),INDEX(半紙!$I$11:$I$310,577),IF(577&lt;=COUNTA(半紙!$B$11:$B$310)+COUNTA(条幅!$B$11:$B$310),INDEX(条幅!$I$11:$I$310,577-COUNTA(半紙!$B$11:$B$310)),IF(577&lt;=COUNTA(半紙!$B$11:$B$310)+COUNTA(条幅!$B$11:$B$310)+COUNTA(条幅4分の1!$B$11:$B$310),INDEX(条幅4分の1!$I$11:$I$310,577-COUNTA(半紙!$B$11:$B$310)-COUNTA(条幅!$B$11:$B$310)),"")))=0,"",IF(577&lt;=COUNTA(半紙!$B$11:$B$310),INDEX(半紙!$I$11:$I$310,577),IF(577&lt;=COUNTA(半紙!$B$11:$B$310)+COUNTA(条幅!$B$11:$B$310),INDEX(条幅!$I$11:$I$310,577-COUNTA(半紙!$B$11:$B$310)),IF(577&lt;=COUNTA(半紙!$B$11:$B$310)+COUNTA(条幅!$B$11:$B$310)+COUNTA(条幅4分の1!$B$11:$B$310),INDEX(条幅4分の1!$I$11:$I$310,577-COUNTA(半紙!$B$11:$B$310)-COUNTA(条幅!$B$11:$B$310)),""))))</f>
        <v/>
      </c>
      <c r="J582" s="38" t="str">
        <f>IF(IF(577&lt;=COUNTA(半紙!$B$11:$B$310),INDEX(半紙!$J$11:$J$310,577),IF(577&lt;=COUNTA(半紙!$B$11:$B$310)+COUNTA(条幅!$B$11:$B$310),INDEX(条幅!$J$11:$J$310,577-COUNTA(半紙!$B$11:$B$310)),IF(577&lt;=COUNTA(半紙!$B$11:$B$310)+COUNTA(条幅!$B$11:$B$310)+COUNTA(条幅4分の1!$B$11:$B$310),INDEX(条幅4分の1!$J$11:$J$310,577-COUNTA(半紙!$B$11:$B$310)-COUNTA(条幅!$B$11:$B$310)),"")))=0,"",IF(577&lt;=COUNTA(半紙!$B$11:$B$310),INDEX(半紙!$J$11:$J$310,577),IF(577&lt;=COUNTA(半紙!$B$11:$B$310)+COUNTA(条幅!$B$11:$B$310),INDEX(条幅!$J$11:$J$310,577-COUNTA(半紙!$B$11:$B$310)),IF(577&lt;=COUNTA(半紙!$B$11:$B$310)+COUNTA(条幅!$B$11:$B$310)+COUNTA(条幅4分の1!$B$11:$B$310),INDEX(条幅4分の1!$J$11:$J$310,577-COUNTA(半紙!$B$11:$B$310)-COUNTA(条幅!$B$11:$B$310)),""))))</f>
        <v/>
      </c>
      <c r="K582" s="38" t="str">
        <f>IF(IF(577&lt;=COUNTA(半紙!$B$11:$B$310),INDEX(半紙!$K$11:$K$310,577),IF(577&lt;=COUNTA(半紙!$B$11:$B$310)+COUNTA(条幅!$B$11:$B$310),INDEX(条幅!$K$11:$K$310,577-COUNTA(半紙!$B$11:$B$310)),IF(577&lt;=COUNTA(半紙!$B$11:$B$310)+COUNTA(条幅!$B$11:$B$310)+COUNTA(条幅4分の1!$B$11:$B$310),INDEX(条幅4分の1!$K$11:$K$310,577-COUNTA(半紙!$B$11:$B$310)-COUNTA(条幅!$B$11:$B$310)),"")))=0,"",IF(577&lt;=COUNTA(半紙!$B$11:$B$310),INDEX(半紙!$K$11:$K$310,577),IF(577&lt;=COUNTA(半紙!$B$11:$B$310)+COUNTA(条幅!$B$11:$B$310),INDEX(条幅!$K$11:$K$310,577-COUNTA(半紙!$B$11:$B$310)),IF(577&lt;=COUNTA(半紙!$B$11:$B$310)+COUNTA(条幅!$B$11:$B$310)+COUNTA(条幅4分の1!$B$11:$B$310),INDEX(条幅4分の1!$K$11:$K$310,577-COUNTA(半紙!$B$11:$B$310)-COUNTA(条幅!$B$11:$B$310)),""))))</f>
        <v/>
      </c>
      <c r="L582" s="48" t="str">
        <f>IF($B582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577))</f>
        <v/>
      </c>
    </row>
    <row r="583" spans="1:12" ht="15" customHeight="1">
      <c r="A583" s="37" t="str">
        <f>IF(578&lt;=COUNTA(半紙!$B$11:$B$310),"半紙",IF(578&lt;=COUNTA(半紙!$B$11:$B$310)+COUNTA(条幅!$B$11:$B$310),"条幅(半切)",IF(578&lt;=COUNTA(半紙!$B$11:$B$310)+COUNTA(条幅!$B$11:$B$310)+COUNTA(条幅4分の1!$B$11:$B$310),"条幅(1/4)","")))</f>
        <v/>
      </c>
      <c r="B583" s="38" t="str">
        <f>IF(IF(578&lt;=COUNTA(半紙!$B$11:$B$310),INDEX(半紙!$B$11:$B$310,578),IF(578&lt;=COUNTA(半紙!$B$11:$B$310)+COUNTA(条幅!$B$11:$B$310),INDEX(条幅!$B$11:$B$310,578-COUNTA(半紙!$B$11:$B$310)),IF(578&lt;=COUNTA(半紙!$B$11:$B$310)+COUNTA(条幅!$B$11:$B$310)+COUNTA(条幅4分の1!$B$11:$B$310),INDEX(条幅4分の1!$B$11:$B$310,578-COUNTA(半紙!$B$11:$B$310)-COUNTA(条幅!$B$11:$B$310)),"")))=0,"",IF(578&lt;=COUNTA(半紙!$B$11:$B$310),INDEX(半紙!$B$11:$B$310,578),IF(578&lt;=COUNTA(半紙!$B$11:$B$310)+COUNTA(条幅!$B$11:$B$310),INDEX(条幅!$B$11:$B$310,578-COUNTA(半紙!$B$11:$B$310)),IF(578&lt;=COUNTA(半紙!$B$11:$B$310)+COUNTA(条幅!$B$11:$B$310)+COUNTA(条幅4分の1!$B$11:$B$310),INDEX(条幅4分の1!$B$11:$B$310,578-COUNTA(半紙!$B$11:$B$310)-COUNTA(条幅!$B$11:$B$310)),""))))</f>
        <v/>
      </c>
      <c r="C583" s="38" t="str">
        <f>IF(IF(578&lt;=COUNTA(半紙!$B$11:$B$310),INDEX(半紙!$C$11:$C$310,578),IF(578&lt;=COUNTA(半紙!$B$11:$B$310)+COUNTA(条幅!$B$11:$B$310),INDEX(条幅!$C$11:$C$310,578-COUNTA(半紙!$B$11:$B$310)),IF(578&lt;=COUNTA(半紙!$B$11:$B$310)+COUNTA(条幅!$B$11:$B$310)+COUNTA(条幅4分の1!$B$11:$B$310),INDEX(条幅4分の1!$C$11:$C$310,578-COUNTA(半紙!$B$11:$B$310)-COUNTA(条幅!$B$11:$B$310)),"")))=0,"",IF(578&lt;=COUNTA(半紙!$B$11:$B$310),INDEX(半紙!$C$11:$C$310,578),IF(578&lt;=COUNTA(半紙!$B$11:$B$310)+COUNTA(条幅!$B$11:$B$310),INDEX(条幅!$C$11:$C$310,578-COUNTA(半紙!$B$11:$B$310)),IF(578&lt;=COUNTA(半紙!$B$11:$B$310)+COUNTA(条幅!$B$11:$B$310)+COUNTA(条幅4分の1!$B$11:$B$310),INDEX(条幅4分の1!$C$11:$C$310,578-COUNTA(半紙!$B$11:$B$310)-COUNTA(条幅!$B$11:$B$310)),""))))</f>
        <v/>
      </c>
      <c r="D583" s="38" t="str">
        <f>IF(IF(578&lt;=COUNTA(半紙!$B$11:$B$310),INDEX(半紙!$D$11:$D$310,578),IF(578&lt;=COUNTA(半紙!$B$11:$B$310)+COUNTA(条幅!$B$11:$B$310),INDEX(条幅!$D$11:$D$310,578-COUNTA(半紙!$B$11:$B$310)),IF(578&lt;=COUNTA(半紙!$B$11:$B$310)+COUNTA(条幅!$B$11:$B$310)+COUNTA(条幅4分の1!$B$11:$B$310),INDEX(条幅4分の1!$D$11:$D$310,578-COUNTA(半紙!$B$11:$B$310)-COUNTA(条幅!$B$11:$B$310)),"")))=0,"",IF(578&lt;=COUNTA(半紙!$B$11:$B$310),INDEX(半紙!$D$11:$D$310,578),IF(578&lt;=COUNTA(半紙!$B$11:$B$310)+COUNTA(条幅!$B$11:$B$310),INDEX(条幅!$D$11:$D$310,578-COUNTA(半紙!$B$11:$B$310)),IF(578&lt;=COUNTA(半紙!$B$11:$B$310)+COUNTA(条幅!$B$11:$B$310)+COUNTA(条幅4分の1!$B$11:$B$310),INDEX(条幅4分の1!$D$11:$D$310,578-COUNTA(半紙!$B$11:$B$310)-COUNTA(条幅!$B$11:$B$310)),""))))</f>
        <v/>
      </c>
      <c r="E583" s="38" t="str">
        <f>IF(IF(578&lt;=COUNTA(半紙!$B$11:$B$310),INDEX(半紙!$E$11:$E$310,578),IF(578&lt;=COUNTA(半紙!$B$11:$B$310)+COUNTA(条幅!$B$11:$B$310),INDEX(条幅!$E$11:$E$310,578-COUNTA(半紙!$B$11:$B$310)),IF(578&lt;=COUNTA(半紙!$B$11:$B$310)+COUNTA(条幅!$B$11:$B$310)+COUNTA(条幅4分の1!$B$11:$B$310),INDEX(条幅4分の1!$E$11:$E$310,578-COUNTA(半紙!$B$11:$B$310)-COUNTA(条幅!$B$11:$B$310)),"")))=0,"",IF(578&lt;=COUNTA(半紙!$B$11:$B$310),INDEX(半紙!$E$11:$E$310,578),IF(578&lt;=COUNTA(半紙!$B$11:$B$310)+COUNTA(条幅!$B$11:$B$310),INDEX(条幅!$E$11:$E$310,578-COUNTA(半紙!$B$11:$B$310)),IF(578&lt;=COUNTA(半紙!$B$11:$B$310)+COUNTA(条幅!$B$11:$B$310)+COUNTA(条幅4分の1!$B$11:$B$310),INDEX(条幅4分の1!$E$11:$E$310,578-COUNTA(半紙!$B$11:$B$310)-COUNTA(条幅!$B$11:$B$310)),""))))</f>
        <v/>
      </c>
      <c r="F583" s="38" t="str">
        <f>IF(IF(578&lt;=COUNTA(半紙!$B$11:$B$310),INDEX(半紙!$F$11:$F$310,578),IF(578&lt;=COUNTA(半紙!$B$11:$B$310)+COUNTA(条幅!$B$11:$B$310),INDEX(条幅!$F$11:$F$310,578-COUNTA(半紙!$B$11:$B$310)),IF(578&lt;=COUNTA(半紙!$B$11:$B$310)+COUNTA(条幅!$B$11:$B$310)+COUNTA(条幅4分の1!$B$11:$B$310),INDEX(条幅4分の1!$F$11:$F$310,578-COUNTA(半紙!$B$11:$B$310)-COUNTA(条幅!$B$11:$B$310)),"")))=0,"",IF(578&lt;=COUNTA(半紙!$B$11:$B$310),INDEX(半紙!$F$11:$F$310,578),IF(578&lt;=COUNTA(半紙!$B$11:$B$310)+COUNTA(条幅!$B$11:$B$310),INDEX(条幅!$F$11:$F$310,578-COUNTA(半紙!$B$11:$B$310)),IF(578&lt;=COUNTA(半紙!$B$11:$B$310)+COUNTA(条幅!$B$11:$B$310)+COUNTA(条幅4分の1!$B$11:$B$310),INDEX(条幅4分の1!$F$11:$F$310,578-COUNTA(半紙!$B$11:$B$310)-COUNTA(条幅!$B$11:$B$310)),""))))</f>
        <v/>
      </c>
      <c r="G583" s="38" t="str">
        <f>IF(IF(578&lt;=COUNTA(半紙!$B$11:$B$310),INDEX(半紙!$G$11:$G$310,578),IF(578&lt;=COUNTA(半紙!$B$11:$B$310)+COUNTA(条幅!$B$11:$B$310),INDEX(条幅!$G$11:$G$310,578-COUNTA(半紙!$B$11:$B$310)),IF(578&lt;=COUNTA(半紙!$B$11:$B$310)+COUNTA(条幅!$B$11:$B$310)+COUNTA(条幅4分の1!$B$11:$B$310),INDEX(条幅4分の1!$G$11:$G$310,578-COUNTA(半紙!$B$11:$B$310)-COUNTA(条幅!$B$11:$B$310)),"")))=0,"",IF(578&lt;=COUNTA(半紙!$B$11:$B$310),INDEX(半紙!$G$11:$G$310,578),IF(578&lt;=COUNTA(半紙!$B$11:$B$310)+COUNTA(条幅!$B$11:$B$310),INDEX(条幅!$G$11:$G$310,578-COUNTA(半紙!$B$11:$B$310)),IF(578&lt;=COUNTA(半紙!$B$11:$B$310)+COUNTA(条幅!$B$11:$B$310)+COUNTA(条幅4分の1!$B$11:$B$310),INDEX(条幅4分の1!$G$11:$G$310,578-COUNTA(半紙!$B$11:$B$310)-COUNTA(条幅!$B$11:$B$310)),""))))</f>
        <v/>
      </c>
      <c r="H583" s="38" t="str">
        <f>IF(IF(578&lt;=COUNTA(半紙!$B$11:$B$310),INDEX(半紙!$H$11:$H$310,578),IF(578&lt;=COUNTA(半紙!$B$11:$B$310)+COUNTA(条幅!$B$11:$B$310),INDEX(条幅!$H$11:$H$310,578-COUNTA(半紙!$B$11:$B$310)),IF(578&lt;=COUNTA(半紙!$B$11:$B$310)+COUNTA(条幅!$B$11:$B$310)+COUNTA(条幅4分の1!$B$11:$B$310),INDEX(条幅4分の1!$H$11:$H$310,578-COUNTA(半紙!$B$11:$B$310)-COUNTA(条幅!$B$11:$B$310)),"")))=0,"",IF(578&lt;=COUNTA(半紙!$B$11:$B$310),INDEX(半紙!$H$11:$H$310,578),IF(578&lt;=COUNTA(半紙!$B$11:$B$310)+COUNTA(条幅!$B$11:$B$310),INDEX(条幅!$H$11:$H$310,578-COUNTA(半紙!$B$11:$B$310)),IF(578&lt;=COUNTA(半紙!$B$11:$B$310)+COUNTA(条幅!$B$11:$B$310)+COUNTA(条幅4分の1!$B$11:$B$310),INDEX(条幅4分の1!$H$11:$H$310,578-COUNTA(半紙!$B$11:$B$310)-COUNTA(条幅!$B$11:$B$310)),""))))</f>
        <v/>
      </c>
      <c r="I583" s="38" t="str">
        <f>IF(IF(578&lt;=COUNTA(半紙!$B$11:$B$310),INDEX(半紙!$I$11:$I$310,578),IF(578&lt;=COUNTA(半紙!$B$11:$B$310)+COUNTA(条幅!$B$11:$B$310),INDEX(条幅!$I$11:$I$310,578-COUNTA(半紙!$B$11:$B$310)),IF(578&lt;=COUNTA(半紙!$B$11:$B$310)+COUNTA(条幅!$B$11:$B$310)+COUNTA(条幅4分の1!$B$11:$B$310),INDEX(条幅4分の1!$I$11:$I$310,578-COUNTA(半紙!$B$11:$B$310)-COUNTA(条幅!$B$11:$B$310)),"")))=0,"",IF(578&lt;=COUNTA(半紙!$B$11:$B$310),INDEX(半紙!$I$11:$I$310,578),IF(578&lt;=COUNTA(半紙!$B$11:$B$310)+COUNTA(条幅!$B$11:$B$310),INDEX(条幅!$I$11:$I$310,578-COUNTA(半紙!$B$11:$B$310)),IF(578&lt;=COUNTA(半紙!$B$11:$B$310)+COUNTA(条幅!$B$11:$B$310)+COUNTA(条幅4分の1!$B$11:$B$310),INDEX(条幅4分の1!$I$11:$I$310,578-COUNTA(半紙!$B$11:$B$310)-COUNTA(条幅!$B$11:$B$310)),""))))</f>
        <v/>
      </c>
      <c r="J583" s="38" t="str">
        <f>IF(IF(578&lt;=COUNTA(半紙!$B$11:$B$310),INDEX(半紙!$J$11:$J$310,578),IF(578&lt;=COUNTA(半紙!$B$11:$B$310)+COUNTA(条幅!$B$11:$B$310),INDEX(条幅!$J$11:$J$310,578-COUNTA(半紙!$B$11:$B$310)),IF(578&lt;=COUNTA(半紙!$B$11:$B$310)+COUNTA(条幅!$B$11:$B$310)+COUNTA(条幅4分の1!$B$11:$B$310),INDEX(条幅4分の1!$J$11:$J$310,578-COUNTA(半紙!$B$11:$B$310)-COUNTA(条幅!$B$11:$B$310)),"")))=0,"",IF(578&lt;=COUNTA(半紙!$B$11:$B$310),INDEX(半紙!$J$11:$J$310,578),IF(578&lt;=COUNTA(半紙!$B$11:$B$310)+COUNTA(条幅!$B$11:$B$310),INDEX(条幅!$J$11:$J$310,578-COUNTA(半紙!$B$11:$B$310)),IF(578&lt;=COUNTA(半紙!$B$11:$B$310)+COUNTA(条幅!$B$11:$B$310)+COUNTA(条幅4分の1!$B$11:$B$310),INDEX(条幅4分の1!$J$11:$J$310,578-COUNTA(半紙!$B$11:$B$310)-COUNTA(条幅!$B$11:$B$310)),""))))</f>
        <v/>
      </c>
      <c r="K583" s="38" t="str">
        <f>IF(IF(578&lt;=COUNTA(半紙!$B$11:$B$310),INDEX(半紙!$K$11:$K$310,578),IF(578&lt;=COUNTA(半紙!$B$11:$B$310)+COUNTA(条幅!$B$11:$B$310),INDEX(条幅!$K$11:$K$310,578-COUNTA(半紙!$B$11:$B$310)),IF(578&lt;=COUNTA(半紙!$B$11:$B$310)+COUNTA(条幅!$B$11:$B$310)+COUNTA(条幅4分の1!$B$11:$B$310),INDEX(条幅4分の1!$K$11:$K$310,578-COUNTA(半紙!$B$11:$B$310)-COUNTA(条幅!$B$11:$B$310)),"")))=0,"",IF(578&lt;=COUNTA(半紙!$B$11:$B$310),INDEX(半紙!$K$11:$K$310,578),IF(578&lt;=COUNTA(半紙!$B$11:$B$310)+COUNTA(条幅!$B$11:$B$310),INDEX(条幅!$K$11:$K$310,578-COUNTA(半紙!$B$11:$B$310)),IF(578&lt;=COUNTA(半紙!$B$11:$B$310)+COUNTA(条幅!$B$11:$B$310)+COUNTA(条幅4分の1!$B$11:$B$310),INDEX(条幅4分の1!$K$11:$K$310,578-COUNTA(半紙!$B$11:$B$310)-COUNTA(条幅!$B$11:$B$310)),""))))</f>
        <v/>
      </c>
      <c r="L583" s="48" t="str">
        <f>IF($B583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578))</f>
        <v/>
      </c>
    </row>
    <row r="584" spans="1:12" ht="15" customHeight="1">
      <c r="A584" s="37" t="str">
        <f>IF(579&lt;=COUNTA(半紙!$B$11:$B$310),"半紙",IF(579&lt;=COUNTA(半紙!$B$11:$B$310)+COUNTA(条幅!$B$11:$B$310),"条幅(半切)",IF(579&lt;=COUNTA(半紙!$B$11:$B$310)+COUNTA(条幅!$B$11:$B$310)+COUNTA(条幅4分の1!$B$11:$B$310),"条幅(1/4)","")))</f>
        <v/>
      </c>
      <c r="B584" s="38" t="str">
        <f>IF(IF(579&lt;=COUNTA(半紙!$B$11:$B$310),INDEX(半紙!$B$11:$B$310,579),IF(579&lt;=COUNTA(半紙!$B$11:$B$310)+COUNTA(条幅!$B$11:$B$310),INDEX(条幅!$B$11:$B$310,579-COUNTA(半紙!$B$11:$B$310)),IF(579&lt;=COUNTA(半紙!$B$11:$B$310)+COUNTA(条幅!$B$11:$B$310)+COUNTA(条幅4分の1!$B$11:$B$310),INDEX(条幅4分の1!$B$11:$B$310,579-COUNTA(半紙!$B$11:$B$310)-COUNTA(条幅!$B$11:$B$310)),"")))=0,"",IF(579&lt;=COUNTA(半紙!$B$11:$B$310),INDEX(半紙!$B$11:$B$310,579),IF(579&lt;=COUNTA(半紙!$B$11:$B$310)+COUNTA(条幅!$B$11:$B$310),INDEX(条幅!$B$11:$B$310,579-COUNTA(半紙!$B$11:$B$310)),IF(579&lt;=COUNTA(半紙!$B$11:$B$310)+COUNTA(条幅!$B$11:$B$310)+COUNTA(条幅4分の1!$B$11:$B$310),INDEX(条幅4分の1!$B$11:$B$310,579-COUNTA(半紙!$B$11:$B$310)-COUNTA(条幅!$B$11:$B$310)),""))))</f>
        <v/>
      </c>
      <c r="C584" s="38" t="str">
        <f>IF(IF(579&lt;=COUNTA(半紙!$B$11:$B$310),INDEX(半紙!$C$11:$C$310,579),IF(579&lt;=COUNTA(半紙!$B$11:$B$310)+COUNTA(条幅!$B$11:$B$310),INDEX(条幅!$C$11:$C$310,579-COUNTA(半紙!$B$11:$B$310)),IF(579&lt;=COUNTA(半紙!$B$11:$B$310)+COUNTA(条幅!$B$11:$B$310)+COUNTA(条幅4分の1!$B$11:$B$310),INDEX(条幅4分の1!$C$11:$C$310,579-COUNTA(半紙!$B$11:$B$310)-COUNTA(条幅!$B$11:$B$310)),"")))=0,"",IF(579&lt;=COUNTA(半紙!$B$11:$B$310),INDEX(半紙!$C$11:$C$310,579),IF(579&lt;=COUNTA(半紙!$B$11:$B$310)+COUNTA(条幅!$B$11:$B$310),INDEX(条幅!$C$11:$C$310,579-COUNTA(半紙!$B$11:$B$310)),IF(579&lt;=COUNTA(半紙!$B$11:$B$310)+COUNTA(条幅!$B$11:$B$310)+COUNTA(条幅4分の1!$B$11:$B$310),INDEX(条幅4分の1!$C$11:$C$310,579-COUNTA(半紙!$B$11:$B$310)-COUNTA(条幅!$B$11:$B$310)),""))))</f>
        <v/>
      </c>
      <c r="D584" s="38" t="str">
        <f>IF(IF(579&lt;=COUNTA(半紙!$B$11:$B$310),INDEX(半紙!$D$11:$D$310,579),IF(579&lt;=COUNTA(半紙!$B$11:$B$310)+COUNTA(条幅!$B$11:$B$310),INDEX(条幅!$D$11:$D$310,579-COUNTA(半紙!$B$11:$B$310)),IF(579&lt;=COUNTA(半紙!$B$11:$B$310)+COUNTA(条幅!$B$11:$B$310)+COUNTA(条幅4分の1!$B$11:$B$310),INDEX(条幅4分の1!$D$11:$D$310,579-COUNTA(半紙!$B$11:$B$310)-COUNTA(条幅!$B$11:$B$310)),"")))=0,"",IF(579&lt;=COUNTA(半紙!$B$11:$B$310),INDEX(半紙!$D$11:$D$310,579),IF(579&lt;=COUNTA(半紙!$B$11:$B$310)+COUNTA(条幅!$B$11:$B$310),INDEX(条幅!$D$11:$D$310,579-COUNTA(半紙!$B$11:$B$310)),IF(579&lt;=COUNTA(半紙!$B$11:$B$310)+COUNTA(条幅!$B$11:$B$310)+COUNTA(条幅4分の1!$B$11:$B$310),INDEX(条幅4分の1!$D$11:$D$310,579-COUNTA(半紙!$B$11:$B$310)-COUNTA(条幅!$B$11:$B$310)),""))))</f>
        <v/>
      </c>
      <c r="E584" s="38" t="str">
        <f>IF(IF(579&lt;=COUNTA(半紙!$B$11:$B$310),INDEX(半紙!$E$11:$E$310,579),IF(579&lt;=COUNTA(半紙!$B$11:$B$310)+COUNTA(条幅!$B$11:$B$310),INDEX(条幅!$E$11:$E$310,579-COUNTA(半紙!$B$11:$B$310)),IF(579&lt;=COUNTA(半紙!$B$11:$B$310)+COUNTA(条幅!$B$11:$B$310)+COUNTA(条幅4分の1!$B$11:$B$310),INDEX(条幅4分の1!$E$11:$E$310,579-COUNTA(半紙!$B$11:$B$310)-COUNTA(条幅!$B$11:$B$310)),"")))=0,"",IF(579&lt;=COUNTA(半紙!$B$11:$B$310),INDEX(半紙!$E$11:$E$310,579),IF(579&lt;=COUNTA(半紙!$B$11:$B$310)+COUNTA(条幅!$B$11:$B$310),INDEX(条幅!$E$11:$E$310,579-COUNTA(半紙!$B$11:$B$310)),IF(579&lt;=COUNTA(半紙!$B$11:$B$310)+COUNTA(条幅!$B$11:$B$310)+COUNTA(条幅4分の1!$B$11:$B$310),INDEX(条幅4分の1!$E$11:$E$310,579-COUNTA(半紙!$B$11:$B$310)-COUNTA(条幅!$B$11:$B$310)),""))))</f>
        <v/>
      </c>
      <c r="F584" s="38" t="str">
        <f>IF(IF(579&lt;=COUNTA(半紙!$B$11:$B$310),INDEX(半紙!$F$11:$F$310,579),IF(579&lt;=COUNTA(半紙!$B$11:$B$310)+COUNTA(条幅!$B$11:$B$310),INDEX(条幅!$F$11:$F$310,579-COUNTA(半紙!$B$11:$B$310)),IF(579&lt;=COUNTA(半紙!$B$11:$B$310)+COUNTA(条幅!$B$11:$B$310)+COUNTA(条幅4分の1!$B$11:$B$310),INDEX(条幅4分の1!$F$11:$F$310,579-COUNTA(半紙!$B$11:$B$310)-COUNTA(条幅!$B$11:$B$310)),"")))=0,"",IF(579&lt;=COUNTA(半紙!$B$11:$B$310),INDEX(半紙!$F$11:$F$310,579),IF(579&lt;=COUNTA(半紙!$B$11:$B$310)+COUNTA(条幅!$B$11:$B$310),INDEX(条幅!$F$11:$F$310,579-COUNTA(半紙!$B$11:$B$310)),IF(579&lt;=COUNTA(半紙!$B$11:$B$310)+COUNTA(条幅!$B$11:$B$310)+COUNTA(条幅4分の1!$B$11:$B$310),INDEX(条幅4分の1!$F$11:$F$310,579-COUNTA(半紙!$B$11:$B$310)-COUNTA(条幅!$B$11:$B$310)),""))))</f>
        <v/>
      </c>
      <c r="G584" s="38" t="str">
        <f>IF(IF(579&lt;=COUNTA(半紙!$B$11:$B$310),INDEX(半紙!$G$11:$G$310,579),IF(579&lt;=COUNTA(半紙!$B$11:$B$310)+COUNTA(条幅!$B$11:$B$310),INDEX(条幅!$G$11:$G$310,579-COUNTA(半紙!$B$11:$B$310)),IF(579&lt;=COUNTA(半紙!$B$11:$B$310)+COUNTA(条幅!$B$11:$B$310)+COUNTA(条幅4分の1!$B$11:$B$310),INDEX(条幅4分の1!$G$11:$G$310,579-COUNTA(半紙!$B$11:$B$310)-COUNTA(条幅!$B$11:$B$310)),"")))=0,"",IF(579&lt;=COUNTA(半紙!$B$11:$B$310),INDEX(半紙!$G$11:$G$310,579),IF(579&lt;=COUNTA(半紙!$B$11:$B$310)+COUNTA(条幅!$B$11:$B$310),INDEX(条幅!$G$11:$G$310,579-COUNTA(半紙!$B$11:$B$310)),IF(579&lt;=COUNTA(半紙!$B$11:$B$310)+COUNTA(条幅!$B$11:$B$310)+COUNTA(条幅4分の1!$B$11:$B$310),INDEX(条幅4分の1!$G$11:$G$310,579-COUNTA(半紙!$B$11:$B$310)-COUNTA(条幅!$B$11:$B$310)),""))))</f>
        <v/>
      </c>
      <c r="H584" s="38" t="str">
        <f>IF(IF(579&lt;=COUNTA(半紙!$B$11:$B$310),INDEX(半紙!$H$11:$H$310,579),IF(579&lt;=COUNTA(半紙!$B$11:$B$310)+COUNTA(条幅!$B$11:$B$310),INDEX(条幅!$H$11:$H$310,579-COUNTA(半紙!$B$11:$B$310)),IF(579&lt;=COUNTA(半紙!$B$11:$B$310)+COUNTA(条幅!$B$11:$B$310)+COUNTA(条幅4分の1!$B$11:$B$310),INDEX(条幅4分の1!$H$11:$H$310,579-COUNTA(半紙!$B$11:$B$310)-COUNTA(条幅!$B$11:$B$310)),"")))=0,"",IF(579&lt;=COUNTA(半紙!$B$11:$B$310),INDEX(半紙!$H$11:$H$310,579),IF(579&lt;=COUNTA(半紙!$B$11:$B$310)+COUNTA(条幅!$B$11:$B$310),INDEX(条幅!$H$11:$H$310,579-COUNTA(半紙!$B$11:$B$310)),IF(579&lt;=COUNTA(半紙!$B$11:$B$310)+COUNTA(条幅!$B$11:$B$310)+COUNTA(条幅4分の1!$B$11:$B$310),INDEX(条幅4分の1!$H$11:$H$310,579-COUNTA(半紙!$B$11:$B$310)-COUNTA(条幅!$B$11:$B$310)),""))))</f>
        <v/>
      </c>
      <c r="I584" s="38" t="str">
        <f>IF(IF(579&lt;=COUNTA(半紙!$B$11:$B$310),INDEX(半紙!$I$11:$I$310,579),IF(579&lt;=COUNTA(半紙!$B$11:$B$310)+COUNTA(条幅!$B$11:$B$310),INDEX(条幅!$I$11:$I$310,579-COUNTA(半紙!$B$11:$B$310)),IF(579&lt;=COUNTA(半紙!$B$11:$B$310)+COUNTA(条幅!$B$11:$B$310)+COUNTA(条幅4分の1!$B$11:$B$310),INDEX(条幅4分の1!$I$11:$I$310,579-COUNTA(半紙!$B$11:$B$310)-COUNTA(条幅!$B$11:$B$310)),"")))=0,"",IF(579&lt;=COUNTA(半紙!$B$11:$B$310),INDEX(半紙!$I$11:$I$310,579),IF(579&lt;=COUNTA(半紙!$B$11:$B$310)+COUNTA(条幅!$B$11:$B$310),INDEX(条幅!$I$11:$I$310,579-COUNTA(半紙!$B$11:$B$310)),IF(579&lt;=COUNTA(半紙!$B$11:$B$310)+COUNTA(条幅!$B$11:$B$310)+COUNTA(条幅4分の1!$B$11:$B$310),INDEX(条幅4分の1!$I$11:$I$310,579-COUNTA(半紙!$B$11:$B$310)-COUNTA(条幅!$B$11:$B$310)),""))))</f>
        <v/>
      </c>
      <c r="J584" s="38" t="str">
        <f>IF(IF(579&lt;=COUNTA(半紙!$B$11:$B$310),INDEX(半紙!$J$11:$J$310,579),IF(579&lt;=COUNTA(半紙!$B$11:$B$310)+COUNTA(条幅!$B$11:$B$310),INDEX(条幅!$J$11:$J$310,579-COUNTA(半紙!$B$11:$B$310)),IF(579&lt;=COUNTA(半紙!$B$11:$B$310)+COUNTA(条幅!$B$11:$B$310)+COUNTA(条幅4分の1!$B$11:$B$310),INDEX(条幅4分の1!$J$11:$J$310,579-COUNTA(半紙!$B$11:$B$310)-COUNTA(条幅!$B$11:$B$310)),"")))=0,"",IF(579&lt;=COUNTA(半紙!$B$11:$B$310),INDEX(半紙!$J$11:$J$310,579),IF(579&lt;=COUNTA(半紙!$B$11:$B$310)+COUNTA(条幅!$B$11:$B$310),INDEX(条幅!$J$11:$J$310,579-COUNTA(半紙!$B$11:$B$310)),IF(579&lt;=COUNTA(半紙!$B$11:$B$310)+COUNTA(条幅!$B$11:$B$310)+COUNTA(条幅4分の1!$B$11:$B$310),INDEX(条幅4分の1!$J$11:$J$310,579-COUNTA(半紙!$B$11:$B$310)-COUNTA(条幅!$B$11:$B$310)),""))))</f>
        <v/>
      </c>
      <c r="K584" s="38" t="str">
        <f>IF(IF(579&lt;=COUNTA(半紙!$B$11:$B$310),INDEX(半紙!$K$11:$K$310,579),IF(579&lt;=COUNTA(半紙!$B$11:$B$310)+COUNTA(条幅!$B$11:$B$310),INDEX(条幅!$K$11:$K$310,579-COUNTA(半紙!$B$11:$B$310)),IF(579&lt;=COUNTA(半紙!$B$11:$B$310)+COUNTA(条幅!$B$11:$B$310)+COUNTA(条幅4分の1!$B$11:$B$310),INDEX(条幅4分の1!$K$11:$K$310,579-COUNTA(半紙!$B$11:$B$310)-COUNTA(条幅!$B$11:$B$310)),"")))=0,"",IF(579&lt;=COUNTA(半紙!$B$11:$B$310),INDEX(半紙!$K$11:$K$310,579),IF(579&lt;=COUNTA(半紙!$B$11:$B$310)+COUNTA(条幅!$B$11:$B$310),INDEX(条幅!$K$11:$K$310,579-COUNTA(半紙!$B$11:$B$310)),IF(579&lt;=COUNTA(半紙!$B$11:$B$310)+COUNTA(条幅!$B$11:$B$310)+COUNTA(条幅4分の1!$B$11:$B$310),INDEX(条幅4分の1!$K$11:$K$310,579-COUNTA(半紙!$B$11:$B$310)-COUNTA(条幅!$B$11:$B$310)),""))))</f>
        <v/>
      </c>
      <c r="L584" s="48" t="str">
        <f>IF($B584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579))</f>
        <v/>
      </c>
    </row>
    <row r="585" spans="1:12" ht="15" customHeight="1">
      <c r="A585" s="37" t="str">
        <f>IF(580&lt;=COUNTA(半紙!$B$11:$B$310),"半紙",IF(580&lt;=COUNTA(半紙!$B$11:$B$310)+COUNTA(条幅!$B$11:$B$310),"条幅(半切)",IF(580&lt;=COUNTA(半紙!$B$11:$B$310)+COUNTA(条幅!$B$11:$B$310)+COUNTA(条幅4分の1!$B$11:$B$310),"条幅(1/4)","")))</f>
        <v/>
      </c>
      <c r="B585" s="38" t="str">
        <f>IF(IF(580&lt;=COUNTA(半紙!$B$11:$B$310),INDEX(半紙!$B$11:$B$310,580),IF(580&lt;=COUNTA(半紙!$B$11:$B$310)+COUNTA(条幅!$B$11:$B$310),INDEX(条幅!$B$11:$B$310,580-COUNTA(半紙!$B$11:$B$310)),IF(580&lt;=COUNTA(半紙!$B$11:$B$310)+COUNTA(条幅!$B$11:$B$310)+COUNTA(条幅4分の1!$B$11:$B$310),INDEX(条幅4分の1!$B$11:$B$310,580-COUNTA(半紙!$B$11:$B$310)-COUNTA(条幅!$B$11:$B$310)),"")))=0,"",IF(580&lt;=COUNTA(半紙!$B$11:$B$310),INDEX(半紙!$B$11:$B$310,580),IF(580&lt;=COUNTA(半紙!$B$11:$B$310)+COUNTA(条幅!$B$11:$B$310),INDEX(条幅!$B$11:$B$310,580-COUNTA(半紙!$B$11:$B$310)),IF(580&lt;=COUNTA(半紙!$B$11:$B$310)+COUNTA(条幅!$B$11:$B$310)+COUNTA(条幅4分の1!$B$11:$B$310),INDEX(条幅4分の1!$B$11:$B$310,580-COUNTA(半紙!$B$11:$B$310)-COUNTA(条幅!$B$11:$B$310)),""))))</f>
        <v/>
      </c>
      <c r="C585" s="38" t="str">
        <f>IF(IF(580&lt;=COUNTA(半紙!$B$11:$B$310),INDEX(半紙!$C$11:$C$310,580),IF(580&lt;=COUNTA(半紙!$B$11:$B$310)+COUNTA(条幅!$B$11:$B$310),INDEX(条幅!$C$11:$C$310,580-COUNTA(半紙!$B$11:$B$310)),IF(580&lt;=COUNTA(半紙!$B$11:$B$310)+COUNTA(条幅!$B$11:$B$310)+COUNTA(条幅4分の1!$B$11:$B$310),INDEX(条幅4分の1!$C$11:$C$310,580-COUNTA(半紙!$B$11:$B$310)-COUNTA(条幅!$B$11:$B$310)),"")))=0,"",IF(580&lt;=COUNTA(半紙!$B$11:$B$310),INDEX(半紙!$C$11:$C$310,580),IF(580&lt;=COUNTA(半紙!$B$11:$B$310)+COUNTA(条幅!$B$11:$B$310),INDEX(条幅!$C$11:$C$310,580-COUNTA(半紙!$B$11:$B$310)),IF(580&lt;=COUNTA(半紙!$B$11:$B$310)+COUNTA(条幅!$B$11:$B$310)+COUNTA(条幅4分の1!$B$11:$B$310),INDEX(条幅4分の1!$C$11:$C$310,580-COUNTA(半紙!$B$11:$B$310)-COUNTA(条幅!$B$11:$B$310)),""))))</f>
        <v/>
      </c>
      <c r="D585" s="38" t="str">
        <f>IF(IF(580&lt;=COUNTA(半紙!$B$11:$B$310),INDEX(半紙!$D$11:$D$310,580),IF(580&lt;=COUNTA(半紙!$B$11:$B$310)+COUNTA(条幅!$B$11:$B$310),INDEX(条幅!$D$11:$D$310,580-COUNTA(半紙!$B$11:$B$310)),IF(580&lt;=COUNTA(半紙!$B$11:$B$310)+COUNTA(条幅!$B$11:$B$310)+COUNTA(条幅4分の1!$B$11:$B$310),INDEX(条幅4分の1!$D$11:$D$310,580-COUNTA(半紙!$B$11:$B$310)-COUNTA(条幅!$B$11:$B$310)),"")))=0,"",IF(580&lt;=COUNTA(半紙!$B$11:$B$310),INDEX(半紙!$D$11:$D$310,580),IF(580&lt;=COUNTA(半紙!$B$11:$B$310)+COUNTA(条幅!$B$11:$B$310),INDEX(条幅!$D$11:$D$310,580-COUNTA(半紙!$B$11:$B$310)),IF(580&lt;=COUNTA(半紙!$B$11:$B$310)+COUNTA(条幅!$B$11:$B$310)+COUNTA(条幅4分の1!$B$11:$B$310),INDEX(条幅4分の1!$D$11:$D$310,580-COUNTA(半紙!$B$11:$B$310)-COUNTA(条幅!$B$11:$B$310)),""))))</f>
        <v/>
      </c>
      <c r="E585" s="38" t="str">
        <f>IF(IF(580&lt;=COUNTA(半紙!$B$11:$B$310),INDEX(半紙!$E$11:$E$310,580),IF(580&lt;=COUNTA(半紙!$B$11:$B$310)+COUNTA(条幅!$B$11:$B$310),INDEX(条幅!$E$11:$E$310,580-COUNTA(半紙!$B$11:$B$310)),IF(580&lt;=COUNTA(半紙!$B$11:$B$310)+COUNTA(条幅!$B$11:$B$310)+COUNTA(条幅4分の1!$B$11:$B$310),INDEX(条幅4分の1!$E$11:$E$310,580-COUNTA(半紙!$B$11:$B$310)-COUNTA(条幅!$B$11:$B$310)),"")))=0,"",IF(580&lt;=COUNTA(半紙!$B$11:$B$310),INDEX(半紙!$E$11:$E$310,580),IF(580&lt;=COUNTA(半紙!$B$11:$B$310)+COUNTA(条幅!$B$11:$B$310),INDEX(条幅!$E$11:$E$310,580-COUNTA(半紙!$B$11:$B$310)),IF(580&lt;=COUNTA(半紙!$B$11:$B$310)+COUNTA(条幅!$B$11:$B$310)+COUNTA(条幅4分の1!$B$11:$B$310),INDEX(条幅4分の1!$E$11:$E$310,580-COUNTA(半紙!$B$11:$B$310)-COUNTA(条幅!$B$11:$B$310)),""))))</f>
        <v/>
      </c>
      <c r="F585" s="38" t="str">
        <f>IF(IF(580&lt;=COUNTA(半紙!$B$11:$B$310),INDEX(半紙!$F$11:$F$310,580),IF(580&lt;=COUNTA(半紙!$B$11:$B$310)+COUNTA(条幅!$B$11:$B$310),INDEX(条幅!$F$11:$F$310,580-COUNTA(半紙!$B$11:$B$310)),IF(580&lt;=COUNTA(半紙!$B$11:$B$310)+COUNTA(条幅!$B$11:$B$310)+COUNTA(条幅4分の1!$B$11:$B$310),INDEX(条幅4分の1!$F$11:$F$310,580-COUNTA(半紙!$B$11:$B$310)-COUNTA(条幅!$B$11:$B$310)),"")))=0,"",IF(580&lt;=COUNTA(半紙!$B$11:$B$310),INDEX(半紙!$F$11:$F$310,580),IF(580&lt;=COUNTA(半紙!$B$11:$B$310)+COUNTA(条幅!$B$11:$B$310),INDEX(条幅!$F$11:$F$310,580-COUNTA(半紙!$B$11:$B$310)),IF(580&lt;=COUNTA(半紙!$B$11:$B$310)+COUNTA(条幅!$B$11:$B$310)+COUNTA(条幅4分の1!$B$11:$B$310),INDEX(条幅4分の1!$F$11:$F$310,580-COUNTA(半紙!$B$11:$B$310)-COUNTA(条幅!$B$11:$B$310)),""))))</f>
        <v/>
      </c>
      <c r="G585" s="38" t="str">
        <f>IF(IF(580&lt;=COUNTA(半紙!$B$11:$B$310),INDEX(半紙!$G$11:$G$310,580),IF(580&lt;=COUNTA(半紙!$B$11:$B$310)+COUNTA(条幅!$B$11:$B$310),INDEX(条幅!$G$11:$G$310,580-COUNTA(半紙!$B$11:$B$310)),IF(580&lt;=COUNTA(半紙!$B$11:$B$310)+COUNTA(条幅!$B$11:$B$310)+COUNTA(条幅4分の1!$B$11:$B$310),INDEX(条幅4分の1!$G$11:$G$310,580-COUNTA(半紙!$B$11:$B$310)-COUNTA(条幅!$B$11:$B$310)),"")))=0,"",IF(580&lt;=COUNTA(半紙!$B$11:$B$310),INDEX(半紙!$G$11:$G$310,580),IF(580&lt;=COUNTA(半紙!$B$11:$B$310)+COUNTA(条幅!$B$11:$B$310),INDEX(条幅!$G$11:$G$310,580-COUNTA(半紙!$B$11:$B$310)),IF(580&lt;=COUNTA(半紙!$B$11:$B$310)+COUNTA(条幅!$B$11:$B$310)+COUNTA(条幅4分の1!$B$11:$B$310),INDEX(条幅4分の1!$G$11:$G$310,580-COUNTA(半紙!$B$11:$B$310)-COUNTA(条幅!$B$11:$B$310)),""))))</f>
        <v/>
      </c>
      <c r="H585" s="38" t="str">
        <f>IF(IF(580&lt;=COUNTA(半紙!$B$11:$B$310),INDEX(半紙!$H$11:$H$310,580),IF(580&lt;=COUNTA(半紙!$B$11:$B$310)+COUNTA(条幅!$B$11:$B$310),INDEX(条幅!$H$11:$H$310,580-COUNTA(半紙!$B$11:$B$310)),IF(580&lt;=COUNTA(半紙!$B$11:$B$310)+COUNTA(条幅!$B$11:$B$310)+COUNTA(条幅4分の1!$B$11:$B$310),INDEX(条幅4分の1!$H$11:$H$310,580-COUNTA(半紙!$B$11:$B$310)-COUNTA(条幅!$B$11:$B$310)),"")))=0,"",IF(580&lt;=COUNTA(半紙!$B$11:$B$310),INDEX(半紙!$H$11:$H$310,580),IF(580&lt;=COUNTA(半紙!$B$11:$B$310)+COUNTA(条幅!$B$11:$B$310),INDEX(条幅!$H$11:$H$310,580-COUNTA(半紙!$B$11:$B$310)),IF(580&lt;=COUNTA(半紙!$B$11:$B$310)+COUNTA(条幅!$B$11:$B$310)+COUNTA(条幅4分の1!$B$11:$B$310),INDEX(条幅4分の1!$H$11:$H$310,580-COUNTA(半紙!$B$11:$B$310)-COUNTA(条幅!$B$11:$B$310)),""))))</f>
        <v/>
      </c>
      <c r="I585" s="38" t="str">
        <f>IF(IF(580&lt;=COUNTA(半紙!$B$11:$B$310),INDEX(半紙!$I$11:$I$310,580),IF(580&lt;=COUNTA(半紙!$B$11:$B$310)+COUNTA(条幅!$B$11:$B$310),INDEX(条幅!$I$11:$I$310,580-COUNTA(半紙!$B$11:$B$310)),IF(580&lt;=COUNTA(半紙!$B$11:$B$310)+COUNTA(条幅!$B$11:$B$310)+COUNTA(条幅4分の1!$B$11:$B$310),INDEX(条幅4分の1!$I$11:$I$310,580-COUNTA(半紙!$B$11:$B$310)-COUNTA(条幅!$B$11:$B$310)),"")))=0,"",IF(580&lt;=COUNTA(半紙!$B$11:$B$310),INDEX(半紙!$I$11:$I$310,580),IF(580&lt;=COUNTA(半紙!$B$11:$B$310)+COUNTA(条幅!$B$11:$B$310),INDEX(条幅!$I$11:$I$310,580-COUNTA(半紙!$B$11:$B$310)),IF(580&lt;=COUNTA(半紙!$B$11:$B$310)+COUNTA(条幅!$B$11:$B$310)+COUNTA(条幅4分の1!$B$11:$B$310),INDEX(条幅4分の1!$I$11:$I$310,580-COUNTA(半紙!$B$11:$B$310)-COUNTA(条幅!$B$11:$B$310)),""))))</f>
        <v/>
      </c>
      <c r="J585" s="38" t="str">
        <f>IF(IF(580&lt;=COUNTA(半紙!$B$11:$B$310),INDEX(半紙!$J$11:$J$310,580),IF(580&lt;=COUNTA(半紙!$B$11:$B$310)+COUNTA(条幅!$B$11:$B$310),INDEX(条幅!$J$11:$J$310,580-COUNTA(半紙!$B$11:$B$310)),IF(580&lt;=COUNTA(半紙!$B$11:$B$310)+COUNTA(条幅!$B$11:$B$310)+COUNTA(条幅4分の1!$B$11:$B$310),INDEX(条幅4分の1!$J$11:$J$310,580-COUNTA(半紙!$B$11:$B$310)-COUNTA(条幅!$B$11:$B$310)),"")))=0,"",IF(580&lt;=COUNTA(半紙!$B$11:$B$310),INDEX(半紙!$J$11:$J$310,580),IF(580&lt;=COUNTA(半紙!$B$11:$B$310)+COUNTA(条幅!$B$11:$B$310),INDEX(条幅!$J$11:$J$310,580-COUNTA(半紙!$B$11:$B$310)),IF(580&lt;=COUNTA(半紙!$B$11:$B$310)+COUNTA(条幅!$B$11:$B$310)+COUNTA(条幅4分の1!$B$11:$B$310),INDEX(条幅4分の1!$J$11:$J$310,580-COUNTA(半紙!$B$11:$B$310)-COUNTA(条幅!$B$11:$B$310)),""))))</f>
        <v/>
      </c>
      <c r="K585" s="38" t="str">
        <f>IF(IF(580&lt;=COUNTA(半紙!$B$11:$B$310),INDEX(半紙!$K$11:$K$310,580),IF(580&lt;=COUNTA(半紙!$B$11:$B$310)+COUNTA(条幅!$B$11:$B$310),INDEX(条幅!$K$11:$K$310,580-COUNTA(半紙!$B$11:$B$310)),IF(580&lt;=COUNTA(半紙!$B$11:$B$310)+COUNTA(条幅!$B$11:$B$310)+COUNTA(条幅4分の1!$B$11:$B$310),INDEX(条幅4分の1!$K$11:$K$310,580-COUNTA(半紙!$B$11:$B$310)-COUNTA(条幅!$B$11:$B$310)),"")))=0,"",IF(580&lt;=COUNTA(半紙!$B$11:$B$310),INDEX(半紙!$K$11:$K$310,580),IF(580&lt;=COUNTA(半紙!$B$11:$B$310)+COUNTA(条幅!$B$11:$B$310),INDEX(条幅!$K$11:$K$310,580-COUNTA(半紙!$B$11:$B$310)),IF(580&lt;=COUNTA(半紙!$B$11:$B$310)+COUNTA(条幅!$B$11:$B$310)+COUNTA(条幅4分の1!$B$11:$B$310),INDEX(条幅4分の1!$K$11:$K$310,580-COUNTA(半紙!$B$11:$B$310)-COUNTA(条幅!$B$11:$B$310)),""))))</f>
        <v/>
      </c>
      <c r="L585" s="48" t="str">
        <f>IF($B585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580))</f>
        <v/>
      </c>
    </row>
    <row r="586" spans="1:12" ht="15" customHeight="1">
      <c r="A586" s="37" t="str">
        <f>IF(581&lt;=COUNTA(半紙!$B$11:$B$310),"半紙",IF(581&lt;=COUNTA(半紙!$B$11:$B$310)+COUNTA(条幅!$B$11:$B$310),"条幅(半切)",IF(581&lt;=COUNTA(半紙!$B$11:$B$310)+COUNTA(条幅!$B$11:$B$310)+COUNTA(条幅4分の1!$B$11:$B$310),"条幅(1/4)","")))</f>
        <v/>
      </c>
      <c r="B586" s="38" t="str">
        <f>IF(IF(581&lt;=COUNTA(半紙!$B$11:$B$310),INDEX(半紙!$B$11:$B$310,581),IF(581&lt;=COUNTA(半紙!$B$11:$B$310)+COUNTA(条幅!$B$11:$B$310),INDEX(条幅!$B$11:$B$310,581-COUNTA(半紙!$B$11:$B$310)),IF(581&lt;=COUNTA(半紙!$B$11:$B$310)+COUNTA(条幅!$B$11:$B$310)+COUNTA(条幅4分の1!$B$11:$B$310),INDEX(条幅4分の1!$B$11:$B$310,581-COUNTA(半紙!$B$11:$B$310)-COUNTA(条幅!$B$11:$B$310)),"")))=0,"",IF(581&lt;=COUNTA(半紙!$B$11:$B$310),INDEX(半紙!$B$11:$B$310,581),IF(581&lt;=COUNTA(半紙!$B$11:$B$310)+COUNTA(条幅!$B$11:$B$310),INDEX(条幅!$B$11:$B$310,581-COUNTA(半紙!$B$11:$B$310)),IF(581&lt;=COUNTA(半紙!$B$11:$B$310)+COUNTA(条幅!$B$11:$B$310)+COUNTA(条幅4分の1!$B$11:$B$310),INDEX(条幅4分の1!$B$11:$B$310,581-COUNTA(半紙!$B$11:$B$310)-COUNTA(条幅!$B$11:$B$310)),""))))</f>
        <v/>
      </c>
      <c r="C586" s="38" t="str">
        <f>IF(IF(581&lt;=COUNTA(半紙!$B$11:$B$310),INDEX(半紙!$C$11:$C$310,581),IF(581&lt;=COUNTA(半紙!$B$11:$B$310)+COUNTA(条幅!$B$11:$B$310),INDEX(条幅!$C$11:$C$310,581-COUNTA(半紙!$B$11:$B$310)),IF(581&lt;=COUNTA(半紙!$B$11:$B$310)+COUNTA(条幅!$B$11:$B$310)+COUNTA(条幅4分の1!$B$11:$B$310),INDEX(条幅4分の1!$C$11:$C$310,581-COUNTA(半紙!$B$11:$B$310)-COUNTA(条幅!$B$11:$B$310)),"")))=0,"",IF(581&lt;=COUNTA(半紙!$B$11:$B$310),INDEX(半紙!$C$11:$C$310,581),IF(581&lt;=COUNTA(半紙!$B$11:$B$310)+COUNTA(条幅!$B$11:$B$310),INDEX(条幅!$C$11:$C$310,581-COUNTA(半紙!$B$11:$B$310)),IF(581&lt;=COUNTA(半紙!$B$11:$B$310)+COUNTA(条幅!$B$11:$B$310)+COUNTA(条幅4分の1!$B$11:$B$310),INDEX(条幅4分の1!$C$11:$C$310,581-COUNTA(半紙!$B$11:$B$310)-COUNTA(条幅!$B$11:$B$310)),""))))</f>
        <v/>
      </c>
      <c r="D586" s="38" t="str">
        <f>IF(IF(581&lt;=COUNTA(半紙!$B$11:$B$310),INDEX(半紙!$D$11:$D$310,581),IF(581&lt;=COUNTA(半紙!$B$11:$B$310)+COUNTA(条幅!$B$11:$B$310),INDEX(条幅!$D$11:$D$310,581-COUNTA(半紙!$B$11:$B$310)),IF(581&lt;=COUNTA(半紙!$B$11:$B$310)+COUNTA(条幅!$B$11:$B$310)+COUNTA(条幅4分の1!$B$11:$B$310),INDEX(条幅4分の1!$D$11:$D$310,581-COUNTA(半紙!$B$11:$B$310)-COUNTA(条幅!$B$11:$B$310)),"")))=0,"",IF(581&lt;=COUNTA(半紙!$B$11:$B$310),INDEX(半紙!$D$11:$D$310,581),IF(581&lt;=COUNTA(半紙!$B$11:$B$310)+COUNTA(条幅!$B$11:$B$310),INDEX(条幅!$D$11:$D$310,581-COUNTA(半紙!$B$11:$B$310)),IF(581&lt;=COUNTA(半紙!$B$11:$B$310)+COUNTA(条幅!$B$11:$B$310)+COUNTA(条幅4分の1!$B$11:$B$310),INDEX(条幅4分の1!$D$11:$D$310,581-COUNTA(半紙!$B$11:$B$310)-COUNTA(条幅!$B$11:$B$310)),""))))</f>
        <v/>
      </c>
      <c r="E586" s="38" t="str">
        <f>IF(IF(581&lt;=COUNTA(半紙!$B$11:$B$310),INDEX(半紙!$E$11:$E$310,581),IF(581&lt;=COUNTA(半紙!$B$11:$B$310)+COUNTA(条幅!$B$11:$B$310),INDEX(条幅!$E$11:$E$310,581-COUNTA(半紙!$B$11:$B$310)),IF(581&lt;=COUNTA(半紙!$B$11:$B$310)+COUNTA(条幅!$B$11:$B$310)+COUNTA(条幅4分の1!$B$11:$B$310),INDEX(条幅4分の1!$E$11:$E$310,581-COUNTA(半紙!$B$11:$B$310)-COUNTA(条幅!$B$11:$B$310)),"")))=0,"",IF(581&lt;=COUNTA(半紙!$B$11:$B$310),INDEX(半紙!$E$11:$E$310,581),IF(581&lt;=COUNTA(半紙!$B$11:$B$310)+COUNTA(条幅!$B$11:$B$310),INDEX(条幅!$E$11:$E$310,581-COUNTA(半紙!$B$11:$B$310)),IF(581&lt;=COUNTA(半紙!$B$11:$B$310)+COUNTA(条幅!$B$11:$B$310)+COUNTA(条幅4分の1!$B$11:$B$310),INDEX(条幅4分の1!$E$11:$E$310,581-COUNTA(半紙!$B$11:$B$310)-COUNTA(条幅!$B$11:$B$310)),""))))</f>
        <v/>
      </c>
      <c r="F586" s="38" t="str">
        <f>IF(IF(581&lt;=COUNTA(半紙!$B$11:$B$310),INDEX(半紙!$F$11:$F$310,581),IF(581&lt;=COUNTA(半紙!$B$11:$B$310)+COUNTA(条幅!$B$11:$B$310),INDEX(条幅!$F$11:$F$310,581-COUNTA(半紙!$B$11:$B$310)),IF(581&lt;=COUNTA(半紙!$B$11:$B$310)+COUNTA(条幅!$B$11:$B$310)+COUNTA(条幅4分の1!$B$11:$B$310),INDEX(条幅4分の1!$F$11:$F$310,581-COUNTA(半紙!$B$11:$B$310)-COUNTA(条幅!$B$11:$B$310)),"")))=0,"",IF(581&lt;=COUNTA(半紙!$B$11:$B$310),INDEX(半紙!$F$11:$F$310,581),IF(581&lt;=COUNTA(半紙!$B$11:$B$310)+COUNTA(条幅!$B$11:$B$310),INDEX(条幅!$F$11:$F$310,581-COUNTA(半紙!$B$11:$B$310)),IF(581&lt;=COUNTA(半紙!$B$11:$B$310)+COUNTA(条幅!$B$11:$B$310)+COUNTA(条幅4分の1!$B$11:$B$310),INDEX(条幅4分の1!$F$11:$F$310,581-COUNTA(半紙!$B$11:$B$310)-COUNTA(条幅!$B$11:$B$310)),""))))</f>
        <v/>
      </c>
      <c r="G586" s="38" t="str">
        <f>IF(IF(581&lt;=COUNTA(半紙!$B$11:$B$310),INDEX(半紙!$G$11:$G$310,581),IF(581&lt;=COUNTA(半紙!$B$11:$B$310)+COUNTA(条幅!$B$11:$B$310),INDEX(条幅!$G$11:$G$310,581-COUNTA(半紙!$B$11:$B$310)),IF(581&lt;=COUNTA(半紙!$B$11:$B$310)+COUNTA(条幅!$B$11:$B$310)+COUNTA(条幅4分の1!$B$11:$B$310),INDEX(条幅4分の1!$G$11:$G$310,581-COUNTA(半紙!$B$11:$B$310)-COUNTA(条幅!$B$11:$B$310)),"")))=0,"",IF(581&lt;=COUNTA(半紙!$B$11:$B$310),INDEX(半紙!$G$11:$G$310,581),IF(581&lt;=COUNTA(半紙!$B$11:$B$310)+COUNTA(条幅!$B$11:$B$310),INDEX(条幅!$G$11:$G$310,581-COUNTA(半紙!$B$11:$B$310)),IF(581&lt;=COUNTA(半紙!$B$11:$B$310)+COUNTA(条幅!$B$11:$B$310)+COUNTA(条幅4分の1!$B$11:$B$310),INDEX(条幅4分の1!$G$11:$G$310,581-COUNTA(半紙!$B$11:$B$310)-COUNTA(条幅!$B$11:$B$310)),""))))</f>
        <v/>
      </c>
      <c r="H586" s="38" t="str">
        <f>IF(IF(581&lt;=COUNTA(半紙!$B$11:$B$310),INDEX(半紙!$H$11:$H$310,581),IF(581&lt;=COUNTA(半紙!$B$11:$B$310)+COUNTA(条幅!$B$11:$B$310),INDEX(条幅!$H$11:$H$310,581-COUNTA(半紙!$B$11:$B$310)),IF(581&lt;=COUNTA(半紙!$B$11:$B$310)+COUNTA(条幅!$B$11:$B$310)+COUNTA(条幅4分の1!$B$11:$B$310),INDEX(条幅4分の1!$H$11:$H$310,581-COUNTA(半紙!$B$11:$B$310)-COUNTA(条幅!$B$11:$B$310)),"")))=0,"",IF(581&lt;=COUNTA(半紙!$B$11:$B$310),INDEX(半紙!$H$11:$H$310,581),IF(581&lt;=COUNTA(半紙!$B$11:$B$310)+COUNTA(条幅!$B$11:$B$310),INDEX(条幅!$H$11:$H$310,581-COUNTA(半紙!$B$11:$B$310)),IF(581&lt;=COUNTA(半紙!$B$11:$B$310)+COUNTA(条幅!$B$11:$B$310)+COUNTA(条幅4分の1!$B$11:$B$310),INDEX(条幅4分の1!$H$11:$H$310,581-COUNTA(半紙!$B$11:$B$310)-COUNTA(条幅!$B$11:$B$310)),""))))</f>
        <v/>
      </c>
      <c r="I586" s="38" t="str">
        <f>IF(IF(581&lt;=COUNTA(半紙!$B$11:$B$310),INDEX(半紙!$I$11:$I$310,581),IF(581&lt;=COUNTA(半紙!$B$11:$B$310)+COUNTA(条幅!$B$11:$B$310),INDEX(条幅!$I$11:$I$310,581-COUNTA(半紙!$B$11:$B$310)),IF(581&lt;=COUNTA(半紙!$B$11:$B$310)+COUNTA(条幅!$B$11:$B$310)+COUNTA(条幅4分の1!$B$11:$B$310),INDEX(条幅4分の1!$I$11:$I$310,581-COUNTA(半紙!$B$11:$B$310)-COUNTA(条幅!$B$11:$B$310)),"")))=0,"",IF(581&lt;=COUNTA(半紙!$B$11:$B$310),INDEX(半紙!$I$11:$I$310,581),IF(581&lt;=COUNTA(半紙!$B$11:$B$310)+COUNTA(条幅!$B$11:$B$310),INDEX(条幅!$I$11:$I$310,581-COUNTA(半紙!$B$11:$B$310)),IF(581&lt;=COUNTA(半紙!$B$11:$B$310)+COUNTA(条幅!$B$11:$B$310)+COUNTA(条幅4分の1!$B$11:$B$310),INDEX(条幅4分の1!$I$11:$I$310,581-COUNTA(半紙!$B$11:$B$310)-COUNTA(条幅!$B$11:$B$310)),""))))</f>
        <v/>
      </c>
      <c r="J586" s="38" t="str">
        <f>IF(IF(581&lt;=COUNTA(半紙!$B$11:$B$310),INDEX(半紙!$J$11:$J$310,581),IF(581&lt;=COUNTA(半紙!$B$11:$B$310)+COUNTA(条幅!$B$11:$B$310),INDEX(条幅!$J$11:$J$310,581-COUNTA(半紙!$B$11:$B$310)),IF(581&lt;=COUNTA(半紙!$B$11:$B$310)+COUNTA(条幅!$B$11:$B$310)+COUNTA(条幅4分の1!$B$11:$B$310),INDEX(条幅4分の1!$J$11:$J$310,581-COUNTA(半紙!$B$11:$B$310)-COUNTA(条幅!$B$11:$B$310)),"")))=0,"",IF(581&lt;=COUNTA(半紙!$B$11:$B$310),INDEX(半紙!$J$11:$J$310,581),IF(581&lt;=COUNTA(半紙!$B$11:$B$310)+COUNTA(条幅!$B$11:$B$310),INDEX(条幅!$J$11:$J$310,581-COUNTA(半紙!$B$11:$B$310)),IF(581&lt;=COUNTA(半紙!$B$11:$B$310)+COUNTA(条幅!$B$11:$B$310)+COUNTA(条幅4分の1!$B$11:$B$310),INDEX(条幅4分の1!$J$11:$J$310,581-COUNTA(半紙!$B$11:$B$310)-COUNTA(条幅!$B$11:$B$310)),""))))</f>
        <v/>
      </c>
      <c r="K586" s="38" t="str">
        <f>IF(IF(581&lt;=COUNTA(半紙!$B$11:$B$310),INDEX(半紙!$K$11:$K$310,581),IF(581&lt;=COUNTA(半紙!$B$11:$B$310)+COUNTA(条幅!$B$11:$B$310),INDEX(条幅!$K$11:$K$310,581-COUNTA(半紙!$B$11:$B$310)),IF(581&lt;=COUNTA(半紙!$B$11:$B$310)+COUNTA(条幅!$B$11:$B$310)+COUNTA(条幅4分の1!$B$11:$B$310),INDEX(条幅4分の1!$K$11:$K$310,581-COUNTA(半紙!$B$11:$B$310)-COUNTA(条幅!$B$11:$B$310)),"")))=0,"",IF(581&lt;=COUNTA(半紙!$B$11:$B$310),INDEX(半紙!$K$11:$K$310,581),IF(581&lt;=COUNTA(半紙!$B$11:$B$310)+COUNTA(条幅!$B$11:$B$310),INDEX(条幅!$K$11:$K$310,581-COUNTA(半紙!$B$11:$B$310)),IF(581&lt;=COUNTA(半紙!$B$11:$B$310)+COUNTA(条幅!$B$11:$B$310)+COUNTA(条幅4分の1!$B$11:$B$310),INDEX(条幅4分の1!$K$11:$K$310,581-COUNTA(半紙!$B$11:$B$310)-COUNTA(条幅!$B$11:$B$310)),""))))</f>
        <v/>
      </c>
      <c r="L586" s="48" t="str">
        <f>IF($B586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581))</f>
        <v/>
      </c>
    </row>
    <row r="587" spans="1:12" ht="15" customHeight="1">
      <c r="A587" s="37" t="str">
        <f>IF(582&lt;=COUNTA(半紙!$B$11:$B$310),"半紙",IF(582&lt;=COUNTA(半紙!$B$11:$B$310)+COUNTA(条幅!$B$11:$B$310),"条幅(半切)",IF(582&lt;=COUNTA(半紙!$B$11:$B$310)+COUNTA(条幅!$B$11:$B$310)+COUNTA(条幅4分の1!$B$11:$B$310),"条幅(1/4)","")))</f>
        <v/>
      </c>
      <c r="B587" s="38" t="str">
        <f>IF(IF(582&lt;=COUNTA(半紙!$B$11:$B$310),INDEX(半紙!$B$11:$B$310,582),IF(582&lt;=COUNTA(半紙!$B$11:$B$310)+COUNTA(条幅!$B$11:$B$310),INDEX(条幅!$B$11:$B$310,582-COUNTA(半紙!$B$11:$B$310)),IF(582&lt;=COUNTA(半紙!$B$11:$B$310)+COUNTA(条幅!$B$11:$B$310)+COUNTA(条幅4分の1!$B$11:$B$310),INDEX(条幅4分の1!$B$11:$B$310,582-COUNTA(半紙!$B$11:$B$310)-COUNTA(条幅!$B$11:$B$310)),"")))=0,"",IF(582&lt;=COUNTA(半紙!$B$11:$B$310),INDEX(半紙!$B$11:$B$310,582),IF(582&lt;=COUNTA(半紙!$B$11:$B$310)+COUNTA(条幅!$B$11:$B$310),INDEX(条幅!$B$11:$B$310,582-COUNTA(半紙!$B$11:$B$310)),IF(582&lt;=COUNTA(半紙!$B$11:$B$310)+COUNTA(条幅!$B$11:$B$310)+COUNTA(条幅4分の1!$B$11:$B$310),INDEX(条幅4分の1!$B$11:$B$310,582-COUNTA(半紙!$B$11:$B$310)-COUNTA(条幅!$B$11:$B$310)),""))))</f>
        <v/>
      </c>
      <c r="C587" s="38" t="str">
        <f>IF(IF(582&lt;=COUNTA(半紙!$B$11:$B$310),INDEX(半紙!$C$11:$C$310,582),IF(582&lt;=COUNTA(半紙!$B$11:$B$310)+COUNTA(条幅!$B$11:$B$310),INDEX(条幅!$C$11:$C$310,582-COUNTA(半紙!$B$11:$B$310)),IF(582&lt;=COUNTA(半紙!$B$11:$B$310)+COUNTA(条幅!$B$11:$B$310)+COUNTA(条幅4分の1!$B$11:$B$310),INDEX(条幅4分の1!$C$11:$C$310,582-COUNTA(半紙!$B$11:$B$310)-COUNTA(条幅!$B$11:$B$310)),"")))=0,"",IF(582&lt;=COUNTA(半紙!$B$11:$B$310),INDEX(半紙!$C$11:$C$310,582),IF(582&lt;=COUNTA(半紙!$B$11:$B$310)+COUNTA(条幅!$B$11:$B$310),INDEX(条幅!$C$11:$C$310,582-COUNTA(半紙!$B$11:$B$310)),IF(582&lt;=COUNTA(半紙!$B$11:$B$310)+COUNTA(条幅!$B$11:$B$310)+COUNTA(条幅4分の1!$B$11:$B$310),INDEX(条幅4分の1!$C$11:$C$310,582-COUNTA(半紙!$B$11:$B$310)-COUNTA(条幅!$B$11:$B$310)),""))))</f>
        <v/>
      </c>
      <c r="D587" s="38" t="str">
        <f>IF(IF(582&lt;=COUNTA(半紙!$B$11:$B$310),INDEX(半紙!$D$11:$D$310,582),IF(582&lt;=COUNTA(半紙!$B$11:$B$310)+COUNTA(条幅!$B$11:$B$310),INDEX(条幅!$D$11:$D$310,582-COUNTA(半紙!$B$11:$B$310)),IF(582&lt;=COUNTA(半紙!$B$11:$B$310)+COUNTA(条幅!$B$11:$B$310)+COUNTA(条幅4分の1!$B$11:$B$310),INDEX(条幅4分の1!$D$11:$D$310,582-COUNTA(半紙!$B$11:$B$310)-COUNTA(条幅!$B$11:$B$310)),"")))=0,"",IF(582&lt;=COUNTA(半紙!$B$11:$B$310),INDEX(半紙!$D$11:$D$310,582),IF(582&lt;=COUNTA(半紙!$B$11:$B$310)+COUNTA(条幅!$B$11:$B$310),INDEX(条幅!$D$11:$D$310,582-COUNTA(半紙!$B$11:$B$310)),IF(582&lt;=COUNTA(半紙!$B$11:$B$310)+COUNTA(条幅!$B$11:$B$310)+COUNTA(条幅4分の1!$B$11:$B$310),INDEX(条幅4分の1!$D$11:$D$310,582-COUNTA(半紙!$B$11:$B$310)-COUNTA(条幅!$B$11:$B$310)),""))))</f>
        <v/>
      </c>
      <c r="E587" s="38" t="str">
        <f>IF(IF(582&lt;=COUNTA(半紙!$B$11:$B$310),INDEX(半紙!$E$11:$E$310,582),IF(582&lt;=COUNTA(半紙!$B$11:$B$310)+COUNTA(条幅!$B$11:$B$310),INDEX(条幅!$E$11:$E$310,582-COUNTA(半紙!$B$11:$B$310)),IF(582&lt;=COUNTA(半紙!$B$11:$B$310)+COUNTA(条幅!$B$11:$B$310)+COUNTA(条幅4分の1!$B$11:$B$310),INDEX(条幅4分の1!$E$11:$E$310,582-COUNTA(半紙!$B$11:$B$310)-COUNTA(条幅!$B$11:$B$310)),"")))=0,"",IF(582&lt;=COUNTA(半紙!$B$11:$B$310),INDEX(半紙!$E$11:$E$310,582),IF(582&lt;=COUNTA(半紙!$B$11:$B$310)+COUNTA(条幅!$B$11:$B$310),INDEX(条幅!$E$11:$E$310,582-COUNTA(半紙!$B$11:$B$310)),IF(582&lt;=COUNTA(半紙!$B$11:$B$310)+COUNTA(条幅!$B$11:$B$310)+COUNTA(条幅4分の1!$B$11:$B$310),INDEX(条幅4分の1!$E$11:$E$310,582-COUNTA(半紙!$B$11:$B$310)-COUNTA(条幅!$B$11:$B$310)),""))))</f>
        <v/>
      </c>
      <c r="F587" s="38" t="str">
        <f>IF(IF(582&lt;=COUNTA(半紙!$B$11:$B$310),INDEX(半紙!$F$11:$F$310,582),IF(582&lt;=COUNTA(半紙!$B$11:$B$310)+COUNTA(条幅!$B$11:$B$310),INDEX(条幅!$F$11:$F$310,582-COUNTA(半紙!$B$11:$B$310)),IF(582&lt;=COUNTA(半紙!$B$11:$B$310)+COUNTA(条幅!$B$11:$B$310)+COUNTA(条幅4分の1!$B$11:$B$310),INDEX(条幅4分の1!$F$11:$F$310,582-COUNTA(半紙!$B$11:$B$310)-COUNTA(条幅!$B$11:$B$310)),"")))=0,"",IF(582&lt;=COUNTA(半紙!$B$11:$B$310),INDEX(半紙!$F$11:$F$310,582),IF(582&lt;=COUNTA(半紙!$B$11:$B$310)+COUNTA(条幅!$B$11:$B$310),INDEX(条幅!$F$11:$F$310,582-COUNTA(半紙!$B$11:$B$310)),IF(582&lt;=COUNTA(半紙!$B$11:$B$310)+COUNTA(条幅!$B$11:$B$310)+COUNTA(条幅4分の1!$B$11:$B$310),INDEX(条幅4分の1!$F$11:$F$310,582-COUNTA(半紙!$B$11:$B$310)-COUNTA(条幅!$B$11:$B$310)),""))))</f>
        <v/>
      </c>
      <c r="G587" s="38" t="str">
        <f>IF(IF(582&lt;=COUNTA(半紙!$B$11:$B$310),INDEX(半紙!$G$11:$G$310,582),IF(582&lt;=COUNTA(半紙!$B$11:$B$310)+COUNTA(条幅!$B$11:$B$310),INDEX(条幅!$G$11:$G$310,582-COUNTA(半紙!$B$11:$B$310)),IF(582&lt;=COUNTA(半紙!$B$11:$B$310)+COUNTA(条幅!$B$11:$B$310)+COUNTA(条幅4分の1!$B$11:$B$310),INDEX(条幅4分の1!$G$11:$G$310,582-COUNTA(半紙!$B$11:$B$310)-COUNTA(条幅!$B$11:$B$310)),"")))=0,"",IF(582&lt;=COUNTA(半紙!$B$11:$B$310),INDEX(半紙!$G$11:$G$310,582),IF(582&lt;=COUNTA(半紙!$B$11:$B$310)+COUNTA(条幅!$B$11:$B$310),INDEX(条幅!$G$11:$G$310,582-COUNTA(半紙!$B$11:$B$310)),IF(582&lt;=COUNTA(半紙!$B$11:$B$310)+COUNTA(条幅!$B$11:$B$310)+COUNTA(条幅4分の1!$B$11:$B$310),INDEX(条幅4分の1!$G$11:$G$310,582-COUNTA(半紙!$B$11:$B$310)-COUNTA(条幅!$B$11:$B$310)),""))))</f>
        <v/>
      </c>
      <c r="H587" s="38" t="str">
        <f>IF(IF(582&lt;=COUNTA(半紙!$B$11:$B$310),INDEX(半紙!$H$11:$H$310,582),IF(582&lt;=COUNTA(半紙!$B$11:$B$310)+COUNTA(条幅!$B$11:$B$310),INDEX(条幅!$H$11:$H$310,582-COUNTA(半紙!$B$11:$B$310)),IF(582&lt;=COUNTA(半紙!$B$11:$B$310)+COUNTA(条幅!$B$11:$B$310)+COUNTA(条幅4分の1!$B$11:$B$310),INDEX(条幅4分の1!$H$11:$H$310,582-COUNTA(半紙!$B$11:$B$310)-COUNTA(条幅!$B$11:$B$310)),"")))=0,"",IF(582&lt;=COUNTA(半紙!$B$11:$B$310),INDEX(半紙!$H$11:$H$310,582),IF(582&lt;=COUNTA(半紙!$B$11:$B$310)+COUNTA(条幅!$B$11:$B$310),INDEX(条幅!$H$11:$H$310,582-COUNTA(半紙!$B$11:$B$310)),IF(582&lt;=COUNTA(半紙!$B$11:$B$310)+COUNTA(条幅!$B$11:$B$310)+COUNTA(条幅4分の1!$B$11:$B$310),INDEX(条幅4分の1!$H$11:$H$310,582-COUNTA(半紙!$B$11:$B$310)-COUNTA(条幅!$B$11:$B$310)),""))))</f>
        <v/>
      </c>
      <c r="I587" s="38" t="str">
        <f>IF(IF(582&lt;=COUNTA(半紙!$B$11:$B$310),INDEX(半紙!$I$11:$I$310,582),IF(582&lt;=COUNTA(半紙!$B$11:$B$310)+COUNTA(条幅!$B$11:$B$310),INDEX(条幅!$I$11:$I$310,582-COUNTA(半紙!$B$11:$B$310)),IF(582&lt;=COUNTA(半紙!$B$11:$B$310)+COUNTA(条幅!$B$11:$B$310)+COUNTA(条幅4分の1!$B$11:$B$310),INDEX(条幅4分の1!$I$11:$I$310,582-COUNTA(半紙!$B$11:$B$310)-COUNTA(条幅!$B$11:$B$310)),"")))=0,"",IF(582&lt;=COUNTA(半紙!$B$11:$B$310),INDEX(半紙!$I$11:$I$310,582),IF(582&lt;=COUNTA(半紙!$B$11:$B$310)+COUNTA(条幅!$B$11:$B$310),INDEX(条幅!$I$11:$I$310,582-COUNTA(半紙!$B$11:$B$310)),IF(582&lt;=COUNTA(半紙!$B$11:$B$310)+COUNTA(条幅!$B$11:$B$310)+COUNTA(条幅4分の1!$B$11:$B$310),INDEX(条幅4分の1!$I$11:$I$310,582-COUNTA(半紙!$B$11:$B$310)-COUNTA(条幅!$B$11:$B$310)),""))))</f>
        <v/>
      </c>
      <c r="J587" s="38" t="str">
        <f>IF(IF(582&lt;=COUNTA(半紙!$B$11:$B$310),INDEX(半紙!$J$11:$J$310,582),IF(582&lt;=COUNTA(半紙!$B$11:$B$310)+COUNTA(条幅!$B$11:$B$310),INDEX(条幅!$J$11:$J$310,582-COUNTA(半紙!$B$11:$B$310)),IF(582&lt;=COUNTA(半紙!$B$11:$B$310)+COUNTA(条幅!$B$11:$B$310)+COUNTA(条幅4分の1!$B$11:$B$310),INDEX(条幅4分の1!$J$11:$J$310,582-COUNTA(半紙!$B$11:$B$310)-COUNTA(条幅!$B$11:$B$310)),"")))=0,"",IF(582&lt;=COUNTA(半紙!$B$11:$B$310),INDEX(半紙!$J$11:$J$310,582),IF(582&lt;=COUNTA(半紙!$B$11:$B$310)+COUNTA(条幅!$B$11:$B$310),INDEX(条幅!$J$11:$J$310,582-COUNTA(半紙!$B$11:$B$310)),IF(582&lt;=COUNTA(半紙!$B$11:$B$310)+COUNTA(条幅!$B$11:$B$310)+COUNTA(条幅4分の1!$B$11:$B$310),INDEX(条幅4分の1!$J$11:$J$310,582-COUNTA(半紙!$B$11:$B$310)-COUNTA(条幅!$B$11:$B$310)),""))))</f>
        <v/>
      </c>
      <c r="K587" s="38" t="str">
        <f>IF(IF(582&lt;=COUNTA(半紙!$B$11:$B$310),INDEX(半紙!$K$11:$K$310,582),IF(582&lt;=COUNTA(半紙!$B$11:$B$310)+COUNTA(条幅!$B$11:$B$310),INDEX(条幅!$K$11:$K$310,582-COUNTA(半紙!$B$11:$B$310)),IF(582&lt;=COUNTA(半紙!$B$11:$B$310)+COUNTA(条幅!$B$11:$B$310)+COUNTA(条幅4分の1!$B$11:$B$310),INDEX(条幅4分の1!$K$11:$K$310,582-COUNTA(半紙!$B$11:$B$310)-COUNTA(条幅!$B$11:$B$310)),"")))=0,"",IF(582&lt;=COUNTA(半紙!$B$11:$B$310),INDEX(半紙!$K$11:$K$310,582),IF(582&lt;=COUNTA(半紙!$B$11:$B$310)+COUNTA(条幅!$B$11:$B$310),INDEX(条幅!$K$11:$K$310,582-COUNTA(半紙!$B$11:$B$310)),IF(582&lt;=COUNTA(半紙!$B$11:$B$310)+COUNTA(条幅!$B$11:$B$310)+COUNTA(条幅4分の1!$B$11:$B$310),INDEX(条幅4分の1!$K$11:$K$310,582-COUNTA(半紙!$B$11:$B$310)-COUNTA(条幅!$B$11:$B$310)),""))))</f>
        <v/>
      </c>
      <c r="L587" s="48" t="str">
        <f>IF($B587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582))</f>
        <v/>
      </c>
    </row>
    <row r="588" spans="1:12" ht="15" customHeight="1">
      <c r="A588" s="37" t="str">
        <f>IF(583&lt;=COUNTA(半紙!$B$11:$B$310),"半紙",IF(583&lt;=COUNTA(半紙!$B$11:$B$310)+COUNTA(条幅!$B$11:$B$310),"条幅(半切)",IF(583&lt;=COUNTA(半紙!$B$11:$B$310)+COUNTA(条幅!$B$11:$B$310)+COUNTA(条幅4分の1!$B$11:$B$310),"条幅(1/4)","")))</f>
        <v/>
      </c>
      <c r="B588" s="38" t="str">
        <f>IF(IF(583&lt;=COUNTA(半紙!$B$11:$B$310),INDEX(半紙!$B$11:$B$310,583),IF(583&lt;=COUNTA(半紙!$B$11:$B$310)+COUNTA(条幅!$B$11:$B$310),INDEX(条幅!$B$11:$B$310,583-COUNTA(半紙!$B$11:$B$310)),IF(583&lt;=COUNTA(半紙!$B$11:$B$310)+COUNTA(条幅!$B$11:$B$310)+COUNTA(条幅4分の1!$B$11:$B$310),INDEX(条幅4分の1!$B$11:$B$310,583-COUNTA(半紙!$B$11:$B$310)-COUNTA(条幅!$B$11:$B$310)),"")))=0,"",IF(583&lt;=COUNTA(半紙!$B$11:$B$310),INDEX(半紙!$B$11:$B$310,583),IF(583&lt;=COUNTA(半紙!$B$11:$B$310)+COUNTA(条幅!$B$11:$B$310),INDEX(条幅!$B$11:$B$310,583-COUNTA(半紙!$B$11:$B$310)),IF(583&lt;=COUNTA(半紙!$B$11:$B$310)+COUNTA(条幅!$B$11:$B$310)+COUNTA(条幅4分の1!$B$11:$B$310),INDEX(条幅4分の1!$B$11:$B$310,583-COUNTA(半紙!$B$11:$B$310)-COUNTA(条幅!$B$11:$B$310)),""))))</f>
        <v/>
      </c>
      <c r="C588" s="38" t="str">
        <f>IF(IF(583&lt;=COUNTA(半紙!$B$11:$B$310),INDEX(半紙!$C$11:$C$310,583),IF(583&lt;=COUNTA(半紙!$B$11:$B$310)+COUNTA(条幅!$B$11:$B$310),INDEX(条幅!$C$11:$C$310,583-COUNTA(半紙!$B$11:$B$310)),IF(583&lt;=COUNTA(半紙!$B$11:$B$310)+COUNTA(条幅!$B$11:$B$310)+COUNTA(条幅4分の1!$B$11:$B$310),INDEX(条幅4分の1!$C$11:$C$310,583-COUNTA(半紙!$B$11:$B$310)-COUNTA(条幅!$B$11:$B$310)),"")))=0,"",IF(583&lt;=COUNTA(半紙!$B$11:$B$310),INDEX(半紙!$C$11:$C$310,583),IF(583&lt;=COUNTA(半紙!$B$11:$B$310)+COUNTA(条幅!$B$11:$B$310),INDEX(条幅!$C$11:$C$310,583-COUNTA(半紙!$B$11:$B$310)),IF(583&lt;=COUNTA(半紙!$B$11:$B$310)+COUNTA(条幅!$B$11:$B$310)+COUNTA(条幅4分の1!$B$11:$B$310),INDEX(条幅4分の1!$C$11:$C$310,583-COUNTA(半紙!$B$11:$B$310)-COUNTA(条幅!$B$11:$B$310)),""))))</f>
        <v/>
      </c>
      <c r="D588" s="38" t="str">
        <f>IF(IF(583&lt;=COUNTA(半紙!$B$11:$B$310),INDEX(半紙!$D$11:$D$310,583),IF(583&lt;=COUNTA(半紙!$B$11:$B$310)+COUNTA(条幅!$B$11:$B$310),INDEX(条幅!$D$11:$D$310,583-COUNTA(半紙!$B$11:$B$310)),IF(583&lt;=COUNTA(半紙!$B$11:$B$310)+COUNTA(条幅!$B$11:$B$310)+COUNTA(条幅4分の1!$B$11:$B$310),INDEX(条幅4分の1!$D$11:$D$310,583-COUNTA(半紙!$B$11:$B$310)-COUNTA(条幅!$B$11:$B$310)),"")))=0,"",IF(583&lt;=COUNTA(半紙!$B$11:$B$310),INDEX(半紙!$D$11:$D$310,583),IF(583&lt;=COUNTA(半紙!$B$11:$B$310)+COUNTA(条幅!$B$11:$B$310),INDEX(条幅!$D$11:$D$310,583-COUNTA(半紙!$B$11:$B$310)),IF(583&lt;=COUNTA(半紙!$B$11:$B$310)+COUNTA(条幅!$B$11:$B$310)+COUNTA(条幅4分の1!$B$11:$B$310),INDEX(条幅4分の1!$D$11:$D$310,583-COUNTA(半紙!$B$11:$B$310)-COUNTA(条幅!$B$11:$B$310)),""))))</f>
        <v/>
      </c>
      <c r="E588" s="38" t="str">
        <f>IF(IF(583&lt;=COUNTA(半紙!$B$11:$B$310),INDEX(半紙!$E$11:$E$310,583),IF(583&lt;=COUNTA(半紙!$B$11:$B$310)+COUNTA(条幅!$B$11:$B$310),INDEX(条幅!$E$11:$E$310,583-COUNTA(半紙!$B$11:$B$310)),IF(583&lt;=COUNTA(半紙!$B$11:$B$310)+COUNTA(条幅!$B$11:$B$310)+COUNTA(条幅4分の1!$B$11:$B$310),INDEX(条幅4分の1!$E$11:$E$310,583-COUNTA(半紙!$B$11:$B$310)-COUNTA(条幅!$B$11:$B$310)),"")))=0,"",IF(583&lt;=COUNTA(半紙!$B$11:$B$310),INDEX(半紙!$E$11:$E$310,583),IF(583&lt;=COUNTA(半紙!$B$11:$B$310)+COUNTA(条幅!$B$11:$B$310),INDEX(条幅!$E$11:$E$310,583-COUNTA(半紙!$B$11:$B$310)),IF(583&lt;=COUNTA(半紙!$B$11:$B$310)+COUNTA(条幅!$B$11:$B$310)+COUNTA(条幅4分の1!$B$11:$B$310),INDEX(条幅4分の1!$E$11:$E$310,583-COUNTA(半紙!$B$11:$B$310)-COUNTA(条幅!$B$11:$B$310)),""))))</f>
        <v/>
      </c>
      <c r="F588" s="38" t="str">
        <f>IF(IF(583&lt;=COUNTA(半紙!$B$11:$B$310),INDEX(半紙!$F$11:$F$310,583),IF(583&lt;=COUNTA(半紙!$B$11:$B$310)+COUNTA(条幅!$B$11:$B$310),INDEX(条幅!$F$11:$F$310,583-COUNTA(半紙!$B$11:$B$310)),IF(583&lt;=COUNTA(半紙!$B$11:$B$310)+COUNTA(条幅!$B$11:$B$310)+COUNTA(条幅4分の1!$B$11:$B$310),INDEX(条幅4分の1!$F$11:$F$310,583-COUNTA(半紙!$B$11:$B$310)-COUNTA(条幅!$B$11:$B$310)),"")))=0,"",IF(583&lt;=COUNTA(半紙!$B$11:$B$310),INDEX(半紙!$F$11:$F$310,583),IF(583&lt;=COUNTA(半紙!$B$11:$B$310)+COUNTA(条幅!$B$11:$B$310),INDEX(条幅!$F$11:$F$310,583-COUNTA(半紙!$B$11:$B$310)),IF(583&lt;=COUNTA(半紙!$B$11:$B$310)+COUNTA(条幅!$B$11:$B$310)+COUNTA(条幅4分の1!$B$11:$B$310),INDEX(条幅4分の1!$F$11:$F$310,583-COUNTA(半紙!$B$11:$B$310)-COUNTA(条幅!$B$11:$B$310)),""))))</f>
        <v/>
      </c>
      <c r="G588" s="38" t="str">
        <f>IF(IF(583&lt;=COUNTA(半紙!$B$11:$B$310),INDEX(半紙!$G$11:$G$310,583),IF(583&lt;=COUNTA(半紙!$B$11:$B$310)+COUNTA(条幅!$B$11:$B$310),INDEX(条幅!$G$11:$G$310,583-COUNTA(半紙!$B$11:$B$310)),IF(583&lt;=COUNTA(半紙!$B$11:$B$310)+COUNTA(条幅!$B$11:$B$310)+COUNTA(条幅4分の1!$B$11:$B$310),INDEX(条幅4分の1!$G$11:$G$310,583-COUNTA(半紙!$B$11:$B$310)-COUNTA(条幅!$B$11:$B$310)),"")))=0,"",IF(583&lt;=COUNTA(半紙!$B$11:$B$310),INDEX(半紙!$G$11:$G$310,583),IF(583&lt;=COUNTA(半紙!$B$11:$B$310)+COUNTA(条幅!$B$11:$B$310),INDEX(条幅!$G$11:$G$310,583-COUNTA(半紙!$B$11:$B$310)),IF(583&lt;=COUNTA(半紙!$B$11:$B$310)+COUNTA(条幅!$B$11:$B$310)+COUNTA(条幅4分の1!$B$11:$B$310),INDEX(条幅4分の1!$G$11:$G$310,583-COUNTA(半紙!$B$11:$B$310)-COUNTA(条幅!$B$11:$B$310)),""))))</f>
        <v/>
      </c>
      <c r="H588" s="38" t="str">
        <f>IF(IF(583&lt;=COUNTA(半紙!$B$11:$B$310),INDEX(半紙!$H$11:$H$310,583),IF(583&lt;=COUNTA(半紙!$B$11:$B$310)+COUNTA(条幅!$B$11:$B$310),INDEX(条幅!$H$11:$H$310,583-COUNTA(半紙!$B$11:$B$310)),IF(583&lt;=COUNTA(半紙!$B$11:$B$310)+COUNTA(条幅!$B$11:$B$310)+COUNTA(条幅4分の1!$B$11:$B$310),INDEX(条幅4分の1!$H$11:$H$310,583-COUNTA(半紙!$B$11:$B$310)-COUNTA(条幅!$B$11:$B$310)),"")))=0,"",IF(583&lt;=COUNTA(半紙!$B$11:$B$310),INDEX(半紙!$H$11:$H$310,583),IF(583&lt;=COUNTA(半紙!$B$11:$B$310)+COUNTA(条幅!$B$11:$B$310),INDEX(条幅!$H$11:$H$310,583-COUNTA(半紙!$B$11:$B$310)),IF(583&lt;=COUNTA(半紙!$B$11:$B$310)+COUNTA(条幅!$B$11:$B$310)+COUNTA(条幅4分の1!$B$11:$B$310),INDEX(条幅4分の1!$H$11:$H$310,583-COUNTA(半紙!$B$11:$B$310)-COUNTA(条幅!$B$11:$B$310)),""))))</f>
        <v/>
      </c>
      <c r="I588" s="38" t="str">
        <f>IF(IF(583&lt;=COUNTA(半紙!$B$11:$B$310),INDEX(半紙!$I$11:$I$310,583),IF(583&lt;=COUNTA(半紙!$B$11:$B$310)+COUNTA(条幅!$B$11:$B$310),INDEX(条幅!$I$11:$I$310,583-COUNTA(半紙!$B$11:$B$310)),IF(583&lt;=COUNTA(半紙!$B$11:$B$310)+COUNTA(条幅!$B$11:$B$310)+COUNTA(条幅4分の1!$B$11:$B$310),INDEX(条幅4分の1!$I$11:$I$310,583-COUNTA(半紙!$B$11:$B$310)-COUNTA(条幅!$B$11:$B$310)),"")))=0,"",IF(583&lt;=COUNTA(半紙!$B$11:$B$310),INDEX(半紙!$I$11:$I$310,583),IF(583&lt;=COUNTA(半紙!$B$11:$B$310)+COUNTA(条幅!$B$11:$B$310),INDEX(条幅!$I$11:$I$310,583-COUNTA(半紙!$B$11:$B$310)),IF(583&lt;=COUNTA(半紙!$B$11:$B$310)+COUNTA(条幅!$B$11:$B$310)+COUNTA(条幅4分の1!$B$11:$B$310),INDEX(条幅4分の1!$I$11:$I$310,583-COUNTA(半紙!$B$11:$B$310)-COUNTA(条幅!$B$11:$B$310)),""))))</f>
        <v/>
      </c>
      <c r="J588" s="38" t="str">
        <f>IF(IF(583&lt;=COUNTA(半紙!$B$11:$B$310),INDEX(半紙!$J$11:$J$310,583),IF(583&lt;=COUNTA(半紙!$B$11:$B$310)+COUNTA(条幅!$B$11:$B$310),INDEX(条幅!$J$11:$J$310,583-COUNTA(半紙!$B$11:$B$310)),IF(583&lt;=COUNTA(半紙!$B$11:$B$310)+COUNTA(条幅!$B$11:$B$310)+COUNTA(条幅4分の1!$B$11:$B$310),INDEX(条幅4分の1!$J$11:$J$310,583-COUNTA(半紙!$B$11:$B$310)-COUNTA(条幅!$B$11:$B$310)),"")))=0,"",IF(583&lt;=COUNTA(半紙!$B$11:$B$310),INDEX(半紙!$J$11:$J$310,583),IF(583&lt;=COUNTA(半紙!$B$11:$B$310)+COUNTA(条幅!$B$11:$B$310),INDEX(条幅!$J$11:$J$310,583-COUNTA(半紙!$B$11:$B$310)),IF(583&lt;=COUNTA(半紙!$B$11:$B$310)+COUNTA(条幅!$B$11:$B$310)+COUNTA(条幅4分の1!$B$11:$B$310),INDEX(条幅4分の1!$J$11:$J$310,583-COUNTA(半紙!$B$11:$B$310)-COUNTA(条幅!$B$11:$B$310)),""))))</f>
        <v/>
      </c>
      <c r="K588" s="38" t="str">
        <f>IF(IF(583&lt;=COUNTA(半紙!$B$11:$B$310),INDEX(半紙!$K$11:$K$310,583),IF(583&lt;=COUNTA(半紙!$B$11:$B$310)+COUNTA(条幅!$B$11:$B$310),INDEX(条幅!$K$11:$K$310,583-COUNTA(半紙!$B$11:$B$310)),IF(583&lt;=COUNTA(半紙!$B$11:$B$310)+COUNTA(条幅!$B$11:$B$310)+COUNTA(条幅4分の1!$B$11:$B$310),INDEX(条幅4分の1!$K$11:$K$310,583-COUNTA(半紙!$B$11:$B$310)-COUNTA(条幅!$B$11:$B$310)),"")))=0,"",IF(583&lt;=COUNTA(半紙!$B$11:$B$310),INDEX(半紙!$K$11:$K$310,583),IF(583&lt;=COUNTA(半紙!$B$11:$B$310)+COUNTA(条幅!$B$11:$B$310),INDEX(条幅!$K$11:$K$310,583-COUNTA(半紙!$B$11:$B$310)),IF(583&lt;=COUNTA(半紙!$B$11:$B$310)+COUNTA(条幅!$B$11:$B$310)+COUNTA(条幅4分の1!$B$11:$B$310),INDEX(条幅4分の1!$K$11:$K$310,583-COUNTA(半紙!$B$11:$B$310)-COUNTA(条幅!$B$11:$B$310)),""))))</f>
        <v/>
      </c>
      <c r="L588" s="48" t="str">
        <f>IF($B588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583))</f>
        <v/>
      </c>
    </row>
    <row r="589" spans="1:12" ht="15" customHeight="1">
      <c r="A589" s="37" t="str">
        <f>IF(584&lt;=COUNTA(半紙!$B$11:$B$310),"半紙",IF(584&lt;=COUNTA(半紙!$B$11:$B$310)+COUNTA(条幅!$B$11:$B$310),"条幅(半切)",IF(584&lt;=COUNTA(半紙!$B$11:$B$310)+COUNTA(条幅!$B$11:$B$310)+COUNTA(条幅4分の1!$B$11:$B$310),"条幅(1/4)","")))</f>
        <v/>
      </c>
      <c r="B589" s="38" t="str">
        <f>IF(IF(584&lt;=COUNTA(半紙!$B$11:$B$310),INDEX(半紙!$B$11:$B$310,584),IF(584&lt;=COUNTA(半紙!$B$11:$B$310)+COUNTA(条幅!$B$11:$B$310),INDEX(条幅!$B$11:$B$310,584-COUNTA(半紙!$B$11:$B$310)),IF(584&lt;=COUNTA(半紙!$B$11:$B$310)+COUNTA(条幅!$B$11:$B$310)+COUNTA(条幅4分の1!$B$11:$B$310),INDEX(条幅4分の1!$B$11:$B$310,584-COUNTA(半紙!$B$11:$B$310)-COUNTA(条幅!$B$11:$B$310)),"")))=0,"",IF(584&lt;=COUNTA(半紙!$B$11:$B$310),INDEX(半紙!$B$11:$B$310,584),IF(584&lt;=COUNTA(半紙!$B$11:$B$310)+COUNTA(条幅!$B$11:$B$310),INDEX(条幅!$B$11:$B$310,584-COUNTA(半紙!$B$11:$B$310)),IF(584&lt;=COUNTA(半紙!$B$11:$B$310)+COUNTA(条幅!$B$11:$B$310)+COUNTA(条幅4分の1!$B$11:$B$310),INDEX(条幅4分の1!$B$11:$B$310,584-COUNTA(半紙!$B$11:$B$310)-COUNTA(条幅!$B$11:$B$310)),""))))</f>
        <v/>
      </c>
      <c r="C589" s="38" t="str">
        <f>IF(IF(584&lt;=COUNTA(半紙!$B$11:$B$310),INDEX(半紙!$C$11:$C$310,584),IF(584&lt;=COUNTA(半紙!$B$11:$B$310)+COUNTA(条幅!$B$11:$B$310),INDEX(条幅!$C$11:$C$310,584-COUNTA(半紙!$B$11:$B$310)),IF(584&lt;=COUNTA(半紙!$B$11:$B$310)+COUNTA(条幅!$B$11:$B$310)+COUNTA(条幅4分の1!$B$11:$B$310),INDEX(条幅4分の1!$C$11:$C$310,584-COUNTA(半紙!$B$11:$B$310)-COUNTA(条幅!$B$11:$B$310)),"")))=0,"",IF(584&lt;=COUNTA(半紙!$B$11:$B$310),INDEX(半紙!$C$11:$C$310,584),IF(584&lt;=COUNTA(半紙!$B$11:$B$310)+COUNTA(条幅!$B$11:$B$310),INDEX(条幅!$C$11:$C$310,584-COUNTA(半紙!$B$11:$B$310)),IF(584&lt;=COUNTA(半紙!$B$11:$B$310)+COUNTA(条幅!$B$11:$B$310)+COUNTA(条幅4分の1!$B$11:$B$310),INDEX(条幅4分の1!$C$11:$C$310,584-COUNTA(半紙!$B$11:$B$310)-COUNTA(条幅!$B$11:$B$310)),""))))</f>
        <v/>
      </c>
      <c r="D589" s="38" t="str">
        <f>IF(IF(584&lt;=COUNTA(半紙!$B$11:$B$310),INDEX(半紙!$D$11:$D$310,584),IF(584&lt;=COUNTA(半紙!$B$11:$B$310)+COUNTA(条幅!$B$11:$B$310),INDEX(条幅!$D$11:$D$310,584-COUNTA(半紙!$B$11:$B$310)),IF(584&lt;=COUNTA(半紙!$B$11:$B$310)+COUNTA(条幅!$B$11:$B$310)+COUNTA(条幅4分の1!$B$11:$B$310),INDEX(条幅4分の1!$D$11:$D$310,584-COUNTA(半紙!$B$11:$B$310)-COUNTA(条幅!$B$11:$B$310)),"")))=0,"",IF(584&lt;=COUNTA(半紙!$B$11:$B$310),INDEX(半紙!$D$11:$D$310,584),IF(584&lt;=COUNTA(半紙!$B$11:$B$310)+COUNTA(条幅!$B$11:$B$310),INDEX(条幅!$D$11:$D$310,584-COUNTA(半紙!$B$11:$B$310)),IF(584&lt;=COUNTA(半紙!$B$11:$B$310)+COUNTA(条幅!$B$11:$B$310)+COUNTA(条幅4分の1!$B$11:$B$310),INDEX(条幅4分の1!$D$11:$D$310,584-COUNTA(半紙!$B$11:$B$310)-COUNTA(条幅!$B$11:$B$310)),""))))</f>
        <v/>
      </c>
      <c r="E589" s="38" t="str">
        <f>IF(IF(584&lt;=COUNTA(半紙!$B$11:$B$310),INDEX(半紙!$E$11:$E$310,584),IF(584&lt;=COUNTA(半紙!$B$11:$B$310)+COUNTA(条幅!$B$11:$B$310),INDEX(条幅!$E$11:$E$310,584-COUNTA(半紙!$B$11:$B$310)),IF(584&lt;=COUNTA(半紙!$B$11:$B$310)+COUNTA(条幅!$B$11:$B$310)+COUNTA(条幅4分の1!$B$11:$B$310),INDEX(条幅4分の1!$E$11:$E$310,584-COUNTA(半紙!$B$11:$B$310)-COUNTA(条幅!$B$11:$B$310)),"")))=0,"",IF(584&lt;=COUNTA(半紙!$B$11:$B$310),INDEX(半紙!$E$11:$E$310,584),IF(584&lt;=COUNTA(半紙!$B$11:$B$310)+COUNTA(条幅!$B$11:$B$310),INDEX(条幅!$E$11:$E$310,584-COUNTA(半紙!$B$11:$B$310)),IF(584&lt;=COUNTA(半紙!$B$11:$B$310)+COUNTA(条幅!$B$11:$B$310)+COUNTA(条幅4分の1!$B$11:$B$310),INDEX(条幅4分の1!$E$11:$E$310,584-COUNTA(半紙!$B$11:$B$310)-COUNTA(条幅!$B$11:$B$310)),""))))</f>
        <v/>
      </c>
      <c r="F589" s="38" t="str">
        <f>IF(IF(584&lt;=COUNTA(半紙!$B$11:$B$310),INDEX(半紙!$F$11:$F$310,584),IF(584&lt;=COUNTA(半紙!$B$11:$B$310)+COUNTA(条幅!$B$11:$B$310),INDEX(条幅!$F$11:$F$310,584-COUNTA(半紙!$B$11:$B$310)),IF(584&lt;=COUNTA(半紙!$B$11:$B$310)+COUNTA(条幅!$B$11:$B$310)+COUNTA(条幅4分の1!$B$11:$B$310),INDEX(条幅4分の1!$F$11:$F$310,584-COUNTA(半紙!$B$11:$B$310)-COUNTA(条幅!$B$11:$B$310)),"")))=0,"",IF(584&lt;=COUNTA(半紙!$B$11:$B$310),INDEX(半紙!$F$11:$F$310,584),IF(584&lt;=COUNTA(半紙!$B$11:$B$310)+COUNTA(条幅!$B$11:$B$310),INDEX(条幅!$F$11:$F$310,584-COUNTA(半紙!$B$11:$B$310)),IF(584&lt;=COUNTA(半紙!$B$11:$B$310)+COUNTA(条幅!$B$11:$B$310)+COUNTA(条幅4分の1!$B$11:$B$310),INDEX(条幅4分の1!$F$11:$F$310,584-COUNTA(半紙!$B$11:$B$310)-COUNTA(条幅!$B$11:$B$310)),""))))</f>
        <v/>
      </c>
      <c r="G589" s="38" t="str">
        <f>IF(IF(584&lt;=COUNTA(半紙!$B$11:$B$310),INDEX(半紙!$G$11:$G$310,584),IF(584&lt;=COUNTA(半紙!$B$11:$B$310)+COUNTA(条幅!$B$11:$B$310),INDEX(条幅!$G$11:$G$310,584-COUNTA(半紙!$B$11:$B$310)),IF(584&lt;=COUNTA(半紙!$B$11:$B$310)+COUNTA(条幅!$B$11:$B$310)+COUNTA(条幅4分の1!$B$11:$B$310),INDEX(条幅4分の1!$G$11:$G$310,584-COUNTA(半紙!$B$11:$B$310)-COUNTA(条幅!$B$11:$B$310)),"")))=0,"",IF(584&lt;=COUNTA(半紙!$B$11:$B$310),INDEX(半紙!$G$11:$G$310,584),IF(584&lt;=COUNTA(半紙!$B$11:$B$310)+COUNTA(条幅!$B$11:$B$310),INDEX(条幅!$G$11:$G$310,584-COUNTA(半紙!$B$11:$B$310)),IF(584&lt;=COUNTA(半紙!$B$11:$B$310)+COUNTA(条幅!$B$11:$B$310)+COUNTA(条幅4分の1!$B$11:$B$310),INDEX(条幅4分の1!$G$11:$G$310,584-COUNTA(半紙!$B$11:$B$310)-COUNTA(条幅!$B$11:$B$310)),""))))</f>
        <v/>
      </c>
      <c r="H589" s="38" t="str">
        <f>IF(IF(584&lt;=COUNTA(半紙!$B$11:$B$310),INDEX(半紙!$H$11:$H$310,584),IF(584&lt;=COUNTA(半紙!$B$11:$B$310)+COUNTA(条幅!$B$11:$B$310),INDEX(条幅!$H$11:$H$310,584-COUNTA(半紙!$B$11:$B$310)),IF(584&lt;=COUNTA(半紙!$B$11:$B$310)+COUNTA(条幅!$B$11:$B$310)+COUNTA(条幅4分の1!$B$11:$B$310),INDEX(条幅4分の1!$H$11:$H$310,584-COUNTA(半紙!$B$11:$B$310)-COUNTA(条幅!$B$11:$B$310)),"")))=0,"",IF(584&lt;=COUNTA(半紙!$B$11:$B$310),INDEX(半紙!$H$11:$H$310,584),IF(584&lt;=COUNTA(半紙!$B$11:$B$310)+COUNTA(条幅!$B$11:$B$310),INDEX(条幅!$H$11:$H$310,584-COUNTA(半紙!$B$11:$B$310)),IF(584&lt;=COUNTA(半紙!$B$11:$B$310)+COUNTA(条幅!$B$11:$B$310)+COUNTA(条幅4分の1!$B$11:$B$310),INDEX(条幅4分の1!$H$11:$H$310,584-COUNTA(半紙!$B$11:$B$310)-COUNTA(条幅!$B$11:$B$310)),""))))</f>
        <v/>
      </c>
      <c r="I589" s="38" t="str">
        <f>IF(IF(584&lt;=COUNTA(半紙!$B$11:$B$310),INDEX(半紙!$I$11:$I$310,584),IF(584&lt;=COUNTA(半紙!$B$11:$B$310)+COUNTA(条幅!$B$11:$B$310),INDEX(条幅!$I$11:$I$310,584-COUNTA(半紙!$B$11:$B$310)),IF(584&lt;=COUNTA(半紙!$B$11:$B$310)+COUNTA(条幅!$B$11:$B$310)+COUNTA(条幅4分の1!$B$11:$B$310),INDEX(条幅4分の1!$I$11:$I$310,584-COUNTA(半紙!$B$11:$B$310)-COUNTA(条幅!$B$11:$B$310)),"")))=0,"",IF(584&lt;=COUNTA(半紙!$B$11:$B$310),INDEX(半紙!$I$11:$I$310,584),IF(584&lt;=COUNTA(半紙!$B$11:$B$310)+COUNTA(条幅!$B$11:$B$310),INDEX(条幅!$I$11:$I$310,584-COUNTA(半紙!$B$11:$B$310)),IF(584&lt;=COUNTA(半紙!$B$11:$B$310)+COUNTA(条幅!$B$11:$B$310)+COUNTA(条幅4分の1!$B$11:$B$310),INDEX(条幅4分の1!$I$11:$I$310,584-COUNTA(半紙!$B$11:$B$310)-COUNTA(条幅!$B$11:$B$310)),""))))</f>
        <v/>
      </c>
      <c r="J589" s="38" t="str">
        <f>IF(IF(584&lt;=COUNTA(半紙!$B$11:$B$310),INDEX(半紙!$J$11:$J$310,584),IF(584&lt;=COUNTA(半紙!$B$11:$B$310)+COUNTA(条幅!$B$11:$B$310),INDEX(条幅!$J$11:$J$310,584-COUNTA(半紙!$B$11:$B$310)),IF(584&lt;=COUNTA(半紙!$B$11:$B$310)+COUNTA(条幅!$B$11:$B$310)+COUNTA(条幅4分の1!$B$11:$B$310),INDEX(条幅4分の1!$J$11:$J$310,584-COUNTA(半紙!$B$11:$B$310)-COUNTA(条幅!$B$11:$B$310)),"")))=0,"",IF(584&lt;=COUNTA(半紙!$B$11:$B$310),INDEX(半紙!$J$11:$J$310,584),IF(584&lt;=COUNTA(半紙!$B$11:$B$310)+COUNTA(条幅!$B$11:$B$310),INDEX(条幅!$J$11:$J$310,584-COUNTA(半紙!$B$11:$B$310)),IF(584&lt;=COUNTA(半紙!$B$11:$B$310)+COUNTA(条幅!$B$11:$B$310)+COUNTA(条幅4分の1!$B$11:$B$310),INDEX(条幅4分の1!$J$11:$J$310,584-COUNTA(半紙!$B$11:$B$310)-COUNTA(条幅!$B$11:$B$310)),""))))</f>
        <v/>
      </c>
      <c r="K589" s="38" t="str">
        <f>IF(IF(584&lt;=COUNTA(半紙!$B$11:$B$310),INDEX(半紙!$K$11:$K$310,584),IF(584&lt;=COUNTA(半紙!$B$11:$B$310)+COUNTA(条幅!$B$11:$B$310),INDEX(条幅!$K$11:$K$310,584-COUNTA(半紙!$B$11:$B$310)),IF(584&lt;=COUNTA(半紙!$B$11:$B$310)+COUNTA(条幅!$B$11:$B$310)+COUNTA(条幅4分の1!$B$11:$B$310),INDEX(条幅4分の1!$K$11:$K$310,584-COUNTA(半紙!$B$11:$B$310)-COUNTA(条幅!$B$11:$B$310)),"")))=0,"",IF(584&lt;=COUNTA(半紙!$B$11:$B$310),INDEX(半紙!$K$11:$K$310,584),IF(584&lt;=COUNTA(半紙!$B$11:$B$310)+COUNTA(条幅!$B$11:$B$310),INDEX(条幅!$K$11:$K$310,584-COUNTA(半紙!$B$11:$B$310)),IF(584&lt;=COUNTA(半紙!$B$11:$B$310)+COUNTA(条幅!$B$11:$B$310)+COUNTA(条幅4分の1!$B$11:$B$310),INDEX(条幅4分の1!$K$11:$K$310,584-COUNTA(半紙!$B$11:$B$310)-COUNTA(条幅!$B$11:$B$310)),""))))</f>
        <v/>
      </c>
      <c r="L589" s="48" t="str">
        <f>IF($B589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584))</f>
        <v/>
      </c>
    </row>
    <row r="590" spans="1:12" ht="15" customHeight="1">
      <c r="A590" s="37" t="str">
        <f>IF(585&lt;=COUNTA(半紙!$B$11:$B$310),"半紙",IF(585&lt;=COUNTA(半紙!$B$11:$B$310)+COUNTA(条幅!$B$11:$B$310),"条幅(半切)",IF(585&lt;=COUNTA(半紙!$B$11:$B$310)+COUNTA(条幅!$B$11:$B$310)+COUNTA(条幅4分の1!$B$11:$B$310),"条幅(1/4)","")))</f>
        <v/>
      </c>
      <c r="B590" s="38" t="str">
        <f>IF(IF(585&lt;=COUNTA(半紙!$B$11:$B$310),INDEX(半紙!$B$11:$B$310,585),IF(585&lt;=COUNTA(半紙!$B$11:$B$310)+COUNTA(条幅!$B$11:$B$310),INDEX(条幅!$B$11:$B$310,585-COUNTA(半紙!$B$11:$B$310)),IF(585&lt;=COUNTA(半紙!$B$11:$B$310)+COUNTA(条幅!$B$11:$B$310)+COUNTA(条幅4分の1!$B$11:$B$310),INDEX(条幅4分の1!$B$11:$B$310,585-COUNTA(半紙!$B$11:$B$310)-COUNTA(条幅!$B$11:$B$310)),"")))=0,"",IF(585&lt;=COUNTA(半紙!$B$11:$B$310),INDEX(半紙!$B$11:$B$310,585),IF(585&lt;=COUNTA(半紙!$B$11:$B$310)+COUNTA(条幅!$B$11:$B$310),INDEX(条幅!$B$11:$B$310,585-COUNTA(半紙!$B$11:$B$310)),IF(585&lt;=COUNTA(半紙!$B$11:$B$310)+COUNTA(条幅!$B$11:$B$310)+COUNTA(条幅4分の1!$B$11:$B$310),INDEX(条幅4分の1!$B$11:$B$310,585-COUNTA(半紙!$B$11:$B$310)-COUNTA(条幅!$B$11:$B$310)),""))))</f>
        <v/>
      </c>
      <c r="C590" s="38" t="str">
        <f>IF(IF(585&lt;=COUNTA(半紙!$B$11:$B$310),INDEX(半紙!$C$11:$C$310,585),IF(585&lt;=COUNTA(半紙!$B$11:$B$310)+COUNTA(条幅!$B$11:$B$310),INDEX(条幅!$C$11:$C$310,585-COUNTA(半紙!$B$11:$B$310)),IF(585&lt;=COUNTA(半紙!$B$11:$B$310)+COUNTA(条幅!$B$11:$B$310)+COUNTA(条幅4分の1!$B$11:$B$310),INDEX(条幅4分の1!$C$11:$C$310,585-COUNTA(半紙!$B$11:$B$310)-COUNTA(条幅!$B$11:$B$310)),"")))=0,"",IF(585&lt;=COUNTA(半紙!$B$11:$B$310),INDEX(半紙!$C$11:$C$310,585),IF(585&lt;=COUNTA(半紙!$B$11:$B$310)+COUNTA(条幅!$B$11:$B$310),INDEX(条幅!$C$11:$C$310,585-COUNTA(半紙!$B$11:$B$310)),IF(585&lt;=COUNTA(半紙!$B$11:$B$310)+COUNTA(条幅!$B$11:$B$310)+COUNTA(条幅4分の1!$B$11:$B$310),INDEX(条幅4分の1!$C$11:$C$310,585-COUNTA(半紙!$B$11:$B$310)-COUNTA(条幅!$B$11:$B$310)),""))))</f>
        <v/>
      </c>
      <c r="D590" s="38" t="str">
        <f>IF(IF(585&lt;=COUNTA(半紙!$B$11:$B$310),INDEX(半紙!$D$11:$D$310,585),IF(585&lt;=COUNTA(半紙!$B$11:$B$310)+COUNTA(条幅!$B$11:$B$310),INDEX(条幅!$D$11:$D$310,585-COUNTA(半紙!$B$11:$B$310)),IF(585&lt;=COUNTA(半紙!$B$11:$B$310)+COUNTA(条幅!$B$11:$B$310)+COUNTA(条幅4分の1!$B$11:$B$310),INDEX(条幅4分の1!$D$11:$D$310,585-COUNTA(半紙!$B$11:$B$310)-COUNTA(条幅!$B$11:$B$310)),"")))=0,"",IF(585&lt;=COUNTA(半紙!$B$11:$B$310),INDEX(半紙!$D$11:$D$310,585),IF(585&lt;=COUNTA(半紙!$B$11:$B$310)+COUNTA(条幅!$B$11:$B$310),INDEX(条幅!$D$11:$D$310,585-COUNTA(半紙!$B$11:$B$310)),IF(585&lt;=COUNTA(半紙!$B$11:$B$310)+COUNTA(条幅!$B$11:$B$310)+COUNTA(条幅4分の1!$B$11:$B$310),INDEX(条幅4分の1!$D$11:$D$310,585-COUNTA(半紙!$B$11:$B$310)-COUNTA(条幅!$B$11:$B$310)),""))))</f>
        <v/>
      </c>
      <c r="E590" s="38" t="str">
        <f>IF(IF(585&lt;=COUNTA(半紙!$B$11:$B$310),INDEX(半紙!$E$11:$E$310,585),IF(585&lt;=COUNTA(半紙!$B$11:$B$310)+COUNTA(条幅!$B$11:$B$310),INDEX(条幅!$E$11:$E$310,585-COUNTA(半紙!$B$11:$B$310)),IF(585&lt;=COUNTA(半紙!$B$11:$B$310)+COUNTA(条幅!$B$11:$B$310)+COUNTA(条幅4分の1!$B$11:$B$310),INDEX(条幅4分の1!$E$11:$E$310,585-COUNTA(半紙!$B$11:$B$310)-COUNTA(条幅!$B$11:$B$310)),"")))=0,"",IF(585&lt;=COUNTA(半紙!$B$11:$B$310),INDEX(半紙!$E$11:$E$310,585),IF(585&lt;=COUNTA(半紙!$B$11:$B$310)+COUNTA(条幅!$B$11:$B$310),INDEX(条幅!$E$11:$E$310,585-COUNTA(半紙!$B$11:$B$310)),IF(585&lt;=COUNTA(半紙!$B$11:$B$310)+COUNTA(条幅!$B$11:$B$310)+COUNTA(条幅4分の1!$B$11:$B$310),INDEX(条幅4分の1!$E$11:$E$310,585-COUNTA(半紙!$B$11:$B$310)-COUNTA(条幅!$B$11:$B$310)),""))))</f>
        <v/>
      </c>
      <c r="F590" s="38" t="str">
        <f>IF(IF(585&lt;=COUNTA(半紙!$B$11:$B$310),INDEX(半紙!$F$11:$F$310,585),IF(585&lt;=COUNTA(半紙!$B$11:$B$310)+COUNTA(条幅!$B$11:$B$310),INDEX(条幅!$F$11:$F$310,585-COUNTA(半紙!$B$11:$B$310)),IF(585&lt;=COUNTA(半紙!$B$11:$B$310)+COUNTA(条幅!$B$11:$B$310)+COUNTA(条幅4分の1!$B$11:$B$310),INDEX(条幅4分の1!$F$11:$F$310,585-COUNTA(半紙!$B$11:$B$310)-COUNTA(条幅!$B$11:$B$310)),"")))=0,"",IF(585&lt;=COUNTA(半紙!$B$11:$B$310),INDEX(半紙!$F$11:$F$310,585),IF(585&lt;=COUNTA(半紙!$B$11:$B$310)+COUNTA(条幅!$B$11:$B$310),INDEX(条幅!$F$11:$F$310,585-COUNTA(半紙!$B$11:$B$310)),IF(585&lt;=COUNTA(半紙!$B$11:$B$310)+COUNTA(条幅!$B$11:$B$310)+COUNTA(条幅4分の1!$B$11:$B$310),INDEX(条幅4分の1!$F$11:$F$310,585-COUNTA(半紙!$B$11:$B$310)-COUNTA(条幅!$B$11:$B$310)),""))))</f>
        <v/>
      </c>
      <c r="G590" s="38" t="str">
        <f>IF(IF(585&lt;=COUNTA(半紙!$B$11:$B$310),INDEX(半紙!$G$11:$G$310,585),IF(585&lt;=COUNTA(半紙!$B$11:$B$310)+COUNTA(条幅!$B$11:$B$310),INDEX(条幅!$G$11:$G$310,585-COUNTA(半紙!$B$11:$B$310)),IF(585&lt;=COUNTA(半紙!$B$11:$B$310)+COUNTA(条幅!$B$11:$B$310)+COUNTA(条幅4分の1!$B$11:$B$310),INDEX(条幅4分の1!$G$11:$G$310,585-COUNTA(半紙!$B$11:$B$310)-COUNTA(条幅!$B$11:$B$310)),"")))=0,"",IF(585&lt;=COUNTA(半紙!$B$11:$B$310),INDEX(半紙!$G$11:$G$310,585),IF(585&lt;=COUNTA(半紙!$B$11:$B$310)+COUNTA(条幅!$B$11:$B$310),INDEX(条幅!$G$11:$G$310,585-COUNTA(半紙!$B$11:$B$310)),IF(585&lt;=COUNTA(半紙!$B$11:$B$310)+COUNTA(条幅!$B$11:$B$310)+COUNTA(条幅4分の1!$B$11:$B$310),INDEX(条幅4分の1!$G$11:$G$310,585-COUNTA(半紙!$B$11:$B$310)-COUNTA(条幅!$B$11:$B$310)),""))))</f>
        <v/>
      </c>
      <c r="H590" s="38" t="str">
        <f>IF(IF(585&lt;=COUNTA(半紙!$B$11:$B$310),INDEX(半紙!$H$11:$H$310,585),IF(585&lt;=COUNTA(半紙!$B$11:$B$310)+COUNTA(条幅!$B$11:$B$310),INDEX(条幅!$H$11:$H$310,585-COUNTA(半紙!$B$11:$B$310)),IF(585&lt;=COUNTA(半紙!$B$11:$B$310)+COUNTA(条幅!$B$11:$B$310)+COUNTA(条幅4分の1!$B$11:$B$310),INDEX(条幅4分の1!$H$11:$H$310,585-COUNTA(半紙!$B$11:$B$310)-COUNTA(条幅!$B$11:$B$310)),"")))=0,"",IF(585&lt;=COUNTA(半紙!$B$11:$B$310),INDEX(半紙!$H$11:$H$310,585),IF(585&lt;=COUNTA(半紙!$B$11:$B$310)+COUNTA(条幅!$B$11:$B$310),INDEX(条幅!$H$11:$H$310,585-COUNTA(半紙!$B$11:$B$310)),IF(585&lt;=COUNTA(半紙!$B$11:$B$310)+COUNTA(条幅!$B$11:$B$310)+COUNTA(条幅4分の1!$B$11:$B$310),INDEX(条幅4分の1!$H$11:$H$310,585-COUNTA(半紙!$B$11:$B$310)-COUNTA(条幅!$B$11:$B$310)),""))))</f>
        <v/>
      </c>
      <c r="I590" s="38" t="str">
        <f>IF(IF(585&lt;=COUNTA(半紙!$B$11:$B$310),INDEX(半紙!$I$11:$I$310,585),IF(585&lt;=COUNTA(半紙!$B$11:$B$310)+COUNTA(条幅!$B$11:$B$310),INDEX(条幅!$I$11:$I$310,585-COUNTA(半紙!$B$11:$B$310)),IF(585&lt;=COUNTA(半紙!$B$11:$B$310)+COUNTA(条幅!$B$11:$B$310)+COUNTA(条幅4分の1!$B$11:$B$310),INDEX(条幅4分の1!$I$11:$I$310,585-COUNTA(半紙!$B$11:$B$310)-COUNTA(条幅!$B$11:$B$310)),"")))=0,"",IF(585&lt;=COUNTA(半紙!$B$11:$B$310),INDEX(半紙!$I$11:$I$310,585),IF(585&lt;=COUNTA(半紙!$B$11:$B$310)+COUNTA(条幅!$B$11:$B$310),INDEX(条幅!$I$11:$I$310,585-COUNTA(半紙!$B$11:$B$310)),IF(585&lt;=COUNTA(半紙!$B$11:$B$310)+COUNTA(条幅!$B$11:$B$310)+COUNTA(条幅4分の1!$B$11:$B$310),INDEX(条幅4分の1!$I$11:$I$310,585-COUNTA(半紙!$B$11:$B$310)-COUNTA(条幅!$B$11:$B$310)),""))))</f>
        <v/>
      </c>
      <c r="J590" s="38" t="str">
        <f>IF(IF(585&lt;=COUNTA(半紙!$B$11:$B$310),INDEX(半紙!$J$11:$J$310,585),IF(585&lt;=COUNTA(半紙!$B$11:$B$310)+COUNTA(条幅!$B$11:$B$310),INDEX(条幅!$J$11:$J$310,585-COUNTA(半紙!$B$11:$B$310)),IF(585&lt;=COUNTA(半紙!$B$11:$B$310)+COUNTA(条幅!$B$11:$B$310)+COUNTA(条幅4分の1!$B$11:$B$310),INDEX(条幅4分の1!$J$11:$J$310,585-COUNTA(半紙!$B$11:$B$310)-COUNTA(条幅!$B$11:$B$310)),"")))=0,"",IF(585&lt;=COUNTA(半紙!$B$11:$B$310),INDEX(半紙!$J$11:$J$310,585),IF(585&lt;=COUNTA(半紙!$B$11:$B$310)+COUNTA(条幅!$B$11:$B$310),INDEX(条幅!$J$11:$J$310,585-COUNTA(半紙!$B$11:$B$310)),IF(585&lt;=COUNTA(半紙!$B$11:$B$310)+COUNTA(条幅!$B$11:$B$310)+COUNTA(条幅4分の1!$B$11:$B$310),INDEX(条幅4分の1!$J$11:$J$310,585-COUNTA(半紙!$B$11:$B$310)-COUNTA(条幅!$B$11:$B$310)),""))))</f>
        <v/>
      </c>
      <c r="K590" s="38" t="str">
        <f>IF(IF(585&lt;=COUNTA(半紙!$B$11:$B$310),INDEX(半紙!$K$11:$K$310,585),IF(585&lt;=COUNTA(半紙!$B$11:$B$310)+COUNTA(条幅!$B$11:$B$310),INDEX(条幅!$K$11:$K$310,585-COUNTA(半紙!$B$11:$B$310)),IF(585&lt;=COUNTA(半紙!$B$11:$B$310)+COUNTA(条幅!$B$11:$B$310)+COUNTA(条幅4分の1!$B$11:$B$310),INDEX(条幅4分の1!$K$11:$K$310,585-COUNTA(半紙!$B$11:$B$310)-COUNTA(条幅!$B$11:$B$310)),"")))=0,"",IF(585&lt;=COUNTA(半紙!$B$11:$B$310),INDEX(半紙!$K$11:$K$310,585),IF(585&lt;=COUNTA(半紙!$B$11:$B$310)+COUNTA(条幅!$B$11:$B$310),INDEX(条幅!$K$11:$K$310,585-COUNTA(半紙!$B$11:$B$310)),IF(585&lt;=COUNTA(半紙!$B$11:$B$310)+COUNTA(条幅!$B$11:$B$310)+COUNTA(条幅4分の1!$B$11:$B$310),INDEX(条幅4分の1!$K$11:$K$310,585-COUNTA(半紙!$B$11:$B$310)-COUNTA(条幅!$B$11:$B$310)),""))))</f>
        <v/>
      </c>
      <c r="L590" s="48" t="str">
        <f>IF($B590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585))</f>
        <v/>
      </c>
    </row>
    <row r="591" spans="1:12" ht="15" customHeight="1">
      <c r="A591" s="37" t="str">
        <f>IF(586&lt;=COUNTA(半紙!$B$11:$B$310),"半紙",IF(586&lt;=COUNTA(半紙!$B$11:$B$310)+COUNTA(条幅!$B$11:$B$310),"条幅(半切)",IF(586&lt;=COUNTA(半紙!$B$11:$B$310)+COUNTA(条幅!$B$11:$B$310)+COUNTA(条幅4分の1!$B$11:$B$310),"条幅(1/4)","")))</f>
        <v/>
      </c>
      <c r="B591" s="38" t="str">
        <f>IF(IF(586&lt;=COUNTA(半紙!$B$11:$B$310),INDEX(半紙!$B$11:$B$310,586),IF(586&lt;=COUNTA(半紙!$B$11:$B$310)+COUNTA(条幅!$B$11:$B$310),INDEX(条幅!$B$11:$B$310,586-COUNTA(半紙!$B$11:$B$310)),IF(586&lt;=COUNTA(半紙!$B$11:$B$310)+COUNTA(条幅!$B$11:$B$310)+COUNTA(条幅4分の1!$B$11:$B$310),INDEX(条幅4分の1!$B$11:$B$310,586-COUNTA(半紙!$B$11:$B$310)-COUNTA(条幅!$B$11:$B$310)),"")))=0,"",IF(586&lt;=COUNTA(半紙!$B$11:$B$310),INDEX(半紙!$B$11:$B$310,586),IF(586&lt;=COUNTA(半紙!$B$11:$B$310)+COUNTA(条幅!$B$11:$B$310),INDEX(条幅!$B$11:$B$310,586-COUNTA(半紙!$B$11:$B$310)),IF(586&lt;=COUNTA(半紙!$B$11:$B$310)+COUNTA(条幅!$B$11:$B$310)+COUNTA(条幅4分の1!$B$11:$B$310),INDEX(条幅4分の1!$B$11:$B$310,586-COUNTA(半紙!$B$11:$B$310)-COUNTA(条幅!$B$11:$B$310)),""))))</f>
        <v/>
      </c>
      <c r="C591" s="38" t="str">
        <f>IF(IF(586&lt;=COUNTA(半紙!$B$11:$B$310),INDEX(半紙!$C$11:$C$310,586),IF(586&lt;=COUNTA(半紙!$B$11:$B$310)+COUNTA(条幅!$B$11:$B$310),INDEX(条幅!$C$11:$C$310,586-COUNTA(半紙!$B$11:$B$310)),IF(586&lt;=COUNTA(半紙!$B$11:$B$310)+COUNTA(条幅!$B$11:$B$310)+COUNTA(条幅4分の1!$B$11:$B$310),INDEX(条幅4分の1!$C$11:$C$310,586-COUNTA(半紙!$B$11:$B$310)-COUNTA(条幅!$B$11:$B$310)),"")))=0,"",IF(586&lt;=COUNTA(半紙!$B$11:$B$310),INDEX(半紙!$C$11:$C$310,586),IF(586&lt;=COUNTA(半紙!$B$11:$B$310)+COUNTA(条幅!$B$11:$B$310),INDEX(条幅!$C$11:$C$310,586-COUNTA(半紙!$B$11:$B$310)),IF(586&lt;=COUNTA(半紙!$B$11:$B$310)+COUNTA(条幅!$B$11:$B$310)+COUNTA(条幅4分の1!$B$11:$B$310),INDEX(条幅4分の1!$C$11:$C$310,586-COUNTA(半紙!$B$11:$B$310)-COUNTA(条幅!$B$11:$B$310)),""))))</f>
        <v/>
      </c>
      <c r="D591" s="38" t="str">
        <f>IF(IF(586&lt;=COUNTA(半紙!$B$11:$B$310),INDEX(半紙!$D$11:$D$310,586),IF(586&lt;=COUNTA(半紙!$B$11:$B$310)+COUNTA(条幅!$B$11:$B$310),INDEX(条幅!$D$11:$D$310,586-COUNTA(半紙!$B$11:$B$310)),IF(586&lt;=COUNTA(半紙!$B$11:$B$310)+COUNTA(条幅!$B$11:$B$310)+COUNTA(条幅4分の1!$B$11:$B$310),INDEX(条幅4分の1!$D$11:$D$310,586-COUNTA(半紙!$B$11:$B$310)-COUNTA(条幅!$B$11:$B$310)),"")))=0,"",IF(586&lt;=COUNTA(半紙!$B$11:$B$310),INDEX(半紙!$D$11:$D$310,586),IF(586&lt;=COUNTA(半紙!$B$11:$B$310)+COUNTA(条幅!$B$11:$B$310),INDEX(条幅!$D$11:$D$310,586-COUNTA(半紙!$B$11:$B$310)),IF(586&lt;=COUNTA(半紙!$B$11:$B$310)+COUNTA(条幅!$B$11:$B$310)+COUNTA(条幅4分の1!$B$11:$B$310),INDEX(条幅4分の1!$D$11:$D$310,586-COUNTA(半紙!$B$11:$B$310)-COUNTA(条幅!$B$11:$B$310)),""))))</f>
        <v/>
      </c>
      <c r="E591" s="38" t="str">
        <f>IF(IF(586&lt;=COUNTA(半紙!$B$11:$B$310),INDEX(半紙!$E$11:$E$310,586),IF(586&lt;=COUNTA(半紙!$B$11:$B$310)+COUNTA(条幅!$B$11:$B$310),INDEX(条幅!$E$11:$E$310,586-COUNTA(半紙!$B$11:$B$310)),IF(586&lt;=COUNTA(半紙!$B$11:$B$310)+COUNTA(条幅!$B$11:$B$310)+COUNTA(条幅4分の1!$B$11:$B$310),INDEX(条幅4分の1!$E$11:$E$310,586-COUNTA(半紙!$B$11:$B$310)-COUNTA(条幅!$B$11:$B$310)),"")))=0,"",IF(586&lt;=COUNTA(半紙!$B$11:$B$310),INDEX(半紙!$E$11:$E$310,586),IF(586&lt;=COUNTA(半紙!$B$11:$B$310)+COUNTA(条幅!$B$11:$B$310),INDEX(条幅!$E$11:$E$310,586-COUNTA(半紙!$B$11:$B$310)),IF(586&lt;=COUNTA(半紙!$B$11:$B$310)+COUNTA(条幅!$B$11:$B$310)+COUNTA(条幅4分の1!$B$11:$B$310),INDEX(条幅4分の1!$E$11:$E$310,586-COUNTA(半紙!$B$11:$B$310)-COUNTA(条幅!$B$11:$B$310)),""))))</f>
        <v/>
      </c>
      <c r="F591" s="38" t="str">
        <f>IF(IF(586&lt;=COUNTA(半紙!$B$11:$B$310),INDEX(半紙!$F$11:$F$310,586),IF(586&lt;=COUNTA(半紙!$B$11:$B$310)+COUNTA(条幅!$B$11:$B$310),INDEX(条幅!$F$11:$F$310,586-COUNTA(半紙!$B$11:$B$310)),IF(586&lt;=COUNTA(半紙!$B$11:$B$310)+COUNTA(条幅!$B$11:$B$310)+COUNTA(条幅4分の1!$B$11:$B$310),INDEX(条幅4分の1!$F$11:$F$310,586-COUNTA(半紙!$B$11:$B$310)-COUNTA(条幅!$B$11:$B$310)),"")))=0,"",IF(586&lt;=COUNTA(半紙!$B$11:$B$310),INDEX(半紙!$F$11:$F$310,586),IF(586&lt;=COUNTA(半紙!$B$11:$B$310)+COUNTA(条幅!$B$11:$B$310),INDEX(条幅!$F$11:$F$310,586-COUNTA(半紙!$B$11:$B$310)),IF(586&lt;=COUNTA(半紙!$B$11:$B$310)+COUNTA(条幅!$B$11:$B$310)+COUNTA(条幅4分の1!$B$11:$B$310),INDEX(条幅4分の1!$F$11:$F$310,586-COUNTA(半紙!$B$11:$B$310)-COUNTA(条幅!$B$11:$B$310)),""))))</f>
        <v/>
      </c>
      <c r="G591" s="38" t="str">
        <f>IF(IF(586&lt;=COUNTA(半紙!$B$11:$B$310),INDEX(半紙!$G$11:$G$310,586),IF(586&lt;=COUNTA(半紙!$B$11:$B$310)+COUNTA(条幅!$B$11:$B$310),INDEX(条幅!$G$11:$G$310,586-COUNTA(半紙!$B$11:$B$310)),IF(586&lt;=COUNTA(半紙!$B$11:$B$310)+COUNTA(条幅!$B$11:$B$310)+COUNTA(条幅4分の1!$B$11:$B$310),INDEX(条幅4分の1!$G$11:$G$310,586-COUNTA(半紙!$B$11:$B$310)-COUNTA(条幅!$B$11:$B$310)),"")))=0,"",IF(586&lt;=COUNTA(半紙!$B$11:$B$310),INDEX(半紙!$G$11:$G$310,586),IF(586&lt;=COUNTA(半紙!$B$11:$B$310)+COUNTA(条幅!$B$11:$B$310),INDEX(条幅!$G$11:$G$310,586-COUNTA(半紙!$B$11:$B$310)),IF(586&lt;=COUNTA(半紙!$B$11:$B$310)+COUNTA(条幅!$B$11:$B$310)+COUNTA(条幅4分の1!$B$11:$B$310),INDEX(条幅4分の1!$G$11:$G$310,586-COUNTA(半紙!$B$11:$B$310)-COUNTA(条幅!$B$11:$B$310)),""))))</f>
        <v/>
      </c>
      <c r="H591" s="38" t="str">
        <f>IF(IF(586&lt;=COUNTA(半紙!$B$11:$B$310),INDEX(半紙!$H$11:$H$310,586),IF(586&lt;=COUNTA(半紙!$B$11:$B$310)+COUNTA(条幅!$B$11:$B$310),INDEX(条幅!$H$11:$H$310,586-COUNTA(半紙!$B$11:$B$310)),IF(586&lt;=COUNTA(半紙!$B$11:$B$310)+COUNTA(条幅!$B$11:$B$310)+COUNTA(条幅4分の1!$B$11:$B$310),INDEX(条幅4分の1!$H$11:$H$310,586-COUNTA(半紙!$B$11:$B$310)-COUNTA(条幅!$B$11:$B$310)),"")))=0,"",IF(586&lt;=COUNTA(半紙!$B$11:$B$310),INDEX(半紙!$H$11:$H$310,586),IF(586&lt;=COUNTA(半紙!$B$11:$B$310)+COUNTA(条幅!$B$11:$B$310),INDEX(条幅!$H$11:$H$310,586-COUNTA(半紙!$B$11:$B$310)),IF(586&lt;=COUNTA(半紙!$B$11:$B$310)+COUNTA(条幅!$B$11:$B$310)+COUNTA(条幅4分の1!$B$11:$B$310),INDEX(条幅4分の1!$H$11:$H$310,586-COUNTA(半紙!$B$11:$B$310)-COUNTA(条幅!$B$11:$B$310)),""))))</f>
        <v/>
      </c>
      <c r="I591" s="38" t="str">
        <f>IF(IF(586&lt;=COUNTA(半紙!$B$11:$B$310),INDEX(半紙!$I$11:$I$310,586),IF(586&lt;=COUNTA(半紙!$B$11:$B$310)+COUNTA(条幅!$B$11:$B$310),INDEX(条幅!$I$11:$I$310,586-COUNTA(半紙!$B$11:$B$310)),IF(586&lt;=COUNTA(半紙!$B$11:$B$310)+COUNTA(条幅!$B$11:$B$310)+COUNTA(条幅4分の1!$B$11:$B$310),INDEX(条幅4分の1!$I$11:$I$310,586-COUNTA(半紙!$B$11:$B$310)-COUNTA(条幅!$B$11:$B$310)),"")))=0,"",IF(586&lt;=COUNTA(半紙!$B$11:$B$310),INDEX(半紙!$I$11:$I$310,586),IF(586&lt;=COUNTA(半紙!$B$11:$B$310)+COUNTA(条幅!$B$11:$B$310),INDEX(条幅!$I$11:$I$310,586-COUNTA(半紙!$B$11:$B$310)),IF(586&lt;=COUNTA(半紙!$B$11:$B$310)+COUNTA(条幅!$B$11:$B$310)+COUNTA(条幅4分の1!$B$11:$B$310),INDEX(条幅4分の1!$I$11:$I$310,586-COUNTA(半紙!$B$11:$B$310)-COUNTA(条幅!$B$11:$B$310)),""))))</f>
        <v/>
      </c>
      <c r="J591" s="38" t="str">
        <f>IF(IF(586&lt;=COUNTA(半紙!$B$11:$B$310),INDEX(半紙!$J$11:$J$310,586),IF(586&lt;=COUNTA(半紙!$B$11:$B$310)+COUNTA(条幅!$B$11:$B$310),INDEX(条幅!$J$11:$J$310,586-COUNTA(半紙!$B$11:$B$310)),IF(586&lt;=COUNTA(半紙!$B$11:$B$310)+COUNTA(条幅!$B$11:$B$310)+COUNTA(条幅4分の1!$B$11:$B$310),INDEX(条幅4分の1!$J$11:$J$310,586-COUNTA(半紙!$B$11:$B$310)-COUNTA(条幅!$B$11:$B$310)),"")))=0,"",IF(586&lt;=COUNTA(半紙!$B$11:$B$310),INDEX(半紙!$J$11:$J$310,586),IF(586&lt;=COUNTA(半紙!$B$11:$B$310)+COUNTA(条幅!$B$11:$B$310),INDEX(条幅!$J$11:$J$310,586-COUNTA(半紙!$B$11:$B$310)),IF(586&lt;=COUNTA(半紙!$B$11:$B$310)+COUNTA(条幅!$B$11:$B$310)+COUNTA(条幅4分の1!$B$11:$B$310),INDEX(条幅4分の1!$J$11:$J$310,586-COUNTA(半紙!$B$11:$B$310)-COUNTA(条幅!$B$11:$B$310)),""))))</f>
        <v/>
      </c>
      <c r="K591" s="38" t="str">
        <f>IF(IF(586&lt;=COUNTA(半紙!$B$11:$B$310),INDEX(半紙!$K$11:$K$310,586),IF(586&lt;=COUNTA(半紙!$B$11:$B$310)+COUNTA(条幅!$B$11:$B$310),INDEX(条幅!$K$11:$K$310,586-COUNTA(半紙!$B$11:$B$310)),IF(586&lt;=COUNTA(半紙!$B$11:$B$310)+COUNTA(条幅!$B$11:$B$310)+COUNTA(条幅4分の1!$B$11:$B$310),INDEX(条幅4分の1!$K$11:$K$310,586-COUNTA(半紙!$B$11:$B$310)-COUNTA(条幅!$B$11:$B$310)),"")))=0,"",IF(586&lt;=COUNTA(半紙!$B$11:$B$310),INDEX(半紙!$K$11:$K$310,586),IF(586&lt;=COUNTA(半紙!$B$11:$B$310)+COUNTA(条幅!$B$11:$B$310),INDEX(条幅!$K$11:$K$310,586-COUNTA(半紙!$B$11:$B$310)),IF(586&lt;=COUNTA(半紙!$B$11:$B$310)+COUNTA(条幅!$B$11:$B$310)+COUNTA(条幅4分の1!$B$11:$B$310),INDEX(条幅4分の1!$K$11:$K$310,586-COUNTA(半紙!$B$11:$B$310)-COUNTA(条幅!$B$11:$B$310)),""))))</f>
        <v/>
      </c>
      <c r="L591" s="48" t="str">
        <f>IF($B591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586))</f>
        <v/>
      </c>
    </row>
    <row r="592" spans="1:12" ht="15" customHeight="1">
      <c r="A592" s="37" t="str">
        <f>IF(587&lt;=COUNTA(半紙!$B$11:$B$310),"半紙",IF(587&lt;=COUNTA(半紙!$B$11:$B$310)+COUNTA(条幅!$B$11:$B$310),"条幅(半切)",IF(587&lt;=COUNTA(半紙!$B$11:$B$310)+COUNTA(条幅!$B$11:$B$310)+COUNTA(条幅4分の1!$B$11:$B$310),"条幅(1/4)","")))</f>
        <v/>
      </c>
      <c r="B592" s="38" t="str">
        <f>IF(IF(587&lt;=COUNTA(半紙!$B$11:$B$310),INDEX(半紙!$B$11:$B$310,587),IF(587&lt;=COUNTA(半紙!$B$11:$B$310)+COUNTA(条幅!$B$11:$B$310),INDEX(条幅!$B$11:$B$310,587-COUNTA(半紙!$B$11:$B$310)),IF(587&lt;=COUNTA(半紙!$B$11:$B$310)+COUNTA(条幅!$B$11:$B$310)+COUNTA(条幅4分の1!$B$11:$B$310),INDEX(条幅4分の1!$B$11:$B$310,587-COUNTA(半紙!$B$11:$B$310)-COUNTA(条幅!$B$11:$B$310)),"")))=0,"",IF(587&lt;=COUNTA(半紙!$B$11:$B$310),INDEX(半紙!$B$11:$B$310,587),IF(587&lt;=COUNTA(半紙!$B$11:$B$310)+COUNTA(条幅!$B$11:$B$310),INDEX(条幅!$B$11:$B$310,587-COUNTA(半紙!$B$11:$B$310)),IF(587&lt;=COUNTA(半紙!$B$11:$B$310)+COUNTA(条幅!$B$11:$B$310)+COUNTA(条幅4分の1!$B$11:$B$310),INDEX(条幅4分の1!$B$11:$B$310,587-COUNTA(半紙!$B$11:$B$310)-COUNTA(条幅!$B$11:$B$310)),""))))</f>
        <v/>
      </c>
      <c r="C592" s="38" t="str">
        <f>IF(IF(587&lt;=COUNTA(半紙!$B$11:$B$310),INDEX(半紙!$C$11:$C$310,587),IF(587&lt;=COUNTA(半紙!$B$11:$B$310)+COUNTA(条幅!$B$11:$B$310),INDEX(条幅!$C$11:$C$310,587-COUNTA(半紙!$B$11:$B$310)),IF(587&lt;=COUNTA(半紙!$B$11:$B$310)+COUNTA(条幅!$B$11:$B$310)+COUNTA(条幅4分の1!$B$11:$B$310),INDEX(条幅4分の1!$C$11:$C$310,587-COUNTA(半紙!$B$11:$B$310)-COUNTA(条幅!$B$11:$B$310)),"")))=0,"",IF(587&lt;=COUNTA(半紙!$B$11:$B$310),INDEX(半紙!$C$11:$C$310,587),IF(587&lt;=COUNTA(半紙!$B$11:$B$310)+COUNTA(条幅!$B$11:$B$310),INDEX(条幅!$C$11:$C$310,587-COUNTA(半紙!$B$11:$B$310)),IF(587&lt;=COUNTA(半紙!$B$11:$B$310)+COUNTA(条幅!$B$11:$B$310)+COUNTA(条幅4分の1!$B$11:$B$310),INDEX(条幅4分の1!$C$11:$C$310,587-COUNTA(半紙!$B$11:$B$310)-COUNTA(条幅!$B$11:$B$310)),""))))</f>
        <v/>
      </c>
      <c r="D592" s="38" t="str">
        <f>IF(IF(587&lt;=COUNTA(半紙!$B$11:$B$310),INDEX(半紙!$D$11:$D$310,587),IF(587&lt;=COUNTA(半紙!$B$11:$B$310)+COUNTA(条幅!$B$11:$B$310),INDEX(条幅!$D$11:$D$310,587-COUNTA(半紙!$B$11:$B$310)),IF(587&lt;=COUNTA(半紙!$B$11:$B$310)+COUNTA(条幅!$B$11:$B$310)+COUNTA(条幅4分の1!$B$11:$B$310),INDEX(条幅4分の1!$D$11:$D$310,587-COUNTA(半紙!$B$11:$B$310)-COUNTA(条幅!$B$11:$B$310)),"")))=0,"",IF(587&lt;=COUNTA(半紙!$B$11:$B$310),INDEX(半紙!$D$11:$D$310,587),IF(587&lt;=COUNTA(半紙!$B$11:$B$310)+COUNTA(条幅!$B$11:$B$310),INDEX(条幅!$D$11:$D$310,587-COUNTA(半紙!$B$11:$B$310)),IF(587&lt;=COUNTA(半紙!$B$11:$B$310)+COUNTA(条幅!$B$11:$B$310)+COUNTA(条幅4分の1!$B$11:$B$310),INDEX(条幅4分の1!$D$11:$D$310,587-COUNTA(半紙!$B$11:$B$310)-COUNTA(条幅!$B$11:$B$310)),""))))</f>
        <v/>
      </c>
      <c r="E592" s="38" t="str">
        <f>IF(IF(587&lt;=COUNTA(半紙!$B$11:$B$310),INDEX(半紙!$E$11:$E$310,587),IF(587&lt;=COUNTA(半紙!$B$11:$B$310)+COUNTA(条幅!$B$11:$B$310),INDEX(条幅!$E$11:$E$310,587-COUNTA(半紙!$B$11:$B$310)),IF(587&lt;=COUNTA(半紙!$B$11:$B$310)+COUNTA(条幅!$B$11:$B$310)+COUNTA(条幅4分の1!$B$11:$B$310),INDEX(条幅4分の1!$E$11:$E$310,587-COUNTA(半紙!$B$11:$B$310)-COUNTA(条幅!$B$11:$B$310)),"")))=0,"",IF(587&lt;=COUNTA(半紙!$B$11:$B$310),INDEX(半紙!$E$11:$E$310,587),IF(587&lt;=COUNTA(半紙!$B$11:$B$310)+COUNTA(条幅!$B$11:$B$310),INDEX(条幅!$E$11:$E$310,587-COUNTA(半紙!$B$11:$B$310)),IF(587&lt;=COUNTA(半紙!$B$11:$B$310)+COUNTA(条幅!$B$11:$B$310)+COUNTA(条幅4分の1!$B$11:$B$310),INDEX(条幅4分の1!$E$11:$E$310,587-COUNTA(半紙!$B$11:$B$310)-COUNTA(条幅!$B$11:$B$310)),""))))</f>
        <v/>
      </c>
      <c r="F592" s="38" t="str">
        <f>IF(IF(587&lt;=COUNTA(半紙!$B$11:$B$310),INDEX(半紙!$F$11:$F$310,587),IF(587&lt;=COUNTA(半紙!$B$11:$B$310)+COUNTA(条幅!$B$11:$B$310),INDEX(条幅!$F$11:$F$310,587-COUNTA(半紙!$B$11:$B$310)),IF(587&lt;=COUNTA(半紙!$B$11:$B$310)+COUNTA(条幅!$B$11:$B$310)+COUNTA(条幅4分の1!$B$11:$B$310),INDEX(条幅4分の1!$F$11:$F$310,587-COUNTA(半紙!$B$11:$B$310)-COUNTA(条幅!$B$11:$B$310)),"")))=0,"",IF(587&lt;=COUNTA(半紙!$B$11:$B$310),INDEX(半紙!$F$11:$F$310,587),IF(587&lt;=COUNTA(半紙!$B$11:$B$310)+COUNTA(条幅!$B$11:$B$310),INDEX(条幅!$F$11:$F$310,587-COUNTA(半紙!$B$11:$B$310)),IF(587&lt;=COUNTA(半紙!$B$11:$B$310)+COUNTA(条幅!$B$11:$B$310)+COUNTA(条幅4分の1!$B$11:$B$310),INDEX(条幅4分の1!$F$11:$F$310,587-COUNTA(半紙!$B$11:$B$310)-COUNTA(条幅!$B$11:$B$310)),""))))</f>
        <v/>
      </c>
      <c r="G592" s="38" t="str">
        <f>IF(IF(587&lt;=COUNTA(半紙!$B$11:$B$310),INDEX(半紙!$G$11:$G$310,587),IF(587&lt;=COUNTA(半紙!$B$11:$B$310)+COUNTA(条幅!$B$11:$B$310),INDEX(条幅!$G$11:$G$310,587-COUNTA(半紙!$B$11:$B$310)),IF(587&lt;=COUNTA(半紙!$B$11:$B$310)+COUNTA(条幅!$B$11:$B$310)+COUNTA(条幅4分の1!$B$11:$B$310),INDEX(条幅4分の1!$G$11:$G$310,587-COUNTA(半紙!$B$11:$B$310)-COUNTA(条幅!$B$11:$B$310)),"")))=0,"",IF(587&lt;=COUNTA(半紙!$B$11:$B$310),INDEX(半紙!$G$11:$G$310,587),IF(587&lt;=COUNTA(半紙!$B$11:$B$310)+COUNTA(条幅!$B$11:$B$310),INDEX(条幅!$G$11:$G$310,587-COUNTA(半紙!$B$11:$B$310)),IF(587&lt;=COUNTA(半紙!$B$11:$B$310)+COUNTA(条幅!$B$11:$B$310)+COUNTA(条幅4分の1!$B$11:$B$310),INDEX(条幅4分の1!$G$11:$G$310,587-COUNTA(半紙!$B$11:$B$310)-COUNTA(条幅!$B$11:$B$310)),""))))</f>
        <v/>
      </c>
      <c r="H592" s="38" t="str">
        <f>IF(IF(587&lt;=COUNTA(半紙!$B$11:$B$310),INDEX(半紙!$H$11:$H$310,587),IF(587&lt;=COUNTA(半紙!$B$11:$B$310)+COUNTA(条幅!$B$11:$B$310),INDEX(条幅!$H$11:$H$310,587-COUNTA(半紙!$B$11:$B$310)),IF(587&lt;=COUNTA(半紙!$B$11:$B$310)+COUNTA(条幅!$B$11:$B$310)+COUNTA(条幅4分の1!$B$11:$B$310),INDEX(条幅4分の1!$H$11:$H$310,587-COUNTA(半紙!$B$11:$B$310)-COUNTA(条幅!$B$11:$B$310)),"")))=0,"",IF(587&lt;=COUNTA(半紙!$B$11:$B$310),INDEX(半紙!$H$11:$H$310,587),IF(587&lt;=COUNTA(半紙!$B$11:$B$310)+COUNTA(条幅!$B$11:$B$310),INDEX(条幅!$H$11:$H$310,587-COUNTA(半紙!$B$11:$B$310)),IF(587&lt;=COUNTA(半紙!$B$11:$B$310)+COUNTA(条幅!$B$11:$B$310)+COUNTA(条幅4分の1!$B$11:$B$310),INDEX(条幅4分の1!$H$11:$H$310,587-COUNTA(半紙!$B$11:$B$310)-COUNTA(条幅!$B$11:$B$310)),""))))</f>
        <v/>
      </c>
      <c r="I592" s="38" t="str">
        <f>IF(IF(587&lt;=COUNTA(半紙!$B$11:$B$310),INDEX(半紙!$I$11:$I$310,587),IF(587&lt;=COUNTA(半紙!$B$11:$B$310)+COUNTA(条幅!$B$11:$B$310),INDEX(条幅!$I$11:$I$310,587-COUNTA(半紙!$B$11:$B$310)),IF(587&lt;=COUNTA(半紙!$B$11:$B$310)+COUNTA(条幅!$B$11:$B$310)+COUNTA(条幅4分の1!$B$11:$B$310),INDEX(条幅4分の1!$I$11:$I$310,587-COUNTA(半紙!$B$11:$B$310)-COUNTA(条幅!$B$11:$B$310)),"")))=0,"",IF(587&lt;=COUNTA(半紙!$B$11:$B$310),INDEX(半紙!$I$11:$I$310,587),IF(587&lt;=COUNTA(半紙!$B$11:$B$310)+COUNTA(条幅!$B$11:$B$310),INDEX(条幅!$I$11:$I$310,587-COUNTA(半紙!$B$11:$B$310)),IF(587&lt;=COUNTA(半紙!$B$11:$B$310)+COUNTA(条幅!$B$11:$B$310)+COUNTA(条幅4分の1!$B$11:$B$310),INDEX(条幅4分の1!$I$11:$I$310,587-COUNTA(半紙!$B$11:$B$310)-COUNTA(条幅!$B$11:$B$310)),""))))</f>
        <v/>
      </c>
      <c r="J592" s="38" t="str">
        <f>IF(IF(587&lt;=COUNTA(半紙!$B$11:$B$310),INDEX(半紙!$J$11:$J$310,587),IF(587&lt;=COUNTA(半紙!$B$11:$B$310)+COUNTA(条幅!$B$11:$B$310),INDEX(条幅!$J$11:$J$310,587-COUNTA(半紙!$B$11:$B$310)),IF(587&lt;=COUNTA(半紙!$B$11:$B$310)+COUNTA(条幅!$B$11:$B$310)+COUNTA(条幅4分の1!$B$11:$B$310),INDEX(条幅4分の1!$J$11:$J$310,587-COUNTA(半紙!$B$11:$B$310)-COUNTA(条幅!$B$11:$B$310)),"")))=0,"",IF(587&lt;=COUNTA(半紙!$B$11:$B$310),INDEX(半紙!$J$11:$J$310,587),IF(587&lt;=COUNTA(半紙!$B$11:$B$310)+COUNTA(条幅!$B$11:$B$310),INDEX(条幅!$J$11:$J$310,587-COUNTA(半紙!$B$11:$B$310)),IF(587&lt;=COUNTA(半紙!$B$11:$B$310)+COUNTA(条幅!$B$11:$B$310)+COUNTA(条幅4分の1!$B$11:$B$310),INDEX(条幅4分の1!$J$11:$J$310,587-COUNTA(半紙!$B$11:$B$310)-COUNTA(条幅!$B$11:$B$310)),""))))</f>
        <v/>
      </c>
      <c r="K592" s="38" t="str">
        <f>IF(IF(587&lt;=COUNTA(半紙!$B$11:$B$310),INDEX(半紙!$K$11:$K$310,587),IF(587&lt;=COUNTA(半紙!$B$11:$B$310)+COUNTA(条幅!$B$11:$B$310),INDEX(条幅!$K$11:$K$310,587-COUNTA(半紙!$B$11:$B$310)),IF(587&lt;=COUNTA(半紙!$B$11:$B$310)+COUNTA(条幅!$B$11:$B$310)+COUNTA(条幅4分の1!$B$11:$B$310),INDEX(条幅4分の1!$K$11:$K$310,587-COUNTA(半紙!$B$11:$B$310)-COUNTA(条幅!$B$11:$B$310)),"")))=0,"",IF(587&lt;=COUNTA(半紙!$B$11:$B$310),INDEX(半紙!$K$11:$K$310,587),IF(587&lt;=COUNTA(半紙!$B$11:$B$310)+COUNTA(条幅!$B$11:$B$310),INDEX(条幅!$K$11:$K$310,587-COUNTA(半紙!$B$11:$B$310)),IF(587&lt;=COUNTA(半紙!$B$11:$B$310)+COUNTA(条幅!$B$11:$B$310)+COUNTA(条幅4分の1!$B$11:$B$310),INDEX(条幅4分の1!$K$11:$K$310,587-COUNTA(半紙!$B$11:$B$310)-COUNTA(条幅!$B$11:$B$310)),""))))</f>
        <v/>
      </c>
      <c r="L592" s="48" t="str">
        <f>IF($B592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587))</f>
        <v/>
      </c>
    </row>
    <row r="593" spans="1:12" ht="15" customHeight="1">
      <c r="A593" s="37" t="str">
        <f>IF(588&lt;=COUNTA(半紙!$B$11:$B$310),"半紙",IF(588&lt;=COUNTA(半紙!$B$11:$B$310)+COUNTA(条幅!$B$11:$B$310),"条幅(半切)",IF(588&lt;=COUNTA(半紙!$B$11:$B$310)+COUNTA(条幅!$B$11:$B$310)+COUNTA(条幅4分の1!$B$11:$B$310),"条幅(1/4)","")))</f>
        <v/>
      </c>
      <c r="B593" s="38" t="str">
        <f>IF(IF(588&lt;=COUNTA(半紙!$B$11:$B$310),INDEX(半紙!$B$11:$B$310,588),IF(588&lt;=COUNTA(半紙!$B$11:$B$310)+COUNTA(条幅!$B$11:$B$310),INDEX(条幅!$B$11:$B$310,588-COUNTA(半紙!$B$11:$B$310)),IF(588&lt;=COUNTA(半紙!$B$11:$B$310)+COUNTA(条幅!$B$11:$B$310)+COUNTA(条幅4分の1!$B$11:$B$310),INDEX(条幅4分の1!$B$11:$B$310,588-COUNTA(半紙!$B$11:$B$310)-COUNTA(条幅!$B$11:$B$310)),"")))=0,"",IF(588&lt;=COUNTA(半紙!$B$11:$B$310),INDEX(半紙!$B$11:$B$310,588),IF(588&lt;=COUNTA(半紙!$B$11:$B$310)+COUNTA(条幅!$B$11:$B$310),INDEX(条幅!$B$11:$B$310,588-COUNTA(半紙!$B$11:$B$310)),IF(588&lt;=COUNTA(半紙!$B$11:$B$310)+COUNTA(条幅!$B$11:$B$310)+COUNTA(条幅4分の1!$B$11:$B$310),INDEX(条幅4分の1!$B$11:$B$310,588-COUNTA(半紙!$B$11:$B$310)-COUNTA(条幅!$B$11:$B$310)),""))))</f>
        <v/>
      </c>
      <c r="C593" s="38" t="str">
        <f>IF(IF(588&lt;=COUNTA(半紙!$B$11:$B$310),INDEX(半紙!$C$11:$C$310,588),IF(588&lt;=COUNTA(半紙!$B$11:$B$310)+COUNTA(条幅!$B$11:$B$310),INDEX(条幅!$C$11:$C$310,588-COUNTA(半紙!$B$11:$B$310)),IF(588&lt;=COUNTA(半紙!$B$11:$B$310)+COUNTA(条幅!$B$11:$B$310)+COUNTA(条幅4分の1!$B$11:$B$310),INDEX(条幅4分の1!$C$11:$C$310,588-COUNTA(半紙!$B$11:$B$310)-COUNTA(条幅!$B$11:$B$310)),"")))=0,"",IF(588&lt;=COUNTA(半紙!$B$11:$B$310),INDEX(半紙!$C$11:$C$310,588),IF(588&lt;=COUNTA(半紙!$B$11:$B$310)+COUNTA(条幅!$B$11:$B$310),INDEX(条幅!$C$11:$C$310,588-COUNTA(半紙!$B$11:$B$310)),IF(588&lt;=COUNTA(半紙!$B$11:$B$310)+COUNTA(条幅!$B$11:$B$310)+COUNTA(条幅4分の1!$B$11:$B$310),INDEX(条幅4分の1!$C$11:$C$310,588-COUNTA(半紙!$B$11:$B$310)-COUNTA(条幅!$B$11:$B$310)),""))))</f>
        <v/>
      </c>
      <c r="D593" s="38" t="str">
        <f>IF(IF(588&lt;=COUNTA(半紙!$B$11:$B$310),INDEX(半紙!$D$11:$D$310,588),IF(588&lt;=COUNTA(半紙!$B$11:$B$310)+COUNTA(条幅!$B$11:$B$310),INDEX(条幅!$D$11:$D$310,588-COUNTA(半紙!$B$11:$B$310)),IF(588&lt;=COUNTA(半紙!$B$11:$B$310)+COUNTA(条幅!$B$11:$B$310)+COUNTA(条幅4分の1!$B$11:$B$310),INDEX(条幅4分の1!$D$11:$D$310,588-COUNTA(半紙!$B$11:$B$310)-COUNTA(条幅!$B$11:$B$310)),"")))=0,"",IF(588&lt;=COUNTA(半紙!$B$11:$B$310),INDEX(半紙!$D$11:$D$310,588),IF(588&lt;=COUNTA(半紙!$B$11:$B$310)+COUNTA(条幅!$B$11:$B$310),INDEX(条幅!$D$11:$D$310,588-COUNTA(半紙!$B$11:$B$310)),IF(588&lt;=COUNTA(半紙!$B$11:$B$310)+COUNTA(条幅!$B$11:$B$310)+COUNTA(条幅4分の1!$B$11:$B$310),INDEX(条幅4分の1!$D$11:$D$310,588-COUNTA(半紙!$B$11:$B$310)-COUNTA(条幅!$B$11:$B$310)),""))))</f>
        <v/>
      </c>
      <c r="E593" s="38" t="str">
        <f>IF(IF(588&lt;=COUNTA(半紙!$B$11:$B$310),INDEX(半紙!$E$11:$E$310,588),IF(588&lt;=COUNTA(半紙!$B$11:$B$310)+COUNTA(条幅!$B$11:$B$310),INDEX(条幅!$E$11:$E$310,588-COUNTA(半紙!$B$11:$B$310)),IF(588&lt;=COUNTA(半紙!$B$11:$B$310)+COUNTA(条幅!$B$11:$B$310)+COUNTA(条幅4分の1!$B$11:$B$310),INDEX(条幅4分の1!$E$11:$E$310,588-COUNTA(半紙!$B$11:$B$310)-COUNTA(条幅!$B$11:$B$310)),"")))=0,"",IF(588&lt;=COUNTA(半紙!$B$11:$B$310),INDEX(半紙!$E$11:$E$310,588),IF(588&lt;=COUNTA(半紙!$B$11:$B$310)+COUNTA(条幅!$B$11:$B$310),INDEX(条幅!$E$11:$E$310,588-COUNTA(半紙!$B$11:$B$310)),IF(588&lt;=COUNTA(半紙!$B$11:$B$310)+COUNTA(条幅!$B$11:$B$310)+COUNTA(条幅4分の1!$B$11:$B$310),INDEX(条幅4分の1!$E$11:$E$310,588-COUNTA(半紙!$B$11:$B$310)-COUNTA(条幅!$B$11:$B$310)),""))))</f>
        <v/>
      </c>
      <c r="F593" s="38" t="str">
        <f>IF(IF(588&lt;=COUNTA(半紙!$B$11:$B$310),INDEX(半紙!$F$11:$F$310,588),IF(588&lt;=COUNTA(半紙!$B$11:$B$310)+COUNTA(条幅!$B$11:$B$310),INDEX(条幅!$F$11:$F$310,588-COUNTA(半紙!$B$11:$B$310)),IF(588&lt;=COUNTA(半紙!$B$11:$B$310)+COUNTA(条幅!$B$11:$B$310)+COUNTA(条幅4分の1!$B$11:$B$310),INDEX(条幅4分の1!$F$11:$F$310,588-COUNTA(半紙!$B$11:$B$310)-COUNTA(条幅!$B$11:$B$310)),"")))=0,"",IF(588&lt;=COUNTA(半紙!$B$11:$B$310),INDEX(半紙!$F$11:$F$310,588),IF(588&lt;=COUNTA(半紙!$B$11:$B$310)+COUNTA(条幅!$B$11:$B$310),INDEX(条幅!$F$11:$F$310,588-COUNTA(半紙!$B$11:$B$310)),IF(588&lt;=COUNTA(半紙!$B$11:$B$310)+COUNTA(条幅!$B$11:$B$310)+COUNTA(条幅4分の1!$B$11:$B$310),INDEX(条幅4分の1!$F$11:$F$310,588-COUNTA(半紙!$B$11:$B$310)-COUNTA(条幅!$B$11:$B$310)),""))))</f>
        <v/>
      </c>
      <c r="G593" s="38" t="str">
        <f>IF(IF(588&lt;=COUNTA(半紙!$B$11:$B$310),INDEX(半紙!$G$11:$G$310,588),IF(588&lt;=COUNTA(半紙!$B$11:$B$310)+COUNTA(条幅!$B$11:$B$310),INDEX(条幅!$G$11:$G$310,588-COUNTA(半紙!$B$11:$B$310)),IF(588&lt;=COUNTA(半紙!$B$11:$B$310)+COUNTA(条幅!$B$11:$B$310)+COUNTA(条幅4分の1!$B$11:$B$310),INDEX(条幅4分の1!$G$11:$G$310,588-COUNTA(半紙!$B$11:$B$310)-COUNTA(条幅!$B$11:$B$310)),"")))=0,"",IF(588&lt;=COUNTA(半紙!$B$11:$B$310),INDEX(半紙!$G$11:$G$310,588),IF(588&lt;=COUNTA(半紙!$B$11:$B$310)+COUNTA(条幅!$B$11:$B$310),INDEX(条幅!$G$11:$G$310,588-COUNTA(半紙!$B$11:$B$310)),IF(588&lt;=COUNTA(半紙!$B$11:$B$310)+COUNTA(条幅!$B$11:$B$310)+COUNTA(条幅4分の1!$B$11:$B$310),INDEX(条幅4分の1!$G$11:$G$310,588-COUNTA(半紙!$B$11:$B$310)-COUNTA(条幅!$B$11:$B$310)),""))))</f>
        <v/>
      </c>
      <c r="H593" s="38" t="str">
        <f>IF(IF(588&lt;=COUNTA(半紙!$B$11:$B$310),INDEX(半紙!$H$11:$H$310,588),IF(588&lt;=COUNTA(半紙!$B$11:$B$310)+COUNTA(条幅!$B$11:$B$310),INDEX(条幅!$H$11:$H$310,588-COUNTA(半紙!$B$11:$B$310)),IF(588&lt;=COUNTA(半紙!$B$11:$B$310)+COUNTA(条幅!$B$11:$B$310)+COUNTA(条幅4分の1!$B$11:$B$310),INDEX(条幅4分の1!$H$11:$H$310,588-COUNTA(半紙!$B$11:$B$310)-COUNTA(条幅!$B$11:$B$310)),"")))=0,"",IF(588&lt;=COUNTA(半紙!$B$11:$B$310),INDEX(半紙!$H$11:$H$310,588),IF(588&lt;=COUNTA(半紙!$B$11:$B$310)+COUNTA(条幅!$B$11:$B$310),INDEX(条幅!$H$11:$H$310,588-COUNTA(半紙!$B$11:$B$310)),IF(588&lt;=COUNTA(半紙!$B$11:$B$310)+COUNTA(条幅!$B$11:$B$310)+COUNTA(条幅4分の1!$B$11:$B$310),INDEX(条幅4分の1!$H$11:$H$310,588-COUNTA(半紙!$B$11:$B$310)-COUNTA(条幅!$B$11:$B$310)),""))))</f>
        <v/>
      </c>
      <c r="I593" s="38" t="str">
        <f>IF(IF(588&lt;=COUNTA(半紙!$B$11:$B$310),INDEX(半紙!$I$11:$I$310,588),IF(588&lt;=COUNTA(半紙!$B$11:$B$310)+COUNTA(条幅!$B$11:$B$310),INDEX(条幅!$I$11:$I$310,588-COUNTA(半紙!$B$11:$B$310)),IF(588&lt;=COUNTA(半紙!$B$11:$B$310)+COUNTA(条幅!$B$11:$B$310)+COUNTA(条幅4分の1!$B$11:$B$310),INDEX(条幅4分の1!$I$11:$I$310,588-COUNTA(半紙!$B$11:$B$310)-COUNTA(条幅!$B$11:$B$310)),"")))=0,"",IF(588&lt;=COUNTA(半紙!$B$11:$B$310),INDEX(半紙!$I$11:$I$310,588),IF(588&lt;=COUNTA(半紙!$B$11:$B$310)+COUNTA(条幅!$B$11:$B$310),INDEX(条幅!$I$11:$I$310,588-COUNTA(半紙!$B$11:$B$310)),IF(588&lt;=COUNTA(半紙!$B$11:$B$310)+COUNTA(条幅!$B$11:$B$310)+COUNTA(条幅4分の1!$B$11:$B$310),INDEX(条幅4分の1!$I$11:$I$310,588-COUNTA(半紙!$B$11:$B$310)-COUNTA(条幅!$B$11:$B$310)),""))))</f>
        <v/>
      </c>
      <c r="J593" s="38" t="str">
        <f>IF(IF(588&lt;=COUNTA(半紙!$B$11:$B$310),INDEX(半紙!$J$11:$J$310,588),IF(588&lt;=COUNTA(半紙!$B$11:$B$310)+COUNTA(条幅!$B$11:$B$310),INDEX(条幅!$J$11:$J$310,588-COUNTA(半紙!$B$11:$B$310)),IF(588&lt;=COUNTA(半紙!$B$11:$B$310)+COUNTA(条幅!$B$11:$B$310)+COUNTA(条幅4分の1!$B$11:$B$310),INDEX(条幅4分の1!$J$11:$J$310,588-COUNTA(半紙!$B$11:$B$310)-COUNTA(条幅!$B$11:$B$310)),"")))=0,"",IF(588&lt;=COUNTA(半紙!$B$11:$B$310),INDEX(半紙!$J$11:$J$310,588),IF(588&lt;=COUNTA(半紙!$B$11:$B$310)+COUNTA(条幅!$B$11:$B$310),INDEX(条幅!$J$11:$J$310,588-COUNTA(半紙!$B$11:$B$310)),IF(588&lt;=COUNTA(半紙!$B$11:$B$310)+COUNTA(条幅!$B$11:$B$310)+COUNTA(条幅4分の1!$B$11:$B$310),INDEX(条幅4分の1!$J$11:$J$310,588-COUNTA(半紙!$B$11:$B$310)-COUNTA(条幅!$B$11:$B$310)),""))))</f>
        <v/>
      </c>
      <c r="K593" s="38" t="str">
        <f>IF(IF(588&lt;=COUNTA(半紙!$B$11:$B$310),INDEX(半紙!$K$11:$K$310,588),IF(588&lt;=COUNTA(半紙!$B$11:$B$310)+COUNTA(条幅!$B$11:$B$310),INDEX(条幅!$K$11:$K$310,588-COUNTA(半紙!$B$11:$B$310)),IF(588&lt;=COUNTA(半紙!$B$11:$B$310)+COUNTA(条幅!$B$11:$B$310)+COUNTA(条幅4分の1!$B$11:$B$310),INDEX(条幅4分の1!$K$11:$K$310,588-COUNTA(半紙!$B$11:$B$310)-COUNTA(条幅!$B$11:$B$310)),"")))=0,"",IF(588&lt;=COUNTA(半紙!$B$11:$B$310),INDEX(半紙!$K$11:$K$310,588),IF(588&lt;=COUNTA(半紙!$B$11:$B$310)+COUNTA(条幅!$B$11:$B$310),INDEX(条幅!$K$11:$K$310,588-COUNTA(半紙!$B$11:$B$310)),IF(588&lt;=COUNTA(半紙!$B$11:$B$310)+COUNTA(条幅!$B$11:$B$310)+COUNTA(条幅4分の1!$B$11:$B$310),INDEX(条幅4分の1!$K$11:$K$310,588-COUNTA(半紙!$B$11:$B$310)-COUNTA(条幅!$B$11:$B$310)),""))))</f>
        <v/>
      </c>
      <c r="L593" s="48" t="str">
        <f>IF($B593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588))</f>
        <v/>
      </c>
    </row>
    <row r="594" spans="1:12" ht="15" customHeight="1">
      <c r="A594" s="37" t="str">
        <f>IF(589&lt;=COUNTA(半紙!$B$11:$B$310),"半紙",IF(589&lt;=COUNTA(半紙!$B$11:$B$310)+COUNTA(条幅!$B$11:$B$310),"条幅(半切)",IF(589&lt;=COUNTA(半紙!$B$11:$B$310)+COUNTA(条幅!$B$11:$B$310)+COUNTA(条幅4分の1!$B$11:$B$310),"条幅(1/4)","")))</f>
        <v/>
      </c>
      <c r="B594" s="38" t="str">
        <f>IF(IF(589&lt;=COUNTA(半紙!$B$11:$B$310),INDEX(半紙!$B$11:$B$310,589),IF(589&lt;=COUNTA(半紙!$B$11:$B$310)+COUNTA(条幅!$B$11:$B$310),INDEX(条幅!$B$11:$B$310,589-COUNTA(半紙!$B$11:$B$310)),IF(589&lt;=COUNTA(半紙!$B$11:$B$310)+COUNTA(条幅!$B$11:$B$310)+COUNTA(条幅4分の1!$B$11:$B$310),INDEX(条幅4分の1!$B$11:$B$310,589-COUNTA(半紙!$B$11:$B$310)-COUNTA(条幅!$B$11:$B$310)),"")))=0,"",IF(589&lt;=COUNTA(半紙!$B$11:$B$310),INDEX(半紙!$B$11:$B$310,589),IF(589&lt;=COUNTA(半紙!$B$11:$B$310)+COUNTA(条幅!$B$11:$B$310),INDEX(条幅!$B$11:$B$310,589-COUNTA(半紙!$B$11:$B$310)),IF(589&lt;=COUNTA(半紙!$B$11:$B$310)+COUNTA(条幅!$B$11:$B$310)+COUNTA(条幅4分の1!$B$11:$B$310),INDEX(条幅4分の1!$B$11:$B$310,589-COUNTA(半紙!$B$11:$B$310)-COUNTA(条幅!$B$11:$B$310)),""))))</f>
        <v/>
      </c>
      <c r="C594" s="38" t="str">
        <f>IF(IF(589&lt;=COUNTA(半紙!$B$11:$B$310),INDEX(半紙!$C$11:$C$310,589),IF(589&lt;=COUNTA(半紙!$B$11:$B$310)+COUNTA(条幅!$B$11:$B$310),INDEX(条幅!$C$11:$C$310,589-COUNTA(半紙!$B$11:$B$310)),IF(589&lt;=COUNTA(半紙!$B$11:$B$310)+COUNTA(条幅!$B$11:$B$310)+COUNTA(条幅4分の1!$B$11:$B$310),INDEX(条幅4分の1!$C$11:$C$310,589-COUNTA(半紙!$B$11:$B$310)-COUNTA(条幅!$B$11:$B$310)),"")))=0,"",IF(589&lt;=COUNTA(半紙!$B$11:$B$310),INDEX(半紙!$C$11:$C$310,589),IF(589&lt;=COUNTA(半紙!$B$11:$B$310)+COUNTA(条幅!$B$11:$B$310),INDEX(条幅!$C$11:$C$310,589-COUNTA(半紙!$B$11:$B$310)),IF(589&lt;=COUNTA(半紙!$B$11:$B$310)+COUNTA(条幅!$B$11:$B$310)+COUNTA(条幅4分の1!$B$11:$B$310),INDEX(条幅4分の1!$C$11:$C$310,589-COUNTA(半紙!$B$11:$B$310)-COUNTA(条幅!$B$11:$B$310)),""))))</f>
        <v/>
      </c>
      <c r="D594" s="38" t="str">
        <f>IF(IF(589&lt;=COUNTA(半紙!$B$11:$B$310),INDEX(半紙!$D$11:$D$310,589),IF(589&lt;=COUNTA(半紙!$B$11:$B$310)+COUNTA(条幅!$B$11:$B$310),INDEX(条幅!$D$11:$D$310,589-COUNTA(半紙!$B$11:$B$310)),IF(589&lt;=COUNTA(半紙!$B$11:$B$310)+COUNTA(条幅!$B$11:$B$310)+COUNTA(条幅4分の1!$B$11:$B$310),INDEX(条幅4分の1!$D$11:$D$310,589-COUNTA(半紙!$B$11:$B$310)-COUNTA(条幅!$B$11:$B$310)),"")))=0,"",IF(589&lt;=COUNTA(半紙!$B$11:$B$310),INDEX(半紙!$D$11:$D$310,589),IF(589&lt;=COUNTA(半紙!$B$11:$B$310)+COUNTA(条幅!$B$11:$B$310),INDEX(条幅!$D$11:$D$310,589-COUNTA(半紙!$B$11:$B$310)),IF(589&lt;=COUNTA(半紙!$B$11:$B$310)+COUNTA(条幅!$B$11:$B$310)+COUNTA(条幅4分の1!$B$11:$B$310),INDEX(条幅4分の1!$D$11:$D$310,589-COUNTA(半紙!$B$11:$B$310)-COUNTA(条幅!$B$11:$B$310)),""))))</f>
        <v/>
      </c>
      <c r="E594" s="38" t="str">
        <f>IF(IF(589&lt;=COUNTA(半紙!$B$11:$B$310),INDEX(半紙!$E$11:$E$310,589),IF(589&lt;=COUNTA(半紙!$B$11:$B$310)+COUNTA(条幅!$B$11:$B$310),INDEX(条幅!$E$11:$E$310,589-COUNTA(半紙!$B$11:$B$310)),IF(589&lt;=COUNTA(半紙!$B$11:$B$310)+COUNTA(条幅!$B$11:$B$310)+COUNTA(条幅4分の1!$B$11:$B$310),INDEX(条幅4分の1!$E$11:$E$310,589-COUNTA(半紙!$B$11:$B$310)-COUNTA(条幅!$B$11:$B$310)),"")))=0,"",IF(589&lt;=COUNTA(半紙!$B$11:$B$310),INDEX(半紙!$E$11:$E$310,589),IF(589&lt;=COUNTA(半紙!$B$11:$B$310)+COUNTA(条幅!$B$11:$B$310),INDEX(条幅!$E$11:$E$310,589-COUNTA(半紙!$B$11:$B$310)),IF(589&lt;=COUNTA(半紙!$B$11:$B$310)+COUNTA(条幅!$B$11:$B$310)+COUNTA(条幅4分の1!$B$11:$B$310),INDEX(条幅4分の1!$E$11:$E$310,589-COUNTA(半紙!$B$11:$B$310)-COUNTA(条幅!$B$11:$B$310)),""))))</f>
        <v/>
      </c>
      <c r="F594" s="38" t="str">
        <f>IF(IF(589&lt;=COUNTA(半紙!$B$11:$B$310),INDEX(半紙!$F$11:$F$310,589),IF(589&lt;=COUNTA(半紙!$B$11:$B$310)+COUNTA(条幅!$B$11:$B$310),INDEX(条幅!$F$11:$F$310,589-COUNTA(半紙!$B$11:$B$310)),IF(589&lt;=COUNTA(半紙!$B$11:$B$310)+COUNTA(条幅!$B$11:$B$310)+COUNTA(条幅4分の1!$B$11:$B$310),INDEX(条幅4分の1!$F$11:$F$310,589-COUNTA(半紙!$B$11:$B$310)-COUNTA(条幅!$B$11:$B$310)),"")))=0,"",IF(589&lt;=COUNTA(半紙!$B$11:$B$310),INDEX(半紙!$F$11:$F$310,589),IF(589&lt;=COUNTA(半紙!$B$11:$B$310)+COUNTA(条幅!$B$11:$B$310),INDEX(条幅!$F$11:$F$310,589-COUNTA(半紙!$B$11:$B$310)),IF(589&lt;=COUNTA(半紙!$B$11:$B$310)+COUNTA(条幅!$B$11:$B$310)+COUNTA(条幅4分の1!$B$11:$B$310),INDEX(条幅4分の1!$F$11:$F$310,589-COUNTA(半紙!$B$11:$B$310)-COUNTA(条幅!$B$11:$B$310)),""))))</f>
        <v/>
      </c>
      <c r="G594" s="38" t="str">
        <f>IF(IF(589&lt;=COUNTA(半紙!$B$11:$B$310),INDEX(半紙!$G$11:$G$310,589),IF(589&lt;=COUNTA(半紙!$B$11:$B$310)+COUNTA(条幅!$B$11:$B$310),INDEX(条幅!$G$11:$G$310,589-COUNTA(半紙!$B$11:$B$310)),IF(589&lt;=COUNTA(半紙!$B$11:$B$310)+COUNTA(条幅!$B$11:$B$310)+COUNTA(条幅4分の1!$B$11:$B$310),INDEX(条幅4分の1!$G$11:$G$310,589-COUNTA(半紙!$B$11:$B$310)-COUNTA(条幅!$B$11:$B$310)),"")))=0,"",IF(589&lt;=COUNTA(半紙!$B$11:$B$310),INDEX(半紙!$G$11:$G$310,589),IF(589&lt;=COUNTA(半紙!$B$11:$B$310)+COUNTA(条幅!$B$11:$B$310),INDEX(条幅!$G$11:$G$310,589-COUNTA(半紙!$B$11:$B$310)),IF(589&lt;=COUNTA(半紙!$B$11:$B$310)+COUNTA(条幅!$B$11:$B$310)+COUNTA(条幅4分の1!$B$11:$B$310),INDEX(条幅4分の1!$G$11:$G$310,589-COUNTA(半紙!$B$11:$B$310)-COUNTA(条幅!$B$11:$B$310)),""))))</f>
        <v/>
      </c>
      <c r="H594" s="38" t="str">
        <f>IF(IF(589&lt;=COUNTA(半紙!$B$11:$B$310),INDEX(半紙!$H$11:$H$310,589),IF(589&lt;=COUNTA(半紙!$B$11:$B$310)+COUNTA(条幅!$B$11:$B$310),INDEX(条幅!$H$11:$H$310,589-COUNTA(半紙!$B$11:$B$310)),IF(589&lt;=COUNTA(半紙!$B$11:$B$310)+COUNTA(条幅!$B$11:$B$310)+COUNTA(条幅4分の1!$B$11:$B$310),INDEX(条幅4分の1!$H$11:$H$310,589-COUNTA(半紙!$B$11:$B$310)-COUNTA(条幅!$B$11:$B$310)),"")))=0,"",IF(589&lt;=COUNTA(半紙!$B$11:$B$310),INDEX(半紙!$H$11:$H$310,589),IF(589&lt;=COUNTA(半紙!$B$11:$B$310)+COUNTA(条幅!$B$11:$B$310),INDEX(条幅!$H$11:$H$310,589-COUNTA(半紙!$B$11:$B$310)),IF(589&lt;=COUNTA(半紙!$B$11:$B$310)+COUNTA(条幅!$B$11:$B$310)+COUNTA(条幅4分の1!$B$11:$B$310),INDEX(条幅4分の1!$H$11:$H$310,589-COUNTA(半紙!$B$11:$B$310)-COUNTA(条幅!$B$11:$B$310)),""))))</f>
        <v/>
      </c>
      <c r="I594" s="38" t="str">
        <f>IF(IF(589&lt;=COUNTA(半紙!$B$11:$B$310),INDEX(半紙!$I$11:$I$310,589),IF(589&lt;=COUNTA(半紙!$B$11:$B$310)+COUNTA(条幅!$B$11:$B$310),INDEX(条幅!$I$11:$I$310,589-COUNTA(半紙!$B$11:$B$310)),IF(589&lt;=COUNTA(半紙!$B$11:$B$310)+COUNTA(条幅!$B$11:$B$310)+COUNTA(条幅4分の1!$B$11:$B$310),INDEX(条幅4分の1!$I$11:$I$310,589-COUNTA(半紙!$B$11:$B$310)-COUNTA(条幅!$B$11:$B$310)),"")))=0,"",IF(589&lt;=COUNTA(半紙!$B$11:$B$310),INDEX(半紙!$I$11:$I$310,589),IF(589&lt;=COUNTA(半紙!$B$11:$B$310)+COUNTA(条幅!$B$11:$B$310),INDEX(条幅!$I$11:$I$310,589-COUNTA(半紙!$B$11:$B$310)),IF(589&lt;=COUNTA(半紙!$B$11:$B$310)+COUNTA(条幅!$B$11:$B$310)+COUNTA(条幅4分の1!$B$11:$B$310),INDEX(条幅4分の1!$I$11:$I$310,589-COUNTA(半紙!$B$11:$B$310)-COUNTA(条幅!$B$11:$B$310)),""))))</f>
        <v/>
      </c>
      <c r="J594" s="38" t="str">
        <f>IF(IF(589&lt;=COUNTA(半紙!$B$11:$B$310),INDEX(半紙!$J$11:$J$310,589),IF(589&lt;=COUNTA(半紙!$B$11:$B$310)+COUNTA(条幅!$B$11:$B$310),INDEX(条幅!$J$11:$J$310,589-COUNTA(半紙!$B$11:$B$310)),IF(589&lt;=COUNTA(半紙!$B$11:$B$310)+COUNTA(条幅!$B$11:$B$310)+COUNTA(条幅4分の1!$B$11:$B$310),INDEX(条幅4分の1!$J$11:$J$310,589-COUNTA(半紙!$B$11:$B$310)-COUNTA(条幅!$B$11:$B$310)),"")))=0,"",IF(589&lt;=COUNTA(半紙!$B$11:$B$310),INDEX(半紙!$J$11:$J$310,589),IF(589&lt;=COUNTA(半紙!$B$11:$B$310)+COUNTA(条幅!$B$11:$B$310),INDEX(条幅!$J$11:$J$310,589-COUNTA(半紙!$B$11:$B$310)),IF(589&lt;=COUNTA(半紙!$B$11:$B$310)+COUNTA(条幅!$B$11:$B$310)+COUNTA(条幅4分の1!$B$11:$B$310),INDEX(条幅4分の1!$J$11:$J$310,589-COUNTA(半紙!$B$11:$B$310)-COUNTA(条幅!$B$11:$B$310)),""))))</f>
        <v/>
      </c>
      <c r="K594" s="38" t="str">
        <f>IF(IF(589&lt;=COUNTA(半紙!$B$11:$B$310),INDEX(半紙!$K$11:$K$310,589),IF(589&lt;=COUNTA(半紙!$B$11:$B$310)+COUNTA(条幅!$B$11:$B$310),INDEX(条幅!$K$11:$K$310,589-COUNTA(半紙!$B$11:$B$310)),IF(589&lt;=COUNTA(半紙!$B$11:$B$310)+COUNTA(条幅!$B$11:$B$310)+COUNTA(条幅4分の1!$B$11:$B$310),INDEX(条幅4分の1!$K$11:$K$310,589-COUNTA(半紙!$B$11:$B$310)-COUNTA(条幅!$B$11:$B$310)),"")))=0,"",IF(589&lt;=COUNTA(半紙!$B$11:$B$310),INDEX(半紙!$K$11:$K$310,589),IF(589&lt;=COUNTA(半紙!$B$11:$B$310)+COUNTA(条幅!$B$11:$B$310),INDEX(条幅!$K$11:$K$310,589-COUNTA(半紙!$B$11:$B$310)),IF(589&lt;=COUNTA(半紙!$B$11:$B$310)+COUNTA(条幅!$B$11:$B$310)+COUNTA(条幅4分の1!$B$11:$B$310),INDEX(条幅4分の1!$K$11:$K$310,589-COUNTA(半紙!$B$11:$B$310)-COUNTA(条幅!$B$11:$B$310)),""))))</f>
        <v/>
      </c>
      <c r="L594" s="48" t="str">
        <f>IF($B594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589))</f>
        <v/>
      </c>
    </row>
    <row r="595" spans="1:12" ht="15" customHeight="1">
      <c r="A595" s="37" t="str">
        <f>IF(590&lt;=COUNTA(半紙!$B$11:$B$310),"半紙",IF(590&lt;=COUNTA(半紙!$B$11:$B$310)+COUNTA(条幅!$B$11:$B$310),"条幅(半切)",IF(590&lt;=COUNTA(半紙!$B$11:$B$310)+COUNTA(条幅!$B$11:$B$310)+COUNTA(条幅4分の1!$B$11:$B$310),"条幅(1/4)","")))</f>
        <v/>
      </c>
      <c r="B595" s="38" t="str">
        <f>IF(IF(590&lt;=COUNTA(半紙!$B$11:$B$310),INDEX(半紙!$B$11:$B$310,590),IF(590&lt;=COUNTA(半紙!$B$11:$B$310)+COUNTA(条幅!$B$11:$B$310),INDEX(条幅!$B$11:$B$310,590-COUNTA(半紙!$B$11:$B$310)),IF(590&lt;=COUNTA(半紙!$B$11:$B$310)+COUNTA(条幅!$B$11:$B$310)+COUNTA(条幅4分の1!$B$11:$B$310),INDEX(条幅4分の1!$B$11:$B$310,590-COUNTA(半紙!$B$11:$B$310)-COUNTA(条幅!$B$11:$B$310)),"")))=0,"",IF(590&lt;=COUNTA(半紙!$B$11:$B$310),INDEX(半紙!$B$11:$B$310,590),IF(590&lt;=COUNTA(半紙!$B$11:$B$310)+COUNTA(条幅!$B$11:$B$310),INDEX(条幅!$B$11:$B$310,590-COUNTA(半紙!$B$11:$B$310)),IF(590&lt;=COUNTA(半紙!$B$11:$B$310)+COUNTA(条幅!$B$11:$B$310)+COUNTA(条幅4分の1!$B$11:$B$310),INDEX(条幅4分の1!$B$11:$B$310,590-COUNTA(半紙!$B$11:$B$310)-COUNTA(条幅!$B$11:$B$310)),""))))</f>
        <v/>
      </c>
      <c r="C595" s="38" t="str">
        <f>IF(IF(590&lt;=COUNTA(半紙!$B$11:$B$310),INDEX(半紙!$C$11:$C$310,590),IF(590&lt;=COUNTA(半紙!$B$11:$B$310)+COUNTA(条幅!$B$11:$B$310),INDEX(条幅!$C$11:$C$310,590-COUNTA(半紙!$B$11:$B$310)),IF(590&lt;=COUNTA(半紙!$B$11:$B$310)+COUNTA(条幅!$B$11:$B$310)+COUNTA(条幅4分の1!$B$11:$B$310),INDEX(条幅4分の1!$C$11:$C$310,590-COUNTA(半紙!$B$11:$B$310)-COUNTA(条幅!$B$11:$B$310)),"")))=0,"",IF(590&lt;=COUNTA(半紙!$B$11:$B$310),INDEX(半紙!$C$11:$C$310,590),IF(590&lt;=COUNTA(半紙!$B$11:$B$310)+COUNTA(条幅!$B$11:$B$310),INDEX(条幅!$C$11:$C$310,590-COUNTA(半紙!$B$11:$B$310)),IF(590&lt;=COUNTA(半紙!$B$11:$B$310)+COUNTA(条幅!$B$11:$B$310)+COUNTA(条幅4分の1!$B$11:$B$310),INDEX(条幅4分の1!$C$11:$C$310,590-COUNTA(半紙!$B$11:$B$310)-COUNTA(条幅!$B$11:$B$310)),""))))</f>
        <v/>
      </c>
      <c r="D595" s="38" t="str">
        <f>IF(IF(590&lt;=COUNTA(半紙!$B$11:$B$310),INDEX(半紙!$D$11:$D$310,590),IF(590&lt;=COUNTA(半紙!$B$11:$B$310)+COUNTA(条幅!$B$11:$B$310),INDEX(条幅!$D$11:$D$310,590-COUNTA(半紙!$B$11:$B$310)),IF(590&lt;=COUNTA(半紙!$B$11:$B$310)+COUNTA(条幅!$B$11:$B$310)+COUNTA(条幅4分の1!$B$11:$B$310),INDEX(条幅4分の1!$D$11:$D$310,590-COUNTA(半紙!$B$11:$B$310)-COUNTA(条幅!$B$11:$B$310)),"")))=0,"",IF(590&lt;=COUNTA(半紙!$B$11:$B$310),INDEX(半紙!$D$11:$D$310,590),IF(590&lt;=COUNTA(半紙!$B$11:$B$310)+COUNTA(条幅!$B$11:$B$310),INDEX(条幅!$D$11:$D$310,590-COUNTA(半紙!$B$11:$B$310)),IF(590&lt;=COUNTA(半紙!$B$11:$B$310)+COUNTA(条幅!$B$11:$B$310)+COUNTA(条幅4分の1!$B$11:$B$310),INDEX(条幅4分の1!$D$11:$D$310,590-COUNTA(半紙!$B$11:$B$310)-COUNTA(条幅!$B$11:$B$310)),""))))</f>
        <v/>
      </c>
      <c r="E595" s="38" t="str">
        <f>IF(IF(590&lt;=COUNTA(半紙!$B$11:$B$310),INDEX(半紙!$E$11:$E$310,590),IF(590&lt;=COUNTA(半紙!$B$11:$B$310)+COUNTA(条幅!$B$11:$B$310),INDEX(条幅!$E$11:$E$310,590-COUNTA(半紙!$B$11:$B$310)),IF(590&lt;=COUNTA(半紙!$B$11:$B$310)+COUNTA(条幅!$B$11:$B$310)+COUNTA(条幅4分の1!$B$11:$B$310),INDEX(条幅4分の1!$E$11:$E$310,590-COUNTA(半紙!$B$11:$B$310)-COUNTA(条幅!$B$11:$B$310)),"")))=0,"",IF(590&lt;=COUNTA(半紙!$B$11:$B$310),INDEX(半紙!$E$11:$E$310,590),IF(590&lt;=COUNTA(半紙!$B$11:$B$310)+COUNTA(条幅!$B$11:$B$310),INDEX(条幅!$E$11:$E$310,590-COUNTA(半紙!$B$11:$B$310)),IF(590&lt;=COUNTA(半紙!$B$11:$B$310)+COUNTA(条幅!$B$11:$B$310)+COUNTA(条幅4分の1!$B$11:$B$310),INDEX(条幅4分の1!$E$11:$E$310,590-COUNTA(半紙!$B$11:$B$310)-COUNTA(条幅!$B$11:$B$310)),""))))</f>
        <v/>
      </c>
      <c r="F595" s="38" t="str">
        <f>IF(IF(590&lt;=COUNTA(半紙!$B$11:$B$310),INDEX(半紙!$F$11:$F$310,590),IF(590&lt;=COUNTA(半紙!$B$11:$B$310)+COUNTA(条幅!$B$11:$B$310),INDEX(条幅!$F$11:$F$310,590-COUNTA(半紙!$B$11:$B$310)),IF(590&lt;=COUNTA(半紙!$B$11:$B$310)+COUNTA(条幅!$B$11:$B$310)+COUNTA(条幅4分の1!$B$11:$B$310),INDEX(条幅4分の1!$F$11:$F$310,590-COUNTA(半紙!$B$11:$B$310)-COUNTA(条幅!$B$11:$B$310)),"")))=0,"",IF(590&lt;=COUNTA(半紙!$B$11:$B$310),INDEX(半紙!$F$11:$F$310,590),IF(590&lt;=COUNTA(半紙!$B$11:$B$310)+COUNTA(条幅!$B$11:$B$310),INDEX(条幅!$F$11:$F$310,590-COUNTA(半紙!$B$11:$B$310)),IF(590&lt;=COUNTA(半紙!$B$11:$B$310)+COUNTA(条幅!$B$11:$B$310)+COUNTA(条幅4分の1!$B$11:$B$310),INDEX(条幅4分の1!$F$11:$F$310,590-COUNTA(半紙!$B$11:$B$310)-COUNTA(条幅!$B$11:$B$310)),""))))</f>
        <v/>
      </c>
      <c r="G595" s="38" t="str">
        <f>IF(IF(590&lt;=COUNTA(半紙!$B$11:$B$310),INDEX(半紙!$G$11:$G$310,590),IF(590&lt;=COUNTA(半紙!$B$11:$B$310)+COUNTA(条幅!$B$11:$B$310),INDEX(条幅!$G$11:$G$310,590-COUNTA(半紙!$B$11:$B$310)),IF(590&lt;=COUNTA(半紙!$B$11:$B$310)+COUNTA(条幅!$B$11:$B$310)+COUNTA(条幅4分の1!$B$11:$B$310),INDEX(条幅4分の1!$G$11:$G$310,590-COUNTA(半紙!$B$11:$B$310)-COUNTA(条幅!$B$11:$B$310)),"")))=0,"",IF(590&lt;=COUNTA(半紙!$B$11:$B$310),INDEX(半紙!$G$11:$G$310,590),IF(590&lt;=COUNTA(半紙!$B$11:$B$310)+COUNTA(条幅!$B$11:$B$310),INDEX(条幅!$G$11:$G$310,590-COUNTA(半紙!$B$11:$B$310)),IF(590&lt;=COUNTA(半紙!$B$11:$B$310)+COUNTA(条幅!$B$11:$B$310)+COUNTA(条幅4分の1!$B$11:$B$310),INDEX(条幅4分の1!$G$11:$G$310,590-COUNTA(半紙!$B$11:$B$310)-COUNTA(条幅!$B$11:$B$310)),""))))</f>
        <v/>
      </c>
      <c r="H595" s="38" t="str">
        <f>IF(IF(590&lt;=COUNTA(半紙!$B$11:$B$310),INDEX(半紙!$H$11:$H$310,590),IF(590&lt;=COUNTA(半紙!$B$11:$B$310)+COUNTA(条幅!$B$11:$B$310),INDEX(条幅!$H$11:$H$310,590-COUNTA(半紙!$B$11:$B$310)),IF(590&lt;=COUNTA(半紙!$B$11:$B$310)+COUNTA(条幅!$B$11:$B$310)+COUNTA(条幅4分の1!$B$11:$B$310),INDEX(条幅4分の1!$H$11:$H$310,590-COUNTA(半紙!$B$11:$B$310)-COUNTA(条幅!$B$11:$B$310)),"")))=0,"",IF(590&lt;=COUNTA(半紙!$B$11:$B$310),INDEX(半紙!$H$11:$H$310,590),IF(590&lt;=COUNTA(半紙!$B$11:$B$310)+COUNTA(条幅!$B$11:$B$310),INDEX(条幅!$H$11:$H$310,590-COUNTA(半紙!$B$11:$B$310)),IF(590&lt;=COUNTA(半紙!$B$11:$B$310)+COUNTA(条幅!$B$11:$B$310)+COUNTA(条幅4分の1!$B$11:$B$310),INDEX(条幅4分の1!$H$11:$H$310,590-COUNTA(半紙!$B$11:$B$310)-COUNTA(条幅!$B$11:$B$310)),""))))</f>
        <v/>
      </c>
      <c r="I595" s="38" t="str">
        <f>IF(IF(590&lt;=COUNTA(半紙!$B$11:$B$310),INDEX(半紙!$I$11:$I$310,590),IF(590&lt;=COUNTA(半紙!$B$11:$B$310)+COUNTA(条幅!$B$11:$B$310),INDEX(条幅!$I$11:$I$310,590-COUNTA(半紙!$B$11:$B$310)),IF(590&lt;=COUNTA(半紙!$B$11:$B$310)+COUNTA(条幅!$B$11:$B$310)+COUNTA(条幅4分の1!$B$11:$B$310),INDEX(条幅4分の1!$I$11:$I$310,590-COUNTA(半紙!$B$11:$B$310)-COUNTA(条幅!$B$11:$B$310)),"")))=0,"",IF(590&lt;=COUNTA(半紙!$B$11:$B$310),INDEX(半紙!$I$11:$I$310,590),IF(590&lt;=COUNTA(半紙!$B$11:$B$310)+COUNTA(条幅!$B$11:$B$310),INDEX(条幅!$I$11:$I$310,590-COUNTA(半紙!$B$11:$B$310)),IF(590&lt;=COUNTA(半紙!$B$11:$B$310)+COUNTA(条幅!$B$11:$B$310)+COUNTA(条幅4分の1!$B$11:$B$310),INDEX(条幅4分の1!$I$11:$I$310,590-COUNTA(半紙!$B$11:$B$310)-COUNTA(条幅!$B$11:$B$310)),""))))</f>
        <v/>
      </c>
      <c r="J595" s="38" t="str">
        <f>IF(IF(590&lt;=COUNTA(半紙!$B$11:$B$310),INDEX(半紙!$J$11:$J$310,590),IF(590&lt;=COUNTA(半紙!$B$11:$B$310)+COUNTA(条幅!$B$11:$B$310),INDEX(条幅!$J$11:$J$310,590-COUNTA(半紙!$B$11:$B$310)),IF(590&lt;=COUNTA(半紙!$B$11:$B$310)+COUNTA(条幅!$B$11:$B$310)+COUNTA(条幅4分の1!$B$11:$B$310),INDEX(条幅4分の1!$J$11:$J$310,590-COUNTA(半紙!$B$11:$B$310)-COUNTA(条幅!$B$11:$B$310)),"")))=0,"",IF(590&lt;=COUNTA(半紙!$B$11:$B$310),INDEX(半紙!$J$11:$J$310,590),IF(590&lt;=COUNTA(半紙!$B$11:$B$310)+COUNTA(条幅!$B$11:$B$310),INDEX(条幅!$J$11:$J$310,590-COUNTA(半紙!$B$11:$B$310)),IF(590&lt;=COUNTA(半紙!$B$11:$B$310)+COUNTA(条幅!$B$11:$B$310)+COUNTA(条幅4分の1!$B$11:$B$310),INDEX(条幅4分の1!$J$11:$J$310,590-COUNTA(半紙!$B$11:$B$310)-COUNTA(条幅!$B$11:$B$310)),""))))</f>
        <v/>
      </c>
      <c r="K595" s="38" t="str">
        <f>IF(IF(590&lt;=COUNTA(半紙!$B$11:$B$310),INDEX(半紙!$K$11:$K$310,590),IF(590&lt;=COUNTA(半紙!$B$11:$B$310)+COUNTA(条幅!$B$11:$B$310),INDEX(条幅!$K$11:$K$310,590-COUNTA(半紙!$B$11:$B$310)),IF(590&lt;=COUNTA(半紙!$B$11:$B$310)+COUNTA(条幅!$B$11:$B$310)+COUNTA(条幅4分の1!$B$11:$B$310),INDEX(条幅4分の1!$K$11:$K$310,590-COUNTA(半紙!$B$11:$B$310)-COUNTA(条幅!$B$11:$B$310)),"")))=0,"",IF(590&lt;=COUNTA(半紙!$B$11:$B$310),INDEX(半紙!$K$11:$K$310,590),IF(590&lt;=COUNTA(半紙!$B$11:$B$310)+COUNTA(条幅!$B$11:$B$310),INDEX(条幅!$K$11:$K$310,590-COUNTA(半紙!$B$11:$B$310)),IF(590&lt;=COUNTA(半紙!$B$11:$B$310)+COUNTA(条幅!$B$11:$B$310)+COUNTA(条幅4分の1!$B$11:$B$310),INDEX(条幅4分の1!$K$11:$K$310,590-COUNTA(半紙!$B$11:$B$310)-COUNTA(条幅!$B$11:$B$310)),""))))</f>
        <v/>
      </c>
      <c r="L595" s="48" t="str">
        <f>IF($B595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590))</f>
        <v/>
      </c>
    </row>
    <row r="596" spans="1:12" ht="15" customHeight="1">
      <c r="A596" s="37" t="str">
        <f>IF(591&lt;=COUNTA(半紙!$B$11:$B$310),"半紙",IF(591&lt;=COUNTA(半紙!$B$11:$B$310)+COUNTA(条幅!$B$11:$B$310),"条幅(半切)",IF(591&lt;=COUNTA(半紙!$B$11:$B$310)+COUNTA(条幅!$B$11:$B$310)+COUNTA(条幅4分の1!$B$11:$B$310),"条幅(1/4)","")))</f>
        <v/>
      </c>
      <c r="B596" s="38" t="str">
        <f>IF(IF(591&lt;=COUNTA(半紙!$B$11:$B$310),INDEX(半紙!$B$11:$B$310,591),IF(591&lt;=COUNTA(半紙!$B$11:$B$310)+COUNTA(条幅!$B$11:$B$310),INDEX(条幅!$B$11:$B$310,591-COUNTA(半紙!$B$11:$B$310)),IF(591&lt;=COUNTA(半紙!$B$11:$B$310)+COUNTA(条幅!$B$11:$B$310)+COUNTA(条幅4分の1!$B$11:$B$310),INDEX(条幅4分の1!$B$11:$B$310,591-COUNTA(半紙!$B$11:$B$310)-COUNTA(条幅!$B$11:$B$310)),"")))=0,"",IF(591&lt;=COUNTA(半紙!$B$11:$B$310),INDEX(半紙!$B$11:$B$310,591),IF(591&lt;=COUNTA(半紙!$B$11:$B$310)+COUNTA(条幅!$B$11:$B$310),INDEX(条幅!$B$11:$B$310,591-COUNTA(半紙!$B$11:$B$310)),IF(591&lt;=COUNTA(半紙!$B$11:$B$310)+COUNTA(条幅!$B$11:$B$310)+COUNTA(条幅4分の1!$B$11:$B$310),INDEX(条幅4分の1!$B$11:$B$310,591-COUNTA(半紙!$B$11:$B$310)-COUNTA(条幅!$B$11:$B$310)),""))))</f>
        <v/>
      </c>
      <c r="C596" s="38" t="str">
        <f>IF(IF(591&lt;=COUNTA(半紙!$B$11:$B$310),INDEX(半紙!$C$11:$C$310,591),IF(591&lt;=COUNTA(半紙!$B$11:$B$310)+COUNTA(条幅!$B$11:$B$310),INDEX(条幅!$C$11:$C$310,591-COUNTA(半紙!$B$11:$B$310)),IF(591&lt;=COUNTA(半紙!$B$11:$B$310)+COUNTA(条幅!$B$11:$B$310)+COUNTA(条幅4分の1!$B$11:$B$310),INDEX(条幅4分の1!$C$11:$C$310,591-COUNTA(半紙!$B$11:$B$310)-COUNTA(条幅!$B$11:$B$310)),"")))=0,"",IF(591&lt;=COUNTA(半紙!$B$11:$B$310),INDEX(半紙!$C$11:$C$310,591),IF(591&lt;=COUNTA(半紙!$B$11:$B$310)+COUNTA(条幅!$B$11:$B$310),INDEX(条幅!$C$11:$C$310,591-COUNTA(半紙!$B$11:$B$310)),IF(591&lt;=COUNTA(半紙!$B$11:$B$310)+COUNTA(条幅!$B$11:$B$310)+COUNTA(条幅4分の1!$B$11:$B$310),INDEX(条幅4分の1!$C$11:$C$310,591-COUNTA(半紙!$B$11:$B$310)-COUNTA(条幅!$B$11:$B$310)),""))))</f>
        <v/>
      </c>
      <c r="D596" s="38" t="str">
        <f>IF(IF(591&lt;=COUNTA(半紙!$B$11:$B$310),INDEX(半紙!$D$11:$D$310,591),IF(591&lt;=COUNTA(半紙!$B$11:$B$310)+COUNTA(条幅!$B$11:$B$310),INDEX(条幅!$D$11:$D$310,591-COUNTA(半紙!$B$11:$B$310)),IF(591&lt;=COUNTA(半紙!$B$11:$B$310)+COUNTA(条幅!$B$11:$B$310)+COUNTA(条幅4分の1!$B$11:$B$310),INDEX(条幅4分の1!$D$11:$D$310,591-COUNTA(半紙!$B$11:$B$310)-COUNTA(条幅!$B$11:$B$310)),"")))=0,"",IF(591&lt;=COUNTA(半紙!$B$11:$B$310),INDEX(半紙!$D$11:$D$310,591),IF(591&lt;=COUNTA(半紙!$B$11:$B$310)+COUNTA(条幅!$B$11:$B$310),INDEX(条幅!$D$11:$D$310,591-COUNTA(半紙!$B$11:$B$310)),IF(591&lt;=COUNTA(半紙!$B$11:$B$310)+COUNTA(条幅!$B$11:$B$310)+COUNTA(条幅4分の1!$B$11:$B$310),INDEX(条幅4分の1!$D$11:$D$310,591-COUNTA(半紙!$B$11:$B$310)-COUNTA(条幅!$B$11:$B$310)),""))))</f>
        <v/>
      </c>
      <c r="E596" s="38" t="str">
        <f>IF(IF(591&lt;=COUNTA(半紙!$B$11:$B$310),INDEX(半紙!$E$11:$E$310,591),IF(591&lt;=COUNTA(半紙!$B$11:$B$310)+COUNTA(条幅!$B$11:$B$310),INDEX(条幅!$E$11:$E$310,591-COUNTA(半紙!$B$11:$B$310)),IF(591&lt;=COUNTA(半紙!$B$11:$B$310)+COUNTA(条幅!$B$11:$B$310)+COUNTA(条幅4分の1!$B$11:$B$310),INDEX(条幅4分の1!$E$11:$E$310,591-COUNTA(半紙!$B$11:$B$310)-COUNTA(条幅!$B$11:$B$310)),"")))=0,"",IF(591&lt;=COUNTA(半紙!$B$11:$B$310),INDEX(半紙!$E$11:$E$310,591),IF(591&lt;=COUNTA(半紙!$B$11:$B$310)+COUNTA(条幅!$B$11:$B$310),INDEX(条幅!$E$11:$E$310,591-COUNTA(半紙!$B$11:$B$310)),IF(591&lt;=COUNTA(半紙!$B$11:$B$310)+COUNTA(条幅!$B$11:$B$310)+COUNTA(条幅4分の1!$B$11:$B$310),INDEX(条幅4分の1!$E$11:$E$310,591-COUNTA(半紙!$B$11:$B$310)-COUNTA(条幅!$B$11:$B$310)),""))))</f>
        <v/>
      </c>
      <c r="F596" s="38" t="str">
        <f>IF(IF(591&lt;=COUNTA(半紙!$B$11:$B$310),INDEX(半紙!$F$11:$F$310,591),IF(591&lt;=COUNTA(半紙!$B$11:$B$310)+COUNTA(条幅!$B$11:$B$310),INDEX(条幅!$F$11:$F$310,591-COUNTA(半紙!$B$11:$B$310)),IF(591&lt;=COUNTA(半紙!$B$11:$B$310)+COUNTA(条幅!$B$11:$B$310)+COUNTA(条幅4分の1!$B$11:$B$310),INDEX(条幅4分の1!$F$11:$F$310,591-COUNTA(半紙!$B$11:$B$310)-COUNTA(条幅!$B$11:$B$310)),"")))=0,"",IF(591&lt;=COUNTA(半紙!$B$11:$B$310),INDEX(半紙!$F$11:$F$310,591),IF(591&lt;=COUNTA(半紙!$B$11:$B$310)+COUNTA(条幅!$B$11:$B$310),INDEX(条幅!$F$11:$F$310,591-COUNTA(半紙!$B$11:$B$310)),IF(591&lt;=COUNTA(半紙!$B$11:$B$310)+COUNTA(条幅!$B$11:$B$310)+COUNTA(条幅4分の1!$B$11:$B$310),INDEX(条幅4分の1!$F$11:$F$310,591-COUNTA(半紙!$B$11:$B$310)-COUNTA(条幅!$B$11:$B$310)),""))))</f>
        <v/>
      </c>
      <c r="G596" s="38" t="str">
        <f>IF(IF(591&lt;=COUNTA(半紙!$B$11:$B$310),INDEX(半紙!$G$11:$G$310,591),IF(591&lt;=COUNTA(半紙!$B$11:$B$310)+COUNTA(条幅!$B$11:$B$310),INDEX(条幅!$G$11:$G$310,591-COUNTA(半紙!$B$11:$B$310)),IF(591&lt;=COUNTA(半紙!$B$11:$B$310)+COUNTA(条幅!$B$11:$B$310)+COUNTA(条幅4分の1!$B$11:$B$310),INDEX(条幅4分の1!$G$11:$G$310,591-COUNTA(半紙!$B$11:$B$310)-COUNTA(条幅!$B$11:$B$310)),"")))=0,"",IF(591&lt;=COUNTA(半紙!$B$11:$B$310),INDEX(半紙!$G$11:$G$310,591),IF(591&lt;=COUNTA(半紙!$B$11:$B$310)+COUNTA(条幅!$B$11:$B$310),INDEX(条幅!$G$11:$G$310,591-COUNTA(半紙!$B$11:$B$310)),IF(591&lt;=COUNTA(半紙!$B$11:$B$310)+COUNTA(条幅!$B$11:$B$310)+COUNTA(条幅4分の1!$B$11:$B$310),INDEX(条幅4分の1!$G$11:$G$310,591-COUNTA(半紙!$B$11:$B$310)-COUNTA(条幅!$B$11:$B$310)),""))))</f>
        <v/>
      </c>
      <c r="H596" s="38" t="str">
        <f>IF(IF(591&lt;=COUNTA(半紙!$B$11:$B$310),INDEX(半紙!$H$11:$H$310,591),IF(591&lt;=COUNTA(半紙!$B$11:$B$310)+COUNTA(条幅!$B$11:$B$310),INDEX(条幅!$H$11:$H$310,591-COUNTA(半紙!$B$11:$B$310)),IF(591&lt;=COUNTA(半紙!$B$11:$B$310)+COUNTA(条幅!$B$11:$B$310)+COUNTA(条幅4分の1!$B$11:$B$310),INDEX(条幅4分の1!$H$11:$H$310,591-COUNTA(半紙!$B$11:$B$310)-COUNTA(条幅!$B$11:$B$310)),"")))=0,"",IF(591&lt;=COUNTA(半紙!$B$11:$B$310),INDEX(半紙!$H$11:$H$310,591),IF(591&lt;=COUNTA(半紙!$B$11:$B$310)+COUNTA(条幅!$B$11:$B$310),INDEX(条幅!$H$11:$H$310,591-COUNTA(半紙!$B$11:$B$310)),IF(591&lt;=COUNTA(半紙!$B$11:$B$310)+COUNTA(条幅!$B$11:$B$310)+COUNTA(条幅4分の1!$B$11:$B$310),INDEX(条幅4分の1!$H$11:$H$310,591-COUNTA(半紙!$B$11:$B$310)-COUNTA(条幅!$B$11:$B$310)),""))))</f>
        <v/>
      </c>
      <c r="I596" s="38" t="str">
        <f>IF(IF(591&lt;=COUNTA(半紙!$B$11:$B$310),INDEX(半紙!$I$11:$I$310,591),IF(591&lt;=COUNTA(半紙!$B$11:$B$310)+COUNTA(条幅!$B$11:$B$310),INDEX(条幅!$I$11:$I$310,591-COUNTA(半紙!$B$11:$B$310)),IF(591&lt;=COUNTA(半紙!$B$11:$B$310)+COUNTA(条幅!$B$11:$B$310)+COUNTA(条幅4分の1!$B$11:$B$310),INDEX(条幅4分の1!$I$11:$I$310,591-COUNTA(半紙!$B$11:$B$310)-COUNTA(条幅!$B$11:$B$310)),"")))=0,"",IF(591&lt;=COUNTA(半紙!$B$11:$B$310),INDEX(半紙!$I$11:$I$310,591),IF(591&lt;=COUNTA(半紙!$B$11:$B$310)+COUNTA(条幅!$B$11:$B$310),INDEX(条幅!$I$11:$I$310,591-COUNTA(半紙!$B$11:$B$310)),IF(591&lt;=COUNTA(半紙!$B$11:$B$310)+COUNTA(条幅!$B$11:$B$310)+COUNTA(条幅4分の1!$B$11:$B$310),INDEX(条幅4分の1!$I$11:$I$310,591-COUNTA(半紙!$B$11:$B$310)-COUNTA(条幅!$B$11:$B$310)),""))))</f>
        <v/>
      </c>
      <c r="J596" s="38" t="str">
        <f>IF(IF(591&lt;=COUNTA(半紙!$B$11:$B$310),INDEX(半紙!$J$11:$J$310,591),IF(591&lt;=COUNTA(半紙!$B$11:$B$310)+COUNTA(条幅!$B$11:$B$310),INDEX(条幅!$J$11:$J$310,591-COUNTA(半紙!$B$11:$B$310)),IF(591&lt;=COUNTA(半紙!$B$11:$B$310)+COUNTA(条幅!$B$11:$B$310)+COUNTA(条幅4分の1!$B$11:$B$310),INDEX(条幅4分の1!$J$11:$J$310,591-COUNTA(半紙!$B$11:$B$310)-COUNTA(条幅!$B$11:$B$310)),"")))=0,"",IF(591&lt;=COUNTA(半紙!$B$11:$B$310),INDEX(半紙!$J$11:$J$310,591),IF(591&lt;=COUNTA(半紙!$B$11:$B$310)+COUNTA(条幅!$B$11:$B$310),INDEX(条幅!$J$11:$J$310,591-COUNTA(半紙!$B$11:$B$310)),IF(591&lt;=COUNTA(半紙!$B$11:$B$310)+COUNTA(条幅!$B$11:$B$310)+COUNTA(条幅4分の1!$B$11:$B$310),INDEX(条幅4分の1!$J$11:$J$310,591-COUNTA(半紙!$B$11:$B$310)-COUNTA(条幅!$B$11:$B$310)),""))))</f>
        <v/>
      </c>
      <c r="K596" s="38" t="str">
        <f>IF(IF(591&lt;=COUNTA(半紙!$B$11:$B$310),INDEX(半紙!$K$11:$K$310,591),IF(591&lt;=COUNTA(半紙!$B$11:$B$310)+COUNTA(条幅!$B$11:$B$310),INDEX(条幅!$K$11:$K$310,591-COUNTA(半紙!$B$11:$B$310)),IF(591&lt;=COUNTA(半紙!$B$11:$B$310)+COUNTA(条幅!$B$11:$B$310)+COUNTA(条幅4分の1!$B$11:$B$310),INDEX(条幅4分の1!$K$11:$K$310,591-COUNTA(半紙!$B$11:$B$310)-COUNTA(条幅!$B$11:$B$310)),"")))=0,"",IF(591&lt;=COUNTA(半紙!$B$11:$B$310),INDEX(半紙!$K$11:$K$310,591),IF(591&lt;=COUNTA(半紙!$B$11:$B$310)+COUNTA(条幅!$B$11:$B$310),INDEX(条幅!$K$11:$K$310,591-COUNTA(半紙!$B$11:$B$310)),IF(591&lt;=COUNTA(半紙!$B$11:$B$310)+COUNTA(条幅!$B$11:$B$310)+COUNTA(条幅4分の1!$B$11:$B$310),INDEX(条幅4分の1!$K$11:$K$310,591-COUNTA(半紙!$B$11:$B$310)-COUNTA(条幅!$B$11:$B$310)),""))))</f>
        <v/>
      </c>
      <c r="L596" s="48" t="str">
        <f>IF($B596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591))</f>
        <v/>
      </c>
    </row>
    <row r="597" spans="1:12" ht="15" customHeight="1">
      <c r="A597" s="37" t="str">
        <f>IF(592&lt;=COUNTA(半紙!$B$11:$B$310),"半紙",IF(592&lt;=COUNTA(半紙!$B$11:$B$310)+COUNTA(条幅!$B$11:$B$310),"条幅(半切)",IF(592&lt;=COUNTA(半紙!$B$11:$B$310)+COUNTA(条幅!$B$11:$B$310)+COUNTA(条幅4分の1!$B$11:$B$310),"条幅(1/4)","")))</f>
        <v/>
      </c>
      <c r="B597" s="38" t="str">
        <f>IF(IF(592&lt;=COUNTA(半紙!$B$11:$B$310),INDEX(半紙!$B$11:$B$310,592),IF(592&lt;=COUNTA(半紙!$B$11:$B$310)+COUNTA(条幅!$B$11:$B$310),INDEX(条幅!$B$11:$B$310,592-COUNTA(半紙!$B$11:$B$310)),IF(592&lt;=COUNTA(半紙!$B$11:$B$310)+COUNTA(条幅!$B$11:$B$310)+COUNTA(条幅4分の1!$B$11:$B$310),INDEX(条幅4分の1!$B$11:$B$310,592-COUNTA(半紙!$B$11:$B$310)-COUNTA(条幅!$B$11:$B$310)),"")))=0,"",IF(592&lt;=COUNTA(半紙!$B$11:$B$310),INDEX(半紙!$B$11:$B$310,592),IF(592&lt;=COUNTA(半紙!$B$11:$B$310)+COUNTA(条幅!$B$11:$B$310),INDEX(条幅!$B$11:$B$310,592-COUNTA(半紙!$B$11:$B$310)),IF(592&lt;=COUNTA(半紙!$B$11:$B$310)+COUNTA(条幅!$B$11:$B$310)+COUNTA(条幅4分の1!$B$11:$B$310),INDEX(条幅4分の1!$B$11:$B$310,592-COUNTA(半紙!$B$11:$B$310)-COUNTA(条幅!$B$11:$B$310)),""))))</f>
        <v/>
      </c>
      <c r="C597" s="38" t="str">
        <f>IF(IF(592&lt;=COUNTA(半紙!$B$11:$B$310),INDEX(半紙!$C$11:$C$310,592),IF(592&lt;=COUNTA(半紙!$B$11:$B$310)+COUNTA(条幅!$B$11:$B$310),INDEX(条幅!$C$11:$C$310,592-COUNTA(半紙!$B$11:$B$310)),IF(592&lt;=COUNTA(半紙!$B$11:$B$310)+COUNTA(条幅!$B$11:$B$310)+COUNTA(条幅4分の1!$B$11:$B$310),INDEX(条幅4分の1!$C$11:$C$310,592-COUNTA(半紙!$B$11:$B$310)-COUNTA(条幅!$B$11:$B$310)),"")))=0,"",IF(592&lt;=COUNTA(半紙!$B$11:$B$310),INDEX(半紙!$C$11:$C$310,592),IF(592&lt;=COUNTA(半紙!$B$11:$B$310)+COUNTA(条幅!$B$11:$B$310),INDEX(条幅!$C$11:$C$310,592-COUNTA(半紙!$B$11:$B$310)),IF(592&lt;=COUNTA(半紙!$B$11:$B$310)+COUNTA(条幅!$B$11:$B$310)+COUNTA(条幅4分の1!$B$11:$B$310),INDEX(条幅4分の1!$C$11:$C$310,592-COUNTA(半紙!$B$11:$B$310)-COUNTA(条幅!$B$11:$B$310)),""))))</f>
        <v/>
      </c>
      <c r="D597" s="38" t="str">
        <f>IF(IF(592&lt;=COUNTA(半紙!$B$11:$B$310),INDEX(半紙!$D$11:$D$310,592),IF(592&lt;=COUNTA(半紙!$B$11:$B$310)+COUNTA(条幅!$B$11:$B$310),INDEX(条幅!$D$11:$D$310,592-COUNTA(半紙!$B$11:$B$310)),IF(592&lt;=COUNTA(半紙!$B$11:$B$310)+COUNTA(条幅!$B$11:$B$310)+COUNTA(条幅4分の1!$B$11:$B$310),INDEX(条幅4分の1!$D$11:$D$310,592-COUNTA(半紙!$B$11:$B$310)-COUNTA(条幅!$B$11:$B$310)),"")))=0,"",IF(592&lt;=COUNTA(半紙!$B$11:$B$310),INDEX(半紙!$D$11:$D$310,592),IF(592&lt;=COUNTA(半紙!$B$11:$B$310)+COUNTA(条幅!$B$11:$B$310),INDEX(条幅!$D$11:$D$310,592-COUNTA(半紙!$B$11:$B$310)),IF(592&lt;=COUNTA(半紙!$B$11:$B$310)+COUNTA(条幅!$B$11:$B$310)+COUNTA(条幅4分の1!$B$11:$B$310),INDEX(条幅4分の1!$D$11:$D$310,592-COUNTA(半紙!$B$11:$B$310)-COUNTA(条幅!$B$11:$B$310)),""))))</f>
        <v/>
      </c>
      <c r="E597" s="38" t="str">
        <f>IF(IF(592&lt;=COUNTA(半紙!$B$11:$B$310),INDEX(半紙!$E$11:$E$310,592),IF(592&lt;=COUNTA(半紙!$B$11:$B$310)+COUNTA(条幅!$B$11:$B$310),INDEX(条幅!$E$11:$E$310,592-COUNTA(半紙!$B$11:$B$310)),IF(592&lt;=COUNTA(半紙!$B$11:$B$310)+COUNTA(条幅!$B$11:$B$310)+COUNTA(条幅4分の1!$B$11:$B$310),INDEX(条幅4分の1!$E$11:$E$310,592-COUNTA(半紙!$B$11:$B$310)-COUNTA(条幅!$B$11:$B$310)),"")))=0,"",IF(592&lt;=COUNTA(半紙!$B$11:$B$310),INDEX(半紙!$E$11:$E$310,592),IF(592&lt;=COUNTA(半紙!$B$11:$B$310)+COUNTA(条幅!$B$11:$B$310),INDEX(条幅!$E$11:$E$310,592-COUNTA(半紙!$B$11:$B$310)),IF(592&lt;=COUNTA(半紙!$B$11:$B$310)+COUNTA(条幅!$B$11:$B$310)+COUNTA(条幅4分の1!$B$11:$B$310),INDEX(条幅4分の1!$E$11:$E$310,592-COUNTA(半紙!$B$11:$B$310)-COUNTA(条幅!$B$11:$B$310)),""))))</f>
        <v/>
      </c>
      <c r="F597" s="38" t="str">
        <f>IF(IF(592&lt;=COUNTA(半紙!$B$11:$B$310),INDEX(半紙!$F$11:$F$310,592),IF(592&lt;=COUNTA(半紙!$B$11:$B$310)+COUNTA(条幅!$B$11:$B$310),INDEX(条幅!$F$11:$F$310,592-COUNTA(半紙!$B$11:$B$310)),IF(592&lt;=COUNTA(半紙!$B$11:$B$310)+COUNTA(条幅!$B$11:$B$310)+COUNTA(条幅4分の1!$B$11:$B$310),INDEX(条幅4分の1!$F$11:$F$310,592-COUNTA(半紙!$B$11:$B$310)-COUNTA(条幅!$B$11:$B$310)),"")))=0,"",IF(592&lt;=COUNTA(半紙!$B$11:$B$310),INDEX(半紙!$F$11:$F$310,592),IF(592&lt;=COUNTA(半紙!$B$11:$B$310)+COUNTA(条幅!$B$11:$B$310),INDEX(条幅!$F$11:$F$310,592-COUNTA(半紙!$B$11:$B$310)),IF(592&lt;=COUNTA(半紙!$B$11:$B$310)+COUNTA(条幅!$B$11:$B$310)+COUNTA(条幅4分の1!$B$11:$B$310),INDEX(条幅4分の1!$F$11:$F$310,592-COUNTA(半紙!$B$11:$B$310)-COUNTA(条幅!$B$11:$B$310)),""))))</f>
        <v/>
      </c>
      <c r="G597" s="38" t="str">
        <f>IF(IF(592&lt;=COUNTA(半紙!$B$11:$B$310),INDEX(半紙!$G$11:$G$310,592),IF(592&lt;=COUNTA(半紙!$B$11:$B$310)+COUNTA(条幅!$B$11:$B$310),INDEX(条幅!$G$11:$G$310,592-COUNTA(半紙!$B$11:$B$310)),IF(592&lt;=COUNTA(半紙!$B$11:$B$310)+COUNTA(条幅!$B$11:$B$310)+COUNTA(条幅4分の1!$B$11:$B$310),INDEX(条幅4分の1!$G$11:$G$310,592-COUNTA(半紙!$B$11:$B$310)-COUNTA(条幅!$B$11:$B$310)),"")))=0,"",IF(592&lt;=COUNTA(半紙!$B$11:$B$310),INDEX(半紙!$G$11:$G$310,592),IF(592&lt;=COUNTA(半紙!$B$11:$B$310)+COUNTA(条幅!$B$11:$B$310),INDEX(条幅!$G$11:$G$310,592-COUNTA(半紙!$B$11:$B$310)),IF(592&lt;=COUNTA(半紙!$B$11:$B$310)+COUNTA(条幅!$B$11:$B$310)+COUNTA(条幅4分の1!$B$11:$B$310),INDEX(条幅4分の1!$G$11:$G$310,592-COUNTA(半紙!$B$11:$B$310)-COUNTA(条幅!$B$11:$B$310)),""))))</f>
        <v/>
      </c>
      <c r="H597" s="38" t="str">
        <f>IF(IF(592&lt;=COUNTA(半紙!$B$11:$B$310),INDEX(半紙!$H$11:$H$310,592),IF(592&lt;=COUNTA(半紙!$B$11:$B$310)+COUNTA(条幅!$B$11:$B$310),INDEX(条幅!$H$11:$H$310,592-COUNTA(半紙!$B$11:$B$310)),IF(592&lt;=COUNTA(半紙!$B$11:$B$310)+COUNTA(条幅!$B$11:$B$310)+COUNTA(条幅4分の1!$B$11:$B$310),INDEX(条幅4分の1!$H$11:$H$310,592-COUNTA(半紙!$B$11:$B$310)-COUNTA(条幅!$B$11:$B$310)),"")))=0,"",IF(592&lt;=COUNTA(半紙!$B$11:$B$310),INDEX(半紙!$H$11:$H$310,592),IF(592&lt;=COUNTA(半紙!$B$11:$B$310)+COUNTA(条幅!$B$11:$B$310),INDEX(条幅!$H$11:$H$310,592-COUNTA(半紙!$B$11:$B$310)),IF(592&lt;=COUNTA(半紙!$B$11:$B$310)+COUNTA(条幅!$B$11:$B$310)+COUNTA(条幅4分の1!$B$11:$B$310),INDEX(条幅4分の1!$H$11:$H$310,592-COUNTA(半紙!$B$11:$B$310)-COUNTA(条幅!$B$11:$B$310)),""))))</f>
        <v/>
      </c>
      <c r="I597" s="38" t="str">
        <f>IF(IF(592&lt;=COUNTA(半紙!$B$11:$B$310),INDEX(半紙!$I$11:$I$310,592),IF(592&lt;=COUNTA(半紙!$B$11:$B$310)+COUNTA(条幅!$B$11:$B$310),INDEX(条幅!$I$11:$I$310,592-COUNTA(半紙!$B$11:$B$310)),IF(592&lt;=COUNTA(半紙!$B$11:$B$310)+COUNTA(条幅!$B$11:$B$310)+COUNTA(条幅4分の1!$B$11:$B$310),INDEX(条幅4分の1!$I$11:$I$310,592-COUNTA(半紙!$B$11:$B$310)-COUNTA(条幅!$B$11:$B$310)),"")))=0,"",IF(592&lt;=COUNTA(半紙!$B$11:$B$310),INDEX(半紙!$I$11:$I$310,592),IF(592&lt;=COUNTA(半紙!$B$11:$B$310)+COUNTA(条幅!$B$11:$B$310),INDEX(条幅!$I$11:$I$310,592-COUNTA(半紙!$B$11:$B$310)),IF(592&lt;=COUNTA(半紙!$B$11:$B$310)+COUNTA(条幅!$B$11:$B$310)+COUNTA(条幅4分の1!$B$11:$B$310),INDEX(条幅4分の1!$I$11:$I$310,592-COUNTA(半紙!$B$11:$B$310)-COUNTA(条幅!$B$11:$B$310)),""))))</f>
        <v/>
      </c>
      <c r="J597" s="38" t="str">
        <f>IF(IF(592&lt;=COUNTA(半紙!$B$11:$B$310),INDEX(半紙!$J$11:$J$310,592),IF(592&lt;=COUNTA(半紙!$B$11:$B$310)+COUNTA(条幅!$B$11:$B$310),INDEX(条幅!$J$11:$J$310,592-COUNTA(半紙!$B$11:$B$310)),IF(592&lt;=COUNTA(半紙!$B$11:$B$310)+COUNTA(条幅!$B$11:$B$310)+COUNTA(条幅4分の1!$B$11:$B$310),INDEX(条幅4分の1!$J$11:$J$310,592-COUNTA(半紙!$B$11:$B$310)-COUNTA(条幅!$B$11:$B$310)),"")))=0,"",IF(592&lt;=COUNTA(半紙!$B$11:$B$310),INDEX(半紙!$J$11:$J$310,592),IF(592&lt;=COUNTA(半紙!$B$11:$B$310)+COUNTA(条幅!$B$11:$B$310),INDEX(条幅!$J$11:$J$310,592-COUNTA(半紙!$B$11:$B$310)),IF(592&lt;=COUNTA(半紙!$B$11:$B$310)+COUNTA(条幅!$B$11:$B$310)+COUNTA(条幅4分の1!$B$11:$B$310),INDEX(条幅4分の1!$J$11:$J$310,592-COUNTA(半紙!$B$11:$B$310)-COUNTA(条幅!$B$11:$B$310)),""))))</f>
        <v/>
      </c>
      <c r="K597" s="38" t="str">
        <f>IF(IF(592&lt;=COUNTA(半紙!$B$11:$B$310),INDEX(半紙!$K$11:$K$310,592),IF(592&lt;=COUNTA(半紙!$B$11:$B$310)+COUNTA(条幅!$B$11:$B$310),INDEX(条幅!$K$11:$K$310,592-COUNTA(半紙!$B$11:$B$310)),IF(592&lt;=COUNTA(半紙!$B$11:$B$310)+COUNTA(条幅!$B$11:$B$310)+COUNTA(条幅4分の1!$B$11:$B$310),INDEX(条幅4分の1!$K$11:$K$310,592-COUNTA(半紙!$B$11:$B$310)-COUNTA(条幅!$B$11:$B$310)),"")))=0,"",IF(592&lt;=COUNTA(半紙!$B$11:$B$310),INDEX(半紙!$K$11:$K$310,592),IF(592&lt;=COUNTA(半紙!$B$11:$B$310)+COUNTA(条幅!$B$11:$B$310),INDEX(条幅!$K$11:$K$310,592-COUNTA(半紙!$B$11:$B$310)),IF(592&lt;=COUNTA(半紙!$B$11:$B$310)+COUNTA(条幅!$B$11:$B$310)+COUNTA(条幅4分の1!$B$11:$B$310),INDEX(条幅4分の1!$K$11:$K$310,592-COUNTA(半紙!$B$11:$B$310)-COUNTA(条幅!$B$11:$B$310)),""))))</f>
        <v/>
      </c>
      <c r="L597" s="48" t="str">
        <f>IF($B597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592))</f>
        <v/>
      </c>
    </row>
    <row r="598" spans="1:12" ht="15" customHeight="1">
      <c r="A598" s="37" t="str">
        <f>IF(593&lt;=COUNTA(半紙!$B$11:$B$310),"半紙",IF(593&lt;=COUNTA(半紙!$B$11:$B$310)+COUNTA(条幅!$B$11:$B$310),"条幅(半切)",IF(593&lt;=COUNTA(半紙!$B$11:$B$310)+COUNTA(条幅!$B$11:$B$310)+COUNTA(条幅4分の1!$B$11:$B$310),"条幅(1/4)","")))</f>
        <v/>
      </c>
      <c r="B598" s="38" t="str">
        <f>IF(IF(593&lt;=COUNTA(半紙!$B$11:$B$310),INDEX(半紙!$B$11:$B$310,593),IF(593&lt;=COUNTA(半紙!$B$11:$B$310)+COUNTA(条幅!$B$11:$B$310),INDEX(条幅!$B$11:$B$310,593-COUNTA(半紙!$B$11:$B$310)),IF(593&lt;=COUNTA(半紙!$B$11:$B$310)+COUNTA(条幅!$B$11:$B$310)+COUNTA(条幅4分の1!$B$11:$B$310),INDEX(条幅4分の1!$B$11:$B$310,593-COUNTA(半紙!$B$11:$B$310)-COUNTA(条幅!$B$11:$B$310)),"")))=0,"",IF(593&lt;=COUNTA(半紙!$B$11:$B$310),INDEX(半紙!$B$11:$B$310,593),IF(593&lt;=COUNTA(半紙!$B$11:$B$310)+COUNTA(条幅!$B$11:$B$310),INDEX(条幅!$B$11:$B$310,593-COUNTA(半紙!$B$11:$B$310)),IF(593&lt;=COUNTA(半紙!$B$11:$B$310)+COUNTA(条幅!$B$11:$B$310)+COUNTA(条幅4分の1!$B$11:$B$310),INDEX(条幅4分の1!$B$11:$B$310,593-COUNTA(半紙!$B$11:$B$310)-COUNTA(条幅!$B$11:$B$310)),""))))</f>
        <v/>
      </c>
      <c r="C598" s="38" t="str">
        <f>IF(IF(593&lt;=COUNTA(半紙!$B$11:$B$310),INDEX(半紙!$C$11:$C$310,593),IF(593&lt;=COUNTA(半紙!$B$11:$B$310)+COUNTA(条幅!$B$11:$B$310),INDEX(条幅!$C$11:$C$310,593-COUNTA(半紙!$B$11:$B$310)),IF(593&lt;=COUNTA(半紙!$B$11:$B$310)+COUNTA(条幅!$B$11:$B$310)+COUNTA(条幅4分の1!$B$11:$B$310),INDEX(条幅4分の1!$C$11:$C$310,593-COUNTA(半紙!$B$11:$B$310)-COUNTA(条幅!$B$11:$B$310)),"")))=0,"",IF(593&lt;=COUNTA(半紙!$B$11:$B$310),INDEX(半紙!$C$11:$C$310,593),IF(593&lt;=COUNTA(半紙!$B$11:$B$310)+COUNTA(条幅!$B$11:$B$310),INDEX(条幅!$C$11:$C$310,593-COUNTA(半紙!$B$11:$B$310)),IF(593&lt;=COUNTA(半紙!$B$11:$B$310)+COUNTA(条幅!$B$11:$B$310)+COUNTA(条幅4分の1!$B$11:$B$310),INDEX(条幅4分の1!$C$11:$C$310,593-COUNTA(半紙!$B$11:$B$310)-COUNTA(条幅!$B$11:$B$310)),""))))</f>
        <v/>
      </c>
      <c r="D598" s="38" t="str">
        <f>IF(IF(593&lt;=COUNTA(半紙!$B$11:$B$310),INDEX(半紙!$D$11:$D$310,593),IF(593&lt;=COUNTA(半紙!$B$11:$B$310)+COUNTA(条幅!$B$11:$B$310),INDEX(条幅!$D$11:$D$310,593-COUNTA(半紙!$B$11:$B$310)),IF(593&lt;=COUNTA(半紙!$B$11:$B$310)+COUNTA(条幅!$B$11:$B$310)+COUNTA(条幅4分の1!$B$11:$B$310),INDEX(条幅4分の1!$D$11:$D$310,593-COUNTA(半紙!$B$11:$B$310)-COUNTA(条幅!$B$11:$B$310)),"")))=0,"",IF(593&lt;=COUNTA(半紙!$B$11:$B$310),INDEX(半紙!$D$11:$D$310,593),IF(593&lt;=COUNTA(半紙!$B$11:$B$310)+COUNTA(条幅!$B$11:$B$310),INDEX(条幅!$D$11:$D$310,593-COUNTA(半紙!$B$11:$B$310)),IF(593&lt;=COUNTA(半紙!$B$11:$B$310)+COUNTA(条幅!$B$11:$B$310)+COUNTA(条幅4分の1!$B$11:$B$310),INDEX(条幅4分の1!$D$11:$D$310,593-COUNTA(半紙!$B$11:$B$310)-COUNTA(条幅!$B$11:$B$310)),""))))</f>
        <v/>
      </c>
      <c r="E598" s="38" t="str">
        <f>IF(IF(593&lt;=COUNTA(半紙!$B$11:$B$310),INDEX(半紙!$E$11:$E$310,593),IF(593&lt;=COUNTA(半紙!$B$11:$B$310)+COUNTA(条幅!$B$11:$B$310),INDEX(条幅!$E$11:$E$310,593-COUNTA(半紙!$B$11:$B$310)),IF(593&lt;=COUNTA(半紙!$B$11:$B$310)+COUNTA(条幅!$B$11:$B$310)+COUNTA(条幅4分の1!$B$11:$B$310),INDEX(条幅4分の1!$E$11:$E$310,593-COUNTA(半紙!$B$11:$B$310)-COUNTA(条幅!$B$11:$B$310)),"")))=0,"",IF(593&lt;=COUNTA(半紙!$B$11:$B$310),INDEX(半紙!$E$11:$E$310,593),IF(593&lt;=COUNTA(半紙!$B$11:$B$310)+COUNTA(条幅!$B$11:$B$310),INDEX(条幅!$E$11:$E$310,593-COUNTA(半紙!$B$11:$B$310)),IF(593&lt;=COUNTA(半紙!$B$11:$B$310)+COUNTA(条幅!$B$11:$B$310)+COUNTA(条幅4分の1!$B$11:$B$310),INDEX(条幅4分の1!$E$11:$E$310,593-COUNTA(半紙!$B$11:$B$310)-COUNTA(条幅!$B$11:$B$310)),""))))</f>
        <v/>
      </c>
      <c r="F598" s="38" t="str">
        <f>IF(IF(593&lt;=COUNTA(半紙!$B$11:$B$310),INDEX(半紙!$F$11:$F$310,593),IF(593&lt;=COUNTA(半紙!$B$11:$B$310)+COUNTA(条幅!$B$11:$B$310),INDEX(条幅!$F$11:$F$310,593-COUNTA(半紙!$B$11:$B$310)),IF(593&lt;=COUNTA(半紙!$B$11:$B$310)+COUNTA(条幅!$B$11:$B$310)+COUNTA(条幅4分の1!$B$11:$B$310),INDEX(条幅4分の1!$F$11:$F$310,593-COUNTA(半紙!$B$11:$B$310)-COUNTA(条幅!$B$11:$B$310)),"")))=0,"",IF(593&lt;=COUNTA(半紙!$B$11:$B$310),INDEX(半紙!$F$11:$F$310,593),IF(593&lt;=COUNTA(半紙!$B$11:$B$310)+COUNTA(条幅!$B$11:$B$310),INDEX(条幅!$F$11:$F$310,593-COUNTA(半紙!$B$11:$B$310)),IF(593&lt;=COUNTA(半紙!$B$11:$B$310)+COUNTA(条幅!$B$11:$B$310)+COUNTA(条幅4分の1!$B$11:$B$310),INDEX(条幅4分の1!$F$11:$F$310,593-COUNTA(半紙!$B$11:$B$310)-COUNTA(条幅!$B$11:$B$310)),""))))</f>
        <v/>
      </c>
      <c r="G598" s="38" t="str">
        <f>IF(IF(593&lt;=COUNTA(半紙!$B$11:$B$310),INDEX(半紙!$G$11:$G$310,593),IF(593&lt;=COUNTA(半紙!$B$11:$B$310)+COUNTA(条幅!$B$11:$B$310),INDEX(条幅!$G$11:$G$310,593-COUNTA(半紙!$B$11:$B$310)),IF(593&lt;=COUNTA(半紙!$B$11:$B$310)+COUNTA(条幅!$B$11:$B$310)+COUNTA(条幅4分の1!$B$11:$B$310),INDEX(条幅4分の1!$G$11:$G$310,593-COUNTA(半紙!$B$11:$B$310)-COUNTA(条幅!$B$11:$B$310)),"")))=0,"",IF(593&lt;=COUNTA(半紙!$B$11:$B$310),INDEX(半紙!$G$11:$G$310,593),IF(593&lt;=COUNTA(半紙!$B$11:$B$310)+COUNTA(条幅!$B$11:$B$310),INDEX(条幅!$G$11:$G$310,593-COUNTA(半紙!$B$11:$B$310)),IF(593&lt;=COUNTA(半紙!$B$11:$B$310)+COUNTA(条幅!$B$11:$B$310)+COUNTA(条幅4分の1!$B$11:$B$310),INDEX(条幅4分の1!$G$11:$G$310,593-COUNTA(半紙!$B$11:$B$310)-COUNTA(条幅!$B$11:$B$310)),""))))</f>
        <v/>
      </c>
      <c r="H598" s="38" t="str">
        <f>IF(IF(593&lt;=COUNTA(半紙!$B$11:$B$310),INDEX(半紙!$H$11:$H$310,593),IF(593&lt;=COUNTA(半紙!$B$11:$B$310)+COUNTA(条幅!$B$11:$B$310),INDEX(条幅!$H$11:$H$310,593-COUNTA(半紙!$B$11:$B$310)),IF(593&lt;=COUNTA(半紙!$B$11:$B$310)+COUNTA(条幅!$B$11:$B$310)+COUNTA(条幅4分の1!$B$11:$B$310),INDEX(条幅4分の1!$H$11:$H$310,593-COUNTA(半紙!$B$11:$B$310)-COUNTA(条幅!$B$11:$B$310)),"")))=0,"",IF(593&lt;=COUNTA(半紙!$B$11:$B$310),INDEX(半紙!$H$11:$H$310,593),IF(593&lt;=COUNTA(半紙!$B$11:$B$310)+COUNTA(条幅!$B$11:$B$310),INDEX(条幅!$H$11:$H$310,593-COUNTA(半紙!$B$11:$B$310)),IF(593&lt;=COUNTA(半紙!$B$11:$B$310)+COUNTA(条幅!$B$11:$B$310)+COUNTA(条幅4分の1!$B$11:$B$310),INDEX(条幅4分の1!$H$11:$H$310,593-COUNTA(半紙!$B$11:$B$310)-COUNTA(条幅!$B$11:$B$310)),""))))</f>
        <v/>
      </c>
      <c r="I598" s="38" t="str">
        <f>IF(IF(593&lt;=COUNTA(半紙!$B$11:$B$310),INDEX(半紙!$I$11:$I$310,593),IF(593&lt;=COUNTA(半紙!$B$11:$B$310)+COUNTA(条幅!$B$11:$B$310),INDEX(条幅!$I$11:$I$310,593-COUNTA(半紙!$B$11:$B$310)),IF(593&lt;=COUNTA(半紙!$B$11:$B$310)+COUNTA(条幅!$B$11:$B$310)+COUNTA(条幅4分の1!$B$11:$B$310),INDEX(条幅4分の1!$I$11:$I$310,593-COUNTA(半紙!$B$11:$B$310)-COUNTA(条幅!$B$11:$B$310)),"")))=0,"",IF(593&lt;=COUNTA(半紙!$B$11:$B$310),INDEX(半紙!$I$11:$I$310,593),IF(593&lt;=COUNTA(半紙!$B$11:$B$310)+COUNTA(条幅!$B$11:$B$310),INDEX(条幅!$I$11:$I$310,593-COUNTA(半紙!$B$11:$B$310)),IF(593&lt;=COUNTA(半紙!$B$11:$B$310)+COUNTA(条幅!$B$11:$B$310)+COUNTA(条幅4分の1!$B$11:$B$310),INDEX(条幅4分の1!$I$11:$I$310,593-COUNTA(半紙!$B$11:$B$310)-COUNTA(条幅!$B$11:$B$310)),""))))</f>
        <v/>
      </c>
      <c r="J598" s="38" t="str">
        <f>IF(IF(593&lt;=COUNTA(半紙!$B$11:$B$310),INDEX(半紙!$J$11:$J$310,593),IF(593&lt;=COUNTA(半紙!$B$11:$B$310)+COUNTA(条幅!$B$11:$B$310),INDEX(条幅!$J$11:$J$310,593-COUNTA(半紙!$B$11:$B$310)),IF(593&lt;=COUNTA(半紙!$B$11:$B$310)+COUNTA(条幅!$B$11:$B$310)+COUNTA(条幅4分の1!$B$11:$B$310),INDEX(条幅4分の1!$J$11:$J$310,593-COUNTA(半紙!$B$11:$B$310)-COUNTA(条幅!$B$11:$B$310)),"")))=0,"",IF(593&lt;=COUNTA(半紙!$B$11:$B$310),INDEX(半紙!$J$11:$J$310,593),IF(593&lt;=COUNTA(半紙!$B$11:$B$310)+COUNTA(条幅!$B$11:$B$310),INDEX(条幅!$J$11:$J$310,593-COUNTA(半紙!$B$11:$B$310)),IF(593&lt;=COUNTA(半紙!$B$11:$B$310)+COUNTA(条幅!$B$11:$B$310)+COUNTA(条幅4分の1!$B$11:$B$310),INDEX(条幅4分の1!$J$11:$J$310,593-COUNTA(半紙!$B$11:$B$310)-COUNTA(条幅!$B$11:$B$310)),""))))</f>
        <v/>
      </c>
      <c r="K598" s="38" t="str">
        <f>IF(IF(593&lt;=COUNTA(半紙!$B$11:$B$310),INDEX(半紙!$K$11:$K$310,593),IF(593&lt;=COUNTA(半紙!$B$11:$B$310)+COUNTA(条幅!$B$11:$B$310),INDEX(条幅!$K$11:$K$310,593-COUNTA(半紙!$B$11:$B$310)),IF(593&lt;=COUNTA(半紙!$B$11:$B$310)+COUNTA(条幅!$B$11:$B$310)+COUNTA(条幅4分の1!$B$11:$B$310),INDEX(条幅4分の1!$K$11:$K$310,593-COUNTA(半紙!$B$11:$B$310)-COUNTA(条幅!$B$11:$B$310)),"")))=0,"",IF(593&lt;=COUNTA(半紙!$B$11:$B$310),INDEX(半紙!$K$11:$K$310,593),IF(593&lt;=COUNTA(半紙!$B$11:$B$310)+COUNTA(条幅!$B$11:$B$310),INDEX(条幅!$K$11:$K$310,593-COUNTA(半紙!$B$11:$B$310)),IF(593&lt;=COUNTA(半紙!$B$11:$B$310)+COUNTA(条幅!$B$11:$B$310)+COUNTA(条幅4分の1!$B$11:$B$310),INDEX(条幅4分の1!$K$11:$K$310,593-COUNTA(半紙!$B$11:$B$310)-COUNTA(条幅!$B$11:$B$310)),""))))</f>
        <v/>
      </c>
      <c r="L598" s="48" t="str">
        <f>IF($B598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593))</f>
        <v/>
      </c>
    </row>
    <row r="599" spans="1:12" ht="15" customHeight="1">
      <c r="A599" s="37" t="str">
        <f>IF(594&lt;=COUNTA(半紙!$B$11:$B$310),"半紙",IF(594&lt;=COUNTA(半紙!$B$11:$B$310)+COUNTA(条幅!$B$11:$B$310),"条幅(半切)",IF(594&lt;=COUNTA(半紙!$B$11:$B$310)+COUNTA(条幅!$B$11:$B$310)+COUNTA(条幅4分の1!$B$11:$B$310),"条幅(1/4)","")))</f>
        <v/>
      </c>
      <c r="B599" s="38" t="str">
        <f>IF(IF(594&lt;=COUNTA(半紙!$B$11:$B$310),INDEX(半紙!$B$11:$B$310,594),IF(594&lt;=COUNTA(半紙!$B$11:$B$310)+COUNTA(条幅!$B$11:$B$310),INDEX(条幅!$B$11:$B$310,594-COUNTA(半紙!$B$11:$B$310)),IF(594&lt;=COUNTA(半紙!$B$11:$B$310)+COUNTA(条幅!$B$11:$B$310)+COUNTA(条幅4分の1!$B$11:$B$310),INDEX(条幅4分の1!$B$11:$B$310,594-COUNTA(半紙!$B$11:$B$310)-COUNTA(条幅!$B$11:$B$310)),"")))=0,"",IF(594&lt;=COUNTA(半紙!$B$11:$B$310),INDEX(半紙!$B$11:$B$310,594),IF(594&lt;=COUNTA(半紙!$B$11:$B$310)+COUNTA(条幅!$B$11:$B$310),INDEX(条幅!$B$11:$B$310,594-COUNTA(半紙!$B$11:$B$310)),IF(594&lt;=COUNTA(半紙!$B$11:$B$310)+COUNTA(条幅!$B$11:$B$310)+COUNTA(条幅4分の1!$B$11:$B$310),INDEX(条幅4分の1!$B$11:$B$310,594-COUNTA(半紙!$B$11:$B$310)-COUNTA(条幅!$B$11:$B$310)),""))))</f>
        <v/>
      </c>
      <c r="C599" s="38" t="str">
        <f>IF(IF(594&lt;=COUNTA(半紙!$B$11:$B$310),INDEX(半紙!$C$11:$C$310,594),IF(594&lt;=COUNTA(半紙!$B$11:$B$310)+COUNTA(条幅!$B$11:$B$310),INDEX(条幅!$C$11:$C$310,594-COUNTA(半紙!$B$11:$B$310)),IF(594&lt;=COUNTA(半紙!$B$11:$B$310)+COUNTA(条幅!$B$11:$B$310)+COUNTA(条幅4分の1!$B$11:$B$310),INDEX(条幅4分の1!$C$11:$C$310,594-COUNTA(半紙!$B$11:$B$310)-COUNTA(条幅!$B$11:$B$310)),"")))=0,"",IF(594&lt;=COUNTA(半紙!$B$11:$B$310),INDEX(半紙!$C$11:$C$310,594),IF(594&lt;=COUNTA(半紙!$B$11:$B$310)+COUNTA(条幅!$B$11:$B$310),INDEX(条幅!$C$11:$C$310,594-COUNTA(半紙!$B$11:$B$310)),IF(594&lt;=COUNTA(半紙!$B$11:$B$310)+COUNTA(条幅!$B$11:$B$310)+COUNTA(条幅4分の1!$B$11:$B$310),INDEX(条幅4分の1!$C$11:$C$310,594-COUNTA(半紙!$B$11:$B$310)-COUNTA(条幅!$B$11:$B$310)),""))))</f>
        <v/>
      </c>
      <c r="D599" s="38" t="str">
        <f>IF(IF(594&lt;=COUNTA(半紙!$B$11:$B$310),INDEX(半紙!$D$11:$D$310,594),IF(594&lt;=COUNTA(半紙!$B$11:$B$310)+COUNTA(条幅!$B$11:$B$310),INDEX(条幅!$D$11:$D$310,594-COUNTA(半紙!$B$11:$B$310)),IF(594&lt;=COUNTA(半紙!$B$11:$B$310)+COUNTA(条幅!$B$11:$B$310)+COUNTA(条幅4分の1!$B$11:$B$310),INDEX(条幅4分の1!$D$11:$D$310,594-COUNTA(半紙!$B$11:$B$310)-COUNTA(条幅!$B$11:$B$310)),"")))=0,"",IF(594&lt;=COUNTA(半紙!$B$11:$B$310),INDEX(半紙!$D$11:$D$310,594),IF(594&lt;=COUNTA(半紙!$B$11:$B$310)+COUNTA(条幅!$B$11:$B$310),INDEX(条幅!$D$11:$D$310,594-COUNTA(半紙!$B$11:$B$310)),IF(594&lt;=COUNTA(半紙!$B$11:$B$310)+COUNTA(条幅!$B$11:$B$310)+COUNTA(条幅4分の1!$B$11:$B$310),INDEX(条幅4分の1!$D$11:$D$310,594-COUNTA(半紙!$B$11:$B$310)-COUNTA(条幅!$B$11:$B$310)),""))))</f>
        <v/>
      </c>
      <c r="E599" s="38" t="str">
        <f>IF(IF(594&lt;=COUNTA(半紙!$B$11:$B$310),INDEX(半紙!$E$11:$E$310,594),IF(594&lt;=COUNTA(半紙!$B$11:$B$310)+COUNTA(条幅!$B$11:$B$310),INDEX(条幅!$E$11:$E$310,594-COUNTA(半紙!$B$11:$B$310)),IF(594&lt;=COUNTA(半紙!$B$11:$B$310)+COUNTA(条幅!$B$11:$B$310)+COUNTA(条幅4分の1!$B$11:$B$310),INDEX(条幅4分の1!$E$11:$E$310,594-COUNTA(半紙!$B$11:$B$310)-COUNTA(条幅!$B$11:$B$310)),"")))=0,"",IF(594&lt;=COUNTA(半紙!$B$11:$B$310),INDEX(半紙!$E$11:$E$310,594),IF(594&lt;=COUNTA(半紙!$B$11:$B$310)+COUNTA(条幅!$B$11:$B$310),INDEX(条幅!$E$11:$E$310,594-COUNTA(半紙!$B$11:$B$310)),IF(594&lt;=COUNTA(半紙!$B$11:$B$310)+COUNTA(条幅!$B$11:$B$310)+COUNTA(条幅4分の1!$B$11:$B$310),INDEX(条幅4分の1!$E$11:$E$310,594-COUNTA(半紙!$B$11:$B$310)-COUNTA(条幅!$B$11:$B$310)),""))))</f>
        <v/>
      </c>
      <c r="F599" s="38" t="str">
        <f>IF(IF(594&lt;=COUNTA(半紙!$B$11:$B$310),INDEX(半紙!$F$11:$F$310,594),IF(594&lt;=COUNTA(半紙!$B$11:$B$310)+COUNTA(条幅!$B$11:$B$310),INDEX(条幅!$F$11:$F$310,594-COUNTA(半紙!$B$11:$B$310)),IF(594&lt;=COUNTA(半紙!$B$11:$B$310)+COUNTA(条幅!$B$11:$B$310)+COUNTA(条幅4分の1!$B$11:$B$310),INDEX(条幅4分の1!$F$11:$F$310,594-COUNTA(半紙!$B$11:$B$310)-COUNTA(条幅!$B$11:$B$310)),"")))=0,"",IF(594&lt;=COUNTA(半紙!$B$11:$B$310),INDEX(半紙!$F$11:$F$310,594),IF(594&lt;=COUNTA(半紙!$B$11:$B$310)+COUNTA(条幅!$B$11:$B$310),INDEX(条幅!$F$11:$F$310,594-COUNTA(半紙!$B$11:$B$310)),IF(594&lt;=COUNTA(半紙!$B$11:$B$310)+COUNTA(条幅!$B$11:$B$310)+COUNTA(条幅4分の1!$B$11:$B$310),INDEX(条幅4分の1!$F$11:$F$310,594-COUNTA(半紙!$B$11:$B$310)-COUNTA(条幅!$B$11:$B$310)),""))))</f>
        <v/>
      </c>
      <c r="G599" s="38" t="str">
        <f>IF(IF(594&lt;=COUNTA(半紙!$B$11:$B$310),INDEX(半紙!$G$11:$G$310,594),IF(594&lt;=COUNTA(半紙!$B$11:$B$310)+COUNTA(条幅!$B$11:$B$310),INDEX(条幅!$G$11:$G$310,594-COUNTA(半紙!$B$11:$B$310)),IF(594&lt;=COUNTA(半紙!$B$11:$B$310)+COUNTA(条幅!$B$11:$B$310)+COUNTA(条幅4分の1!$B$11:$B$310),INDEX(条幅4分の1!$G$11:$G$310,594-COUNTA(半紙!$B$11:$B$310)-COUNTA(条幅!$B$11:$B$310)),"")))=0,"",IF(594&lt;=COUNTA(半紙!$B$11:$B$310),INDEX(半紙!$G$11:$G$310,594),IF(594&lt;=COUNTA(半紙!$B$11:$B$310)+COUNTA(条幅!$B$11:$B$310),INDEX(条幅!$G$11:$G$310,594-COUNTA(半紙!$B$11:$B$310)),IF(594&lt;=COUNTA(半紙!$B$11:$B$310)+COUNTA(条幅!$B$11:$B$310)+COUNTA(条幅4分の1!$B$11:$B$310),INDEX(条幅4分の1!$G$11:$G$310,594-COUNTA(半紙!$B$11:$B$310)-COUNTA(条幅!$B$11:$B$310)),""))))</f>
        <v/>
      </c>
      <c r="H599" s="38" t="str">
        <f>IF(IF(594&lt;=COUNTA(半紙!$B$11:$B$310),INDEX(半紙!$H$11:$H$310,594),IF(594&lt;=COUNTA(半紙!$B$11:$B$310)+COUNTA(条幅!$B$11:$B$310),INDEX(条幅!$H$11:$H$310,594-COUNTA(半紙!$B$11:$B$310)),IF(594&lt;=COUNTA(半紙!$B$11:$B$310)+COUNTA(条幅!$B$11:$B$310)+COUNTA(条幅4分の1!$B$11:$B$310),INDEX(条幅4分の1!$H$11:$H$310,594-COUNTA(半紙!$B$11:$B$310)-COUNTA(条幅!$B$11:$B$310)),"")))=0,"",IF(594&lt;=COUNTA(半紙!$B$11:$B$310),INDEX(半紙!$H$11:$H$310,594),IF(594&lt;=COUNTA(半紙!$B$11:$B$310)+COUNTA(条幅!$B$11:$B$310),INDEX(条幅!$H$11:$H$310,594-COUNTA(半紙!$B$11:$B$310)),IF(594&lt;=COUNTA(半紙!$B$11:$B$310)+COUNTA(条幅!$B$11:$B$310)+COUNTA(条幅4分の1!$B$11:$B$310),INDEX(条幅4分の1!$H$11:$H$310,594-COUNTA(半紙!$B$11:$B$310)-COUNTA(条幅!$B$11:$B$310)),""))))</f>
        <v/>
      </c>
      <c r="I599" s="38" t="str">
        <f>IF(IF(594&lt;=COUNTA(半紙!$B$11:$B$310),INDEX(半紙!$I$11:$I$310,594),IF(594&lt;=COUNTA(半紙!$B$11:$B$310)+COUNTA(条幅!$B$11:$B$310),INDEX(条幅!$I$11:$I$310,594-COUNTA(半紙!$B$11:$B$310)),IF(594&lt;=COUNTA(半紙!$B$11:$B$310)+COUNTA(条幅!$B$11:$B$310)+COUNTA(条幅4分の1!$B$11:$B$310),INDEX(条幅4分の1!$I$11:$I$310,594-COUNTA(半紙!$B$11:$B$310)-COUNTA(条幅!$B$11:$B$310)),"")))=0,"",IF(594&lt;=COUNTA(半紙!$B$11:$B$310),INDEX(半紙!$I$11:$I$310,594),IF(594&lt;=COUNTA(半紙!$B$11:$B$310)+COUNTA(条幅!$B$11:$B$310),INDEX(条幅!$I$11:$I$310,594-COUNTA(半紙!$B$11:$B$310)),IF(594&lt;=COUNTA(半紙!$B$11:$B$310)+COUNTA(条幅!$B$11:$B$310)+COUNTA(条幅4分の1!$B$11:$B$310),INDEX(条幅4分の1!$I$11:$I$310,594-COUNTA(半紙!$B$11:$B$310)-COUNTA(条幅!$B$11:$B$310)),""))))</f>
        <v/>
      </c>
      <c r="J599" s="38" t="str">
        <f>IF(IF(594&lt;=COUNTA(半紙!$B$11:$B$310),INDEX(半紙!$J$11:$J$310,594),IF(594&lt;=COUNTA(半紙!$B$11:$B$310)+COUNTA(条幅!$B$11:$B$310),INDEX(条幅!$J$11:$J$310,594-COUNTA(半紙!$B$11:$B$310)),IF(594&lt;=COUNTA(半紙!$B$11:$B$310)+COUNTA(条幅!$B$11:$B$310)+COUNTA(条幅4分の1!$B$11:$B$310),INDEX(条幅4分の1!$J$11:$J$310,594-COUNTA(半紙!$B$11:$B$310)-COUNTA(条幅!$B$11:$B$310)),"")))=0,"",IF(594&lt;=COUNTA(半紙!$B$11:$B$310),INDEX(半紙!$J$11:$J$310,594),IF(594&lt;=COUNTA(半紙!$B$11:$B$310)+COUNTA(条幅!$B$11:$B$310),INDEX(条幅!$J$11:$J$310,594-COUNTA(半紙!$B$11:$B$310)),IF(594&lt;=COUNTA(半紙!$B$11:$B$310)+COUNTA(条幅!$B$11:$B$310)+COUNTA(条幅4分の1!$B$11:$B$310),INDEX(条幅4分の1!$J$11:$J$310,594-COUNTA(半紙!$B$11:$B$310)-COUNTA(条幅!$B$11:$B$310)),""))))</f>
        <v/>
      </c>
      <c r="K599" s="38" t="str">
        <f>IF(IF(594&lt;=COUNTA(半紙!$B$11:$B$310),INDEX(半紙!$K$11:$K$310,594),IF(594&lt;=COUNTA(半紙!$B$11:$B$310)+COUNTA(条幅!$B$11:$B$310),INDEX(条幅!$K$11:$K$310,594-COUNTA(半紙!$B$11:$B$310)),IF(594&lt;=COUNTA(半紙!$B$11:$B$310)+COUNTA(条幅!$B$11:$B$310)+COUNTA(条幅4分の1!$B$11:$B$310),INDEX(条幅4分の1!$K$11:$K$310,594-COUNTA(半紙!$B$11:$B$310)-COUNTA(条幅!$B$11:$B$310)),"")))=0,"",IF(594&lt;=COUNTA(半紙!$B$11:$B$310),INDEX(半紙!$K$11:$K$310,594),IF(594&lt;=COUNTA(半紙!$B$11:$B$310)+COUNTA(条幅!$B$11:$B$310),INDEX(条幅!$K$11:$K$310,594-COUNTA(半紙!$B$11:$B$310)),IF(594&lt;=COUNTA(半紙!$B$11:$B$310)+COUNTA(条幅!$B$11:$B$310)+COUNTA(条幅4分の1!$B$11:$B$310),INDEX(条幅4分の1!$K$11:$K$310,594-COUNTA(半紙!$B$11:$B$310)-COUNTA(条幅!$B$11:$B$310)),""))))</f>
        <v/>
      </c>
      <c r="L599" s="48" t="str">
        <f>IF($B599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594))</f>
        <v/>
      </c>
    </row>
    <row r="600" spans="1:12" ht="15" customHeight="1">
      <c r="A600" s="37" t="str">
        <f>IF(595&lt;=COUNTA(半紙!$B$11:$B$310),"半紙",IF(595&lt;=COUNTA(半紙!$B$11:$B$310)+COUNTA(条幅!$B$11:$B$310),"条幅(半切)",IF(595&lt;=COUNTA(半紙!$B$11:$B$310)+COUNTA(条幅!$B$11:$B$310)+COUNTA(条幅4分の1!$B$11:$B$310),"条幅(1/4)","")))</f>
        <v/>
      </c>
      <c r="B600" s="38" t="str">
        <f>IF(IF(595&lt;=COUNTA(半紙!$B$11:$B$310),INDEX(半紙!$B$11:$B$310,595),IF(595&lt;=COUNTA(半紙!$B$11:$B$310)+COUNTA(条幅!$B$11:$B$310),INDEX(条幅!$B$11:$B$310,595-COUNTA(半紙!$B$11:$B$310)),IF(595&lt;=COUNTA(半紙!$B$11:$B$310)+COUNTA(条幅!$B$11:$B$310)+COUNTA(条幅4分の1!$B$11:$B$310),INDEX(条幅4分の1!$B$11:$B$310,595-COUNTA(半紙!$B$11:$B$310)-COUNTA(条幅!$B$11:$B$310)),"")))=0,"",IF(595&lt;=COUNTA(半紙!$B$11:$B$310),INDEX(半紙!$B$11:$B$310,595),IF(595&lt;=COUNTA(半紙!$B$11:$B$310)+COUNTA(条幅!$B$11:$B$310),INDEX(条幅!$B$11:$B$310,595-COUNTA(半紙!$B$11:$B$310)),IF(595&lt;=COUNTA(半紙!$B$11:$B$310)+COUNTA(条幅!$B$11:$B$310)+COUNTA(条幅4分の1!$B$11:$B$310),INDEX(条幅4分の1!$B$11:$B$310,595-COUNTA(半紙!$B$11:$B$310)-COUNTA(条幅!$B$11:$B$310)),""))))</f>
        <v/>
      </c>
      <c r="C600" s="38" t="str">
        <f>IF(IF(595&lt;=COUNTA(半紙!$B$11:$B$310),INDEX(半紙!$C$11:$C$310,595),IF(595&lt;=COUNTA(半紙!$B$11:$B$310)+COUNTA(条幅!$B$11:$B$310),INDEX(条幅!$C$11:$C$310,595-COUNTA(半紙!$B$11:$B$310)),IF(595&lt;=COUNTA(半紙!$B$11:$B$310)+COUNTA(条幅!$B$11:$B$310)+COUNTA(条幅4分の1!$B$11:$B$310),INDEX(条幅4分の1!$C$11:$C$310,595-COUNTA(半紙!$B$11:$B$310)-COUNTA(条幅!$B$11:$B$310)),"")))=0,"",IF(595&lt;=COUNTA(半紙!$B$11:$B$310),INDEX(半紙!$C$11:$C$310,595),IF(595&lt;=COUNTA(半紙!$B$11:$B$310)+COUNTA(条幅!$B$11:$B$310),INDEX(条幅!$C$11:$C$310,595-COUNTA(半紙!$B$11:$B$310)),IF(595&lt;=COUNTA(半紙!$B$11:$B$310)+COUNTA(条幅!$B$11:$B$310)+COUNTA(条幅4分の1!$B$11:$B$310),INDEX(条幅4分の1!$C$11:$C$310,595-COUNTA(半紙!$B$11:$B$310)-COUNTA(条幅!$B$11:$B$310)),""))))</f>
        <v/>
      </c>
      <c r="D600" s="38" t="str">
        <f>IF(IF(595&lt;=COUNTA(半紙!$B$11:$B$310),INDEX(半紙!$D$11:$D$310,595),IF(595&lt;=COUNTA(半紙!$B$11:$B$310)+COUNTA(条幅!$B$11:$B$310),INDEX(条幅!$D$11:$D$310,595-COUNTA(半紙!$B$11:$B$310)),IF(595&lt;=COUNTA(半紙!$B$11:$B$310)+COUNTA(条幅!$B$11:$B$310)+COUNTA(条幅4分の1!$B$11:$B$310),INDEX(条幅4分の1!$D$11:$D$310,595-COUNTA(半紙!$B$11:$B$310)-COUNTA(条幅!$B$11:$B$310)),"")))=0,"",IF(595&lt;=COUNTA(半紙!$B$11:$B$310),INDEX(半紙!$D$11:$D$310,595),IF(595&lt;=COUNTA(半紙!$B$11:$B$310)+COUNTA(条幅!$B$11:$B$310),INDEX(条幅!$D$11:$D$310,595-COUNTA(半紙!$B$11:$B$310)),IF(595&lt;=COUNTA(半紙!$B$11:$B$310)+COUNTA(条幅!$B$11:$B$310)+COUNTA(条幅4分の1!$B$11:$B$310),INDEX(条幅4分の1!$D$11:$D$310,595-COUNTA(半紙!$B$11:$B$310)-COUNTA(条幅!$B$11:$B$310)),""))))</f>
        <v/>
      </c>
      <c r="E600" s="38" t="str">
        <f>IF(IF(595&lt;=COUNTA(半紙!$B$11:$B$310),INDEX(半紙!$E$11:$E$310,595),IF(595&lt;=COUNTA(半紙!$B$11:$B$310)+COUNTA(条幅!$B$11:$B$310),INDEX(条幅!$E$11:$E$310,595-COUNTA(半紙!$B$11:$B$310)),IF(595&lt;=COUNTA(半紙!$B$11:$B$310)+COUNTA(条幅!$B$11:$B$310)+COUNTA(条幅4分の1!$B$11:$B$310),INDEX(条幅4分の1!$E$11:$E$310,595-COUNTA(半紙!$B$11:$B$310)-COUNTA(条幅!$B$11:$B$310)),"")))=0,"",IF(595&lt;=COUNTA(半紙!$B$11:$B$310),INDEX(半紙!$E$11:$E$310,595),IF(595&lt;=COUNTA(半紙!$B$11:$B$310)+COUNTA(条幅!$B$11:$B$310),INDEX(条幅!$E$11:$E$310,595-COUNTA(半紙!$B$11:$B$310)),IF(595&lt;=COUNTA(半紙!$B$11:$B$310)+COUNTA(条幅!$B$11:$B$310)+COUNTA(条幅4分の1!$B$11:$B$310),INDEX(条幅4分の1!$E$11:$E$310,595-COUNTA(半紙!$B$11:$B$310)-COUNTA(条幅!$B$11:$B$310)),""))))</f>
        <v/>
      </c>
      <c r="F600" s="38" t="str">
        <f>IF(IF(595&lt;=COUNTA(半紙!$B$11:$B$310),INDEX(半紙!$F$11:$F$310,595),IF(595&lt;=COUNTA(半紙!$B$11:$B$310)+COUNTA(条幅!$B$11:$B$310),INDEX(条幅!$F$11:$F$310,595-COUNTA(半紙!$B$11:$B$310)),IF(595&lt;=COUNTA(半紙!$B$11:$B$310)+COUNTA(条幅!$B$11:$B$310)+COUNTA(条幅4分の1!$B$11:$B$310),INDEX(条幅4分の1!$F$11:$F$310,595-COUNTA(半紙!$B$11:$B$310)-COUNTA(条幅!$B$11:$B$310)),"")))=0,"",IF(595&lt;=COUNTA(半紙!$B$11:$B$310),INDEX(半紙!$F$11:$F$310,595),IF(595&lt;=COUNTA(半紙!$B$11:$B$310)+COUNTA(条幅!$B$11:$B$310),INDEX(条幅!$F$11:$F$310,595-COUNTA(半紙!$B$11:$B$310)),IF(595&lt;=COUNTA(半紙!$B$11:$B$310)+COUNTA(条幅!$B$11:$B$310)+COUNTA(条幅4分の1!$B$11:$B$310),INDEX(条幅4分の1!$F$11:$F$310,595-COUNTA(半紙!$B$11:$B$310)-COUNTA(条幅!$B$11:$B$310)),""))))</f>
        <v/>
      </c>
      <c r="G600" s="38" t="str">
        <f>IF(IF(595&lt;=COUNTA(半紙!$B$11:$B$310),INDEX(半紙!$G$11:$G$310,595),IF(595&lt;=COUNTA(半紙!$B$11:$B$310)+COUNTA(条幅!$B$11:$B$310),INDEX(条幅!$G$11:$G$310,595-COUNTA(半紙!$B$11:$B$310)),IF(595&lt;=COUNTA(半紙!$B$11:$B$310)+COUNTA(条幅!$B$11:$B$310)+COUNTA(条幅4分の1!$B$11:$B$310),INDEX(条幅4分の1!$G$11:$G$310,595-COUNTA(半紙!$B$11:$B$310)-COUNTA(条幅!$B$11:$B$310)),"")))=0,"",IF(595&lt;=COUNTA(半紙!$B$11:$B$310),INDEX(半紙!$G$11:$G$310,595),IF(595&lt;=COUNTA(半紙!$B$11:$B$310)+COUNTA(条幅!$B$11:$B$310),INDEX(条幅!$G$11:$G$310,595-COUNTA(半紙!$B$11:$B$310)),IF(595&lt;=COUNTA(半紙!$B$11:$B$310)+COUNTA(条幅!$B$11:$B$310)+COUNTA(条幅4分の1!$B$11:$B$310),INDEX(条幅4分の1!$G$11:$G$310,595-COUNTA(半紙!$B$11:$B$310)-COUNTA(条幅!$B$11:$B$310)),""))))</f>
        <v/>
      </c>
      <c r="H600" s="38" t="str">
        <f>IF(IF(595&lt;=COUNTA(半紙!$B$11:$B$310),INDEX(半紙!$H$11:$H$310,595),IF(595&lt;=COUNTA(半紙!$B$11:$B$310)+COUNTA(条幅!$B$11:$B$310),INDEX(条幅!$H$11:$H$310,595-COUNTA(半紙!$B$11:$B$310)),IF(595&lt;=COUNTA(半紙!$B$11:$B$310)+COUNTA(条幅!$B$11:$B$310)+COUNTA(条幅4分の1!$B$11:$B$310),INDEX(条幅4分の1!$H$11:$H$310,595-COUNTA(半紙!$B$11:$B$310)-COUNTA(条幅!$B$11:$B$310)),"")))=0,"",IF(595&lt;=COUNTA(半紙!$B$11:$B$310),INDEX(半紙!$H$11:$H$310,595),IF(595&lt;=COUNTA(半紙!$B$11:$B$310)+COUNTA(条幅!$B$11:$B$310),INDEX(条幅!$H$11:$H$310,595-COUNTA(半紙!$B$11:$B$310)),IF(595&lt;=COUNTA(半紙!$B$11:$B$310)+COUNTA(条幅!$B$11:$B$310)+COUNTA(条幅4分の1!$B$11:$B$310),INDEX(条幅4分の1!$H$11:$H$310,595-COUNTA(半紙!$B$11:$B$310)-COUNTA(条幅!$B$11:$B$310)),""))))</f>
        <v/>
      </c>
      <c r="I600" s="38" t="str">
        <f>IF(IF(595&lt;=COUNTA(半紙!$B$11:$B$310),INDEX(半紙!$I$11:$I$310,595),IF(595&lt;=COUNTA(半紙!$B$11:$B$310)+COUNTA(条幅!$B$11:$B$310),INDEX(条幅!$I$11:$I$310,595-COUNTA(半紙!$B$11:$B$310)),IF(595&lt;=COUNTA(半紙!$B$11:$B$310)+COUNTA(条幅!$B$11:$B$310)+COUNTA(条幅4分の1!$B$11:$B$310),INDEX(条幅4分の1!$I$11:$I$310,595-COUNTA(半紙!$B$11:$B$310)-COUNTA(条幅!$B$11:$B$310)),"")))=0,"",IF(595&lt;=COUNTA(半紙!$B$11:$B$310),INDEX(半紙!$I$11:$I$310,595),IF(595&lt;=COUNTA(半紙!$B$11:$B$310)+COUNTA(条幅!$B$11:$B$310),INDEX(条幅!$I$11:$I$310,595-COUNTA(半紙!$B$11:$B$310)),IF(595&lt;=COUNTA(半紙!$B$11:$B$310)+COUNTA(条幅!$B$11:$B$310)+COUNTA(条幅4分の1!$B$11:$B$310),INDEX(条幅4分の1!$I$11:$I$310,595-COUNTA(半紙!$B$11:$B$310)-COUNTA(条幅!$B$11:$B$310)),""))))</f>
        <v/>
      </c>
      <c r="J600" s="38" t="str">
        <f>IF(IF(595&lt;=COUNTA(半紙!$B$11:$B$310),INDEX(半紙!$J$11:$J$310,595),IF(595&lt;=COUNTA(半紙!$B$11:$B$310)+COUNTA(条幅!$B$11:$B$310),INDEX(条幅!$J$11:$J$310,595-COUNTA(半紙!$B$11:$B$310)),IF(595&lt;=COUNTA(半紙!$B$11:$B$310)+COUNTA(条幅!$B$11:$B$310)+COUNTA(条幅4分の1!$B$11:$B$310),INDEX(条幅4分の1!$J$11:$J$310,595-COUNTA(半紙!$B$11:$B$310)-COUNTA(条幅!$B$11:$B$310)),"")))=0,"",IF(595&lt;=COUNTA(半紙!$B$11:$B$310),INDEX(半紙!$J$11:$J$310,595),IF(595&lt;=COUNTA(半紙!$B$11:$B$310)+COUNTA(条幅!$B$11:$B$310),INDEX(条幅!$J$11:$J$310,595-COUNTA(半紙!$B$11:$B$310)),IF(595&lt;=COUNTA(半紙!$B$11:$B$310)+COUNTA(条幅!$B$11:$B$310)+COUNTA(条幅4分の1!$B$11:$B$310),INDEX(条幅4分の1!$J$11:$J$310,595-COUNTA(半紙!$B$11:$B$310)-COUNTA(条幅!$B$11:$B$310)),""))))</f>
        <v/>
      </c>
      <c r="K600" s="38" t="str">
        <f>IF(IF(595&lt;=COUNTA(半紙!$B$11:$B$310),INDEX(半紙!$K$11:$K$310,595),IF(595&lt;=COUNTA(半紙!$B$11:$B$310)+COUNTA(条幅!$B$11:$B$310),INDEX(条幅!$K$11:$K$310,595-COUNTA(半紙!$B$11:$B$310)),IF(595&lt;=COUNTA(半紙!$B$11:$B$310)+COUNTA(条幅!$B$11:$B$310)+COUNTA(条幅4分の1!$B$11:$B$310),INDEX(条幅4分の1!$K$11:$K$310,595-COUNTA(半紙!$B$11:$B$310)-COUNTA(条幅!$B$11:$B$310)),"")))=0,"",IF(595&lt;=COUNTA(半紙!$B$11:$B$310),INDEX(半紙!$K$11:$K$310,595),IF(595&lt;=COUNTA(半紙!$B$11:$B$310)+COUNTA(条幅!$B$11:$B$310),INDEX(条幅!$K$11:$K$310,595-COUNTA(半紙!$B$11:$B$310)),IF(595&lt;=COUNTA(半紙!$B$11:$B$310)+COUNTA(条幅!$B$11:$B$310)+COUNTA(条幅4分の1!$B$11:$B$310),INDEX(条幅4分の1!$K$11:$K$310,595-COUNTA(半紙!$B$11:$B$310)-COUNTA(条幅!$B$11:$B$310)),""))))</f>
        <v/>
      </c>
      <c r="L600" s="48" t="str">
        <f>IF($B600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595))</f>
        <v/>
      </c>
    </row>
    <row r="601" spans="1:12" ht="15" customHeight="1">
      <c r="A601" s="37" t="str">
        <f>IF(596&lt;=COUNTA(半紙!$B$11:$B$310),"半紙",IF(596&lt;=COUNTA(半紙!$B$11:$B$310)+COUNTA(条幅!$B$11:$B$310),"条幅(半切)",IF(596&lt;=COUNTA(半紙!$B$11:$B$310)+COUNTA(条幅!$B$11:$B$310)+COUNTA(条幅4分の1!$B$11:$B$310),"条幅(1/4)","")))</f>
        <v/>
      </c>
      <c r="B601" s="38" t="str">
        <f>IF(IF(596&lt;=COUNTA(半紙!$B$11:$B$310),INDEX(半紙!$B$11:$B$310,596),IF(596&lt;=COUNTA(半紙!$B$11:$B$310)+COUNTA(条幅!$B$11:$B$310),INDEX(条幅!$B$11:$B$310,596-COUNTA(半紙!$B$11:$B$310)),IF(596&lt;=COUNTA(半紙!$B$11:$B$310)+COUNTA(条幅!$B$11:$B$310)+COUNTA(条幅4分の1!$B$11:$B$310),INDEX(条幅4分の1!$B$11:$B$310,596-COUNTA(半紙!$B$11:$B$310)-COUNTA(条幅!$B$11:$B$310)),"")))=0,"",IF(596&lt;=COUNTA(半紙!$B$11:$B$310),INDEX(半紙!$B$11:$B$310,596),IF(596&lt;=COUNTA(半紙!$B$11:$B$310)+COUNTA(条幅!$B$11:$B$310),INDEX(条幅!$B$11:$B$310,596-COUNTA(半紙!$B$11:$B$310)),IF(596&lt;=COUNTA(半紙!$B$11:$B$310)+COUNTA(条幅!$B$11:$B$310)+COUNTA(条幅4分の1!$B$11:$B$310),INDEX(条幅4分の1!$B$11:$B$310,596-COUNTA(半紙!$B$11:$B$310)-COUNTA(条幅!$B$11:$B$310)),""))))</f>
        <v/>
      </c>
      <c r="C601" s="38" t="str">
        <f>IF(IF(596&lt;=COUNTA(半紙!$B$11:$B$310),INDEX(半紙!$C$11:$C$310,596),IF(596&lt;=COUNTA(半紙!$B$11:$B$310)+COUNTA(条幅!$B$11:$B$310),INDEX(条幅!$C$11:$C$310,596-COUNTA(半紙!$B$11:$B$310)),IF(596&lt;=COUNTA(半紙!$B$11:$B$310)+COUNTA(条幅!$B$11:$B$310)+COUNTA(条幅4分の1!$B$11:$B$310),INDEX(条幅4分の1!$C$11:$C$310,596-COUNTA(半紙!$B$11:$B$310)-COUNTA(条幅!$B$11:$B$310)),"")))=0,"",IF(596&lt;=COUNTA(半紙!$B$11:$B$310),INDEX(半紙!$C$11:$C$310,596),IF(596&lt;=COUNTA(半紙!$B$11:$B$310)+COUNTA(条幅!$B$11:$B$310),INDEX(条幅!$C$11:$C$310,596-COUNTA(半紙!$B$11:$B$310)),IF(596&lt;=COUNTA(半紙!$B$11:$B$310)+COUNTA(条幅!$B$11:$B$310)+COUNTA(条幅4分の1!$B$11:$B$310),INDEX(条幅4分の1!$C$11:$C$310,596-COUNTA(半紙!$B$11:$B$310)-COUNTA(条幅!$B$11:$B$310)),""))))</f>
        <v/>
      </c>
      <c r="D601" s="38" t="str">
        <f>IF(IF(596&lt;=COUNTA(半紙!$B$11:$B$310),INDEX(半紙!$D$11:$D$310,596),IF(596&lt;=COUNTA(半紙!$B$11:$B$310)+COUNTA(条幅!$B$11:$B$310),INDEX(条幅!$D$11:$D$310,596-COUNTA(半紙!$B$11:$B$310)),IF(596&lt;=COUNTA(半紙!$B$11:$B$310)+COUNTA(条幅!$B$11:$B$310)+COUNTA(条幅4分の1!$B$11:$B$310),INDEX(条幅4分の1!$D$11:$D$310,596-COUNTA(半紙!$B$11:$B$310)-COUNTA(条幅!$B$11:$B$310)),"")))=0,"",IF(596&lt;=COUNTA(半紙!$B$11:$B$310),INDEX(半紙!$D$11:$D$310,596),IF(596&lt;=COUNTA(半紙!$B$11:$B$310)+COUNTA(条幅!$B$11:$B$310),INDEX(条幅!$D$11:$D$310,596-COUNTA(半紙!$B$11:$B$310)),IF(596&lt;=COUNTA(半紙!$B$11:$B$310)+COUNTA(条幅!$B$11:$B$310)+COUNTA(条幅4分の1!$B$11:$B$310),INDEX(条幅4分の1!$D$11:$D$310,596-COUNTA(半紙!$B$11:$B$310)-COUNTA(条幅!$B$11:$B$310)),""))))</f>
        <v/>
      </c>
      <c r="E601" s="38" t="str">
        <f>IF(IF(596&lt;=COUNTA(半紙!$B$11:$B$310),INDEX(半紙!$E$11:$E$310,596),IF(596&lt;=COUNTA(半紙!$B$11:$B$310)+COUNTA(条幅!$B$11:$B$310),INDEX(条幅!$E$11:$E$310,596-COUNTA(半紙!$B$11:$B$310)),IF(596&lt;=COUNTA(半紙!$B$11:$B$310)+COUNTA(条幅!$B$11:$B$310)+COUNTA(条幅4分の1!$B$11:$B$310),INDEX(条幅4分の1!$E$11:$E$310,596-COUNTA(半紙!$B$11:$B$310)-COUNTA(条幅!$B$11:$B$310)),"")))=0,"",IF(596&lt;=COUNTA(半紙!$B$11:$B$310),INDEX(半紙!$E$11:$E$310,596),IF(596&lt;=COUNTA(半紙!$B$11:$B$310)+COUNTA(条幅!$B$11:$B$310),INDEX(条幅!$E$11:$E$310,596-COUNTA(半紙!$B$11:$B$310)),IF(596&lt;=COUNTA(半紙!$B$11:$B$310)+COUNTA(条幅!$B$11:$B$310)+COUNTA(条幅4分の1!$B$11:$B$310),INDEX(条幅4分の1!$E$11:$E$310,596-COUNTA(半紙!$B$11:$B$310)-COUNTA(条幅!$B$11:$B$310)),""))))</f>
        <v/>
      </c>
      <c r="F601" s="38" t="str">
        <f>IF(IF(596&lt;=COUNTA(半紙!$B$11:$B$310),INDEX(半紙!$F$11:$F$310,596),IF(596&lt;=COUNTA(半紙!$B$11:$B$310)+COUNTA(条幅!$B$11:$B$310),INDEX(条幅!$F$11:$F$310,596-COUNTA(半紙!$B$11:$B$310)),IF(596&lt;=COUNTA(半紙!$B$11:$B$310)+COUNTA(条幅!$B$11:$B$310)+COUNTA(条幅4分の1!$B$11:$B$310),INDEX(条幅4分の1!$F$11:$F$310,596-COUNTA(半紙!$B$11:$B$310)-COUNTA(条幅!$B$11:$B$310)),"")))=0,"",IF(596&lt;=COUNTA(半紙!$B$11:$B$310),INDEX(半紙!$F$11:$F$310,596),IF(596&lt;=COUNTA(半紙!$B$11:$B$310)+COUNTA(条幅!$B$11:$B$310),INDEX(条幅!$F$11:$F$310,596-COUNTA(半紙!$B$11:$B$310)),IF(596&lt;=COUNTA(半紙!$B$11:$B$310)+COUNTA(条幅!$B$11:$B$310)+COUNTA(条幅4分の1!$B$11:$B$310),INDEX(条幅4分の1!$F$11:$F$310,596-COUNTA(半紙!$B$11:$B$310)-COUNTA(条幅!$B$11:$B$310)),""))))</f>
        <v/>
      </c>
      <c r="G601" s="38" t="str">
        <f>IF(IF(596&lt;=COUNTA(半紙!$B$11:$B$310),INDEX(半紙!$G$11:$G$310,596),IF(596&lt;=COUNTA(半紙!$B$11:$B$310)+COUNTA(条幅!$B$11:$B$310),INDEX(条幅!$G$11:$G$310,596-COUNTA(半紙!$B$11:$B$310)),IF(596&lt;=COUNTA(半紙!$B$11:$B$310)+COUNTA(条幅!$B$11:$B$310)+COUNTA(条幅4分の1!$B$11:$B$310),INDEX(条幅4分の1!$G$11:$G$310,596-COUNTA(半紙!$B$11:$B$310)-COUNTA(条幅!$B$11:$B$310)),"")))=0,"",IF(596&lt;=COUNTA(半紙!$B$11:$B$310),INDEX(半紙!$G$11:$G$310,596),IF(596&lt;=COUNTA(半紙!$B$11:$B$310)+COUNTA(条幅!$B$11:$B$310),INDEX(条幅!$G$11:$G$310,596-COUNTA(半紙!$B$11:$B$310)),IF(596&lt;=COUNTA(半紙!$B$11:$B$310)+COUNTA(条幅!$B$11:$B$310)+COUNTA(条幅4分の1!$B$11:$B$310),INDEX(条幅4分の1!$G$11:$G$310,596-COUNTA(半紙!$B$11:$B$310)-COUNTA(条幅!$B$11:$B$310)),""))))</f>
        <v/>
      </c>
      <c r="H601" s="38" t="str">
        <f>IF(IF(596&lt;=COUNTA(半紙!$B$11:$B$310),INDEX(半紙!$H$11:$H$310,596),IF(596&lt;=COUNTA(半紙!$B$11:$B$310)+COUNTA(条幅!$B$11:$B$310),INDEX(条幅!$H$11:$H$310,596-COUNTA(半紙!$B$11:$B$310)),IF(596&lt;=COUNTA(半紙!$B$11:$B$310)+COUNTA(条幅!$B$11:$B$310)+COUNTA(条幅4分の1!$B$11:$B$310),INDEX(条幅4分の1!$H$11:$H$310,596-COUNTA(半紙!$B$11:$B$310)-COUNTA(条幅!$B$11:$B$310)),"")))=0,"",IF(596&lt;=COUNTA(半紙!$B$11:$B$310),INDEX(半紙!$H$11:$H$310,596),IF(596&lt;=COUNTA(半紙!$B$11:$B$310)+COUNTA(条幅!$B$11:$B$310),INDEX(条幅!$H$11:$H$310,596-COUNTA(半紙!$B$11:$B$310)),IF(596&lt;=COUNTA(半紙!$B$11:$B$310)+COUNTA(条幅!$B$11:$B$310)+COUNTA(条幅4分の1!$B$11:$B$310),INDEX(条幅4分の1!$H$11:$H$310,596-COUNTA(半紙!$B$11:$B$310)-COUNTA(条幅!$B$11:$B$310)),""))))</f>
        <v/>
      </c>
      <c r="I601" s="38" t="str">
        <f>IF(IF(596&lt;=COUNTA(半紙!$B$11:$B$310),INDEX(半紙!$I$11:$I$310,596),IF(596&lt;=COUNTA(半紙!$B$11:$B$310)+COUNTA(条幅!$B$11:$B$310),INDEX(条幅!$I$11:$I$310,596-COUNTA(半紙!$B$11:$B$310)),IF(596&lt;=COUNTA(半紙!$B$11:$B$310)+COUNTA(条幅!$B$11:$B$310)+COUNTA(条幅4分の1!$B$11:$B$310),INDEX(条幅4分の1!$I$11:$I$310,596-COUNTA(半紙!$B$11:$B$310)-COUNTA(条幅!$B$11:$B$310)),"")))=0,"",IF(596&lt;=COUNTA(半紙!$B$11:$B$310),INDEX(半紙!$I$11:$I$310,596),IF(596&lt;=COUNTA(半紙!$B$11:$B$310)+COUNTA(条幅!$B$11:$B$310),INDEX(条幅!$I$11:$I$310,596-COUNTA(半紙!$B$11:$B$310)),IF(596&lt;=COUNTA(半紙!$B$11:$B$310)+COUNTA(条幅!$B$11:$B$310)+COUNTA(条幅4分の1!$B$11:$B$310),INDEX(条幅4分の1!$I$11:$I$310,596-COUNTA(半紙!$B$11:$B$310)-COUNTA(条幅!$B$11:$B$310)),""))))</f>
        <v/>
      </c>
      <c r="J601" s="38" t="str">
        <f>IF(IF(596&lt;=COUNTA(半紙!$B$11:$B$310),INDEX(半紙!$J$11:$J$310,596),IF(596&lt;=COUNTA(半紙!$B$11:$B$310)+COUNTA(条幅!$B$11:$B$310),INDEX(条幅!$J$11:$J$310,596-COUNTA(半紙!$B$11:$B$310)),IF(596&lt;=COUNTA(半紙!$B$11:$B$310)+COUNTA(条幅!$B$11:$B$310)+COUNTA(条幅4分の1!$B$11:$B$310),INDEX(条幅4分の1!$J$11:$J$310,596-COUNTA(半紙!$B$11:$B$310)-COUNTA(条幅!$B$11:$B$310)),"")))=0,"",IF(596&lt;=COUNTA(半紙!$B$11:$B$310),INDEX(半紙!$J$11:$J$310,596),IF(596&lt;=COUNTA(半紙!$B$11:$B$310)+COUNTA(条幅!$B$11:$B$310),INDEX(条幅!$J$11:$J$310,596-COUNTA(半紙!$B$11:$B$310)),IF(596&lt;=COUNTA(半紙!$B$11:$B$310)+COUNTA(条幅!$B$11:$B$310)+COUNTA(条幅4分の1!$B$11:$B$310),INDEX(条幅4分の1!$J$11:$J$310,596-COUNTA(半紙!$B$11:$B$310)-COUNTA(条幅!$B$11:$B$310)),""))))</f>
        <v/>
      </c>
      <c r="K601" s="38" t="str">
        <f>IF(IF(596&lt;=COUNTA(半紙!$B$11:$B$310),INDEX(半紙!$K$11:$K$310,596),IF(596&lt;=COUNTA(半紙!$B$11:$B$310)+COUNTA(条幅!$B$11:$B$310),INDEX(条幅!$K$11:$K$310,596-COUNTA(半紙!$B$11:$B$310)),IF(596&lt;=COUNTA(半紙!$B$11:$B$310)+COUNTA(条幅!$B$11:$B$310)+COUNTA(条幅4分の1!$B$11:$B$310),INDEX(条幅4分の1!$K$11:$K$310,596-COUNTA(半紙!$B$11:$B$310)-COUNTA(条幅!$B$11:$B$310)),"")))=0,"",IF(596&lt;=COUNTA(半紙!$B$11:$B$310),INDEX(半紙!$K$11:$K$310,596),IF(596&lt;=COUNTA(半紙!$B$11:$B$310)+COUNTA(条幅!$B$11:$B$310),INDEX(条幅!$K$11:$K$310,596-COUNTA(半紙!$B$11:$B$310)),IF(596&lt;=COUNTA(半紙!$B$11:$B$310)+COUNTA(条幅!$B$11:$B$310)+COUNTA(条幅4分の1!$B$11:$B$310),INDEX(条幅4分の1!$K$11:$K$310,596-COUNTA(半紙!$B$11:$B$310)-COUNTA(条幅!$B$11:$B$310)),""))))</f>
        <v/>
      </c>
      <c r="L601" s="48" t="str">
        <f>IF($B601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596))</f>
        <v/>
      </c>
    </row>
    <row r="602" spans="1:12" ht="15" customHeight="1">
      <c r="A602" s="37" t="str">
        <f>IF(597&lt;=COUNTA(半紙!$B$11:$B$310),"半紙",IF(597&lt;=COUNTA(半紙!$B$11:$B$310)+COUNTA(条幅!$B$11:$B$310),"条幅(半切)",IF(597&lt;=COUNTA(半紙!$B$11:$B$310)+COUNTA(条幅!$B$11:$B$310)+COUNTA(条幅4分の1!$B$11:$B$310),"条幅(1/4)","")))</f>
        <v/>
      </c>
      <c r="B602" s="38" t="str">
        <f>IF(IF(597&lt;=COUNTA(半紙!$B$11:$B$310),INDEX(半紙!$B$11:$B$310,597),IF(597&lt;=COUNTA(半紙!$B$11:$B$310)+COUNTA(条幅!$B$11:$B$310),INDEX(条幅!$B$11:$B$310,597-COUNTA(半紙!$B$11:$B$310)),IF(597&lt;=COUNTA(半紙!$B$11:$B$310)+COUNTA(条幅!$B$11:$B$310)+COUNTA(条幅4分の1!$B$11:$B$310),INDEX(条幅4分の1!$B$11:$B$310,597-COUNTA(半紙!$B$11:$B$310)-COUNTA(条幅!$B$11:$B$310)),"")))=0,"",IF(597&lt;=COUNTA(半紙!$B$11:$B$310),INDEX(半紙!$B$11:$B$310,597),IF(597&lt;=COUNTA(半紙!$B$11:$B$310)+COUNTA(条幅!$B$11:$B$310),INDEX(条幅!$B$11:$B$310,597-COUNTA(半紙!$B$11:$B$310)),IF(597&lt;=COUNTA(半紙!$B$11:$B$310)+COUNTA(条幅!$B$11:$B$310)+COUNTA(条幅4分の1!$B$11:$B$310),INDEX(条幅4分の1!$B$11:$B$310,597-COUNTA(半紙!$B$11:$B$310)-COUNTA(条幅!$B$11:$B$310)),""))))</f>
        <v/>
      </c>
      <c r="C602" s="38" t="str">
        <f>IF(IF(597&lt;=COUNTA(半紙!$B$11:$B$310),INDEX(半紙!$C$11:$C$310,597),IF(597&lt;=COUNTA(半紙!$B$11:$B$310)+COUNTA(条幅!$B$11:$B$310),INDEX(条幅!$C$11:$C$310,597-COUNTA(半紙!$B$11:$B$310)),IF(597&lt;=COUNTA(半紙!$B$11:$B$310)+COUNTA(条幅!$B$11:$B$310)+COUNTA(条幅4分の1!$B$11:$B$310),INDEX(条幅4分の1!$C$11:$C$310,597-COUNTA(半紙!$B$11:$B$310)-COUNTA(条幅!$B$11:$B$310)),"")))=0,"",IF(597&lt;=COUNTA(半紙!$B$11:$B$310),INDEX(半紙!$C$11:$C$310,597),IF(597&lt;=COUNTA(半紙!$B$11:$B$310)+COUNTA(条幅!$B$11:$B$310),INDEX(条幅!$C$11:$C$310,597-COUNTA(半紙!$B$11:$B$310)),IF(597&lt;=COUNTA(半紙!$B$11:$B$310)+COUNTA(条幅!$B$11:$B$310)+COUNTA(条幅4分の1!$B$11:$B$310),INDEX(条幅4分の1!$C$11:$C$310,597-COUNTA(半紙!$B$11:$B$310)-COUNTA(条幅!$B$11:$B$310)),""))))</f>
        <v/>
      </c>
      <c r="D602" s="38" t="str">
        <f>IF(IF(597&lt;=COUNTA(半紙!$B$11:$B$310),INDEX(半紙!$D$11:$D$310,597),IF(597&lt;=COUNTA(半紙!$B$11:$B$310)+COUNTA(条幅!$B$11:$B$310),INDEX(条幅!$D$11:$D$310,597-COUNTA(半紙!$B$11:$B$310)),IF(597&lt;=COUNTA(半紙!$B$11:$B$310)+COUNTA(条幅!$B$11:$B$310)+COUNTA(条幅4分の1!$B$11:$B$310),INDEX(条幅4分の1!$D$11:$D$310,597-COUNTA(半紙!$B$11:$B$310)-COUNTA(条幅!$B$11:$B$310)),"")))=0,"",IF(597&lt;=COUNTA(半紙!$B$11:$B$310),INDEX(半紙!$D$11:$D$310,597),IF(597&lt;=COUNTA(半紙!$B$11:$B$310)+COUNTA(条幅!$B$11:$B$310),INDEX(条幅!$D$11:$D$310,597-COUNTA(半紙!$B$11:$B$310)),IF(597&lt;=COUNTA(半紙!$B$11:$B$310)+COUNTA(条幅!$B$11:$B$310)+COUNTA(条幅4分の1!$B$11:$B$310),INDEX(条幅4分の1!$D$11:$D$310,597-COUNTA(半紙!$B$11:$B$310)-COUNTA(条幅!$B$11:$B$310)),""))))</f>
        <v/>
      </c>
      <c r="E602" s="38" t="str">
        <f>IF(IF(597&lt;=COUNTA(半紙!$B$11:$B$310),INDEX(半紙!$E$11:$E$310,597),IF(597&lt;=COUNTA(半紙!$B$11:$B$310)+COUNTA(条幅!$B$11:$B$310),INDEX(条幅!$E$11:$E$310,597-COUNTA(半紙!$B$11:$B$310)),IF(597&lt;=COUNTA(半紙!$B$11:$B$310)+COUNTA(条幅!$B$11:$B$310)+COUNTA(条幅4分の1!$B$11:$B$310),INDEX(条幅4分の1!$E$11:$E$310,597-COUNTA(半紙!$B$11:$B$310)-COUNTA(条幅!$B$11:$B$310)),"")))=0,"",IF(597&lt;=COUNTA(半紙!$B$11:$B$310),INDEX(半紙!$E$11:$E$310,597),IF(597&lt;=COUNTA(半紙!$B$11:$B$310)+COUNTA(条幅!$B$11:$B$310),INDEX(条幅!$E$11:$E$310,597-COUNTA(半紙!$B$11:$B$310)),IF(597&lt;=COUNTA(半紙!$B$11:$B$310)+COUNTA(条幅!$B$11:$B$310)+COUNTA(条幅4分の1!$B$11:$B$310),INDEX(条幅4分の1!$E$11:$E$310,597-COUNTA(半紙!$B$11:$B$310)-COUNTA(条幅!$B$11:$B$310)),""))))</f>
        <v/>
      </c>
      <c r="F602" s="38" t="str">
        <f>IF(IF(597&lt;=COUNTA(半紙!$B$11:$B$310),INDEX(半紙!$F$11:$F$310,597),IF(597&lt;=COUNTA(半紙!$B$11:$B$310)+COUNTA(条幅!$B$11:$B$310),INDEX(条幅!$F$11:$F$310,597-COUNTA(半紙!$B$11:$B$310)),IF(597&lt;=COUNTA(半紙!$B$11:$B$310)+COUNTA(条幅!$B$11:$B$310)+COUNTA(条幅4分の1!$B$11:$B$310),INDEX(条幅4分の1!$F$11:$F$310,597-COUNTA(半紙!$B$11:$B$310)-COUNTA(条幅!$B$11:$B$310)),"")))=0,"",IF(597&lt;=COUNTA(半紙!$B$11:$B$310),INDEX(半紙!$F$11:$F$310,597),IF(597&lt;=COUNTA(半紙!$B$11:$B$310)+COUNTA(条幅!$B$11:$B$310),INDEX(条幅!$F$11:$F$310,597-COUNTA(半紙!$B$11:$B$310)),IF(597&lt;=COUNTA(半紙!$B$11:$B$310)+COUNTA(条幅!$B$11:$B$310)+COUNTA(条幅4分の1!$B$11:$B$310),INDEX(条幅4分の1!$F$11:$F$310,597-COUNTA(半紙!$B$11:$B$310)-COUNTA(条幅!$B$11:$B$310)),""))))</f>
        <v/>
      </c>
      <c r="G602" s="38" t="str">
        <f>IF(IF(597&lt;=COUNTA(半紙!$B$11:$B$310),INDEX(半紙!$G$11:$G$310,597),IF(597&lt;=COUNTA(半紙!$B$11:$B$310)+COUNTA(条幅!$B$11:$B$310),INDEX(条幅!$G$11:$G$310,597-COUNTA(半紙!$B$11:$B$310)),IF(597&lt;=COUNTA(半紙!$B$11:$B$310)+COUNTA(条幅!$B$11:$B$310)+COUNTA(条幅4分の1!$B$11:$B$310),INDEX(条幅4分の1!$G$11:$G$310,597-COUNTA(半紙!$B$11:$B$310)-COUNTA(条幅!$B$11:$B$310)),"")))=0,"",IF(597&lt;=COUNTA(半紙!$B$11:$B$310),INDEX(半紙!$G$11:$G$310,597),IF(597&lt;=COUNTA(半紙!$B$11:$B$310)+COUNTA(条幅!$B$11:$B$310),INDEX(条幅!$G$11:$G$310,597-COUNTA(半紙!$B$11:$B$310)),IF(597&lt;=COUNTA(半紙!$B$11:$B$310)+COUNTA(条幅!$B$11:$B$310)+COUNTA(条幅4分の1!$B$11:$B$310),INDEX(条幅4分の1!$G$11:$G$310,597-COUNTA(半紙!$B$11:$B$310)-COUNTA(条幅!$B$11:$B$310)),""))))</f>
        <v/>
      </c>
      <c r="H602" s="38" t="str">
        <f>IF(IF(597&lt;=COUNTA(半紙!$B$11:$B$310),INDEX(半紙!$H$11:$H$310,597),IF(597&lt;=COUNTA(半紙!$B$11:$B$310)+COUNTA(条幅!$B$11:$B$310),INDEX(条幅!$H$11:$H$310,597-COUNTA(半紙!$B$11:$B$310)),IF(597&lt;=COUNTA(半紙!$B$11:$B$310)+COUNTA(条幅!$B$11:$B$310)+COUNTA(条幅4分の1!$B$11:$B$310),INDEX(条幅4分の1!$H$11:$H$310,597-COUNTA(半紙!$B$11:$B$310)-COUNTA(条幅!$B$11:$B$310)),"")))=0,"",IF(597&lt;=COUNTA(半紙!$B$11:$B$310),INDEX(半紙!$H$11:$H$310,597),IF(597&lt;=COUNTA(半紙!$B$11:$B$310)+COUNTA(条幅!$B$11:$B$310),INDEX(条幅!$H$11:$H$310,597-COUNTA(半紙!$B$11:$B$310)),IF(597&lt;=COUNTA(半紙!$B$11:$B$310)+COUNTA(条幅!$B$11:$B$310)+COUNTA(条幅4分の1!$B$11:$B$310),INDEX(条幅4分の1!$H$11:$H$310,597-COUNTA(半紙!$B$11:$B$310)-COUNTA(条幅!$B$11:$B$310)),""))))</f>
        <v/>
      </c>
      <c r="I602" s="38" t="str">
        <f>IF(IF(597&lt;=COUNTA(半紙!$B$11:$B$310),INDEX(半紙!$I$11:$I$310,597),IF(597&lt;=COUNTA(半紙!$B$11:$B$310)+COUNTA(条幅!$B$11:$B$310),INDEX(条幅!$I$11:$I$310,597-COUNTA(半紙!$B$11:$B$310)),IF(597&lt;=COUNTA(半紙!$B$11:$B$310)+COUNTA(条幅!$B$11:$B$310)+COUNTA(条幅4分の1!$B$11:$B$310),INDEX(条幅4分の1!$I$11:$I$310,597-COUNTA(半紙!$B$11:$B$310)-COUNTA(条幅!$B$11:$B$310)),"")))=0,"",IF(597&lt;=COUNTA(半紙!$B$11:$B$310),INDEX(半紙!$I$11:$I$310,597),IF(597&lt;=COUNTA(半紙!$B$11:$B$310)+COUNTA(条幅!$B$11:$B$310),INDEX(条幅!$I$11:$I$310,597-COUNTA(半紙!$B$11:$B$310)),IF(597&lt;=COUNTA(半紙!$B$11:$B$310)+COUNTA(条幅!$B$11:$B$310)+COUNTA(条幅4分の1!$B$11:$B$310),INDEX(条幅4分の1!$I$11:$I$310,597-COUNTA(半紙!$B$11:$B$310)-COUNTA(条幅!$B$11:$B$310)),""))))</f>
        <v/>
      </c>
      <c r="J602" s="38" t="str">
        <f>IF(IF(597&lt;=COUNTA(半紙!$B$11:$B$310),INDEX(半紙!$J$11:$J$310,597),IF(597&lt;=COUNTA(半紙!$B$11:$B$310)+COUNTA(条幅!$B$11:$B$310),INDEX(条幅!$J$11:$J$310,597-COUNTA(半紙!$B$11:$B$310)),IF(597&lt;=COUNTA(半紙!$B$11:$B$310)+COUNTA(条幅!$B$11:$B$310)+COUNTA(条幅4分の1!$B$11:$B$310),INDEX(条幅4分の1!$J$11:$J$310,597-COUNTA(半紙!$B$11:$B$310)-COUNTA(条幅!$B$11:$B$310)),"")))=0,"",IF(597&lt;=COUNTA(半紙!$B$11:$B$310),INDEX(半紙!$J$11:$J$310,597),IF(597&lt;=COUNTA(半紙!$B$11:$B$310)+COUNTA(条幅!$B$11:$B$310),INDEX(条幅!$J$11:$J$310,597-COUNTA(半紙!$B$11:$B$310)),IF(597&lt;=COUNTA(半紙!$B$11:$B$310)+COUNTA(条幅!$B$11:$B$310)+COUNTA(条幅4分の1!$B$11:$B$310),INDEX(条幅4分の1!$J$11:$J$310,597-COUNTA(半紙!$B$11:$B$310)-COUNTA(条幅!$B$11:$B$310)),""))))</f>
        <v/>
      </c>
      <c r="K602" s="38" t="str">
        <f>IF(IF(597&lt;=COUNTA(半紙!$B$11:$B$310),INDEX(半紙!$K$11:$K$310,597),IF(597&lt;=COUNTA(半紙!$B$11:$B$310)+COUNTA(条幅!$B$11:$B$310),INDEX(条幅!$K$11:$K$310,597-COUNTA(半紙!$B$11:$B$310)),IF(597&lt;=COUNTA(半紙!$B$11:$B$310)+COUNTA(条幅!$B$11:$B$310)+COUNTA(条幅4分の1!$B$11:$B$310),INDEX(条幅4分の1!$K$11:$K$310,597-COUNTA(半紙!$B$11:$B$310)-COUNTA(条幅!$B$11:$B$310)),"")))=0,"",IF(597&lt;=COUNTA(半紙!$B$11:$B$310),INDEX(半紙!$K$11:$K$310,597),IF(597&lt;=COUNTA(半紙!$B$11:$B$310)+COUNTA(条幅!$B$11:$B$310),INDEX(条幅!$K$11:$K$310,597-COUNTA(半紙!$B$11:$B$310)),IF(597&lt;=COUNTA(半紙!$B$11:$B$310)+COUNTA(条幅!$B$11:$B$310)+COUNTA(条幅4分の1!$B$11:$B$310),INDEX(条幅4分の1!$K$11:$K$310,597-COUNTA(半紙!$B$11:$B$310)-COUNTA(条幅!$B$11:$B$310)),""))))</f>
        <v/>
      </c>
      <c r="L602" s="48" t="str">
        <f>IF($B602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597))</f>
        <v/>
      </c>
    </row>
    <row r="603" spans="1:12" ht="15" customHeight="1">
      <c r="A603" s="37" t="str">
        <f>IF(598&lt;=COUNTA(半紙!$B$11:$B$310),"半紙",IF(598&lt;=COUNTA(半紙!$B$11:$B$310)+COUNTA(条幅!$B$11:$B$310),"条幅(半切)",IF(598&lt;=COUNTA(半紙!$B$11:$B$310)+COUNTA(条幅!$B$11:$B$310)+COUNTA(条幅4分の1!$B$11:$B$310),"条幅(1/4)","")))</f>
        <v/>
      </c>
      <c r="B603" s="38" t="str">
        <f>IF(IF(598&lt;=COUNTA(半紙!$B$11:$B$310),INDEX(半紙!$B$11:$B$310,598),IF(598&lt;=COUNTA(半紙!$B$11:$B$310)+COUNTA(条幅!$B$11:$B$310),INDEX(条幅!$B$11:$B$310,598-COUNTA(半紙!$B$11:$B$310)),IF(598&lt;=COUNTA(半紙!$B$11:$B$310)+COUNTA(条幅!$B$11:$B$310)+COUNTA(条幅4分の1!$B$11:$B$310),INDEX(条幅4分の1!$B$11:$B$310,598-COUNTA(半紙!$B$11:$B$310)-COUNTA(条幅!$B$11:$B$310)),"")))=0,"",IF(598&lt;=COUNTA(半紙!$B$11:$B$310),INDEX(半紙!$B$11:$B$310,598),IF(598&lt;=COUNTA(半紙!$B$11:$B$310)+COUNTA(条幅!$B$11:$B$310),INDEX(条幅!$B$11:$B$310,598-COUNTA(半紙!$B$11:$B$310)),IF(598&lt;=COUNTA(半紙!$B$11:$B$310)+COUNTA(条幅!$B$11:$B$310)+COUNTA(条幅4分の1!$B$11:$B$310),INDEX(条幅4分の1!$B$11:$B$310,598-COUNTA(半紙!$B$11:$B$310)-COUNTA(条幅!$B$11:$B$310)),""))))</f>
        <v/>
      </c>
      <c r="C603" s="38" t="str">
        <f>IF(IF(598&lt;=COUNTA(半紙!$B$11:$B$310),INDEX(半紙!$C$11:$C$310,598),IF(598&lt;=COUNTA(半紙!$B$11:$B$310)+COUNTA(条幅!$B$11:$B$310),INDEX(条幅!$C$11:$C$310,598-COUNTA(半紙!$B$11:$B$310)),IF(598&lt;=COUNTA(半紙!$B$11:$B$310)+COUNTA(条幅!$B$11:$B$310)+COUNTA(条幅4分の1!$B$11:$B$310),INDEX(条幅4分の1!$C$11:$C$310,598-COUNTA(半紙!$B$11:$B$310)-COUNTA(条幅!$B$11:$B$310)),"")))=0,"",IF(598&lt;=COUNTA(半紙!$B$11:$B$310),INDEX(半紙!$C$11:$C$310,598),IF(598&lt;=COUNTA(半紙!$B$11:$B$310)+COUNTA(条幅!$B$11:$B$310),INDEX(条幅!$C$11:$C$310,598-COUNTA(半紙!$B$11:$B$310)),IF(598&lt;=COUNTA(半紙!$B$11:$B$310)+COUNTA(条幅!$B$11:$B$310)+COUNTA(条幅4分の1!$B$11:$B$310),INDEX(条幅4分の1!$C$11:$C$310,598-COUNTA(半紙!$B$11:$B$310)-COUNTA(条幅!$B$11:$B$310)),""))))</f>
        <v/>
      </c>
      <c r="D603" s="38" t="str">
        <f>IF(IF(598&lt;=COUNTA(半紙!$B$11:$B$310),INDEX(半紙!$D$11:$D$310,598),IF(598&lt;=COUNTA(半紙!$B$11:$B$310)+COUNTA(条幅!$B$11:$B$310),INDEX(条幅!$D$11:$D$310,598-COUNTA(半紙!$B$11:$B$310)),IF(598&lt;=COUNTA(半紙!$B$11:$B$310)+COUNTA(条幅!$B$11:$B$310)+COUNTA(条幅4分の1!$B$11:$B$310),INDEX(条幅4分の1!$D$11:$D$310,598-COUNTA(半紙!$B$11:$B$310)-COUNTA(条幅!$B$11:$B$310)),"")))=0,"",IF(598&lt;=COUNTA(半紙!$B$11:$B$310),INDEX(半紙!$D$11:$D$310,598),IF(598&lt;=COUNTA(半紙!$B$11:$B$310)+COUNTA(条幅!$B$11:$B$310),INDEX(条幅!$D$11:$D$310,598-COUNTA(半紙!$B$11:$B$310)),IF(598&lt;=COUNTA(半紙!$B$11:$B$310)+COUNTA(条幅!$B$11:$B$310)+COUNTA(条幅4分の1!$B$11:$B$310),INDEX(条幅4分の1!$D$11:$D$310,598-COUNTA(半紙!$B$11:$B$310)-COUNTA(条幅!$B$11:$B$310)),""))))</f>
        <v/>
      </c>
      <c r="E603" s="38" t="str">
        <f>IF(IF(598&lt;=COUNTA(半紙!$B$11:$B$310),INDEX(半紙!$E$11:$E$310,598),IF(598&lt;=COUNTA(半紙!$B$11:$B$310)+COUNTA(条幅!$B$11:$B$310),INDEX(条幅!$E$11:$E$310,598-COUNTA(半紙!$B$11:$B$310)),IF(598&lt;=COUNTA(半紙!$B$11:$B$310)+COUNTA(条幅!$B$11:$B$310)+COUNTA(条幅4分の1!$B$11:$B$310),INDEX(条幅4分の1!$E$11:$E$310,598-COUNTA(半紙!$B$11:$B$310)-COUNTA(条幅!$B$11:$B$310)),"")))=0,"",IF(598&lt;=COUNTA(半紙!$B$11:$B$310),INDEX(半紙!$E$11:$E$310,598),IF(598&lt;=COUNTA(半紙!$B$11:$B$310)+COUNTA(条幅!$B$11:$B$310),INDEX(条幅!$E$11:$E$310,598-COUNTA(半紙!$B$11:$B$310)),IF(598&lt;=COUNTA(半紙!$B$11:$B$310)+COUNTA(条幅!$B$11:$B$310)+COUNTA(条幅4分の1!$B$11:$B$310),INDEX(条幅4分の1!$E$11:$E$310,598-COUNTA(半紙!$B$11:$B$310)-COUNTA(条幅!$B$11:$B$310)),""))))</f>
        <v/>
      </c>
      <c r="F603" s="38" t="str">
        <f>IF(IF(598&lt;=COUNTA(半紙!$B$11:$B$310),INDEX(半紙!$F$11:$F$310,598),IF(598&lt;=COUNTA(半紙!$B$11:$B$310)+COUNTA(条幅!$B$11:$B$310),INDEX(条幅!$F$11:$F$310,598-COUNTA(半紙!$B$11:$B$310)),IF(598&lt;=COUNTA(半紙!$B$11:$B$310)+COUNTA(条幅!$B$11:$B$310)+COUNTA(条幅4分の1!$B$11:$B$310),INDEX(条幅4分の1!$F$11:$F$310,598-COUNTA(半紙!$B$11:$B$310)-COUNTA(条幅!$B$11:$B$310)),"")))=0,"",IF(598&lt;=COUNTA(半紙!$B$11:$B$310),INDEX(半紙!$F$11:$F$310,598),IF(598&lt;=COUNTA(半紙!$B$11:$B$310)+COUNTA(条幅!$B$11:$B$310),INDEX(条幅!$F$11:$F$310,598-COUNTA(半紙!$B$11:$B$310)),IF(598&lt;=COUNTA(半紙!$B$11:$B$310)+COUNTA(条幅!$B$11:$B$310)+COUNTA(条幅4分の1!$B$11:$B$310),INDEX(条幅4分の1!$F$11:$F$310,598-COUNTA(半紙!$B$11:$B$310)-COUNTA(条幅!$B$11:$B$310)),""))))</f>
        <v/>
      </c>
      <c r="G603" s="38" t="str">
        <f>IF(IF(598&lt;=COUNTA(半紙!$B$11:$B$310),INDEX(半紙!$G$11:$G$310,598),IF(598&lt;=COUNTA(半紙!$B$11:$B$310)+COUNTA(条幅!$B$11:$B$310),INDEX(条幅!$G$11:$G$310,598-COUNTA(半紙!$B$11:$B$310)),IF(598&lt;=COUNTA(半紙!$B$11:$B$310)+COUNTA(条幅!$B$11:$B$310)+COUNTA(条幅4分の1!$B$11:$B$310),INDEX(条幅4分の1!$G$11:$G$310,598-COUNTA(半紙!$B$11:$B$310)-COUNTA(条幅!$B$11:$B$310)),"")))=0,"",IF(598&lt;=COUNTA(半紙!$B$11:$B$310),INDEX(半紙!$G$11:$G$310,598),IF(598&lt;=COUNTA(半紙!$B$11:$B$310)+COUNTA(条幅!$B$11:$B$310),INDEX(条幅!$G$11:$G$310,598-COUNTA(半紙!$B$11:$B$310)),IF(598&lt;=COUNTA(半紙!$B$11:$B$310)+COUNTA(条幅!$B$11:$B$310)+COUNTA(条幅4分の1!$B$11:$B$310),INDEX(条幅4分の1!$G$11:$G$310,598-COUNTA(半紙!$B$11:$B$310)-COUNTA(条幅!$B$11:$B$310)),""))))</f>
        <v/>
      </c>
      <c r="H603" s="38" t="str">
        <f>IF(IF(598&lt;=COUNTA(半紙!$B$11:$B$310),INDEX(半紙!$H$11:$H$310,598),IF(598&lt;=COUNTA(半紙!$B$11:$B$310)+COUNTA(条幅!$B$11:$B$310),INDEX(条幅!$H$11:$H$310,598-COUNTA(半紙!$B$11:$B$310)),IF(598&lt;=COUNTA(半紙!$B$11:$B$310)+COUNTA(条幅!$B$11:$B$310)+COUNTA(条幅4分の1!$B$11:$B$310),INDEX(条幅4分の1!$H$11:$H$310,598-COUNTA(半紙!$B$11:$B$310)-COUNTA(条幅!$B$11:$B$310)),"")))=0,"",IF(598&lt;=COUNTA(半紙!$B$11:$B$310),INDEX(半紙!$H$11:$H$310,598),IF(598&lt;=COUNTA(半紙!$B$11:$B$310)+COUNTA(条幅!$B$11:$B$310),INDEX(条幅!$H$11:$H$310,598-COUNTA(半紙!$B$11:$B$310)),IF(598&lt;=COUNTA(半紙!$B$11:$B$310)+COUNTA(条幅!$B$11:$B$310)+COUNTA(条幅4分の1!$B$11:$B$310),INDEX(条幅4分の1!$H$11:$H$310,598-COUNTA(半紙!$B$11:$B$310)-COUNTA(条幅!$B$11:$B$310)),""))))</f>
        <v/>
      </c>
      <c r="I603" s="38" t="str">
        <f>IF(IF(598&lt;=COUNTA(半紙!$B$11:$B$310),INDEX(半紙!$I$11:$I$310,598),IF(598&lt;=COUNTA(半紙!$B$11:$B$310)+COUNTA(条幅!$B$11:$B$310),INDEX(条幅!$I$11:$I$310,598-COUNTA(半紙!$B$11:$B$310)),IF(598&lt;=COUNTA(半紙!$B$11:$B$310)+COUNTA(条幅!$B$11:$B$310)+COUNTA(条幅4分の1!$B$11:$B$310),INDEX(条幅4分の1!$I$11:$I$310,598-COUNTA(半紙!$B$11:$B$310)-COUNTA(条幅!$B$11:$B$310)),"")))=0,"",IF(598&lt;=COUNTA(半紙!$B$11:$B$310),INDEX(半紙!$I$11:$I$310,598),IF(598&lt;=COUNTA(半紙!$B$11:$B$310)+COUNTA(条幅!$B$11:$B$310),INDEX(条幅!$I$11:$I$310,598-COUNTA(半紙!$B$11:$B$310)),IF(598&lt;=COUNTA(半紙!$B$11:$B$310)+COUNTA(条幅!$B$11:$B$310)+COUNTA(条幅4分の1!$B$11:$B$310),INDEX(条幅4分の1!$I$11:$I$310,598-COUNTA(半紙!$B$11:$B$310)-COUNTA(条幅!$B$11:$B$310)),""))))</f>
        <v/>
      </c>
      <c r="J603" s="38" t="str">
        <f>IF(IF(598&lt;=COUNTA(半紙!$B$11:$B$310),INDEX(半紙!$J$11:$J$310,598),IF(598&lt;=COUNTA(半紙!$B$11:$B$310)+COUNTA(条幅!$B$11:$B$310),INDEX(条幅!$J$11:$J$310,598-COUNTA(半紙!$B$11:$B$310)),IF(598&lt;=COUNTA(半紙!$B$11:$B$310)+COUNTA(条幅!$B$11:$B$310)+COUNTA(条幅4分の1!$B$11:$B$310),INDEX(条幅4分の1!$J$11:$J$310,598-COUNTA(半紙!$B$11:$B$310)-COUNTA(条幅!$B$11:$B$310)),"")))=0,"",IF(598&lt;=COUNTA(半紙!$B$11:$B$310),INDEX(半紙!$J$11:$J$310,598),IF(598&lt;=COUNTA(半紙!$B$11:$B$310)+COUNTA(条幅!$B$11:$B$310),INDEX(条幅!$J$11:$J$310,598-COUNTA(半紙!$B$11:$B$310)),IF(598&lt;=COUNTA(半紙!$B$11:$B$310)+COUNTA(条幅!$B$11:$B$310)+COUNTA(条幅4分の1!$B$11:$B$310),INDEX(条幅4分の1!$J$11:$J$310,598-COUNTA(半紙!$B$11:$B$310)-COUNTA(条幅!$B$11:$B$310)),""))))</f>
        <v/>
      </c>
      <c r="K603" s="38" t="str">
        <f>IF(IF(598&lt;=COUNTA(半紙!$B$11:$B$310),INDEX(半紙!$K$11:$K$310,598),IF(598&lt;=COUNTA(半紙!$B$11:$B$310)+COUNTA(条幅!$B$11:$B$310),INDEX(条幅!$K$11:$K$310,598-COUNTA(半紙!$B$11:$B$310)),IF(598&lt;=COUNTA(半紙!$B$11:$B$310)+COUNTA(条幅!$B$11:$B$310)+COUNTA(条幅4分の1!$B$11:$B$310),INDEX(条幅4分の1!$K$11:$K$310,598-COUNTA(半紙!$B$11:$B$310)-COUNTA(条幅!$B$11:$B$310)),"")))=0,"",IF(598&lt;=COUNTA(半紙!$B$11:$B$310),INDEX(半紙!$K$11:$K$310,598),IF(598&lt;=COUNTA(半紙!$B$11:$B$310)+COUNTA(条幅!$B$11:$B$310),INDEX(条幅!$K$11:$K$310,598-COUNTA(半紙!$B$11:$B$310)),IF(598&lt;=COUNTA(半紙!$B$11:$B$310)+COUNTA(条幅!$B$11:$B$310)+COUNTA(条幅4分の1!$B$11:$B$310),INDEX(条幅4分の1!$K$11:$K$310,598-COUNTA(半紙!$B$11:$B$310)-COUNTA(条幅!$B$11:$B$310)),""))))</f>
        <v/>
      </c>
      <c r="L603" s="48" t="str">
        <f>IF($B603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598))</f>
        <v/>
      </c>
    </row>
    <row r="604" spans="1:12" ht="15" customHeight="1">
      <c r="A604" s="37" t="str">
        <f>IF(599&lt;=COUNTA(半紙!$B$11:$B$310),"半紙",IF(599&lt;=COUNTA(半紙!$B$11:$B$310)+COUNTA(条幅!$B$11:$B$310),"条幅(半切)",IF(599&lt;=COUNTA(半紙!$B$11:$B$310)+COUNTA(条幅!$B$11:$B$310)+COUNTA(条幅4分の1!$B$11:$B$310),"条幅(1/4)","")))</f>
        <v/>
      </c>
      <c r="B604" s="38" t="str">
        <f>IF(IF(599&lt;=COUNTA(半紙!$B$11:$B$310),INDEX(半紙!$B$11:$B$310,599),IF(599&lt;=COUNTA(半紙!$B$11:$B$310)+COUNTA(条幅!$B$11:$B$310),INDEX(条幅!$B$11:$B$310,599-COUNTA(半紙!$B$11:$B$310)),IF(599&lt;=COUNTA(半紙!$B$11:$B$310)+COUNTA(条幅!$B$11:$B$310)+COUNTA(条幅4分の1!$B$11:$B$310),INDEX(条幅4分の1!$B$11:$B$310,599-COUNTA(半紙!$B$11:$B$310)-COUNTA(条幅!$B$11:$B$310)),"")))=0,"",IF(599&lt;=COUNTA(半紙!$B$11:$B$310),INDEX(半紙!$B$11:$B$310,599),IF(599&lt;=COUNTA(半紙!$B$11:$B$310)+COUNTA(条幅!$B$11:$B$310),INDEX(条幅!$B$11:$B$310,599-COUNTA(半紙!$B$11:$B$310)),IF(599&lt;=COUNTA(半紙!$B$11:$B$310)+COUNTA(条幅!$B$11:$B$310)+COUNTA(条幅4分の1!$B$11:$B$310),INDEX(条幅4分の1!$B$11:$B$310,599-COUNTA(半紙!$B$11:$B$310)-COUNTA(条幅!$B$11:$B$310)),""))))</f>
        <v/>
      </c>
      <c r="C604" s="38" t="str">
        <f>IF(IF(599&lt;=COUNTA(半紙!$B$11:$B$310),INDEX(半紙!$C$11:$C$310,599),IF(599&lt;=COUNTA(半紙!$B$11:$B$310)+COUNTA(条幅!$B$11:$B$310),INDEX(条幅!$C$11:$C$310,599-COUNTA(半紙!$B$11:$B$310)),IF(599&lt;=COUNTA(半紙!$B$11:$B$310)+COUNTA(条幅!$B$11:$B$310)+COUNTA(条幅4分の1!$B$11:$B$310),INDEX(条幅4分の1!$C$11:$C$310,599-COUNTA(半紙!$B$11:$B$310)-COUNTA(条幅!$B$11:$B$310)),"")))=0,"",IF(599&lt;=COUNTA(半紙!$B$11:$B$310),INDEX(半紙!$C$11:$C$310,599),IF(599&lt;=COUNTA(半紙!$B$11:$B$310)+COUNTA(条幅!$B$11:$B$310),INDEX(条幅!$C$11:$C$310,599-COUNTA(半紙!$B$11:$B$310)),IF(599&lt;=COUNTA(半紙!$B$11:$B$310)+COUNTA(条幅!$B$11:$B$310)+COUNTA(条幅4分の1!$B$11:$B$310),INDEX(条幅4分の1!$C$11:$C$310,599-COUNTA(半紙!$B$11:$B$310)-COUNTA(条幅!$B$11:$B$310)),""))))</f>
        <v/>
      </c>
      <c r="D604" s="38" t="str">
        <f>IF(IF(599&lt;=COUNTA(半紙!$B$11:$B$310),INDEX(半紙!$D$11:$D$310,599),IF(599&lt;=COUNTA(半紙!$B$11:$B$310)+COUNTA(条幅!$B$11:$B$310),INDEX(条幅!$D$11:$D$310,599-COUNTA(半紙!$B$11:$B$310)),IF(599&lt;=COUNTA(半紙!$B$11:$B$310)+COUNTA(条幅!$B$11:$B$310)+COUNTA(条幅4分の1!$B$11:$B$310),INDEX(条幅4分の1!$D$11:$D$310,599-COUNTA(半紙!$B$11:$B$310)-COUNTA(条幅!$B$11:$B$310)),"")))=0,"",IF(599&lt;=COUNTA(半紙!$B$11:$B$310),INDEX(半紙!$D$11:$D$310,599),IF(599&lt;=COUNTA(半紙!$B$11:$B$310)+COUNTA(条幅!$B$11:$B$310),INDEX(条幅!$D$11:$D$310,599-COUNTA(半紙!$B$11:$B$310)),IF(599&lt;=COUNTA(半紙!$B$11:$B$310)+COUNTA(条幅!$B$11:$B$310)+COUNTA(条幅4分の1!$B$11:$B$310),INDEX(条幅4分の1!$D$11:$D$310,599-COUNTA(半紙!$B$11:$B$310)-COUNTA(条幅!$B$11:$B$310)),""))))</f>
        <v/>
      </c>
      <c r="E604" s="38" t="str">
        <f>IF(IF(599&lt;=COUNTA(半紙!$B$11:$B$310),INDEX(半紙!$E$11:$E$310,599),IF(599&lt;=COUNTA(半紙!$B$11:$B$310)+COUNTA(条幅!$B$11:$B$310),INDEX(条幅!$E$11:$E$310,599-COUNTA(半紙!$B$11:$B$310)),IF(599&lt;=COUNTA(半紙!$B$11:$B$310)+COUNTA(条幅!$B$11:$B$310)+COUNTA(条幅4分の1!$B$11:$B$310),INDEX(条幅4分の1!$E$11:$E$310,599-COUNTA(半紙!$B$11:$B$310)-COUNTA(条幅!$B$11:$B$310)),"")))=0,"",IF(599&lt;=COUNTA(半紙!$B$11:$B$310),INDEX(半紙!$E$11:$E$310,599),IF(599&lt;=COUNTA(半紙!$B$11:$B$310)+COUNTA(条幅!$B$11:$B$310),INDEX(条幅!$E$11:$E$310,599-COUNTA(半紙!$B$11:$B$310)),IF(599&lt;=COUNTA(半紙!$B$11:$B$310)+COUNTA(条幅!$B$11:$B$310)+COUNTA(条幅4分の1!$B$11:$B$310),INDEX(条幅4分の1!$E$11:$E$310,599-COUNTA(半紙!$B$11:$B$310)-COUNTA(条幅!$B$11:$B$310)),""))))</f>
        <v/>
      </c>
      <c r="F604" s="38" t="str">
        <f>IF(IF(599&lt;=COUNTA(半紙!$B$11:$B$310),INDEX(半紙!$F$11:$F$310,599),IF(599&lt;=COUNTA(半紙!$B$11:$B$310)+COUNTA(条幅!$B$11:$B$310),INDEX(条幅!$F$11:$F$310,599-COUNTA(半紙!$B$11:$B$310)),IF(599&lt;=COUNTA(半紙!$B$11:$B$310)+COUNTA(条幅!$B$11:$B$310)+COUNTA(条幅4分の1!$B$11:$B$310),INDEX(条幅4分の1!$F$11:$F$310,599-COUNTA(半紙!$B$11:$B$310)-COUNTA(条幅!$B$11:$B$310)),"")))=0,"",IF(599&lt;=COUNTA(半紙!$B$11:$B$310),INDEX(半紙!$F$11:$F$310,599),IF(599&lt;=COUNTA(半紙!$B$11:$B$310)+COUNTA(条幅!$B$11:$B$310),INDEX(条幅!$F$11:$F$310,599-COUNTA(半紙!$B$11:$B$310)),IF(599&lt;=COUNTA(半紙!$B$11:$B$310)+COUNTA(条幅!$B$11:$B$310)+COUNTA(条幅4分の1!$B$11:$B$310),INDEX(条幅4分の1!$F$11:$F$310,599-COUNTA(半紙!$B$11:$B$310)-COUNTA(条幅!$B$11:$B$310)),""))))</f>
        <v/>
      </c>
      <c r="G604" s="38" t="str">
        <f>IF(IF(599&lt;=COUNTA(半紙!$B$11:$B$310),INDEX(半紙!$G$11:$G$310,599),IF(599&lt;=COUNTA(半紙!$B$11:$B$310)+COUNTA(条幅!$B$11:$B$310),INDEX(条幅!$G$11:$G$310,599-COUNTA(半紙!$B$11:$B$310)),IF(599&lt;=COUNTA(半紙!$B$11:$B$310)+COUNTA(条幅!$B$11:$B$310)+COUNTA(条幅4分の1!$B$11:$B$310),INDEX(条幅4分の1!$G$11:$G$310,599-COUNTA(半紙!$B$11:$B$310)-COUNTA(条幅!$B$11:$B$310)),"")))=0,"",IF(599&lt;=COUNTA(半紙!$B$11:$B$310),INDEX(半紙!$G$11:$G$310,599),IF(599&lt;=COUNTA(半紙!$B$11:$B$310)+COUNTA(条幅!$B$11:$B$310),INDEX(条幅!$G$11:$G$310,599-COUNTA(半紙!$B$11:$B$310)),IF(599&lt;=COUNTA(半紙!$B$11:$B$310)+COUNTA(条幅!$B$11:$B$310)+COUNTA(条幅4分の1!$B$11:$B$310),INDEX(条幅4分の1!$G$11:$G$310,599-COUNTA(半紙!$B$11:$B$310)-COUNTA(条幅!$B$11:$B$310)),""))))</f>
        <v/>
      </c>
      <c r="H604" s="38" t="str">
        <f>IF(IF(599&lt;=COUNTA(半紙!$B$11:$B$310),INDEX(半紙!$H$11:$H$310,599),IF(599&lt;=COUNTA(半紙!$B$11:$B$310)+COUNTA(条幅!$B$11:$B$310),INDEX(条幅!$H$11:$H$310,599-COUNTA(半紙!$B$11:$B$310)),IF(599&lt;=COUNTA(半紙!$B$11:$B$310)+COUNTA(条幅!$B$11:$B$310)+COUNTA(条幅4分の1!$B$11:$B$310),INDEX(条幅4分の1!$H$11:$H$310,599-COUNTA(半紙!$B$11:$B$310)-COUNTA(条幅!$B$11:$B$310)),"")))=0,"",IF(599&lt;=COUNTA(半紙!$B$11:$B$310),INDEX(半紙!$H$11:$H$310,599),IF(599&lt;=COUNTA(半紙!$B$11:$B$310)+COUNTA(条幅!$B$11:$B$310),INDEX(条幅!$H$11:$H$310,599-COUNTA(半紙!$B$11:$B$310)),IF(599&lt;=COUNTA(半紙!$B$11:$B$310)+COUNTA(条幅!$B$11:$B$310)+COUNTA(条幅4分の1!$B$11:$B$310),INDEX(条幅4分の1!$H$11:$H$310,599-COUNTA(半紙!$B$11:$B$310)-COUNTA(条幅!$B$11:$B$310)),""))))</f>
        <v/>
      </c>
      <c r="I604" s="38" t="str">
        <f>IF(IF(599&lt;=COUNTA(半紙!$B$11:$B$310),INDEX(半紙!$I$11:$I$310,599),IF(599&lt;=COUNTA(半紙!$B$11:$B$310)+COUNTA(条幅!$B$11:$B$310),INDEX(条幅!$I$11:$I$310,599-COUNTA(半紙!$B$11:$B$310)),IF(599&lt;=COUNTA(半紙!$B$11:$B$310)+COUNTA(条幅!$B$11:$B$310)+COUNTA(条幅4分の1!$B$11:$B$310),INDEX(条幅4分の1!$I$11:$I$310,599-COUNTA(半紙!$B$11:$B$310)-COUNTA(条幅!$B$11:$B$310)),"")))=0,"",IF(599&lt;=COUNTA(半紙!$B$11:$B$310),INDEX(半紙!$I$11:$I$310,599),IF(599&lt;=COUNTA(半紙!$B$11:$B$310)+COUNTA(条幅!$B$11:$B$310),INDEX(条幅!$I$11:$I$310,599-COUNTA(半紙!$B$11:$B$310)),IF(599&lt;=COUNTA(半紙!$B$11:$B$310)+COUNTA(条幅!$B$11:$B$310)+COUNTA(条幅4分の1!$B$11:$B$310),INDEX(条幅4分の1!$I$11:$I$310,599-COUNTA(半紙!$B$11:$B$310)-COUNTA(条幅!$B$11:$B$310)),""))))</f>
        <v/>
      </c>
      <c r="J604" s="38" t="str">
        <f>IF(IF(599&lt;=COUNTA(半紙!$B$11:$B$310),INDEX(半紙!$J$11:$J$310,599),IF(599&lt;=COUNTA(半紙!$B$11:$B$310)+COUNTA(条幅!$B$11:$B$310),INDEX(条幅!$J$11:$J$310,599-COUNTA(半紙!$B$11:$B$310)),IF(599&lt;=COUNTA(半紙!$B$11:$B$310)+COUNTA(条幅!$B$11:$B$310)+COUNTA(条幅4分の1!$B$11:$B$310),INDEX(条幅4分の1!$J$11:$J$310,599-COUNTA(半紙!$B$11:$B$310)-COUNTA(条幅!$B$11:$B$310)),"")))=0,"",IF(599&lt;=COUNTA(半紙!$B$11:$B$310),INDEX(半紙!$J$11:$J$310,599),IF(599&lt;=COUNTA(半紙!$B$11:$B$310)+COUNTA(条幅!$B$11:$B$310),INDEX(条幅!$J$11:$J$310,599-COUNTA(半紙!$B$11:$B$310)),IF(599&lt;=COUNTA(半紙!$B$11:$B$310)+COUNTA(条幅!$B$11:$B$310)+COUNTA(条幅4分の1!$B$11:$B$310),INDEX(条幅4分の1!$J$11:$J$310,599-COUNTA(半紙!$B$11:$B$310)-COUNTA(条幅!$B$11:$B$310)),""))))</f>
        <v/>
      </c>
      <c r="K604" s="38" t="str">
        <f>IF(IF(599&lt;=COUNTA(半紙!$B$11:$B$310),INDEX(半紙!$K$11:$K$310,599),IF(599&lt;=COUNTA(半紙!$B$11:$B$310)+COUNTA(条幅!$B$11:$B$310),INDEX(条幅!$K$11:$K$310,599-COUNTA(半紙!$B$11:$B$310)),IF(599&lt;=COUNTA(半紙!$B$11:$B$310)+COUNTA(条幅!$B$11:$B$310)+COUNTA(条幅4分の1!$B$11:$B$310),INDEX(条幅4分の1!$K$11:$K$310,599-COUNTA(半紙!$B$11:$B$310)-COUNTA(条幅!$B$11:$B$310)),"")))=0,"",IF(599&lt;=COUNTA(半紙!$B$11:$B$310),INDEX(半紙!$K$11:$K$310,599),IF(599&lt;=COUNTA(半紙!$B$11:$B$310)+COUNTA(条幅!$B$11:$B$310),INDEX(条幅!$K$11:$K$310,599-COUNTA(半紙!$B$11:$B$310)),IF(599&lt;=COUNTA(半紙!$B$11:$B$310)+COUNTA(条幅!$B$11:$B$310)+COUNTA(条幅4分の1!$B$11:$B$310),INDEX(条幅4分の1!$K$11:$K$310,599-COUNTA(半紙!$B$11:$B$310)-COUNTA(条幅!$B$11:$B$310)),""))))</f>
        <v/>
      </c>
      <c r="L604" s="48" t="str">
        <f>IF($B604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599))</f>
        <v/>
      </c>
    </row>
    <row r="605" spans="1:12" ht="15" customHeight="1">
      <c r="A605" s="37" t="str">
        <f>IF(600&lt;=COUNTA(半紙!$B$11:$B$310),"半紙",IF(600&lt;=COUNTA(半紙!$B$11:$B$310)+COUNTA(条幅!$B$11:$B$310),"条幅(半切)",IF(600&lt;=COUNTA(半紙!$B$11:$B$310)+COUNTA(条幅!$B$11:$B$310)+COUNTA(条幅4分の1!$B$11:$B$310),"条幅(1/4)","")))</f>
        <v/>
      </c>
      <c r="B605" s="38" t="str">
        <f>IF(IF(600&lt;=COUNTA(半紙!$B$11:$B$310),INDEX(半紙!$B$11:$B$310,600),IF(600&lt;=COUNTA(半紙!$B$11:$B$310)+COUNTA(条幅!$B$11:$B$310),INDEX(条幅!$B$11:$B$310,600-COUNTA(半紙!$B$11:$B$310)),IF(600&lt;=COUNTA(半紙!$B$11:$B$310)+COUNTA(条幅!$B$11:$B$310)+COUNTA(条幅4分の1!$B$11:$B$310),INDEX(条幅4分の1!$B$11:$B$310,600-COUNTA(半紙!$B$11:$B$310)-COUNTA(条幅!$B$11:$B$310)),"")))=0,"",IF(600&lt;=COUNTA(半紙!$B$11:$B$310),INDEX(半紙!$B$11:$B$310,600),IF(600&lt;=COUNTA(半紙!$B$11:$B$310)+COUNTA(条幅!$B$11:$B$310),INDEX(条幅!$B$11:$B$310,600-COUNTA(半紙!$B$11:$B$310)),IF(600&lt;=COUNTA(半紙!$B$11:$B$310)+COUNTA(条幅!$B$11:$B$310)+COUNTA(条幅4分の1!$B$11:$B$310),INDEX(条幅4分の1!$B$11:$B$310,600-COUNTA(半紙!$B$11:$B$310)-COUNTA(条幅!$B$11:$B$310)),""))))</f>
        <v/>
      </c>
      <c r="C605" s="38" t="str">
        <f>IF(IF(600&lt;=COUNTA(半紙!$B$11:$B$310),INDEX(半紙!$C$11:$C$310,600),IF(600&lt;=COUNTA(半紙!$B$11:$B$310)+COUNTA(条幅!$B$11:$B$310),INDEX(条幅!$C$11:$C$310,600-COUNTA(半紙!$B$11:$B$310)),IF(600&lt;=COUNTA(半紙!$B$11:$B$310)+COUNTA(条幅!$B$11:$B$310)+COUNTA(条幅4分の1!$B$11:$B$310),INDEX(条幅4分の1!$C$11:$C$310,600-COUNTA(半紙!$B$11:$B$310)-COUNTA(条幅!$B$11:$B$310)),"")))=0,"",IF(600&lt;=COUNTA(半紙!$B$11:$B$310),INDEX(半紙!$C$11:$C$310,600),IF(600&lt;=COUNTA(半紙!$B$11:$B$310)+COUNTA(条幅!$B$11:$B$310),INDEX(条幅!$C$11:$C$310,600-COUNTA(半紙!$B$11:$B$310)),IF(600&lt;=COUNTA(半紙!$B$11:$B$310)+COUNTA(条幅!$B$11:$B$310)+COUNTA(条幅4分の1!$B$11:$B$310),INDEX(条幅4分の1!$C$11:$C$310,600-COUNTA(半紙!$B$11:$B$310)-COUNTA(条幅!$B$11:$B$310)),""))))</f>
        <v/>
      </c>
      <c r="D605" s="38" t="str">
        <f>IF(IF(600&lt;=COUNTA(半紙!$B$11:$B$310),INDEX(半紙!$D$11:$D$310,600),IF(600&lt;=COUNTA(半紙!$B$11:$B$310)+COUNTA(条幅!$B$11:$B$310),INDEX(条幅!$D$11:$D$310,600-COUNTA(半紙!$B$11:$B$310)),IF(600&lt;=COUNTA(半紙!$B$11:$B$310)+COUNTA(条幅!$B$11:$B$310)+COUNTA(条幅4分の1!$B$11:$B$310),INDEX(条幅4分の1!$D$11:$D$310,600-COUNTA(半紙!$B$11:$B$310)-COUNTA(条幅!$B$11:$B$310)),"")))=0,"",IF(600&lt;=COUNTA(半紙!$B$11:$B$310),INDEX(半紙!$D$11:$D$310,600),IF(600&lt;=COUNTA(半紙!$B$11:$B$310)+COUNTA(条幅!$B$11:$B$310),INDEX(条幅!$D$11:$D$310,600-COUNTA(半紙!$B$11:$B$310)),IF(600&lt;=COUNTA(半紙!$B$11:$B$310)+COUNTA(条幅!$B$11:$B$310)+COUNTA(条幅4分の1!$B$11:$B$310),INDEX(条幅4分の1!$D$11:$D$310,600-COUNTA(半紙!$B$11:$B$310)-COUNTA(条幅!$B$11:$B$310)),""))))</f>
        <v/>
      </c>
      <c r="E605" s="38" t="str">
        <f>IF(IF(600&lt;=COUNTA(半紙!$B$11:$B$310),INDEX(半紙!$E$11:$E$310,600),IF(600&lt;=COUNTA(半紙!$B$11:$B$310)+COUNTA(条幅!$B$11:$B$310),INDEX(条幅!$E$11:$E$310,600-COUNTA(半紙!$B$11:$B$310)),IF(600&lt;=COUNTA(半紙!$B$11:$B$310)+COUNTA(条幅!$B$11:$B$310)+COUNTA(条幅4分の1!$B$11:$B$310),INDEX(条幅4分の1!$E$11:$E$310,600-COUNTA(半紙!$B$11:$B$310)-COUNTA(条幅!$B$11:$B$310)),"")))=0,"",IF(600&lt;=COUNTA(半紙!$B$11:$B$310),INDEX(半紙!$E$11:$E$310,600),IF(600&lt;=COUNTA(半紙!$B$11:$B$310)+COUNTA(条幅!$B$11:$B$310),INDEX(条幅!$E$11:$E$310,600-COUNTA(半紙!$B$11:$B$310)),IF(600&lt;=COUNTA(半紙!$B$11:$B$310)+COUNTA(条幅!$B$11:$B$310)+COUNTA(条幅4分の1!$B$11:$B$310),INDEX(条幅4分の1!$E$11:$E$310,600-COUNTA(半紙!$B$11:$B$310)-COUNTA(条幅!$B$11:$B$310)),""))))</f>
        <v/>
      </c>
      <c r="F605" s="38" t="str">
        <f>IF(IF(600&lt;=COUNTA(半紙!$B$11:$B$310),INDEX(半紙!$F$11:$F$310,600),IF(600&lt;=COUNTA(半紙!$B$11:$B$310)+COUNTA(条幅!$B$11:$B$310),INDEX(条幅!$F$11:$F$310,600-COUNTA(半紙!$B$11:$B$310)),IF(600&lt;=COUNTA(半紙!$B$11:$B$310)+COUNTA(条幅!$B$11:$B$310)+COUNTA(条幅4分の1!$B$11:$B$310),INDEX(条幅4分の1!$F$11:$F$310,600-COUNTA(半紙!$B$11:$B$310)-COUNTA(条幅!$B$11:$B$310)),"")))=0,"",IF(600&lt;=COUNTA(半紙!$B$11:$B$310),INDEX(半紙!$F$11:$F$310,600),IF(600&lt;=COUNTA(半紙!$B$11:$B$310)+COUNTA(条幅!$B$11:$B$310),INDEX(条幅!$F$11:$F$310,600-COUNTA(半紙!$B$11:$B$310)),IF(600&lt;=COUNTA(半紙!$B$11:$B$310)+COUNTA(条幅!$B$11:$B$310)+COUNTA(条幅4分の1!$B$11:$B$310),INDEX(条幅4分の1!$F$11:$F$310,600-COUNTA(半紙!$B$11:$B$310)-COUNTA(条幅!$B$11:$B$310)),""))))</f>
        <v/>
      </c>
      <c r="G605" s="38" t="str">
        <f>IF(IF(600&lt;=COUNTA(半紙!$B$11:$B$310),INDEX(半紙!$G$11:$G$310,600),IF(600&lt;=COUNTA(半紙!$B$11:$B$310)+COUNTA(条幅!$B$11:$B$310),INDEX(条幅!$G$11:$G$310,600-COUNTA(半紙!$B$11:$B$310)),IF(600&lt;=COUNTA(半紙!$B$11:$B$310)+COUNTA(条幅!$B$11:$B$310)+COUNTA(条幅4分の1!$B$11:$B$310),INDEX(条幅4分の1!$G$11:$G$310,600-COUNTA(半紙!$B$11:$B$310)-COUNTA(条幅!$B$11:$B$310)),"")))=0,"",IF(600&lt;=COUNTA(半紙!$B$11:$B$310),INDEX(半紙!$G$11:$G$310,600),IF(600&lt;=COUNTA(半紙!$B$11:$B$310)+COUNTA(条幅!$B$11:$B$310),INDEX(条幅!$G$11:$G$310,600-COUNTA(半紙!$B$11:$B$310)),IF(600&lt;=COUNTA(半紙!$B$11:$B$310)+COUNTA(条幅!$B$11:$B$310)+COUNTA(条幅4分の1!$B$11:$B$310),INDEX(条幅4分の1!$G$11:$G$310,600-COUNTA(半紙!$B$11:$B$310)-COUNTA(条幅!$B$11:$B$310)),""))))</f>
        <v/>
      </c>
      <c r="H605" s="38" t="str">
        <f>IF(IF(600&lt;=COUNTA(半紙!$B$11:$B$310),INDEX(半紙!$H$11:$H$310,600),IF(600&lt;=COUNTA(半紙!$B$11:$B$310)+COUNTA(条幅!$B$11:$B$310),INDEX(条幅!$H$11:$H$310,600-COUNTA(半紙!$B$11:$B$310)),IF(600&lt;=COUNTA(半紙!$B$11:$B$310)+COUNTA(条幅!$B$11:$B$310)+COUNTA(条幅4分の1!$B$11:$B$310),INDEX(条幅4分の1!$H$11:$H$310,600-COUNTA(半紙!$B$11:$B$310)-COUNTA(条幅!$B$11:$B$310)),"")))=0,"",IF(600&lt;=COUNTA(半紙!$B$11:$B$310),INDEX(半紙!$H$11:$H$310,600),IF(600&lt;=COUNTA(半紙!$B$11:$B$310)+COUNTA(条幅!$B$11:$B$310),INDEX(条幅!$H$11:$H$310,600-COUNTA(半紙!$B$11:$B$310)),IF(600&lt;=COUNTA(半紙!$B$11:$B$310)+COUNTA(条幅!$B$11:$B$310)+COUNTA(条幅4分の1!$B$11:$B$310),INDEX(条幅4分の1!$H$11:$H$310,600-COUNTA(半紙!$B$11:$B$310)-COUNTA(条幅!$B$11:$B$310)),""))))</f>
        <v/>
      </c>
      <c r="I605" s="38" t="str">
        <f>IF(IF(600&lt;=COUNTA(半紙!$B$11:$B$310),INDEX(半紙!$I$11:$I$310,600),IF(600&lt;=COUNTA(半紙!$B$11:$B$310)+COUNTA(条幅!$B$11:$B$310),INDEX(条幅!$I$11:$I$310,600-COUNTA(半紙!$B$11:$B$310)),IF(600&lt;=COUNTA(半紙!$B$11:$B$310)+COUNTA(条幅!$B$11:$B$310)+COUNTA(条幅4分の1!$B$11:$B$310),INDEX(条幅4分の1!$I$11:$I$310,600-COUNTA(半紙!$B$11:$B$310)-COUNTA(条幅!$B$11:$B$310)),"")))=0,"",IF(600&lt;=COUNTA(半紙!$B$11:$B$310),INDEX(半紙!$I$11:$I$310,600),IF(600&lt;=COUNTA(半紙!$B$11:$B$310)+COUNTA(条幅!$B$11:$B$310),INDEX(条幅!$I$11:$I$310,600-COUNTA(半紙!$B$11:$B$310)),IF(600&lt;=COUNTA(半紙!$B$11:$B$310)+COUNTA(条幅!$B$11:$B$310)+COUNTA(条幅4分の1!$B$11:$B$310),INDEX(条幅4分の1!$I$11:$I$310,600-COUNTA(半紙!$B$11:$B$310)-COUNTA(条幅!$B$11:$B$310)),""))))</f>
        <v/>
      </c>
      <c r="J605" s="38" t="str">
        <f>IF(IF(600&lt;=COUNTA(半紙!$B$11:$B$310),INDEX(半紙!$J$11:$J$310,600),IF(600&lt;=COUNTA(半紙!$B$11:$B$310)+COUNTA(条幅!$B$11:$B$310),INDEX(条幅!$J$11:$J$310,600-COUNTA(半紙!$B$11:$B$310)),IF(600&lt;=COUNTA(半紙!$B$11:$B$310)+COUNTA(条幅!$B$11:$B$310)+COUNTA(条幅4分の1!$B$11:$B$310),INDEX(条幅4分の1!$J$11:$J$310,600-COUNTA(半紙!$B$11:$B$310)-COUNTA(条幅!$B$11:$B$310)),"")))=0,"",IF(600&lt;=COUNTA(半紙!$B$11:$B$310),INDEX(半紙!$J$11:$J$310,600),IF(600&lt;=COUNTA(半紙!$B$11:$B$310)+COUNTA(条幅!$B$11:$B$310),INDEX(条幅!$J$11:$J$310,600-COUNTA(半紙!$B$11:$B$310)),IF(600&lt;=COUNTA(半紙!$B$11:$B$310)+COUNTA(条幅!$B$11:$B$310)+COUNTA(条幅4分の1!$B$11:$B$310),INDEX(条幅4分の1!$J$11:$J$310,600-COUNTA(半紙!$B$11:$B$310)-COUNTA(条幅!$B$11:$B$310)),""))))</f>
        <v/>
      </c>
      <c r="K605" s="38" t="str">
        <f>IF(IF(600&lt;=COUNTA(半紙!$B$11:$B$310),INDEX(半紙!$K$11:$K$310,600),IF(600&lt;=COUNTA(半紙!$B$11:$B$310)+COUNTA(条幅!$B$11:$B$310),INDEX(条幅!$K$11:$K$310,600-COUNTA(半紙!$B$11:$B$310)),IF(600&lt;=COUNTA(半紙!$B$11:$B$310)+COUNTA(条幅!$B$11:$B$310)+COUNTA(条幅4分の1!$B$11:$B$310),INDEX(条幅4分の1!$K$11:$K$310,600-COUNTA(半紙!$B$11:$B$310)-COUNTA(条幅!$B$11:$B$310)),"")))=0,"",IF(600&lt;=COUNTA(半紙!$B$11:$B$310),INDEX(半紙!$K$11:$K$310,600),IF(600&lt;=COUNTA(半紙!$B$11:$B$310)+COUNTA(条幅!$B$11:$B$310),INDEX(条幅!$K$11:$K$310,600-COUNTA(半紙!$B$11:$B$310)),IF(600&lt;=COUNTA(半紙!$B$11:$B$310)+COUNTA(条幅!$B$11:$B$310)+COUNTA(条幅4分の1!$B$11:$B$310),INDEX(条幅4分の1!$K$11:$K$310,600-COUNTA(半紙!$B$11:$B$310)-COUNTA(条幅!$B$11:$B$310)),""))))</f>
        <v/>
      </c>
      <c r="L605" s="48" t="str">
        <f>IF($B605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600))</f>
        <v/>
      </c>
    </row>
    <row r="606" spans="1:12" ht="15" customHeight="1">
      <c r="A606" s="37" t="str">
        <f>IF(601&lt;=COUNTA(半紙!$B$11:$B$310),"半紙",IF(601&lt;=COUNTA(半紙!$B$11:$B$310)+COUNTA(条幅!$B$11:$B$310),"条幅(半切)",IF(601&lt;=COUNTA(半紙!$B$11:$B$310)+COUNTA(条幅!$B$11:$B$310)+COUNTA(条幅4分の1!$B$11:$B$310),"条幅(1/4)","")))</f>
        <v/>
      </c>
      <c r="B606" s="38" t="str">
        <f>IF(IF(601&lt;=COUNTA(半紙!$B$11:$B$310),INDEX(半紙!$B$11:$B$310,601),IF(601&lt;=COUNTA(半紙!$B$11:$B$310)+COUNTA(条幅!$B$11:$B$310),INDEX(条幅!$B$11:$B$310,601-COUNTA(半紙!$B$11:$B$310)),IF(601&lt;=COUNTA(半紙!$B$11:$B$310)+COUNTA(条幅!$B$11:$B$310)+COUNTA(条幅4分の1!$B$11:$B$310),INDEX(条幅4分の1!$B$11:$B$310,601-COUNTA(半紙!$B$11:$B$310)-COUNTA(条幅!$B$11:$B$310)),"")))=0,"",IF(601&lt;=COUNTA(半紙!$B$11:$B$310),INDEX(半紙!$B$11:$B$310,601),IF(601&lt;=COUNTA(半紙!$B$11:$B$310)+COUNTA(条幅!$B$11:$B$310),INDEX(条幅!$B$11:$B$310,601-COUNTA(半紙!$B$11:$B$310)),IF(601&lt;=COUNTA(半紙!$B$11:$B$310)+COUNTA(条幅!$B$11:$B$310)+COUNTA(条幅4分の1!$B$11:$B$310),INDEX(条幅4分の1!$B$11:$B$310,601-COUNTA(半紙!$B$11:$B$310)-COUNTA(条幅!$B$11:$B$310)),""))))</f>
        <v/>
      </c>
      <c r="C606" s="38" t="str">
        <f>IF(IF(601&lt;=COUNTA(半紙!$B$11:$B$310),INDEX(半紙!$C$11:$C$310,601),IF(601&lt;=COUNTA(半紙!$B$11:$B$310)+COUNTA(条幅!$B$11:$B$310),INDEX(条幅!$C$11:$C$310,601-COUNTA(半紙!$B$11:$B$310)),IF(601&lt;=COUNTA(半紙!$B$11:$B$310)+COUNTA(条幅!$B$11:$B$310)+COUNTA(条幅4分の1!$B$11:$B$310),INDEX(条幅4分の1!$C$11:$C$310,601-COUNTA(半紙!$B$11:$B$310)-COUNTA(条幅!$B$11:$B$310)),"")))=0,"",IF(601&lt;=COUNTA(半紙!$B$11:$B$310),INDEX(半紙!$C$11:$C$310,601),IF(601&lt;=COUNTA(半紙!$B$11:$B$310)+COUNTA(条幅!$B$11:$B$310),INDEX(条幅!$C$11:$C$310,601-COUNTA(半紙!$B$11:$B$310)),IF(601&lt;=COUNTA(半紙!$B$11:$B$310)+COUNTA(条幅!$B$11:$B$310)+COUNTA(条幅4分の1!$B$11:$B$310),INDEX(条幅4分の1!$C$11:$C$310,601-COUNTA(半紙!$B$11:$B$310)-COUNTA(条幅!$B$11:$B$310)),""))))</f>
        <v/>
      </c>
      <c r="D606" s="38" t="str">
        <f>IF(IF(601&lt;=COUNTA(半紙!$B$11:$B$310),INDEX(半紙!$D$11:$D$310,601),IF(601&lt;=COUNTA(半紙!$B$11:$B$310)+COUNTA(条幅!$B$11:$B$310),INDEX(条幅!$D$11:$D$310,601-COUNTA(半紙!$B$11:$B$310)),IF(601&lt;=COUNTA(半紙!$B$11:$B$310)+COUNTA(条幅!$B$11:$B$310)+COUNTA(条幅4分の1!$B$11:$B$310),INDEX(条幅4分の1!$D$11:$D$310,601-COUNTA(半紙!$B$11:$B$310)-COUNTA(条幅!$B$11:$B$310)),"")))=0,"",IF(601&lt;=COUNTA(半紙!$B$11:$B$310),INDEX(半紙!$D$11:$D$310,601),IF(601&lt;=COUNTA(半紙!$B$11:$B$310)+COUNTA(条幅!$B$11:$B$310),INDEX(条幅!$D$11:$D$310,601-COUNTA(半紙!$B$11:$B$310)),IF(601&lt;=COUNTA(半紙!$B$11:$B$310)+COUNTA(条幅!$B$11:$B$310)+COUNTA(条幅4分の1!$B$11:$B$310),INDEX(条幅4分の1!$D$11:$D$310,601-COUNTA(半紙!$B$11:$B$310)-COUNTA(条幅!$B$11:$B$310)),""))))</f>
        <v/>
      </c>
      <c r="E606" s="38" t="str">
        <f>IF(IF(601&lt;=COUNTA(半紙!$B$11:$B$310),INDEX(半紙!$E$11:$E$310,601),IF(601&lt;=COUNTA(半紙!$B$11:$B$310)+COUNTA(条幅!$B$11:$B$310),INDEX(条幅!$E$11:$E$310,601-COUNTA(半紙!$B$11:$B$310)),IF(601&lt;=COUNTA(半紙!$B$11:$B$310)+COUNTA(条幅!$B$11:$B$310)+COUNTA(条幅4分の1!$B$11:$B$310),INDEX(条幅4分の1!$E$11:$E$310,601-COUNTA(半紙!$B$11:$B$310)-COUNTA(条幅!$B$11:$B$310)),"")))=0,"",IF(601&lt;=COUNTA(半紙!$B$11:$B$310),INDEX(半紙!$E$11:$E$310,601),IF(601&lt;=COUNTA(半紙!$B$11:$B$310)+COUNTA(条幅!$B$11:$B$310),INDEX(条幅!$E$11:$E$310,601-COUNTA(半紙!$B$11:$B$310)),IF(601&lt;=COUNTA(半紙!$B$11:$B$310)+COUNTA(条幅!$B$11:$B$310)+COUNTA(条幅4分の1!$B$11:$B$310),INDEX(条幅4分の1!$E$11:$E$310,601-COUNTA(半紙!$B$11:$B$310)-COUNTA(条幅!$B$11:$B$310)),""))))</f>
        <v/>
      </c>
      <c r="F606" s="38" t="str">
        <f>IF(IF(601&lt;=COUNTA(半紙!$B$11:$B$310),INDEX(半紙!$F$11:$F$310,601),IF(601&lt;=COUNTA(半紙!$B$11:$B$310)+COUNTA(条幅!$B$11:$B$310),INDEX(条幅!$F$11:$F$310,601-COUNTA(半紙!$B$11:$B$310)),IF(601&lt;=COUNTA(半紙!$B$11:$B$310)+COUNTA(条幅!$B$11:$B$310)+COUNTA(条幅4分の1!$B$11:$B$310),INDEX(条幅4分の1!$F$11:$F$310,601-COUNTA(半紙!$B$11:$B$310)-COUNTA(条幅!$B$11:$B$310)),"")))=0,"",IF(601&lt;=COUNTA(半紙!$B$11:$B$310),INDEX(半紙!$F$11:$F$310,601),IF(601&lt;=COUNTA(半紙!$B$11:$B$310)+COUNTA(条幅!$B$11:$B$310),INDEX(条幅!$F$11:$F$310,601-COUNTA(半紙!$B$11:$B$310)),IF(601&lt;=COUNTA(半紙!$B$11:$B$310)+COUNTA(条幅!$B$11:$B$310)+COUNTA(条幅4分の1!$B$11:$B$310),INDEX(条幅4分の1!$F$11:$F$310,601-COUNTA(半紙!$B$11:$B$310)-COUNTA(条幅!$B$11:$B$310)),""))))</f>
        <v/>
      </c>
      <c r="G606" s="38" t="str">
        <f>IF(IF(601&lt;=COUNTA(半紙!$B$11:$B$310),INDEX(半紙!$G$11:$G$310,601),IF(601&lt;=COUNTA(半紙!$B$11:$B$310)+COUNTA(条幅!$B$11:$B$310),INDEX(条幅!$G$11:$G$310,601-COUNTA(半紙!$B$11:$B$310)),IF(601&lt;=COUNTA(半紙!$B$11:$B$310)+COUNTA(条幅!$B$11:$B$310)+COUNTA(条幅4分の1!$B$11:$B$310),INDEX(条幅4分の1!$G$11:$G$310,601-COUNTA(半紙!$B$11:$B$310)-COUNTA(条幅!$B$11:$B$310)),"")))=0,"",IF(601&lt;=COUNTA(半紙!$B$11:$B$310),INDEX(半紙!$G$11:$G$310,601),IF(601&lt;=COUNTA(半紙!$B$11:$B$310)+COUNTA(条幅!$B$11:$B$310),INDEX(条幅!$G$11:$G$310,601-COUNTA(半紙!$B$11:$B$310)),IF(601&lt;=COUNTA(半紙!$B$11:$B$310)+COUNTA(条幅!$B$11:$B$310)+COUNTA(条幅4分の1!$B$11:$B$310),INDEX(条幅4分の1!$G$11:$G$310,601-COUNTA(半紙!$B$11:$B$310)-COUNTA(条幅!$B$11:$B$310)),""))))</f>
        <v/>
      </c>
      <c r="H606" s="38" t="str">
        <f>IF(IF(601&lt;=COUNTA(半紙!$B$11:$B$310),INDEX(半紙!$H$11:$H$310,601),IF(601&lt;=COUNTA(半紙!$B$11:$B$310)+COUNTA(条幅!$B$11:$B$310),INDEX(条幅!$H$11:$H$310,601-COUNTA(半紙!$B$11:$B$310)),IF(601&lt;=COUNTA(半紙!$B$11:$B$310)+COUNTA(条幅!$B$11:$B$310)+COUNTA(条幅4分の1!$B$11:$B$310),INDEX(条幅4分の1!$H$11:$H$310,601-COUNTA(半紙!$B$11:$B$310)-COUNTA(条幅!$B$11:$B$310)),"")))=0,"",IF(601&lt;=COUNTA(半紙!$B$11:$B$310),INDEX(半紙!$H$11:$H$310,601),IF(601&lt;=COUNTA(半紙!$B$11:$B$310)+COUNTA(条幅!$B$11:$B$310),INDEX(条幅!$H$11:$H$310,601-COUNTA(半紙!$B$11:$B$310)),IF(601&lt;=COUNTA(半紙!$B$11:$B$310)+COUNTA(条幅!$B$11:$B$310)+COUNTA(条幅4分の1!$B$11:$B$310),INDEX(条幅4分の1!$H$11:$H$310,601-COUNTA(半紙!$B$11:$B$310)-COUNTA(条幅!$B$11:$B$310)),""))))</f>
        <v/>
      </c>
      <c r="I606" s="38" t="str">
        <f>IF(IF(601&lt;=COUNTA(半紙!$B$11:$B$310),INDEX(半紙!$I$11:$I$310,601),IF(601&lt;=COUNTA(半紙!$B$11:$B$310)+COUNTA(条幅!$B$11:$B$310),INDEX(条幅!$I$11:$I$310,601-COUNTA(半紙!$B$11:$B$310)),IF(601&lt;=COUNTA(半紙!$B$11:$B$310)+COUNTA(条幅!$B$11:$B$310)+COUNTA(条幅4分の1!$B$11:$B$310),INDEX(条幅4分の1!$I$11:$I$310,601-COUNTA(半紙!$B$11:$B$310)-COUNTA(条幅!$B$11:$B$310)),"")))=0,"",IF(601&lt;=COUNTA(半紙!$B$11:$B$310),INDEX(半紙!$I$11:$I$310,601),IF(601&lt;=COUNTA(半紙!$B$11:$B$310)+COUNTA(条幅!$B$11:$B$310),INDEX(条幅!$I$11:$I$310,601-COUNTA(半紙!$B$11:$B$310)),IF(601&lt;=COUNTA(半紙!$B$11:$B$310)+COUNTA(条幅!$B$11:$B$310)+COUNTA(条幅4分の1!$B$11:$B$310),INDEX(条幅4分の1!$I$11:$I$310,601-COUNTA(半紙!$B$11:$B$310)-COUNTA(条幅!$B$11:$B$310)),""))))</f>
        <v/>
      </c>
      <c r="J606" s="38" t="str">
        <f>IF(IF(601&lt;=COUNTA(半紙!$B$11:$B$310),INDEX(半紙!$J$11:$J$310,601),IF(601&lt;=COUNTA(半紙!$B$11:$B$310)+COUNTA(条幅!$B$11:$B$310),INDEX(条幅!$J$11:$J$310,601-COUNTA(半紙!$B$11:$B$310)),IF(601&lt;=COUNTA(半紙!$B$11:$B$310)+COUNTA(条幅!$B$11:$B$310)+COUNTA(条幅4分の1!$B$11:$B$310),INDEX(条幅4分の1!$J$11:$J$310,601-COUNTA(半紙!$B$11:$B$310)-COUNTA(条幅!$B$11:$B$310)),"")))=0,"",IF(601&lt;=COUNTA(半紙!$B$11:$B$310),INDEX(半紙!$J$11:$J$310,601),IF(601&lt;=COUNTA(半紙!$B$11:$B$310)+COUNTA(条幅!$B$11:$B$310),INDEX(条幅!$J$11:$J$310,601-COUNTA(半紙!$B$11:$B$310)),IF(601&lt;=COUNTA(半紙!$B$11:$B$310)+COUNTA(条幅!$B$11:$B$310)+COUNTA(条幅4分の1!$B$11:$B$310),INDEX(条幅4分の1!$J$11:$J$310,601-COUNTA(半紙!$B$11:$B$310)-COUNTA(条幅!$B$11:$B$310)),""))))</f>
        <v/>
      </c>
      <c r="K606" s="38" t="str">
        <f>IF(IF(601&lt;=COUNTA(半紙!$B$11:$B$310),INDEX(半紙!$K$11:$K$310,601),IF(601&lt;=COUNTA(半紙!$B$11:$B$310)+COUNTA(条幅!$B$11:$B$310),INDEX(条幅!$K$11:$K$310,601-COUNTA(半紙!$B$11:$B$310)),IF(601&lt;=COUNTA(半紙!$B$11:$B$310)+COUNTA(条幅!$B$11:$B$310)+COUNTA(条幅4分の1!$B$11:$B$310),INDEX(条幅4分の1!$K$11:$K$310,601-COUNTA(半紙!$B$11:$B$310)-COUNTA(条幅!$B$11:$B$310)),"")))=0,"",IF(601&lt;=COUNTA(半紙!$B$11:$B$310),INDEX(半紙!$K$11:$K$310,601),IF(601&lt;=COUNTA(半紙!$B$11:$B$310)+COUNTA(条幅!$B$11:$B$310),INDEX(条幅!$K$11:$K$310,601-COUNTA(半紙!$B$11:$B$310)),IF(601&lt;=COUNTA(半紙!$B$11:$B$310)+COUNTA(条幅!$B$11:$B$310)+COUNTA(条幅4分の1!$B$11:$B$310),INDEX(条幅4分の1!$K$11:$K$310,601-COUNTA(半紙!$B$11:$B$310)-COUNTA(条幅!$B$11:$B$310)),""))))</f>
        <v/>
      </c>
      <c r="L606" s="48" t="str">
        <f>IF($B606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601))</f>
        <v/>
      </c>
    </row>
    <row r="607" spans="1:12" ht="15" customHeight="1">
      <c r="A607" s="37" t="str">
        <f>IF(602&lt;=COUNTA(半紙!$B$11:$B$310),"半紙",IF(602&lt;=COUNTA(半紙!$B$11:$B$310)+COUNTA(条幅!$B$11:$B$310),"条幅(半切)",IF(602&lt;=COUNTA(半紙!$B$11:$B$310)+COUNTA(条幅!$B$11:$B$310)+COUNTA(条幅4分の1!$B$11:$B$310),"条幅(1/4)","")))</f>
        <v/>
      </c>
      <c r="B607" s="38" t="str">
        <f>IF(IF(602&lt;=COUNTA(半紙!$B$11:$B$310),INDEX(半紙!$B$11:$B$310,602),IF(602&lt;=COUNTA(半紙!$B$11:$B$310)+COUNTA(条幅!$B$11:$B$310),INDEX(条幅!$B$11:$B$310,602-COUNTA(半紙!$B$11:$B$310)),IF(602&lt;=COUNTA(半紙!$B$11:$B$310)+COUNTA(条幅!$B$11:$B$310)+COUNTA(条幅4分の1!$B$11:$B$310),INDEX(条幅4分の1!$B$11:$B$310,602-COUNTA(半紙!$B$11:$B$310)-COUNTA(条幅!$B$11:$B$310)),"")))=0,"",IF(602&lt;=COUNTA(半紙!$B$11:$B$310),INDEX(半紙!$B$11:$B$310,602),IF(602&lt;=COUNTA(半紙!$B$11:$B$310)+COUNTA(条幅!$B$11:$B$310),INDEX(条幅!$B$11:$B$310,602-COUNTA(半紙!$B$11:$B$310)),IF(602&lt;=COUNTA(半紙!$B$11:$B$310)+COUNTA(条幅!$B$11:$B$310)+COUNTA(条幅4分の1!$B$11:$B$310),INDEX(条幅4分の1!$B$11:$B$310,602-COUNTA(半紙!$B$11:$B$310)-COUNTA(条幅!$B$11:$B$310)),""))))</f>
        <v/>
      </c>
      <c r="C607" s="38" t="str">
        <f>IF(IF(602&lt;=COUNTA(半紙!$B$11:$B$310),INDEX(半紙!$C$11:$C$310,602),IF(602&lt;=COUNTA(半紙!$B$11:$B$310)+COUNTA(条幅!$B$11:$B$310),INDEX(条幅!$C$11:$C$310,602-COUNTA(半紙!$B$11:$B$310)),IF(602&lt;=COUNTA(半紙!$B$11:$B$310)+COUNTA(条幅!$B$11:$B$310)+COUNTA(条幅4分の1!$B$11:$B$310),INDEX(条幅4分の1!$C$11:$C$310,602-COUNTA(半紙!$B$11:$B$310)-COUNTA(条幅!$B$11:$B$310)),"")))=0,"",IF(602&lt;=COUNTA(半紙!$B$11:$B$310),INDEX(半紙!$C$11:$C$310,602),IF(602&lt;=COUNTA(半紙!$B$11:$B$310)+COUNTA(条幅!$B$11:$B$310),INDEX(条幅!$C$11:$C$310,602-COUNTA(半紙!$B$11:$B$310)),IF(602&lt;=COUNTA(半紙!$B$11:$B$310)+COUNTA(条幅!$B$11:$B$310)+COUNTA(条幅4分の1!$B$11:$B$310),INDEX(条幅4分の1!$C$11:$C$310,602-COUNTA(半紙!$B$11:$B$310)-COUNTA(条幅!$B$11:$B$310)),""))))</f>
        <v/>
      </c>
      <c r="D607" s="38" t="str">
        <f>IF(IF(602&lt;=COUNTA(半紙!$B$11:$B$310),INDEX(半紙!$D$11:$D$310,602),IF(602&lt;=COUNTA(半紙!$B$11:$B$310)+COUNTA(条幅!$B$11:$B$310),INDEX(条幅!$D$11:$D$310,602-COUNTA(半紙!$B$11:$B$310)),IF(602&lt;=COUNTA(半紙!$B$11:$B$310)+COUNTA(条幅!$B$11:$B$310)+COUNTA(条幅4分の1!$B$11:$B$310),INDEX(条幅4分の1!$D$11:$D$310,602-COUNTA(半紙!$B$11:$B$310)-COUNTA(条幅!$B$11:$B$310)),"")))=0,"",IF(602&lt;=COUNTA(半紙!$B$11:$B$310),INDEX(半紙!$D$11:$D$310,602),IF(602&lt;=COUNTA(半紙!$B$11:$B$310)+COUNTA(条幅!$B$11:$B$310),INDEX(条幅!$D$11:$D$310,602-COUNTA(半紙!$B$11:$B$310)),IF(602&lt;=COUNTA(半紙!$B$11:$B$310)+COUNTA(条幅!$B$11:$B$310)+COUNTA(条幅4分の1!$B$11:$B$310),INDEX(条幅4分の1!$D$11:$D$310,602-COUNTA(半紙!$B$11:$B$310)-COUNTA(条幅!$B$11:$B$310)),""))))</f>
        <v/>
      </c>
      <c r="E607" s="38" t="str">
        <f>IF(IF(602&lt;=COUNTA(半紙!$B$11:$B$310),INDEX(半紙!$E$11:$E$310,602),IF(602&lt;=COUNTA(半紙!$B$11:$B$310)+COUNTA(条幅!$B$11:$B$310),INDEX(条幅!$E$11:$E$310,602-COUNTA(半紙!$B$11:$B$310)),IF(602&lt;=COUNTA(半紙!$B$11:$B$310)+COUNTA(条幅!$B$11:$B$310)+COUNTA(条幅4分の1!$B$11:$B$310),INDEX(条幅4分の1!$E$11:$E$310,602-COUNTA(半紙!$B$11:$B$310)-COUNTA(条幅!$B$11:$B$310)),"")))=0,"",IF(602&lt;=COUNTA(半紙!$B$11:$B$310),INDEX(半紙!$E$11:$E$310,602),IF(602&lt;=COUNTA(半紙!$B$11:$B$310)+COUNTA(条幅!$B$11:$B$310),INDEX(条幅!$E$11:$E$310,602-COUNTA(半紙!$B$11:$B$310)),IF(602&lt;=COUNTA(半紙!$B$11:$B$310)+COUNTA(条幅!$B$11:$B$310)+COUNTA(条幅4分の1!$B$11:$B$310),INDEX(条幅4分の1!$E$11:$E$310,602-COUNTA(半紙!$B$11:$B$310)-COUNTA(条幅!$B$11:$B$310)),""))))</f>
        <v/>
      </c>
      <c r="F607" s="38" t="str">
        <f>IF(IF(602&lt;=COUNTA(半紙!$B$11:$B$310),INDEX(半紙!$F$11:$F$310,602),IF(602&lt;=COUNTA(半紙!$B$11:$B$310)+COUNTA(条幅!$B$11:$B$310),INDEX(条幅!$F$11:$F$310,602-COUNTA(半紙!$B$11:$B$310)),IF(602&lt;=COUNTA(半紙!$B$11:$B$310)+COUNTA(条幅!$B$11:$B$310)+COUNTA(条幅4分の1!$B$11:$B$310),INDEX(条幅4分の1!$F$11:$F$310,602-COUNTA(半紙!$B$11:$B$310)-COUNTA(条幅!$B$11:$B$310)),"")))=0,"",IF(602&lt;=COUNTA(半紙!$B$11:$B$310),INDEX(半紙!$F$11:$F$310,602),IF(602&lt;=COUNTA(半紙!$B$11:$B$310)+COUNTA(条幅!$B$11:$B$310),INDEX(条幅!$F$11:$F$310,602-COUNTA(半紙!$B$11:$B$310)),IF(602&lt;=COUNTA(半紙!$B$11:$B$310)+COUNTA(条幅!$B$11:$B$310)+COUNTA(条幅4分の1!$B$11:$B$310),INDEX(条幅4分の1!$F$11:$F$310,602-COUNTA(半紙!$B$11:$B$310)-COUNTA(条幅!$B$11:$B$310)),""))))</f>
        <v/>
      </c>
      <c r="G607" s="38" t="str">
        <f>IF(IF(602&lt;=COUNTA(半紙!$B$11:$B$310),INDEX(半紙!$G$11:$G$310,602),IF(602&lt;=COUNTA(半紙!$B$11:$B$310)+COUNTA(条幅!$B$11:$B$310),INDEX(条幅!$G$11:$G$310,602-COUNTA(半紙!$B$11:$B$310)),IF(602&lt;=COUNTA(半紙!$B$11:$B$310)+COUNTA(条幅!$B$11:$B$310)+COUNTA(条幅4分の1!$B$11:$B$310),INDEX(条幅4分の1!$G$11:$G$310,602-COUNTA(半紙!$B$11:$B$310)-COUNTA(条幅!$B$11:$B$310)),"")))=0,"",IF(602&lt;=COUNTA(半紙!$B$11:$B$310),INDEX(半紙!$G$11:$G$310,602),IF(602&lt;=COUNTA(半紙!$B$11:$B$310)+COUNTA(条幅!$B$11:$B$310),INDEX(条幅!$G$11:$G$310,602-COUNTA(半紙!$B$11:$B$310)),IF(602&lt;=COUNTA(半紙!$B$11:$B$310)+COUNTA(条幅!$B$11:$B$310)+COUNTA(条幅4分の1!$B$11:$B$310),INDEX(条幅4分の1!$G$11:$G$310,602-COUNTA(半紙!$B$11:$B$310)-COUNTA(条幅!$B$11:$B$310)),""))))</f>
        <v/>
      </c>
      <c r="H607" s="38" t="str">
        <f>IF(IF(602&lt;=COUNTA(半紙!$B$11:$B$310),INDEX(半紙!$H$11:$H$310,602),IF(602&lt;=COUNTA(半紙!$B$11:$B$310)+COUNTA(条幅!$B$11:$B$310),INDEX(条幅!$H$11:$H$310,602-COUNTA(半紙!$B$11:$B$310)),IF(602&lt;=COUNTA(半紙!$B$11:$B$310)+COUNTA(条幅!$B$11:$B$310)+COUNTA(条幅4分の1!$B$11:$B$310),INDEX(条幅4分の1!$H$11:$H$310,602-COUNTA(半紙!$B$11:$B$310)-COUNTA(条幅!$B$11:$B$310)),"")))=0,"",IF(602&lt;=COUNTA(半紙!$B$11:$B$310),INDEX(半紙!$H$11:$H$310,602),IF(602&lt;=COUNTA(半紙!$B$11:$B$310)+COUNTA(条幅!$B$11:$B$310),INDEX(条幅!$H$11:$H$310,602-COUNTA(半紙!$B$11:$B$310)),IF(602&lt;=COUNTA(半紙!$B$11:$B$310)+COUNTA(条幅!$B$11:$B$310)+COUNTA(条幅4分の1!$B$11:$B$310),INDEX(条幅4分の1!$H$11:$H$310,602-COUNTA(半紙!$B$11:$B$310)-COUNTA(条幅!$B$11:$B$310)),""))))</f>
        <v/>
      </c>
      <c r="I607" s="38" t="str">
        <f>IF(IF(602&lt;=COUNTA(半紙!$B$11:$B$310),INDEX(半紙!$I$11:$I$310,602),IF(602&lt;=COUNTA(半紙!$B$11:$B$310)+COUNTA(条幅!$B$11:$B$310),INDEX(条幅!$I$11:$I$310,602-COUNTA(半紙!$B$11:$B$310)),IF(602&lt;=COUNTA(半紙!$B$11:$B$310)+COUNTA(条幅!$B$11:$B$310)+COUNTA(条幅4分の1!$B$11:$B$310),INDEX(条幅4分の1!$I$11:$I$310,602-COUNTA(半紙!$B$11:$B$310)-COUNTA(条幅!$B$11:$B$310)),"")))=0,"",IF(602&lt;=COUNTA(半紙!$B$11:$B$310),INDEX(半紙!$I$11:$I$310,602),IF(602&lt;=COUNTA(半紙!$B$11:$B$310)+COUNTA(条幅!$B$11:$B$310),INDEX(条幅!$I$11:$I$310,602-COUNTA(半紙!$B$11:$B$310)),IF(602&lt;=COUNTA(半紙!$B$11:$B$310)+COUNTA(条幅!$B$11:$B$310)+COUNTA(条幅4分の1!$B$11:$B$310),INDEX(条幅4分の1!$I$11:$I$310,602-COUNTA(半紙!$B$11:$B$310)-COUNTA(条幅!$B$11:$B$310)),""))))</f>
        <v/>
      </c>
      <c r="J607" s="38" t="str">
        <f>IF(IF(602&lt;=COUNTA(半紙!$B$11:$B$310),INDEX(半紙!$J$11:$J$310,602),IF(602&lt;=COUNTA(半紙!$B$11:$B$310)+COUNTA(条幅!$B$11:$B$310),INDEX(条幅!$J$11:$J$310,602-COUNTA(半紙!$B$11:$B$310)),IF(602&lt;=COUNTA(半紙!$B$11:$B$310)+COUNTA(条幅!$B$11:$B$310)+COUNTA(条幅4分の1!$B$11:$B$310),INDEX(条幅4分の1!$J$11:$J$310,602-COUNTA(半紙!$B$11:$B$310)-COUNTA(条幅!$B$11:$B$310)),"")))=0,"",IF(602&lt;=COUNTA(半紙!$B$11:$B$310),INDEX(半紙!$J$11:$J$310,602),IF(602&lt;=COUNTA(半紙!$B$11:$B$310)+COUNTA(条幅!$B$11:$B$310),INDEX(条幅!$J$11:$J$310,602-COUNTA(半紙!$B$11:$B$310)),IF(602&lt;=COUNTA(半紙!$B$11:$B$310)+COUNTA(条幅!$B$11:$B$310)+COUNTA(条幅4分の1!$B$11:$B$310),INDEX(条幅4分の1!$J$11:$J$310,602-COUNTA(半紙!$B$11:$B$310)-COUNTA(条幅!$B$11:$B$310)),""))))</f>
        <v/>
      </c>
      <c r="K607" s="38" t="str">
        <f>IF(IF(602&lt;=COUNTA(半紙!$B$11:$B$310),INDEX(半紙!$K$11:$K$310,602),IF(602&lt;=COUNTA(半紙!$B$11:$B$310)+COUNTA(条幅!$B$11:$B$310),INDEX(条幅!$K$11:$K$310,602-COUNTA(半紙!$B$11:$B$310)),IF(602&lt;=COUNTA(半紙!$B$11:$B$310)+COUNTA(条幅!$B$11:$B$310)+COUNTA(条幅4分の1!$B$11:$B$310),INDEX(条幅4分の1!$K$11:$K$310,602-COUNTA(半紙!$B$11:$B$310)-COUNTA(条幅!$B$11:$B$310)),"")))=0,"",IF(602&lt;=COUNTA(半紙!$B$11:$B$310),INDEX(半紙!$K$11:$K$310,602),IF(602&lt;=COUNTA(半紙!$B$11:$B$310)+COUNTA(条幅!$B$11:$B$310),INDEX(条幅!$K$11:$K$310,602-COUNTA(半紙!$B$11:$B$310)),IF(602&lt;=COUNTA(半紙!$B$11:$B$310)+COUNTA(条幅!$B$11:$B$310)+COUNTA(条幅4分の1!$B$11:$B$310),INDEX(条幅4分の1!$K$11:$K$310,602-COUNTA(半紙!$B$11:$B$310)-COUNTA(条幅!$B$11:$B$310)),""))))</f>
        <v/>
      </c>
      <c r="L607" s="48" t="str">
        <f>IF($B607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602))</f>
        <v/>
      </c>
    </row>
    <row r="608" spans="1:12" ht="15" customHeight="1">
      <c r="A608" s="37" t="str">
        <f>IF(603&lt;=COUNTA(半紙!$B$11:$B$310),"半紙",IF(603&lt;=COUNTA(半紙!$B$11:$B$310)+COUNTA(条幅!$B$11:$B$310),"条幅(半切)",IF(603&lt;=COUNTA(半紙!$B$11:$B$310)+COUNTA(条幅!$B$11:$B$310)+COUNTA(条幅4分の1!$B$11:$B$310),"条幅(1/4)","")))</f>
        <v/>
      </c>
      <c r="B608" s="38" t="str">
        <f>IF(IF(603&lt;=COUNTA(半紙!$B$11:$B$310),INDEX(半紙!$B$11:$B$310,603),IF(603&lt;=COUNTA(半紙!$B$11:$B$310)+COUNTA(条幅!$B$11:$B$310),INDEX(条幅!$B$11:$B$310,603-COUNTA(半紙!$B$11:$B$310)),IF(603&lt;=COUNTA(半紙!$B$11:$B$310)+COUNTA(条幅!$B$11:$B$310)+COUNTA(条幅4分の1!$B$11:$B$310),INDEX(条幅4分の1!$B$11:$B$310,603-COUNTA(半紙!$B$11:$B$310)-COUNTA(条幅!$B$11:$B$310)),"")))=0,"",IF(603&lt;=COUNTA(半紙!$B$11:$B$310),INDEX(半紙!$B$11:$B$310,603),IF(603&lt;=COUNTA(半紙!$B$11:$B$310)+COUNTA(条幅!$B$11:$B$310),INDEX(条幅!$B$11:$B$310,603-COUNTA(半紙!$B$11:$B$310)),IF(603&lt;=COUNTA(半紙!$B$11:$B$310)+COUNTA(条幅!$B$11:$B$310)+COUNTA(条幅4分の1!$B$11:$B$310),INDEX(条幅4分の1!$B$11:$B$310,603-COUNTA(半紙!$B$11:$B$310)-COUNTA(条幅!$B$11:$B$310)),""))))</f>
        <v/>
      </c>
      <c r="C608" s="38" t="str">
        <f>IF(IF(603&lt;=COUNTA(半紙!$B$11:$B$310),INDEX(半紙!$C$11:$C$310,603),IF(603&lt;=COUNTA(半紙!$B$11:$B$310)+COUNTA(条幅!$B$11:$B$310),INDEX(条幅!$C$11:$C$310,603-COUNTA(半紙!$B$11:$B$310)),IF(603&lt;=COUNTA(半紙!$B$11:$B$310)+COUNTA(条幅!$B$11:$B$310)+COUNTA(条幅4分の1!$B$11:$B$310),INDEX(条幅4分の1!$C$11:$C$310,603-COUNTA(半紙!$B$11:$B$310)-COUNTA(条幅!$B$11:$B$310)),"")))=0,"",IF(603&lt;=COUNTA(半紙!$B$11:$B$310),INDEX(半紙!$C$11:$C$310,603),IF(603&lt;=COUNTA(半紙!$B$11:$B$310)+COUNTA(条幅!$B$11:$B$310),INDEX(条幅!$C$11:$C$310,603-COUNTA(半紙!$B$11:$B$310)),IF(603&lt;=COUNTA(半紙!$B$11:$B$310)+COUNTA(条幅!$B$11:$B$310)+COUNTA(条幅4分の1!$B$11:$B$310),INDEX(条幅4分の1!$C$11:$C$310,603-COUNTA(半紙!$B$11:$B$310)-COUNTA(条幅!$B$11:$B$310)),""))))</f>
        <v/>
      </c>
      <c r="D608" s="38" t="str">
        <f>IF(IF(603&lt;=COUNTA(半紙!$B$11:$B$310),INDEX(半紙!$D$11:$D$310,603),IF(603&lt;=COUNTA(半紙!$B$11:$B$310)+COUNTA(条幅!$B$11:$B$310),INDEX(条幅!$D$11:$D$310,603-COUNTA(半紙!$B$11:$B$310)),IF(603&lt;=COUNTA(半紙!$B$11:$B$310)+COUNTA(条幅!$B$11:$B$310)+COUNTA(条幅4分の1!$B$11:$B$310),INDEX(条幅4分の1!$D$11:$D$310,603-COUNTA(半紙!$B$11:$B$310)-COUNTA(条幅!$B$11:$B$310)),"")))=0,"",IF(603&lt;=COUNTA(半紙!$B$11:$B$310),INDEX(半紙!$D$11:$D$310,603),IF(603&lt;=COUNTA(半紙!$B$11:$B$310)+COUNTA(条幅!$B$11:$B$310),INDEX(条幅!$D$11:$D$310,603-COUNTA(半紙!$B$11:$B$310)),IF(603&lt;=COUNTA(半紙!$B$11:$B$310)+COUNTA(条幅!$B$11:$B$310)+COUNTA(条幅4分の1!$B$11:$B$310),INDEX(条幅4分の1!$D$11:$D$310,603-COUNTA(半紙!$B$11:$B$310)-COUNTA(条幅!$B$11:$B$310)),""))))</f>
        <v/>
      </c>
      <c r="E608" s="38" t="str">
        <f>IF(IF(603&lt;=COUNTA(半紙!$B$11:$B$310),INDEX(半紙!$E$11:$E$310,603),IF(603&lt;=COUNTA(半紙!$B$11:$B$310)+COUNTA(条幅!$B$11:$B$310),INDEX(条幅!$E$11:$E$310,603-COUNTA(半紙!$B$11:$B$310)),IF(603&lt;=COUNTA(半紙!$B$11:$B$310)+COUNTA(条幅!$B$11:$B$310)+COUNTA(条幅4分の1!$B$11:$B$310),INDEX(条幅4分の1!$E$11:$E$310,603-COUNTA(半紙!$B$11:$B$310)-COUNTA(条幅!$B$11:$B$310)),"")))=0,"",IF(603&lt;=COUNTA(半紙!$B$11:$B$310),INDEX(半紙!$E$11:$E$310,603),IF(603&lt;=COUNTA(半紙!$B$11:$B$310)+COUNTA(条幅!$B$11:$B$310),INDEX(条幅!$E$11:$E$310,603-COUNTA(半紙!$B$11:$B$310)),IF(603&lt;=COUNTA(半紙!$B$11:$B$310)+COUNTA(条幅!$B$11:$B$310)+COUNTA(条幅4分の1!$B$11:$B$310),INDEX(条幅4分の1!$E$11:$E$310,603-COUNTA(半紙!$B$11:$B$310)-COUNTA(条幅!$B$11:$B$310)),""))))</f>
        <v/>
      </c>
      <c r="F608" s="38" t="str">
        <f>IF(IF(603&lt;=COUNTA(半紙!$B$11:$B$310),INDEX(半紙!$F$11:$F$310,603),IF(603&lt;=COUNTA(半紙!$B$11:$B$310)+COUNTA(条幅!$B$11:$B$310),INDEX(条幅!$F$11:$F$310,603-COUNTA(半紙!$B$11:$B$310)),IF(603&lt;=COUNTA(半紙!$B$11:$B$310)+COUNTA(条幅!$B$11:$B$310)+COUNTA(条幅4分の1!$B$11:$B$310),INDEX(条幅4分の1!$F$11:$F$310,603-COUNTA(半紙!$B$11:$B$310)-COUNTA(条幅!$B$11:$B$310)),"")))=0,"",IF(603&lt;=COUNTA(半紙!$B$11:$B$310),INDEX(半紙!$F$11:$F$310,603),IF(603&lt;=COUNTA(半紙!$B$11:$B$310)+COUNTA(条幅!$B$11:$B$310),INDEX(条幅!$F$11:$F$310,603-COUNTA(半紙!$B$11:$B$310)),IF(603&lt;=COUNTA(半紙!$B$11:$B$310)+COUNTA(条幅!$B$11:$B$310)+COUNTA(条幅4分の1!$B$11:$B$310),INDEX(条幅4分の1!$F$11:$F$310,603-COUNTA(半紙!$B$11:$B$310)-COUNTA(条幅!$B$11:$B$310)),""))))</f>
        <v/>
      </c>
      <c r="G608" s="38" t="str">
        <f>IF(IF(603&lt;=COUNTA(半紙!$B$11:$B$310),INDEX(半紙!$G$11:$G$310,603),IF(603&lt;=COUNTA(半紙!$B$11:$B$310)+COUNTA(条幅!$B$11:$B$310),INDEX(条幅!$G$11:$G$310,603-COUNTA(半紙!$B$11:$B$310)),IF(603&lt;=COUNTA(半紙!$B$11:$B$310)+COUNTA(条幅!$B$11:$B$310)+COUNTA(条幅4分の1!$B$11:$B$310),INDEX(条幅4分の1!$G$11:$G$310,603-COUNTA(半紙!$B$11:$B$310)-COUNTA(条幅!$B$11:$B$310)),"")))=0,"",IF(603&lt;=COUNTA(半紙!$B$11:$B$310),INDEX(半紙!$G$11:$G$310,603),IF(603&lt;=COUNTA(半紙!$B$11:$B$310)+COUNTA(条幅!$B$11:$B$310),INDEX(条幅!$G$11:$G$310,603-COUNTA(半紙!$B$11:$B$310)),IF(603&lt;=COUNTA(半紙!$B$11:$B$310)+COUNTA(条幅!$B$11:$B$310)+COUNTA(条幅4分の1!$B$11:$B$310),INDEX(条幅4分の1!$G$11:$G$310,603-COUNTA(半紙!$B$11:$B$310)-COUNTA(条幅!$B$11:$B$310)),""))))</f>
        <v/>
      </c>
      <c r="H608" s="38" t="str">
        <f>IF(IF(603&lt;=COUNTA(半紙!$B$11:$B$310),INDEX(半紙!$H$11:$H$310,603),IF(603&lt;=COUNTA(半紙!$B$11:$B$310)+COUNTA(条幅!$B$11:$B$310),INDEX(条幅!$H$11:$H$310,603-COUNTA(半紙!$B$11:$B$310)),IF(603&lt;=COUNTA(半紙!$B$11:$B$310)+COUNTA(条幅!$B$11:$B$310)+COUNTA(条幅4分の1!$B$11:$B$310),INDEX(条幅4分の1!$H$11:$H$310,603-COUNTA(半紙!$B$11:$B$310)-COUNTA(条幅!$B$11:$B$310)),"")))=0,"",IF(603&lt;=COUNTA(半紙!$B$11:$B$310),INDEX(半紙!$H$11:$H$310,603),IF(603&lt;=COUNTA(半紙!$B$11:$B$310)+COUNTA(条幅!$B$11:$B$310),INDEX(条幅!$H$11:$H$310,603-COUNTA(半紙!$B$11:$B$310)),IF(603&lt;=COUNTA(半紙!$B$11:$B$310)+COUNTA(条幅!$B$11:$B$310)+COUNTA(条幅4分の1!$B$11:$B$310),INDEX(条幅4分の1!$H$11:$H$310,603-COUNTA(半紙!$B$11:$B$310)-COUNTA(条幅!$B$11:$B$310)),""))))</f>
        <v/>
      </c>
      <c r="I608" s="38" t="str">
        <f>IF(IF(603&lt;=COUNTA(半紙!$B$11:$B$310),INDEX(半紙!$I$11:$I$310,603),IF(603&lt;=COUNTA(半紙!$B$11:$B$310)+COUNTA(条幅!$B$11:$B$310),INDEX(条幅!$I$11:$I$310,603-COUNTA(半紙!$B$11:$B$310)),IF(603&lt;=COUNTA(半紙!$B$11:$B$310)+COUNTA(条幅!$B$11:$B$310)+COUNTA(条幅4分の1!$B$11:$B$310),INDEX(条幅4分の1!$I$11:$I$310,603-COUNTA(半紙!$B$11:$B$310)-COUNTA(条幅!$B$11:$B$310)),"")))=0,"",IF(603&lt;=COUNTA(半紙!$B$11:$B$310),INDEX(半紙!$I$11:$I$310,603),IF(603&lt;=COUNTA(半紙!$B$11:$B$310)+COUNTA(条幅!$B$11:$B$310),INDEX(条幅!$I$11:$I$310,603-COUNTA(半紙!$B$11:$B$310)),IF(603&lt;=COUNTA(半紙!$B$11:$B$310)+COUNTA(条幅!$B$11:$B$310)+COUNTA(条幅4分の1!$B$11:$B$310),INDEX(条幅4分の1!$I$11:$I$310,603-COUNTA(半紙!$B$11:$B$310)-COUNTA(条幅!$B$11:$B$310)),""))))</f>
        <v/>
      </c>
      <c r="J608" s="38" t="str">
        <f>IF(IF(603&lt;=COUNTA(半紙!$B$11:$B$310),INDEX(半紙!$J$11:$J$310,603),IF(603&lt;=COUNTA(半紙!$B$11:$B$310)+COUNTA(条幅!$B$11:$B$310),INDEX(条幅!$J$11:$J$310,603-COUNTA(半紙!$B$11:$B$310)),IF(603&lt;=COUNTA(半紙!$B$11:$B$310)+COUNTA(条幅!$B$11:$B$310)+COUNTA(条幅4分の1!$B$11:$B$310),INDEX(条幅4分の1!$J$11:$J$310,603-COUNTA(半紙!$B$11:$B$310)-COUNTA(条幅!$B$11:$B$310)),"")))=0,"",IF(603&lt;=COUNTA(半紙!$B$11:$B$310),INDEX(半紙!$J$11:$J$310,603),IF(603&lt;=COUNTA(半紙!$B$11:$B$310)+COUNTA(条幅!$B$11:$B$310),INDEX(条幅!$J$11:$J$310,603-COUNTA(半紙!$B$11:$B$310)),IF(603&lt;=COUNTA(半紙!$B$11:$B$310)+COUNTA(条幅!$B$11:$B$310)+COUNTA(条幅4分の1!$B$11:$B$310),INDEX(条幅4分の1!$J$11:$J$310,603-COUNTA(半紙!$B$11:$B$310)-COUNTA(条幅!$B$11:$B$310)),""))))</f>
        <v/>
      </c>
      <c r="K608" s="38" t="str">
        <f>IF(IF(603&lt;=COUNTA(半紙!$B$11:$B$310),INDEX(半紙!$K$11:$K$310,603),IF(603&lt;=COUNTA(半紙!$B$11:$B$310)+COUNTA(条幅!$B$11:$B$310),INDEX(条幅!$K$11:$K$310,603-COUNTA(半紙!$B$11:$B$310)),IF(603&lt;=COUNTA(半紙!$B$11:$B$310)+COUNTA(条幅!$B$11:$B$310)+COUNTA(条幅4分の1!$B$11:$B$310),INDEX(条幅4分の1!$K$11:$K$310,603-COUNTA(半紙!$B$11:$B$310)-COUNTA(条幅!$B$11:$B$310)),"")))=0,"",IF(603&lt;=COUNTA(半紙!$B$11:$B$310),INDEX(半紙!$K$11:$K$310,603),IF(603&lt;=COUNTA(半紙!$B$11:$B$310)+COUNTA(条幅!$B$11:$B$310),INDEX(条幅!$K$11:$K$310,603-COUNTA(半紙!$B$11:$B$310)),IF(603&lt;=COUNTA(半紙!$B$11:$B$310)+COUNTA(条幅!$B$11:$B$310)+COUNTA(条幅4分の1!$B$11:$B$310),INDEX(条幅4分の1!$K$11:$K$310,603-COUNTA(半紙!$B$11:$B$310)-COUNTA(条幅!$B$11:$B$310)),""))))</f>
        <v/>
      </c>
      <c r="L608" s="48" t="str">
        <f>IF($B608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603))</f>
        <v/>
      </c>
    </row>
    <row r="609" spans="1:12" ht="15" customHeight="1">
      <c r="A609" s="37" t="str">
        <f>IF(604&lt;=COUNTA(半紙!$B$11:$B$310),"半紙",IF(604&lt;=COUNTA(半紙!$B$11:$B$310)+COUNTA(条幅!$B$11:$B$310),"条幅(半切)",IF(604&lt;=COUNTA(半紙!$B$11:$B$310)+COUNTA(条幅!$B$11:$B$310)+COUNTA(条幅4分の1!$B$11:$B$310),"条幅(1/4)","")))</f>
        <v/>
      </c>
      <c r="B609" s="38" t="str">
        <f>IF(IF(604&lt;=COUNTA(半紙!$B$11:$B$310),INDEX(半紙!$B$11:$B$310,604),IF(604&lt;=COUNTA(半紙!$B$11:$B$310)+COUNTA(条幅!$B$11:$B$310),INDEX(条幅!$B$11:$B$310,604-COUNTA(半紙!$B$11:$B$310)),IF(604&lt;=COUNTA(半紙!$B$11:$B$310)+COUNTA(条幅!$B$11:$B$310)+COUNTA(条幅4分の1!$B$11:$B$310),INDEX(条幅4分の1!$B$11:$B$310,604-COUNTA(半紙!$B$11:$B$310)-COUNTA(条幅!$B$11:$B$310)),"")))=0,"",IF(604&lt;=COUNTA(半紙!$B$11:$B$310),INDEX(半紙!$B$11:$B$310,604),IF(604&lt;=COUNTA(半紙!$B$11:$B$310)+COUNTA(条幅!$B$11:$B$310),INDEX(条幅!$B$11:$B$310,604-COUNTA(半紙!$B$11:$B$310)),IF(604&lt;=COUNTA(半紙!$B$11:$B$310)+COUNTA(条幅!$B$11:$B$310)+COUNTA(条幅4分の1!$B$11:$B$310),INDEX(条幅4分の1!$B$11:$B$310,604-COUNTA(半紙!$B$11:$B$310)-COUNTA(条幅!$B$11:$B$310)),""))))</f>
        <v/>
      </c>
      <c r="C609" s="38" t="str">
        <f>IF(IF(604&lt;=COUNTA(半紙!$B$11:$B$310),INDEX(半紙!$C$11:$C$310,604),IF(604&lt;=COUNTA(半紙!$B$11:$B$310)+COUNTA(条幅!$B$11:$B$310),INDEX(条幅!$C$11:$C$310,604-COUNTA(半紙!$B$11:$B$310)),IF(604&lt;=COUNTA(半紙!$B$11:$B$310)+COUNTA(条幅!$B$11:$B$310)+COUNTA(条幅4分の1!$B$11:$B$310),INDEX(条幅4分の1!$C$11:$C$310,604-COUNTA(半紙!$B$11:$B$310)-COUNTA(条幅!$B$11:$B$310)),"")))=0,"",IF(604&lt;=COUNTA(半紙!$B$11:$B$310),INDEX(半紙!$C$11:$C$310,604),IF(604&lt;=COUNTA(半紙!$B$11:$B$310)+COUNTA(条幅!$B$11:$B$310),INDEX(条幅!$C$11:$C$310,604-COUNTA(半紙!$B$11:$B$310)),IF(604&lt;=COUNTA(半紙!$B$11:$B$310)+COUNTA(条幅!$B$11:$B$310)+COUNTA(条幅4分の1!$B$11:$B$310),INDEX(条幅4分の1!$C$11:$C$310,604-COUNTA(半紙!$B$11:$B$310)-COUNTA(条幅!$B$11:$B$310)),""))))</f>
        <v/>
      </c>
      <c r="D609" s="38" t="str">
        <f>IF(IF(604&lt;=COUNTA(半紙!$B$11:$B$310),INDEX(半紙!$D$11:$D$310,604),IF(604&lt;=COUNTA(半紙!$B$11:$B$310)+COUNTA(条幅!$B$11:$B$310),INDEX(条幅!$D$11:$D$310,604-COUNTA(半紙!$B$11:$B$310)),IF(604&lt;=COUNTA(半紙!$B$11:$B$310)+COUNTA(条幅!$B$11:$B$310)+COUNTA(条幅4分の1!$B$11:$B$310),INDEX(条幅4分の1!$D$11:$D$310,604-COUNTA(半紙!$B$11:$B$310)-COUNTA(条幅!$B$11:$B$310)),"")))=0,"",IF(604&lt;=COUNTA(半紙!$B$11:$B$310),INDEX(半紙!$D$11:$D$310,604),IF(604&lt;=COUNTA(半紙!$B$11:$B$310)+COUNTA(条幅!$B$11:$B$310),INDEX(条幅!$D$11:$D$310,604-COUNTA(半紙!$B$11:$B$310)),IF(604&lt;=COUNTA(半紙!$B$11:$B$310)+COUNTA(条幅!$B$11:$B$310)+COUNTA(条幅4分の1!$B$11:$B$310),INDEX(条幅4分の1!$D$11:$D$310,604-COUNTA(半紙!$B$11:$B$310)-COUNTA(条幅!$B$11:$B$310)),""))))</f>
        <v/>
      </c>
      <c r="E609" s="38" t="str">
        <f>IF(IF(604&lt;=COUNTA(半紙!$B$11:$B$310),INDEX(半紙!$E$11:$E$310,604),IF(604&lt;=COUNTA(半紙!$B$11:$B$310)+COUNTA(条幅!$B$11:$B$310),INDEX(条幅!$E$11:$E$310,604-COUNTA(半紙!$B$11:$B$310)),IF(604&lt;=COUNTA(半紙!$B$11:$B$310)+COUNTA(条幅!$B$11:$B$310)+COUNTA(条幅4分の1!$B$11:$B$310),INDEX(条幅4分の1!$E$11:$E$310,604-COUNTA(半紙!$B$11:$B$310)-COUNTA(条幅!$B$11:$B$310)),"")))=0,"",IF(604&lt;=COUNTA(半紙!$B$11:$B$310),INDEX(半紙!$E$11:$E$310,604),IF(604&lt;=COUNTA(半紙!$B$11:$B$310)+COUNTA(条幅!$B$11:$B$310),INDEX(条幅!$E$11:$E$310,604-COUNTA(半紙!$B$11:$B$310)),IF(604&lt;=COUNTA(半紙!$B$11:$B$310)+COUNTA(条幅!$B$11:$B$310)+COUNTA(条幅4分の1!$B$11:$B$310),INDEX(条幅4分の1!$E$11:$E$310,604-COUNTA(半紙!$B$11:$B$310)-COUNTA(条幅!$B$11:$B$310)),""))))</f>
        <v/>
      </c>
      <c r="F609" s="38" t="str">
        <f>IF(IF(604&lt;=COUNTA(半紙!$B$11:$B$310),INDEX(半紙!$F$11:$F$310,604),IF(604&lt;=COUNTA(半紙!$B$11:$B$310)+COUNTA(条幅!$B$11:$B$310),INDEX(条幅!$F$11:$F$310,604-COUNTA(半紙!$B$11:$B$310)),IF(604&lt;=COUNTA(半紙!$B$11:$B$310)+COUNTA(条幅!$B$11:$B$310)+COUNTA(条幅4分の1!$B$11:$B$310),INDEX(条幅4分の1!$F$11:$F$310,604-COUNTA(半紙!$B$11:$B$310)-COUNTA(条幅!$B$11:$B$310)),"")))=0,"",IF(604&lt;=COUNTA(半紙!$B$11:$B$310),INDEX(半紙!$F$11:$F$310,604),IF(604&lt;=COUNTA(半紙!$B$11:$B$310)+COUNTA(条幅!$B$11:$B$310),INDEX(条幅!$F$11:$F$310,604-COUNTA(半紙!$B$11:$B$310)),IF(604&lt;=COUNTA(半紙!$B$11:$B$310)+COUNTA(条幅!$B$11:$B$310)+COUNTA(条幅4分の1!$B$11:$B$310),INDEX(条幅4分の1!$F$11:$F$310,604-COUNTA(半紙!$B$11:$B$310)-COUNTA(条幅!$B$11:$B$310)),""))))</f>
        <v/>
      </c>
      <c r="G609" s="38" t="str">
        <f>IF(IF(604&lt;=COUNTA(半紙!$B$11:$B$310),INDEX(半紙!$G$11:$G$310,604),IF(604&lt;=COUNTA(半紙!$B$11:$B$310)+COUNTA(条幅!$B$11:$B$310),INDEX(条幅!$G$11:$G$310,604-COUNTA(半紙!$B$11:$B$310)),IF(604&lt;=COUNTA(半紙!$B$11:$B$310)+COUNTA(条幅!$B$11:$B$310)+COUNTA(条幅4分の1!$B$11:$B$310),INDEX(条幅4分の1!$G$11:$G$310,604-COUNTA(半紙!$B$11:$B$310)-COUNTA(条幅!$B$11:$B$310)),"")))=0,"",IF(604&lt;=COUNTA(半紙!$B$11:$B$310),INDEX(半紙!$G$11:$G$310,604),IF(604&lt;=COUNTA(半紙!$B$11:$B$310)+COUNTA(条幅!$B$11:$B$310),INDEX(条幅!$G$11:$G$310,604-COUNTA(半紙!$B$11:$B$310)),IF(604&lt;=COUNTA(半紙!$B$11:$B$310)+COUNTA(条幅!$B$11:$B$310)+COUNTA(条幅4分の1!$B$11:$B$310),INDEX(条幅4分の1!$G$11:$G$310,604-COUNTA(半紙!$B$11:$B$310)-COUNTA(条幅!$B$11:$B$310)),""))))</f>
        <v/>
      </c>
      <c r="H609" s="38" t="str">
        <f>IF(IF(604&lt;=COUNTA(半紙!$B$11:$B$310),INDEX(半紙!$H$11:$H$310,604),IF(604&lt;=COUNTA(半紙!$B$11:$B$310)+COUNTA(条幅!$B$11:$B$310),INDEX(条幅!$H$11:$H$310,604-COUNTA(半紙!$B$11:$B$310)),IF(604&lt;=COUNTA(半紙!$B$11:$B$310)+COUNTA(条幅!$B$11:$B$310)+COUNTA(条幅4分の1!$B$11:$B$310),INDEX(条幅4分の1!$H$11:$H$310,604-COUNTA(半紙!$B$11:$B$310)-COUNTA(条幅!$B$11:$B$310)),"")))=0,"",IF(604&lt;=COUNTA(半紙!$B$11:$B$310),INDEX(半紙!$H$11:$H$310,604),IF(604&lt;=COUNTA(半紙!$B$11:$B$310)+COUNTA(条幅!$B$11:$B$310),INDEX(条幅!$H$11:$H$310,604-COUNTA(半紙!$B$11:$B$310)),IF(604&lt;=COUNTA(半紙!$B$11:$B$310)+COUNTA(条幅!$B$11:$B$310)+COUNTA(条幅4分の1!$B$11:$B$310),INDEX(条幅4分の1!$H$11:$H$310,604-COUNTA(半紙!$B$11:$B$310)-COUNTA(条幅!$B$11:$B$310)),""))))</f>
        <v/>
      </c>
      <c r="I609" s="38" t="str">
        <f>IF(IF(604&lt;=COUNTA(半紙!$B$11:$B$310),INDEX(半紙!$I$11:$I$310,604),IF(604&lt;=COUNTA(半紙!$B$11:$B$310)+COUNTA(条幅!$B$11:$B$310),INDEX(条幅!$I$11:$I$310,604-COUNTA(半紙!$B$11:$B$310)),IF(604&lt;=COUNTA(半紙!$B$11:$B$310)+COUNTA(条幅!$B$11:$B$310)+COUNTA(条幅4分の1!$B$11:$B$310),INDEX(条幅4分の1!$I$11:$I$310,604-COUNTA(半紙!$B$11:$B$310)-COUNTA(条幅!$B$11:$B$310)),"")))=0,"",IF(604&lt;=COUNTA(半紙!$B$11:$B$310),INDEX(半紙!$I$11:$I$310,604),IF(604&lt;=COUNTA(半紙!$B$11:$B$310)+COUNTA(条幅!$B$11:$B$310),INDEX(条幅!$I$11:$I$310,604-COUNTA(半紙!$B$11:$B$310)),IF(604&lt;=COUNTA(半紙!$B$11:$B$310)+COUNTA(条幅!$B$11:$B$310)+COUNTA(条幅4分の1!$B$11:$B$310),INDEX(条幅4分の1!$I$11:$I$310,604-COUNTA(半紙!$B$11:$B$310)-COUNTA(条幅!$B$11:$B$310)),""))))</f>
        <v/>
      </c>
      <c r="J609" s="38" t="str">
        <f>IF(IF(604&lt;=COUNTA(半紙!$B$11:$B$310),INDEX(半紙!$J$11:$J$310,604),IF(604&lt;=COUNTA(半紙!$B$11:$B$310)+COUNTA(条幅!$B$11:$B$310),INDEX(条幅!$J$11:$J$310,604-COUNTA(半紙!$B$11:$B$310)),IF(604&lt;=COUNTA(半紙!$B$11:$B$310)+COUNTA(条幅!$B$11:$B$310)+COUNTA(条幅4分の1!$B$11:$B$310),INDEX(条幅4分の1!$J$11:$J$310,604-COUNTA(半紙!$B$11:$B$310)-COUNTA(条幅!$B$11:$B$310)),"")))=0,"",IF(604&lt;=COUNTA(半紙!$B$11:$B$310),INDEX(半紙!$J$11:$J$310,604),IF(604&lt;=COUNTA(半紙!$B$11:$B$310)+COUNTA(条幅!$B$11:$B$310),INDEX(条幅!$J$11:$J$310,604-COUNTA(半紙!$B$11:$B$310)),IF(604&lt;=COUNTA(半紙!$B$11:$B$310)+COUNTA(条幅!$B$11:$B$310)+COUNTA(条幅4分の1!$B$11:$B$310),INDEX(条幅4分の1!$J$11:$J$310,604-COUNTA(半紙!$B$11:$B$310)-COUNTA(条幅!$B$11:$B$310)),""))))</f>
        <v/>
      </c>
      <c r="K609" s="38" t="str">
        <f>IF(IF(604&lt;=COUNTA(半紙!$B$11:$B$310),INDEX(半紙!$K$11:$K$310,604),IF(604&lt;=COUNTA(半紙!$B$11:$B$310)+COUNTA(条幅!$B$11:$B$310),INDEX(条幅!$K$11:$K$310,604-COUNTA(半紙!$B$11:$B$310)),IF(604&lt;=COUNTA(半紙!$B$11:$B$310)+COUNTA(条幅!$B$11:$B$310)+COUNTA(条幅4分の1!$B$11:$B$310),INDEX(条幅4分の1!$K$11:$K$310,604-COUNTA(半紙!$B$11:$B$310)-COUNTA(条幅!$B$11:$B$310)),"")))=0,"",IF(604&lt;=COUNTA(半紙!$B$11:$B$310),INDEX(半紙!$K$11:$K$310,604),IF(604&lt;=COUNTA(半紙!$B$11:$B$310)+COUNTA(条幅!$B$11:$B$310),INDEX(条幅!$K$11:$K$310,604-COUNTA(半紙!$B$11:$B$310)),IF(604&lt;=COUNTA(半紙!$B$11:$B$310)+COUNTA(条幅!$B$11:$B$310)+COUNTA(条幅4分の1!$B$11:$B$310),INDEX(条幅4分の1!$K$11:$K$310,604-COUNTA(半紙!$B$11:$B$310)-COUNTA(条幅!$B$11:$B$310)),""))))</f>
        <v/>
      </c>
      <c r="L609" s="48" t="str">
        <f>IF($B609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604))</f>
        <v/>
      </c>
    </row>
    <row r="610" spans="1:12" ht="15" customHeight="1">
      <c r="A610" s="37" t="str">
        <f>IF(605&lt;=COUNTA(半紙!$B$11:$B$310),"半紙",IF(605&lt;=COUNTA(半紙!$B$11:$B$310)+COUNTA(条幅!$B$11:$B$310),"条幅(半切)",IF(605&lt;=COUNTA(半紙!$B$11:$B$310)+COUNTA(条幅!$B$11:$B$310)+COUNTA(条幅4分の1!$B$11:$B$310),"条幅(1/4)","")))</f>
        <v/>
      </c>
      <c r="B610" s="38" t="str">
        <f>IF(IF(605&lt;=COUNTA(半紙!$B$11:$B$310),INDEX(半紙!$B$11:$B$310,605),IF(605&lt;=COUNTA(半紙!$B$11:$B$310)+COUNTA(条幅!$B$11:$B$310),INDEX(条幅!$B$11:$B$310,605-COUNTA(半紙!$B$11:$B$310)),IF(605&lt;=COUNTA(半紙!$B$11:$B$310)+COUNTA(条幅!$B$11:$B$310)+COUNTA(条幅4分の1!$B$11:$B$310),INDEX(条幅4分の1!$B$11:$B$310,605-COUNTA(半紙!$B$11:$B$310)-COUNTA(条幅!$B$11:$B$310)),"")))=0,"",IF(605&lt;=COUNTA(半紙!$B$11:$B$310),INDEX(半紙!$B$11:$B$310,605),IF(605&lt;=COUNTA(半紙!$B$11:$B$310)+COUNTA(条幅!$B$11:$B$310),INDEX(条幅!$B$11:$B$310,605-COUNTA(半紙!$B$11:$B$310)),IF(605&lt;=COUNTA(半紙!$B$11:$B$310)+COUNTA(条幅!$B$11:$B$310)+COUNTA(条幅4分の1!$B$11:$B$310),INDEX(条幅4分の1!$B$11:$B$310,605-COUNTA(半紙!$B$11:$B$310)-COUNTA(条幅!$B$11:$B$310)),""))))</f>
        <v/>
      </c>
      <c r="C610" s="38" t="str">
        <f>IF(IF(605&lt;=COUNTA(半紙!$B$11:$B$310),INDEX(半紙!$C$11:$C$310,605),IF(605&lt;=COUNTA(半紙!$B$11:$B$310)+COUNTA(条幅!$B$11:$B$310),INDEX(条幅!$C$11:$C$310,605-COUNTA(半紙!$B$11:$B$310)),IF(605&lt;=COUNTA(半紙!$B$11:$B$310)+COUNTA(条幅!$B$11:$B$310)+COUNTA(条幅4分の1!$B$11:$B$310),INDEX(条幅4分の1!$C$11:$C$310,605-COUNTA(半紙!$B$11:$B$310)-COUNTA(条幅!$B$11:$B$310)),"")))=0,"",IF(605&lt;=COUNTA(半紙!$B$11:$B$310),INDEX(半紙!$C$11:$C$310,605),IF(605&lt;=COUNTA(半紙!$B$11:$B$310)+COUNTA(条幅!$B$11:$B$310),INDEX(条幅!$C$11:$C$310,605-COUNTA(半紙!$B$11:$B$310)),IF(605&lt;=COUNTA(半紙!$B$11:$B$310)+COUNTA(条幅!$B$11:$B$310)+COUNTA(条幅4分の1!$B$11:$B$310),INDEX(条幅4分の1!$C$11:$C$310,605-COUNTA(半紙!$B$11:$B$310)-COUNTA(条幅!$B$11:$B$310)),""))))</f>
        <v/>
      </c>
      <c r="D610" s="38" t="str">
        <f>IF(IF(605&lt;=COUNTA(半紙!$B$11:$B$310),INDEX(半紙!$D$11:$D$310,605),IF(605&lt;=COUNTA(半紙!$B$11:$B$310)+COUNTA(条幅!$B$11:$B$310),INDEX(条幅!$D$11:$D$310,605-COUNTA(半紙!$B$11:$B$310)),IF(605&lt;=COUNTA(半紙!$B$11:$B$310)+COUNTA(条幅!$B$11:$B$310)+COUNTA(条幅4分の1!$B$11:$B$310),INDEX(条幅4分の1!$D$11:$D$310,605-COUNTA(半紙!$B$11:$B$310)-COUNTA(条幅!$B$11:$B$310)),"")))=0,"",IF(605&lt;=COUNTA(半紙!$B$11:$B$310),INDEX(半紙!$D$11:$D$310,605),IF(605&lt;=COUNTA(半紙!$B$11:$B$310)+COUNTA(条幅!$B$11:$B$310),INDEX(条幅!$D$11:$D$310,605-COUNTA(半紙!$B$11:$B$310)),IF(605&lt;=COUNTA(半紙!$B$11:$B$310)+COUNTA(条幅!$B$11:$B$310)+COUNTA(条幅4分の1!$B$11:$B$310),INDEX(条幅4分の1!$D$11:$D$310,605-COUNTA(半紙!$B$11:$B$310)-COUNTA(条幅!$B$11:$B$310)),""))))</f>
        <v/>
      </c>
      <c r="E610" s="38" t="str">
        <f>IF(IF(605&lt;=COUNTA(半紙!$B$11:$B$310),INDEX(半紙!$E$11:$E$310,605),IF(605&lt;=COUNTA(半紙!$B$11:$B$310)+COUNTA(条幅!$B$11:$B$310),INDEX(条幅!$E$11:$E$310,605-COUNTA(半紙!$B$11:$B$310)),IF(605&lt;=COUNTA(半紙!$B$11:$B$310)+COUNTA(条幅!$B$11:$B$310)+COUNTA(条幅4分の1!$B$11:$B$310),INDEX(条幅4分の1!$E$11:$E$310,605-COUNTA(半紙!$B$11:$B$310)-COUNTA(条幅!$B$11:$B$310)),"")))=0,"",IF(605&lt;=COUNTA(半紙!$B$11:$B$310),INDEX(半紙!$E$11:$E$310,605),IF(605&lt;=COUNTA(半紙!$B$11:$B$310)+COUNTA(条幅!$B$11:$B$310),INDEX(条幅!$E$11:$E$310,605-COUNTA(半紙!$B$11:$B$310)),IF(605&lt;=COUNTA(半紙!$B$11:$B$310)+COUNTA(条幅!$B$11:$B$310)+COUNTA(条幅4分の1!$B$11:$B$310),INDEX(条幅4分の1!$E$11:$E$310,605-COUNTA(半紙!$B$11:$B$310)-COUNTA(条幅!$B$11:$B$310)),""))))</f>
        <v/>
      </c>
      <c r="F610" s="38" t="str">
        <f>IF(IF(605&lt;=COUNTA(半紙!$B$11:$B$310),INDEX(半紙!$F$11:$F$310,605),IF(605&lt;=COUNTA(半紙!$B$11:$B$310)+COUNTA(条幅!$B$11:$B$310),INDEX(条幅!$F$11:$F$310,605-COUNTA(半紙!$B$11:$B$310)),IF(605&lt;=COUNTA(半紙!$B$11:$B$310)+COUNTA(条幅!$B$11:$B$310)+COUNTA(条幅4分の1!$B$11:$B$310),INDEX(条幅4分の1!$F$11:$F$310,605-COUNTA(半紙!$B$11:$B$310)-COUNTA(条幅!$B$11:$B$310)),"")))=0,"",IF(605&lt;=COUNTA(半紙!$B$11:$B$310),INDEX(半紙!$F$11:$F$310,605),IF(605&lt;=COUNTA(半紙!$B$11:$B$310)+COUNTA(条幅!$B$11:$B$310),INDEX(条幅!$F$11:$F$310,605-COUNTA(半紙!$B$11:$B$310)),IF(605&lt;=COUNTA(半紙!$B$11:$B$310)+COUNTA(条幅!$B$11:$B$310)+COUNTA(条幅4分の1!$B$11:$B$310),INDEX(条幅4分の1!$F$11:$F$310,605-COUNTA(半紙!$B$11:$B$310)-COUNTA(条幅!$B$11:$B$310)),""))))</f>
        <v/>
      </c>
      <c r="G610" s="38" t="str">
        <f>IF(IF(605&lt;=COUNTA(半紙!$B$11:$B$310),INDEX(半紙!$G$11:$G$310,605),IF(605&lt;=COUNTA(半紙!$B$11:$B$310)+COUNTA(条幅!$B$11:$B$310),INDEX(条幅!$G$11:$G$310,605-COUNTA(半紙!$B$11:$B$310)),IF(605&lt;=COUNTA(半紙!$B$11:$B$310)+COUNTA(条幅!$B$11:$B$310)+COUNTA(条幅4分の1!$B$11:$B$310),INDEX(条幅4分の1!$G$11:$G$310,605-COUNTA(半紙!$B$11:$B$310)-COUNTA(条幅!$B$11:$B$310)),"")))=0,"",IF(605&lt;=COUNTA(半紙!$B$11:$B$310),INDEX(半紙!$G$11:$G$310,605),IF(605&lt;=COUNTA(半紙!$B$11:$B$310)+COUNTA(条幅!$B$11:$B$310),INDEX(条幅!$G$11:$G$310,605-COUNTA(半紙!$B$11:$B$310)),IF(605&lt;=COUNTA(半紙!$B$11:$B$310)+COUNTA(条幅!$B$11:$B$310)+COUNTA(条幅4分の1!$B$11:$B$310),INDEX(条幅4分の1!$G$11:$G$310,605-COUNTA(半紙!$B$11:$B$310)-COUNTA(条幅!$B$11:$B$310)),""))))</f>
        <v/>
      </c>
      <c r="H610" s="38" t="str">
        <f>IF(IF(605&lt;=COUNTA(半紙!$B$11:$B$310),INDEX(半紙!$H$11:$H$310,605),IF(605&lt;=COUNTA(半紙!$B$11:$B$310)+COUNTA(条幅!$B$11:$B$310),INDEX(条幅!$H$11:$H$310,605-COUNTA(半紙!$B$11:$B$310)),IF(605&lt;=COUNTA(半紙!$B$11:$B$310)+COUNTA(条幅!$B$11:$B$310)+COUNTA(条幅4分の1!$B$11:$B$310),INDEX(条幅4分の1!$H$11:$H$310,605-COUNTA(半紙!$B$11:$B$310)-COUNTA(条幅!$B$11:$B$310)),"")))=0,"",IF(605&lt;=COUNTA(半紙!$B$11:$B$310),INDEX(半紙!$H$11:$H$310,605),IF(605&lt;=COUNTA(半紙!$B$11:$B$310)+COUNTA(条幅!$B$11:$B$310),INDEX(条幅!$H$11:$H$310,605-COUNTA(半紙!$B$11:$B$310)),IF(605&lt;=COUNTA(半紙!$B$11:$B$310)+COUNTA(条幅!$B$11:$B$310)+COUNTA(条幅4分の1!$B$11:$B$310),INDEX(条幅4分の1!$H$11:$H$310,605-COUNTA(半紙!$B$11:$B$310)-COUNTA(条幅!$B$11:$B$310)),""))))</f>
        <v/>
      </c>
      <c r="I610" s="38" t="str">
        <f>IF(IF(605&lt;=COUNTA(半紙!$B$11:$B$310),INDEX(半紙!$I$11:$I$310,605),IF(605&lt;=COUNTA(半紙!$B$11:$B$310)+COUNTA(条幅!$B$11:$B$310),INDEX(条幅!$I$11:$I$310,605-COUNTA(半紙!$B$11:$B$310)),IF(605&lt;=COUNTA(半紙!$B$11:$B$310)+COUNTA(条幅!$B$11:$B$310)+COUNTA(条幅4分の1!$B$11:$B$310),INDEX(条幅4分の1!$I$11:$I$310,605-COUNTA(半紙!$B$11:$B$310)-COUNTA(条幅!$B$11:$B$310)),"")))=0,"",IF(605&lt;=COUNTA(半紙!$B$11:$B$310),INDEX(半紙!$I$11:$I$310,605),IF(605&lt;=COUNTA(半紙!$B$11:$B$310)+COUNTA(条幅!$B$11:$B$310),INDEX(条幅!$I$11:$I$310,605-COUNTA(半紙!$B$11:$B$310)),IF(605&lt;=COUNTA(半紙!$B$11:$B$310)+COUNTA(条幅!$B$11:$B$310)+COUNTA(条幅4分の1!$B$11:$B$310),INDEX(条幅4分の1!$I$11:$I$310,605-COUNTA(半紙!$B$11:$B$310)-COUNTA(条幅!$B$11:$B$310)),""))))</f>
        <v/>
      </c>
      <c r="J610" s="38" t="str">
        <f>IF(IF(605&lt;=COUNTA(半紙!$B$11:$B$310),INDEX(半紙!$J$11:$J$310,605),IF(605&lt;=COUNTA(半紙!$B$11:$B$310)+COUNTA(条幅!$B$11:$B$310),INDEX(条幅!$J$11:$J$310,605-COUNTA(半紙!$B$11:$B$310)),IF(605&lt;=COUNTA(半紙!$B$11:$B$310)+COUNTA(条幅!$B$11:$B$310)+COUNTA(条幅4分の1!$B$11:$B$310),INDEX(条幅4分の1!$J$11:$J$310,605-COUNTA(半紙!$B$11:$B$310)-COUNTA(条幅!$B$11:$B$310)),"")))=0,"",IF(605&lt;=COUNTA(半紙!$B$11:$B$310),INDEX(半紙!$J$11:$J$310,605),IF(605&lt;=COUNTA(半紙!$B$11:$B$310)+COUNTA(条幅!$B$11:$B$310),INDEX(条幅!$J$11:$J$310,605-COUNTA(半紙!$B$11:$B$310)),IF(605&lt;=COUNTA(半紙!$B$11:$B$310)+COUNTA(条幅!$B$11:$B$310)+COUNTA(条幅4分の1!$B$11:$B$310),INDEX(条幅4分の1!$J$11:$J$310,605-COUNTA(半紙!$B$11:$B$310)-COUNTA(条幅!$B$11:$B$310)),""))))</f>
        <v/>
      </c>
      <c r="K610" s="38" t="str">
        <f>IF(IF(605&lt;=COUNTA(半紙!$B$11:$B$310),INDEX(半紙!$K$11:$K$310,605),IF(605&lt;=COUNTA(半紙!$B$11:$B$310)+COUNTA(条幅!$B$11:$B$310),INDEX(条幅!$K$11:$K$310,605-COUNTA(半紙!$B$11:$B$310)),IF(605&lt;=COUNTA(半紙!$B$11:$B$310)+COUNTA(条幅!$B$11:$B$310)+COUNTA(条幅4分の1!$B$11:$B$310),INDEX(条幅4分の1!$K$11:$K$310,605-COUNTA(半紙!$B$11:$B$310)-COUNTA(条幅!$B$11:$B$310)),"")))=0,"",IF(605&lt;=COUNTA(半紙!$B$11:$B$310),INDEX(半紙!$K$11:$K$310,605),IF(605&lt;=COUNTA(半紙!$B$11:$B$310)+COUNTA(条幅!$B$11:$B$310),INDEX(条幅!$K$11:$K$310,605-COUNTA(半紙!$B$11:$B$310)),IF(605&lt;=COUNTA(半紙!$B$11:$B$310)+COUNTA(条幅!$B$11:$B$310)+COUNTA(条幅4分の1!$B$11:$B$310),INDEX(条幅4分の1!$K$11:$K$310,605-COUNTA(半紙!$B$11:$B$310)-COUNTA(条幅!$B$11:$B$310)),""))))</f>
        <v/>
      </c>
      <c r="L610" s="48" t="str">
        <f>IF($B610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605))</f>
        <v/>
      </c>
    </row>
    <row r="611" spans="1:12" ht="15" customHeight="1">
      <c r="A611" s="37" t="str">
        <f>IF(606&lt;=COUNTA(半紙!$B$11:$B$310),"半紙",IF(606&lt;=COUNTA(半紙!$B$11:$B$310)+COUNTA(条幅!$B$11:$B$310),"条幅(半切)",IF(606&lt;=COUNTA(半紙!$B$11:$B$310)+COUNTA(条幅!$B$11:$B$310)+COUNTA(条幅4分の1!$B$11:$B$310),"条幅(1/4)","")))</f>
        <v/>
      </c>
      <c r="B611" s="38" t="str">
        <f>IF(IF(606&lt;=COUNTA(半紙!$B$11:$B$310),INDEX(半紙!$B$11:$B$310,606),IF(606&lt;=COUNTA(半紙!$B$11:$B$310)+COUNTA(条幅!$B$11:$B$310),INDEX(条幅!$B$11:$B$310,606-COUNTA(半紙!$B$11:$B$310)),IF(606&lt;=COUNTA(半紙!$B$11:$B$310)+COUNTA(条幅!$B$11:$B$310)+COUNTA(条幅4分の1!$B$11:$B$310),INDEX(条幅4分の1!$B$11:$B$310,606-COUNTA(半紙!$B$11:$B$310)-COUNTA(条幅!$B$11:$B$310)),"")))=0,"",IF(606&lt;=COUNTA(半紙!$B$11:$B$310),INDEX(半紙!$B$11:$B$310,606),IF(606&lt;=COUNTA(半紙!$B$11:$B$310)+COUNTA(条幅!$B$11:$B$310),INDEX(条幅!$B$11:$B$310,606-COUNTA(半紙!$B$11:$B$310)),IF(606&lt;=COUNTA(半紙!$B$11:$B$310)+COUNTA(条幅!$B$11:$B$310)+COUNTA(条幅4分の1!$B$11:$B$310),INDEX(条幅4分の1!$B$11:$B$310,606-COUNTA(半紙!$B$11:$B$310)-COUNTA(条幅!$B$11:$B$310)),""))))</f>
        <v/>
      </c>
      <c r="C611" s="38" t="str">
        <f>IF(IF(606&lt;=COUNTA(半紙!$B$11:$B$310),INDEX(半紙!$C$11:$C$310,606),IF(606&lt;=COUNTA(半紙!$B$11:$B$310)+COUNTA(条幅!$B$11:$B$310),INDEX(条幅!$C$11:$C$310,606-COUNTA(半紙!$B$11:$B$310)),IF(606&lt;=COUNTA(半紙!$B$11:$B$310)+COUNTA(条幅!$B$11:$B$310)+COUNTA(条幅4分の1!$B$11:$B$310),INDEX(条幅4分の1!$C$11:$C$310,606-COUNTA(半紙!$B$11:$B$310)-COUNTA(条幅!$B$11:$B$310)),"")))=0,"",IF(606&lt;=COUNTA(半紙!$B$11:$B$310),INDEX(半紙!$C$11:$C$310,606),IF(606&lt;=COUNTA(半紙!$B$11:$B$310)+COUNTA(条幅!$B$11:$B$310),INDEX(条幅!$C$11:$C$310,606-COUNTA(半紙!$B$11:$B$310)),IF(606&lt;=COUNTA(半紙!$B$11:$B$310)+COUNTA(条幅!$B$11:$B$310)+COUNTA(条幅4分の1!$B$11:$B$310),INDEX(条幅4分の1!$C$11:$C$310,606-COUNTA(半紙!$B$11:$B$310)-COUNTA(条幅!$B$11:$B$310)),""))))</f>
        <v/>
      </c>
      <c r="D611" s="38" t="str">
        <f>IF(IF(606&lt;=COUNTA(半紙!$B$11:$B$310),INDEX(半紙!$D$11:$D$310,606),IF(606&lt;=COUNTA(半紙!$B$11:$B$310)+COUNTA(条幅!$B$11:$B$310),INDEX(条幅!$D$11:$D$310,606-COUNTA(半紙!$B$11:$B$310)),IF(606&lt;=COUNTA(半紙!$B$11:$B$310)+COUNTA(条幅!$B$11:$B$310)+COUNTA(条幅4分の1!$B$11:$B$310),INDEX(条幅4分の1!$D$11:$D$310,606-COUNTA(半紙!$B$11:$B$310)-COUNTA(条幅!$B$11:$B$310)),"")))=0,"",IF(606&lt;=COUNTA(半紙!$B$11:$B$310),INDEX(半紙!$D$11:$D$310,606),IF(606&lt;=COUNTA(半紙!$B$11:$B$310)+COUNTA(条幅!$B$11:$B$310),INDEX(条幅!$D$11:$D$310,606-COUNTA(半紙!$B$11:$B$310)),IF(606&lt;=COUNTA(半紙!$B$11:$B$310)+COUNTA(条幅!$B$11:$B$310)+COUNTA(条幅4分の1!$B$11:$B$310),INDEX(条幅4分の1!$D$11:$D$310,606-COUNTA(半紙!$B$11:$B$310)-COUNTA(条幅!$B$11:$B$310)),""))))</f>
        <v/>
      </c>
      <c r="E611" s="38" t="str">
        <f>IF(IF(606&lt;=COUNTA(半紙!$B$11:$B$310),INDEX(半紙!$E$11:$E$310,606),IF(606&lt;=COUNTA(半紙!$B$11:$B$310)+COUNTA(条幅!$B$11:$B$310),INDEX(条幅!$E$11:$E$310,606-COUNTA(半紙!$B$11:$B$310)),IF(606&lt;=COUNTA(半紙!$B$11:$B$310)+COUNTA(条幅!$B$11:$B$310)+COUNTA(条幅4分の1!$B$11:$B$310),INDEX(条幅4分の1!$E$11:$E$310,606-COUNTA(半紙!$B$11:$B$310)-COUNTA(条幅!$B$11:$B$310)),"")))=0,"",IF(606&lt;=COUNTA(半紙!$B$11:$B$310),INDEX(半紙!$E$11:$E$310,606),IF(606&lt;=COUNTA(半紙!$B$11:$B$310)+COUNTA(条幅!$B$11:$B$310),INDEX(条幅!$E$11:$E$310,606-COUNTA(半紙!$B$11:$B$310)),IF(606&lt;=COUNTA(半紙!$B$11:$B$310)+COUNTA(条幅!$B$11:$B$310)+COUNTA(条幅4分の1!$B$11:$B$310),INDEX(条幅4分の1!$E$11:$E$310,606-COUNTA(半紙!$B$11:$B$310)-COUNTA(条幅!$B$11:$B$310)),""))))</f>
        <v/>
      </c>
      <c r="F611" s="38" t="str">
        <f>IF(IF(606&lt;=COUNTA(半紙!$B$11:$B$310),INDEX(半紙!$F$11:$F$310,606),IF(606&lt;=COUNTA(半紙!$B$11:$B$310)+COUNTA(条幅!$B$11:$B$310),INDEX(条幅!$F$11:$F$310,606-COUNTA(半紙!$B$11:$B$310)),IF(606&lt;=COUNTA(半紙!$B$11:$B$310)+COUNTA(条幅!$B$11:$B$310)+COUNTA(条幅4分の1!$B$11:$B$310),INDEX(条幅4分の1!$F$11:$F$310,606-COUNTA(半紙!$B$11:$B$310)-COUNTA(条幅!$B$11:$B$310)),"")))=0,"",IF(606&lt;=COUNTA(半紙!$B$11:$B$310),INDEX(半紙!$F$11:$F$310,606),IF(606&lt;=COUNTA(半紙!$B$11:$B$310)+COUNTA(条幅!$B$11:$B$310),INDEX(条幅!$F$11:$F$310,606-COUNTA(半紙!$B$11:$B$310)),IF(606&lt;=COUNTA(半紙!$B$11:$B$310)+COUNTA(条幅!$B$11:$B$310)+COUNTA(条幅4分の1!$B$11:$B$310),INDEX(条幅4分の1!$F$11:$F$310,606-COUNTA(半紙!$B$11:$B$310)-COUNTA(条幅!$B$11:$B$310)),""))))</f>
        <v/>
      </c>
      <c r="G611" s="38" t="str">
        <f>IF(IF(606&lt;=COUNTA(半紙!$B$11:$B$310),INDEX(半紙!$G$11:$G$310,606),IF(606&lt;=COUNTA(半紙!$B$11:$B$310)+COUNTA(条幅!$B$11:$B$310),INDEX(条幅!$G$11:$G$310,606-COUNTA(半紙!$B$11:$B$310)),IF(606&lt;=COUNTA(半紙!$B$11:$B$310)+COUNTA(条幅!$B$11:$B$310)+COUNTA(条幅4分の1!$B$11:$B$310),INDEX(条幅4分の1!$G$11:$G$310,606-COUNTA(半紙!$B$11:$B$310)-COUNTA(条幅!$B$11:$B$310)),"")))=0,"",IF(606&lt;=COUNTA(半紙!$B$11:$B$310),INDEX(半紙!$G$11:$G$310,606),IF(606&lt;=COUNTA(半紙!$B$11:$B$310)+COUNTA(条幅!$B$11:$B$310),INDEX(条幅!$G$11:$G$310,606-COUNTA(半紙!$B$11:$B$310)),IF(606&lt;=COUNTA(半紙!$B$11:$B$310)+COUNTA(条幅!$B$11:$B$310)+COUNTA(条幅4分の1!$B$11:$B$310),INDEX(条幅4分の1!$G$11:$G$310,606-COUNTA(半紙!$B$11:$B$310)-COUNTA(条幅!$B$11:$B$310)),""))))</f>
        <v/>
      </c>
      <c r="H611" s="38" t="str">
        <f>IF(IF(606&lt;=COUNTA(半紙!$B$11:$B$310),INDEX(半紙!$H$11:$H$310,606),IF(606&lt;=COUNTA(半紙!$B$11:$B$310)+COUNTA(条幅!$B$11:$B$310),INDEX(条幅!$H$11:$H$310,606-COUNTA(半紙!$B$11:$B$310)),IF(606&lt;=COUNTA(半紙!$B$11:$B$310)+COUNTA(条幅!$B$11:$B$310)+COUNTA(条幅4分の1!$B$11:$B$310),INDEX(条幅4分の1!$H$11:$H$310,606-COUNTA(半紙!$B$11:$B$310)-COUNTA(条幅!$B$11:$B$310)),"")))=0,"",IF(606&lt;=COUNTA(半紙!$B$11:$B$310),INDEX(半紙!$H$11:$H$310,606),IF(606&lt;=COUNTA(半紙!$B$11:$B$310)+COUNTA(条幅!$B$11:$B$310),INDEX(条幅!$H$11:$H$310,606-COUNTA(半紙!$B$11:$B$310)),IF(606&lt;=COUNTA(半紙!$B$11:$B$310)+COUNTA(条幅!$B$11:$B$310)+COUNTA(条幅4分の1!$B$11:$B$310),INDEX(条幅4分の1!$H$11:$H$310,606-COUNTA(半紙!$B$11:$B$310)-COUNTA(条幅!$B$11:$B$310)),""))))</f>
        <v/>
      </c>
      <c r="I611" s="38" t="str">
        <f>IF(IF(606&lt;=COUNTA(半紙!$B$11:$B$310),INDEX(半紙!$I$11:$I$310,606),IF(606&lt;=COUNTA(半紙!$B$11:$B$310)+COUNTA(条幅!$B$11:$B$310),INDEX(条幅!$I$11:$I$310,606-COUNTA(半紙!$B$11:$B$310)),IF(606&lt;=COUNTA(半紙!$B$11:$B$310)+COUNTA(条幅!$B$11:$B$310)+COUNTA(条幅4分の1!$B$11:$B$310),INDEX(条幅4分の1!$I$11:$I$310,606-COUNTA(半紙!$B$11:$B$310)-COUNTA(条幅!$B$11:$B$310)),"")))=0,"",IF(606&lt;=COUNTA(半紙!$B$11:$B$310),INDEX(半紙!$I$11:$I$310,606),IF(606&lt;=COUNTA(半紙!$B$11:$B$310)+COUNTA(条幅!$B$11:$B$310),INDEX(条幅!$I$11:$I$310,606-COUNTA(半紙!$B$11:$B$310)),IF(606&lt;=COUNTA(半紙!$B$11:$B$310)+COUNTA(条幅!$B$11:$B$310)+COUNTA(条幅4分の1!$B$11:$B$310),INDEX(条幅4分の1!$I$11:$I$310,606-COUNTA(半紙!$B$11:$B$310)-COUNTA(条幅!$B$11:$B$310)),""))))</f>
        <v/>
      </c>
      <c r="J611" s="38" t="str">
        <f>IF(IF(606&lt;=COUNTA(半紙!$B$11:$B$310),INDEX(半紙!$J$11:$J$310,606),IF(606&lt;=COUNTA(半紙!$B$11:$B$310)+COUNTA(条幅!$B$11:$B$310),INDEX(条幅!$J$11:$J$310,606-COUNTA(半紙!$B$11:$B$310)),IF(606&lt;=COUNTA(半紙!$B$11:$B$310)+COUNTA(条幅!$B$11:$B$310)+COUNTA(条幅4分の1!$B$11:$B$310),INDEX(条幅4分の1!$J$11:$J$310,606-COUNTA(半紙!$B$11:$B$310)-COUNTA(条幅!$B$11:$B$310)),"")))=0,"",IF(606&lt;=COUNTA(半紙!$B$11:$B$310),INDEX(半紙!$J$11:$J$310,606),IF(606&lt;=COUNTA(半紙!$B$11:$B$310)+COUNTA(条幅!$B$11:$B$310),INDEX(条幅!$J$11:$J$310,606-COUNTA(半紙!$B$11:$B$310)),IF(606&lt;=COUNTA(半紙!$B$11:$B$310)+COUNTA(条幅!$B$11:$B$310)+COUNTA(条幅4分の1!$B$11:$B$310),INDEX(条幅4分の1!$J$11:$J$310,606-COUNTA(半紙!$B$11:$B$310)-COUNTA(条幅!$B$11:$B$310)),""))))</f>
        <v/>
      </c>
      <c r="K611" s="38" t="str">
        <f>IF(IF(606&lt;=COUNTA(半紙!$B$11:$B$310),INDEX(半紙!$K$11:$K$310,606),IF(606&lt;=COUNTA(半紙!$B$11:$B$310)+COUNTA(条幅!$B$11:$B$310),INDEX(条幅!$K$11:$K$310,606-COUNTA(半紙!$B$11:$B$310)),IF(606&lt;=COUNTA(半紙!$B$11:$B$310)+COUNTA(条幅!$B$11:$B$310)+COUNTA(条幅4分の1!$B$11:$B$310),INDEX(条幅4分の1!$K$11:$K$310,606-COUNTA(半紙!$B$11:$B$310)-COUNTA(条幅!$B$11:$B$310)),"")))=0,"",IF(606&lt;=COUNTA(半紙!$B$11:$B$310),INDEX(半紙!$K$11:$K$310,606),IF(606&lt;=COUNTA(半紙!$B$11:$B$310)+COUNTA(条幅!$B$11:$B$310),INDEX(条幅!$K$11:$K$310,606-COUNTA(半紙!$B$11:$B$310)),IF(606&lt;=COUNTA(半紙!$B$11:$B$310)+COUNTA(条幅!$B$11:$B$310)+COUNTA(条幅4分の1!$B$11:$B$310),INDEX(条幅4分の1!$K$11:$K$310,606-COUNTA(半紙!$B$11:$B$310)-COUNTA(条幅!$B$11:$B$310)),""))))</f>
        <v/>
      </c>
      <c r="L611" s="48" t="str">
        <f>IF($B611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606))</f>
        <v/>
      </c>
    </row>
    <row r="612" spans="1:12" ht="15" customHeight="1">
      <c r="A612" s="37" t="str">
        <f>IF(607&lt;=COUNTA(半紙!$B$11:$B$310),"半紙",IF(607&lt;=COUNTA(半紙!$B$11:$B$310)+COUNTA(条幅!$B$11:$B$310),"条幅(半切)",IF(607&lt;=COUNTA(半紙!$B$11:$B$310)+COUNTA(条幅!$B$11:$B$310)+COUNTA(条幅4分の1!$B$11:$B$310),"条幅(1/4)","")))</f>
        <v/>
      </c>
      <c r="B612" s="38" t="str">
        <f>IF(IF(607&lt;=COUNTA(半紙!$B$11:$B$310),INDEX(半紙!$B$11:$B$310,607),IF(607&lt;=COUNTA(半紙!$B$11:$B$310)+COUNTA(条幅!$B$11:$B$310),INDEX(条幅!$B$11:$B$310,607-COUNTA(半紙!$B$11:$B$310)),IF(607&lt;=COUNTA(半紙!$B$11:$B$310)+COUNTA(条幅!$B$11:$B$310)+COUNTA(条幅4分の1!$B$11:$B$310),INDEX(条幅4分の1!$B$11:$B$310,607-COUNTA(半紙!$B$11:$B$310)-COUNTA(条幅!$B$11:$B$310)),"")))=0,"",IF(607&lt;=COUNTA(半紙!$B$11:$B$310),INDEX(半紙!$B$11:$B$310,607),IF(607&lt;=COUNTA(半紙!$B$11:$B$310)+COUNTA(条幅!$B$11:$B$310),INDEX(条幅!$B$11:$B$310,607-COUNTA(半紙!$B$11:$B$310)),IF(607&lt;=COUNTA(半紙!$B$11:$B$310)+COUNTA(条幅!$B$11:$B$310)+COUNTA(条幅4分の1!$B$11:$B$310),INDEX(条幅4分の1!$B$11:$B$310,607-COUNTA(半紙!$B$11:$B$310)-COUNTA(条幅!$B$11:$B$310)),""))))</f>
        <v/>
      </c>
      <c r="C612" s="38" t="str">
        <f>IF(IF(607&lt;=COUNTA(半紙!$B$11:$B$310),INDEX(半紙!$C$11:$C$310,607),IF(607&lt;=COUNTA(半紙!$B$11:$B$310)+COUNTA(条幅!$B$11:$B$310),INDEX(条幅!$C$11:$C$310,607-COUNTA(半紙!$B$11:$B$310)),IF(607&lt;=COUNTA(半紙!$B$11:$B$310)+COUNTA(条幅!$B$11:$B$310)+COUNTA(条幅4分の1!$B$11:$B$310),INDEX(条幅4分の1!$C$11:$C$310,607-COUNTA(半紙!$B$11:$B$310)-COUNTA(条幅!$B$11:$B$310)),"")))=0,"",IF(607&lt;=COUNTA(半紙!$B$11:$B$310),INDEX(半紙!$C$11:$C$310,607),IF(607&lt;=COUNTA(半紙!$B$11:$B$310)+COUNTA(条幅!$B$11:$B$310),INDEX(条幅!$C$11:$C$310,607-COUNTA(半紙!$B$11:$B$310)),IF(607&lt;=COUNTA(半紙!$B$11:$B$310)+COUNTA(条幅!$B$11:$B$310)+COUNTA(条幅4分の1!$B$11:$B$310),INDEX(条幅4分の1!$C$11:$C$310,607-COUNTA(半紙!$B$11:$B$310)-COUNTA(条幅!$B$11:$B$310)),""))))</f>
        <v/>
      </c>
      <c r="D612" s="38" t="str">
        <f>IF(IF(607&lt;=COUNTA(半紙!$B$11:$B$310),INDEX(半紙!$D$11:$D$310,607),IF(607&lt;=COUNTA(半紙!$B$11:$B$310)+COUNTA(条幅!$B$11:$B$310),INDEX(条幅!$D$11:$D$310,607-COUNTA(半紙!$B$11:$B$310)),IF(607&lt;=COUNTA(半紙!$B$11:$B$310)+COUNTA(条幅!$B$11:$B$310)+COUNTA(条幅4分の1!$B$11:$B$310),INDEX(条幅4分の1!$D$11:$D$310,607-COUNTA(半紙!$B$11:$B$310)-COUNTA(条幅!$B$11:$B$310)),"")))=0,"",IF(607&lt;=COUNTA(半紙!$B$11:$B$310),INDEX(半紙!$D$11:$D$310,607),IF(607&lt;=COUNTA(半紙!$B$11:$B$310)+COUNTA(条幅!$B$11:$B$310),INDEX(条幅!$D$11:$D$310,607-COUNTA(半紙!$B$11:$B$310)),IF(607&lt;=COUNTA(半紙!$B$11:$B$310)+COUNTA(条幅!$B$11:$B$310)+COUNTA(条幅4分の1!$B$11:$B$310),INDEX(条幅4分の1!$D$11:$D$310,607-COUNTA(半紙!$B$11:$B$310)-COUNTA(条幅!$B$11:$B$310)),""))))</f>
        <v/>
      </c>
      <c r="E612" s="38" t="str">
        <f>IF(IF(607&lt;=COUNTA(半紙!$B$11:$B$310),INDEX(半紙!$E$11:$E$310,607),IF(607&lt;=COUNTA(半紙!$B$11:$B$310)+COUNTA(条幅!$B$11:$B$310),INDEX(条幅!$E$11:$E$310,607-COUNTA(半紙!$B$11:$B$310)),IF(607&lt;=COUNTA(半紙!$B$11:$B$310)+COUNTA(条幅!$B$11:$B$310)+COUNTA(条幅4分の1!$B$11:$B$310),INDEX(条幅4分の1!$E$11:$E$310,607-COUNTA(半紙!$B$11:$B$310)-COUNTA(条幅!$B$11:$B$310)),"")))=0,"",IF(607&lt;=COUNTA(半紙!$B$11:$B$310),INDEX(半紙!$E$11:$E$310,607),IF(607&lt;=COUNTA(半紙!$B$11:$B$310)+COUNTA(条幅!$B$11:$B$310),INDEX(条幅!$E$11:$E$310,607-COUNTA(半紙!$B$11:$B$310)),IF(607&lt;=COUNTA(半紙!$B$11:$B$310)+COUNTA(条幅!$B$11:$B$310)+COUNTA(条幅4分の1!$B$11:$B$310),INDEX(条幅4分の1!$E$11:$E$310,607-COUNTA(半紙!$B$11:$B$310)-COUNTA(条幅!$B$11:$B$310)),""))))</f>
        <v/>
      </c>
      <c r="F612" s="38" t="str">
        <f>IF(IF(607&lt;=COUNTA(半紙!$B$11:$B$310),INDEX(半紙!$F$11:$F$310,607),IF(607&lt;=COUNTA(半紙!$B$11:$B$310)+COUNTA(条幅!$B$11:$B$310),INDEX(条幅!$F$11:$F$310,607-COUNTA(半紙!$B$11:$B$310)),IF(607&lt;=COUNTA(半紙!$B$11:$B$310)+COUNTA(条幅!$B$11:$B$310)+COUNTA(条幅4分の1!$B$11:$B$310),INDEX(条幅4分の1!$F$11:$F$310,607-COUNTA(半紙!$B$11:$B$310)-COUNTA(条幅!$B$11:$B$310)),"")))=0,"",IF(607&lt;=COUNTA(半紙!$B$11:$B$310),INDEX(半紙!$F$11:$F$310,607),IF(607&lt;=COUNTA(半紙!$B$11:$B$310)+COUNTA(条幅!$B$11:$B$310),INDEX(条幅!$F$11:$F$310,607-COUNTA(半紙!$B$11:$B$310)),IF(607&lt;=COUNTA(半紙!$B$11:$B$310)+COUNTA(条幅!$B$11:$B$310)+COUNTA(条幅4分の1!$B$11:$B$310),INDEX(条幅4分の1!$F$11:$F$310,607-COUNTA(半紙!$B$11:$B$310)-COUNTA(条幅!$B$11:$B$310)),""))))</f>
        <v/>
      </c>
      <c r="G612" s="38" t="str">
        <f>IF(IF(607&lt;=COUNTA(半紙!$B$11:$B$310),INDEX(半紙!$G$11:$G$310,607),IF(607&lt;=COUNTA(半紙!$B$11:$B$310)+COUNTA(条幅!$B$11:$B$310),INDEX(条幅!$G$11:$G$310,607-COUNTA(半紙!$B$11:$B$310)),IF(607&lt;=COUNTA(半紙!$B$11:$B$310)+COUNTA(条幅!$B$11:$B$310)+COUNTA(条幅4分の1!$B$11:$B$310),INDEX(条幅4分の1!$G$11:$G$310,607-COUNTA(半紙!$B$11:$B$310)-COUNTA(条幅!$B$11:$B$310)),"")))=0,"",IF(607&lt;=COUNTA(半紙!$B$11:$B$310),INDEX(半紙!$G$11:$G$310,607),IF(607&lt;=COUNTA(半紙!$B$11:$B$310)+COUNTA(条幅!$B$11:$B$310),INDEX(条幅!$G$11:$G$310,607-COUNTA(半紙!$B$11:$B$310)),IF(607&lt;=COUNTA(半紙!$B$11:$B$310)+COUNTA(条幅!$B$11:$B$310)+COUNTA(条幅4分の1!$B$11:$B$310),INDEX(条幅4分の1!$G$11:$G$310,607-COUNTA(半紙!$B$11:$B$310)-COUNTA(条幅!$B$11:$B$310)),""))))</f>
        <v/>
      </c>
      <c r="H612" s="38" t="str">
        <f>IF(IF(607&lt;=COUNTA(半紙!$B$11:$B$310),INDEX(半紙!$H$11:$H$310,607),IF(607&lt;=COUNTA(半紙!$B$11:$B$310)+COUNTA(条幅!$B$11:$B$310),INDEX(条幅!$H$11:$H$310,607-COUNTA(半紙!$B$11:$B$310)),IF(607&lt;=COUNTA(半紙!$B$11:$B$310)+COUNTA(条幅!$B$11:$B$310)+COUNTA(条幅4分の1!$B$11:$B$310),INDEX(条幅4分の1!$H$11:$H$310,607-COUNTA(半紙!$B$11:$B$310)-COUNTA(条幅!$B$11:$B$310)),"")))=0,"",IF(607&lt;=COUNTA(半紙!$B$11:$B$310),INDEX(半紙!$H$11:$H$310,607),IF(607&lt;=COUNTA(半紙!$B$11:$B$310)+COUNTA(条幅!$B$11:$B$310),INDEX(条幅!$H$11:$H$310,607-COUNTA(半紙!$B$11:$B$310)),IF(607&lt;=COUNTA(半紙!$B$11:$B$310)+COUNTA(条幅!$B$11:$B$310)+COUNTA(条幅4分の1!$B$11:$B$310),INDEX(条幅4分の1!$H$11:$H$310,607-COUNTA(半紙!$B$11:$B$310)-COUNTA(条幅!$B$11:$B$310)),""))))</f>
        <v/>
      </c>
      <c r="I612" s="38" t="str">
        <f>IF(IF(607&lt;=COUNTA(半紙!$B$11:$B$310),INDEX(半紙!$I$11:$I$310,607),IF(607&lt;=COUNTA(半紙!$B$11:$B$310)+COUNTA(条幅!$B$11:$B$310),INDEX(条幅!$I$11:$I$310,607-COUNTA(半紙!$B$11:$B$310)),IF(607&lt;=COUNTA(半紙!$B$11:$B$310)+COUNTA(条幅!$B$11:$B$310)+COUNTA(条幅4分の1!$B$11:$B$310),INDEX(条幅4分の1!$I$11:$I$310,607-COUNTA(半紙!$B$11:$B$310)-COUNTA(条幅!$B$11:$B$310)),"")))=0,"",IF(607&lt;=COUNTA(半紙!$B$11:$B$310),INDEX(半紙!$I$11:$I$310,607),IF(607&lt;=COUNTA(半紙!$B$11:$B$310)+COUNTA(条幅!$B$11:$B$310),INDEX(条幅!$I$11:$I$310,607-COUNTA(半紙!$B$11:$B$310)),IF(607&lt;=COUNTA(半紙!$B$11:$B$310)+COUNTA(条幅!$B$11:$B$310)+COUNTA(条幅4分の1!$B$11:$B$310),INDEX(条幅4分の1!$I$11:$I$310,607-COUNTA(半紙!$B$11:$B$310)-COUNTA(条幅!$B$11:$B$310)),""))))</f>
        <v/>
      </c>
      <c r="J612" s="38" t="str">
        <f>IF(IF(607&lt;=COUNTA(半紙!$B$11:$B$310),INDEX(半紙!$J$11:$J$310,607),IF(607&lt;=COUNTA(半紙!$B$11:$B$310)+COUNTA(条幅!$B$11:$B$310),INDEX(条幅!$J$11:$J$310,607-COUNTA(半紙!$B$11:$B$310)),IF(607&lt;=COUNTA(半紙!$B$11:$B$310)+COUNTA(条幅!$B$11:$B$310)+COUNTA(条幅4分の1!$B$11:$B$310),INDEX(条幅4分の1!$J$11:$J$310,607-COUNTA(半紙!$B$11:$B$310)-COUNTA(条幅!$B$11:$B$310)),"")))=0,"",IF(607&lt;=COUNTA(半紙!$B$11:$B$310),INDEX(半紙!$J$11:$J$310,607),IF(607&lt;=COUNTA(半紙!$B$11:$B$310)+COUNTA(条幅!$B$11:$B$310),INDEX(条幅!$J$11:$J$310,607-COUNTA(半紙!$B$11:$B$310)),IF(607&lt;=COUNTA(半紙!$B$11:$B$310)+COUNTA(条幅!$B$11:$B$310)+COUNTA(条幅4分の1!$B$11:$B$310),INDEX(条幅4分の1!$J$11:$J$310,607-COUNTA(半紙!$B$11:$B$310)-COUNTA(条幅!$B$11:$B$310)),""))))</f>
        <v/>
      </c>
      <c r="K612" s="38" t="str">
        <f>IF(IF(607&lt;=COUNTA(半紙!$B$11:$B$310),INDEX(半紙!$K$11:$K$310,607),IF(607&lt;=COUNTA(半紙!$B$11:$B$310)+COUNTA(条幅!$B$11:$B$310),INDEX(条幅!$K$11:$K$310,607-COUNTA(半紙!$B$11:$B$310)),IF(607&lt;=COUNTA(半紙!$B$11:$B$310)+COUNTA(条幅!$B$11:$B$310)+COUNTA(条幅4分の1!$B$11:$B$310),INDEX(条幅4分の1!$K$11:$K$310,607-COUNTA(半紙!$B$11:$B$310)-COUNTA(条幅!$B$11:$B$310)),"")))=0,"",IF(607&lt;=COUNTA(半紙!$B$11:$B$310),INDEX(半紙!$K$11:$K$310,607),IF(607&lt;=COUNTA(半紙!$B$11:$B$310)+COUNTA(条幅!$B$11:$B$310),INDEX(条幅!$K$11:$K$310,607-COUNTA(半紙!$B$11:$B$310)),IF(607&lt;=COUNTA(半紙!$B$11:$B$310)+COUNTA(条幅!$B$11:$B$310)+COUNTA(条幅4分の1!$B$11:$B$310),INDEX(条幅4分の1!$K$11:$K$310,607-COUNTA(半紙!$B$11:$B$310)-COUNTA(条幅!$B$11:$B$310)),""))))</f>
        <v/>
      </c>
      <c r="L612" s="48" t="str">
        <f>IF($B612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607))</f>
        <v/>
      </c>
    </row>
    <row r="613" spans="1:12" ht="15" customHeight="1">
      <c r="A613" s="37" t="str">
        <f>IF(608&lt;=COUNTA(半紙!$B$11:$B$310),"半紙",IF(608&lt;=COUNTA(半紙!$B$11:$B$310)+COUNTA(条幅!$B$11:$B$310),"条幅(半切)",IF(608&lt;=COUNTA(半紙!$B$11:$B$310)+COUNTA(条幅!$B$11:$B$310)+COUNTA(条幅4分の1!$B$11:$B$310),"条幅(1/4)","")))</f>
        <v/>
      </c>
      <c r="B613" s="38" t="str">
        <f>IF(IF(608&lt;=COUNTA(半紙!$B$11:$B$310),INDEX(半紙!$B$11:$B$310,608),IF(608&lt;=COUNTA(半紙!$B$11:$B$310)+COUNTA(条幅!$B$11:$B$310),INDEX(条幅!$B$11:$B$310,608-COUNTA(半紙!$B$11:$B$310)),IF(608&lt;=COUNTA(半紙!$B$11:$B$310)+COUNTA(条幅!$B$11:$B$310)+COUNTA(条幅4分の1!$B$11:$B$310),INDEX(条幅4分の1!$B$11:$B$310,608-COUNTA(半紙!$B$11:$B$310)-COUNTA(条幅!$B$11:$B$310)),"")))=0,"",IF(608&lt;=COUNTA(半紙!$B$11:$B$310),INDEX(半紙!$B$11:$B$310,608),IF(608&lt;=COUNTA(半紙!$B$11:$B$310)+COUNTA(条幅!$B$11:$B$310),INDEX(条幅!$B$11:$B$310,608-COUNTA(半紙!$B$11:$B$310)),IF(608&lt;=COUNTA(半紙!$B$11:$B$310)+COUNTA(条幅!$B$11:$B$310)+COUNTA(条幅4分の1!$B$11:$B$310),INDEX(条幅4分の1!$B$11:$B$310,608-COUNTA(半紙!$B$11:$B$310)-COUNTA(条幅!$B$11:$B$310)),""))))</f>
        <v/>
      </c>
      <c r="C613" s="38" t="str">
        <f>IF(IF(608&lt;=COUNTA(半紙!$B$11:$B$310),INDEX(半紙!$C$11:$C$310,608),IF(608&lt;=COUNTA(半紙!$B$11:$B$310)+COUNTA(条幅!$B$11:$B$310),INDEX(条幅!$C$11:$C$310,608-COUNTA(半紙!$B$11:$B$310)),IF(608&lt;=COUNTA(半紙!$B$11:$B$310)+COUNTA(条幅!$B$11:$B$310)+COUNTA(条幅4分の1!$B$11:$B$310),INDEX(条幅4分の1!$C$11:$C$310,608-COUNTA(半紙!$B$11:$B$310)-COUNTA(条幅!$B$11:$B$310)),"")))=0,"",IF(608&lt;=COUNTA(半紙!$B$11:$B$310),INDEX(半紙!$C$11:$C$310,608),IF(608&lt;=COUNTA(半紙!$B$11:$B$310)+COUNTA(条幅!$B$11:$B$310),INDEX(条幅!$C$11:$C$310,608-COUNTA(半紙!$B$11:$B$310)),IF(608&lt;=COUNTA(半紙!$B$11:$B$310)+COUNTA(条幅!$B$11:$B$310)+COUNTA(条幅4分の1!$B$11:$B$310),INDEX(条幅4分の1!$C$11:$C$310,608-COUNTA(半紙!$B$11:$B$310)-COUNTA(条幅!$B$11:$B$310)),""))))</f>
        <v/>
      </c>
      <c r="D613" s="38" t="str">
        <f>IF(IF(608&lt;=COUNTA(半紙!$B$11:$B$310),INDEX(半紙!$D$11:$D$310,608),IF(608&lt;=COUNTA(半紙!$B$11:$B$310)+COUNTA(条幅!$B$11:$B$310),INDEX(条幅!$D$11:$D$310,608-COUNTA(半紙!$B$11:$B$310)),IF(608&lt;=COUNTA(半紙!$B$11:$B$310)+COUNTA(条幅!$B$11:$B$310)+COUNTA(条幅4分の1!$B$11:$B$310),INDEX(条幅4分の1!$D$11:$D$310,608-COUNTA(半紙!$B$11:$B$310)-COUNTA(条幅!$B$11:$B$310)),"")))=0,"",IF(608&lt;=COUNTA(半紙!$B$11:$B$310),INDEX(半紙!$D$11:$D$310,608),IF(608&lt;=COUNTA(半紙!$B$11:$B$310)+COUNTA(条幅!$B$11:$B$310),INDEX(条幅!$D$11:$D$310,608-COUNTA(半紙!$B$11:$B$310)),IF(608&lt;=COUNTA(半紙!$B$11:$B$310)+COUNTA(条幅!$B$11:$B$310)+COUNTA(条幅4分の1!$B$11:$B$310),INDEX(条幅4分の1!$D$11:$D$310,608-COUNTA(半紙!$B$11:$B$310)-COUNTA(条幅!$B$11:$B$310)),""))))</f>
        <v/>
      </c>
      <c r="E613" s="38" t="str">
        <f>IF(IF(608&lt;=COUNTA(半紙!$B$11:$B$310),INDEX(半紙!$E$11:$E$310,608),IF(608&lt;=COUNTA(半紙!$B$11:$B$310)+COUNTA(条幅!$B$11:$B$310),INDEX(条幅!$E$11:$E$310,608-COUNTA(半紙!$B$11:$B$310)),IF(608&lt;=COUNTA(半紙!$B$11:$B$310)+COUNTA(条幅!$B$11:$B$310)+COUNTA(条幅4分の1!$B$11:$B$310),INDEX(条幅4分の1!$E$11:$E$310,608-COUNTA(半紙!$B$11:$B$310)-COUNTA(条幅!$B$11:$B$310)),"")))=0,"",IF(608&lt;=COUNTA(半紙!$B$11:$B$310),INDEX(半紙!$E$11:$E$310,608),IF(608&lt;=COUNTA(半紙!$B$11:$B$310)+COUNTA(条幅!$B$11:$B$310),INDEX(条幅!$E$11:$E$310,608-COUNTA(半紙!$B$11:$B$310)),IF(608&lt;=COUNTA(半紙!$B$11:$B$310)+COUNTA(条幅!$B$11:$B$310)+COUNTA(条幅4分の1!$B$11:$B$310),INDEX(条幅4分の1!$E$11:$E$310,608-COUNTA(半紙!$B$11:$B$310)-COUNTA(条幅!$B$11:$B$310)),""))))</f>
        <v/>
      </c>
      <c r="F613" s="38" t="str">
        <f>IF(IF(608&lt;=COUNTA(半紙!$B$11:$B$310),INDEX(半紙!$F$11:$F$310,608),IF(608&lt;=COUNTA(半紙!$B$11:$B$310)+COUNTA(条幅!$B$11:$B$310),INDEX(条幅!$F$11:$F$310,608-COUNTA(半紙!$B$11:$B$310)),IF(608&lt;=COUNTA(半紙!$B$11:$B$310)+COUNTA(条幅!$B$11:$B$310)+COUNTA(条幅4分の1!$B$11:$B$310),INDEX(条幅4分の1!$F$11:$F$310,608-COUNTA(半紙!$B$11:$B$310)-COUNTA(条幅!$B$11:$B$310)),"")))=0,"",IF(608&lt;=COUNTA(半紙!$B$11:$B$310),INDEX(半紙!$F$11:$F$310,608),IF(608&lt;=COUNTA(半紙!$B$11:$B$310)+COUNTA(条幅!$B$11:$B$310),INDEX(条幅!$F$11:$F$310,608-COUNTA(半紙!$B$11:$B$310)),IF(608&lt;=COUNTA(半紙!$B$11:$B$310)+COUNTA(条幅!$B$11:$B$310)+COUNTA(条幅4分の1!$B$11:$B$310),INDEX(条幅4分の1!$F$11:$F$310,608-COUNTA(半紙!$B$11:$B$310)-COUNTA(条幅!$B$11:$B$310)),""))))</f>
        <v/>
      </c>
      <c r="G613" s="38" t="str">
        <f>IF(IF(608&lt;=COUNTA(半紙!$B$11:$B$310),INDEX(半紙!$G$11:$G$310,608),IF(608&lt;=COUNTA(半紙!$B$11:$B$310)+COUNTA(条幅!$B$11:$B$310),INDEX(条幅!$G$11:$G$310,608-COUNTA(半紙!$B$11:$B$310)),IF(608&lt;=COUNTA(半紙!$B$11:$B$310)+COUNTA(条幅!$B$11:$B$310)+COUNTA(条幅4分の1!$B$11:$B$310),INDEX(条幅4分の1!$G$11:$G$310,608-COUNTA(半紙!$B$11:$B$310)-COUNTA(条幅!$B$11:$B$310)),"")))=0,"",IF(608&lt;=COUNTA(半紙!$B$11:$B$310),INDEX(半紙!$G$11:$G$310,608),IF(608&lt;=COUNTA(半紙!$B$11:$B$310)+COUNTA(条幅!$B$11:$B$310),INDEX(条幅!$G$11:$G$310,608-COUNTA(半紙!$B$11:$B$310)),IF(608&lt;=COUNTA(半紙!$B$11:$B$310)+COUNTA(条幅!$B$11:$B$310)+COUNTA(条幅4分の1!$B$11:$B$310),INDEX(条幅4分の1!$G$11:$G$310,608-COUNTA(半紙!$B$11:$B$310)-COUNTA(条幅!$B$11:$B$310)),""))))</f>
        <v/>
      </c>
      <c r="H613" s="38" t="str">
        <f>IF(IF(608&lt;=COUNTA(半紙!$B$11:$B$310),INDEX(半紙!$H$11:$H$310,608),IF(608&lt;=COUNTA(半紙!$B$11:$B$310)+COUNTA(条幅!$B$11:$B$310),INDEX(条幅!$H$11:$H$310,608-COUNTA(半紙!$B$11:$B$310)),IF(608&lt;=COUNTA(半紙!$B$11:$B$310)+COUNTA(条幅!$B$11:$B$310)+COUNTA(条幅4分の1!$B$11:$B$310),INDEX(条幅4分の1!$H$11:$H$310,608-COUNTA(半紙!$B$11:$B$310)-COUNTA(条幅!$B$11:$B$310)),"")))=0,"",IF(608&lt;=COUNTA(半紙!$B$11:$B$310),INDEX(半紙!$H$11:$H$310,608),IF(608&lt;=COUNTA(半紙!$B$11:$B$310)+COUNTA(条幅!$B$11:$B$310),INDEX(条幅!$H$11:$H$310,608-COUNTA(半紙!$B$11:$B$310)),IF(608&lt;=COUNTA(半紙!$B$11:$B$310)+COUNTA(条幅!$B$11:$B$310)+COUNTA(条幅4分の1!$B$11:$B$310),INDEX(条幅4分の1!$H$11:$H$310,608-COUNTA(半紙!$B$11:$B$310)-COUNTA(条幅!$B$11:$B$310)),""))))</f>
        <v/>
      </c>
      <c r="I613" s="38" t="str">
        <f>IF(IF(608&lt;=COUNTA(半紙!$B$11:$B$310),INDEX(半紙!$I$11:$I$310,608),IF(608&lt;=COUNTA(半紙!$B$11:$B$310)+COUNTA(条幅!$B$11:$B$310),INDEX(条幅!$I$11:$I$310,608-COUNTA(半紙!$B$11:$B$310)),IF(608&lt;=COUNTA(半紙!$B$11:$B$310)+COUNTA(条幅!$B$11:$B$310)+COUNTA(条幅4分の1!$B$11:$B$310),INDEX(条幅4分の1!$I$11:$I$310,608-COUNTA(半紙!$B$11:$B$310)-COUNTA(条幅!$B$11:$B$310)),"")))=0,"",IF(608&lt;=COUNTA(半紙!$B$11:$B$310),INDEX(半紙!$I$11:$I$310,608),IF(608&lt;=COUNTA(半紙!$B$11:$B$310)+COUNTA(条幅!$B$11:$B$310),INDEX(条幅!$I$11:$I$310,608-COUNTA(半紙!$B$11:$B$310)),IF(608&lt;=COUNTA(半紙!$B$11:$B$310)+COUNTA(条幅!$B$11:$B$310)+COUNTA(条幅4分の1!$B$11:$B$310),INDEX(条幅4分の1!$I$11:$I$310,608-COUNTA(半紙!$B$11:$B$310)-COUNTA(条幅!$B$11:$B$310)),""))))</f>
        <v/>
      </c>
      <c r="J613" s="38" t="str">
        <f>IF(IF(608&lt;=COUNTA(半紙!$B$11:$B$310),INDEX(半紙!$J$11:$J$310,608),IF(608&lt;=COUNTA(半紙!$B$11:$B$310)+COUNTA(条幅!$B$11:$B$310),INDEX(条幅!$J$11:$J$310,608-COUNTA(半紙!$B$11:$B$310)),IF(608&lt;=COUNTA(半紙!$B$11:$B$310)+COUNTA(条幅!$B$11:$B$310)+COUNTA(条幅4分の1!$B$11:$B$310),INDEX(条幅4分の1!$J$11:$J$310,608-COUNTA(半紙!$B$11:$B$310)-COUNTA(条幅!$B$11:$B$310)),"")))=0,"",IF(608&lt;=COUNTA(半紙!$B$11:$B$310),INDEX(半紙!$J$11:$J$310,608),IF(608&lt;=COUNTA(半紙!$B$11:$B$310)+COUNTA(条幅!$B$11:$B$310),INDEX(条幅!$J$11:$J$310,608-COUNTA(半紙!$B$11:$B$310)),IF(608&lt;=COUNTA(半紙!$B$11:$B$310)+COUNTA(条幅!$B$11:$B$310)+COUNTA(条幅4分の1!$B$11:$B$310),INDEX(条幅4分の1!$J$11:$J$310,608-COUNTA(半紙!$B$11:$B$310)-COUNTA(条幅!$B$11:$B$310)),""))))</f>
        <v/>
      </c>
      <c r="K613" s="38" t="str">
        <f>IF(IF(608&lt;=COUNTA(半紙!$B$11:$B$310),INDEX(半紙!$K$11:$K$310,608),IF(608&lt;=COUNTA(半紙!$B$11:$B$310)+COUNTA(条幅!$B$11:$B$310),INDEX(条幅!$K$11:$K$310,608-COUNTA(半紙!$B$11:$B$310)),IF(608&lt;=COUNTA(半紙!$B$11:$B$310)+COUNTA(条幅!$B$11:$B$310)+COUNTA(条幅4分の1!$B$11:$B$310),INDEX(条幅4分の1!$K$11:$K$310,608-COUNTA(半紙!$B$11:$B$310)-COUNTA(条幅!$B$11:$B$310)),"")))=0,"",IF(608&lt;=COUNTA(半紙!$B$11:$B$310),INDEX(半紙!$K$11:$K$310,608),IF(608&lt;=COUNTA(半紙!$B$11:$B$310)+COUNTA(条幅!$B$11:$B$310),INDEX(条幅!$K$11:$K$310,608-COUNTA(半紙!$B$11:$B$310)),IF(608&lt;=COUNTA(半紙!$B$11:$B$310)+COUNTA(条幅!$B$11:$B$310)+COUNTA(条幅4分の1!$B$11:$B$310),INDEX(条幅4分の1!$K$11:$K$310,608-COUNTA(半紙!$B$11:$B$310)-COUNTA(条幅!$B$11:$B$310)),""))))</f>
        <v/>
      </c>
      <c r="L613" s="48" t="str">
        <f>IF($B613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608))</f>
        <v/>
      </c>
    </row>
    <row r="614" spans="1:12" ht="15" customHeight="1">
      <c r="A614" s="37" t="str">
        <f>IF(609&lt;=COUNTA(半紙!$B$11:$B$310),"半紙",IF(609&lt;=COUNTA(半紙!$B$11:$B$310)+COUNTA(条幅!$B$11:$B$310),"条幅(半切)",IF(609&lt;=COUNTA(半紙!$B$11:$B$310)+COUNTA(条幅!$B$11:$B$310)+COUNTA(条幅4分の1!$B$11:$B$310),"条幅(1/4)","")))</f>
        <v/>
      </c>
      <c r="B614" s="38" t="str">
        <f>IF(IF(609&lt;=COUNTA(半紙!$B$11:$B$310),INDEX(半紙!$B$11:$B$310,609),IF(609&lt;=COUNTA(半紙!$B$11:$B$310)+COUNTA(条幅!$B$11:$B$310),INDEX(条幅!$B$11:$B$310,609-COUNTA(半紙!$B$11:$B$310)),IF(609&lt;=COUNTA(半紙!$B$11:$B$310)+COUNTA(条幅!$B$11:$B$310)+COUNTA(条幅4分の1!$B$11:$B$310),INDEX(条幅4分の1!$B$11:$B$310,609-COUNTA(半紙!$B$11:$B$310)-COUNTA(条幅!$B$11:$B$310)),"")))=0,"",IF(609&lt;=COUNTA(半紙!$B$11:$B$310),INDEX(半紙!$B$11:$B$310,609),IF(609&lt;=COUNTA(半紙!$B$11:$B$310)+COUNTA(条幅!$B$11:$B$310),INDEX(条幅!$B$11:$B$310,609-COUNTA(半紙!$B$11:$B$310)),IF(609&lt;=COUNTA(半紙!$B$11:$B$310)+COUNTA(条幅!$B$11:$B$310)+COUNTA(条幅4分の1!$B$11:$B$310),INDEX(条幅4分の1!$B$11:$B$310,609-COUNTA(半紙!$B$11:$B$310)-COUNTA(条幅!$B$11:$B$310)),""))))</f>
        <v/>
      </c>
      <c r="C614" s="38" t="str">
        <f>IF(IF(609&lt;=COUNTA(半紙!$B$11:$B$310),INDEX(半紙!$C$11:$C$310,609),IF(609&lt;=COUNTA(半紙!$B$11:$B$310)+COUNTA(条幅!$B$11:$B$310),INDEX(条幅!$C$11:$C$310,609-COUNTA(半紙!$B$11:$B$310)),IF(609&lt;=COUNTA(半紙!$B$11:$B$310)+COUNTA(条幅!$B$11:$B$310)+COUNTA(条幅4分の1!$B$11:$B$310),INDEX(条幅4分の1!$C$11:$C$310,609-COUNTA(半紙!$B$11:$B$310)-COUNTA(条幅!$B$11:$B$310)),"")))=0,"",IF(609&lt;=COUNTA(半紙!$B$11:$B$310),INDEX(半紙!$C$11:$C$310,609),IF(609&lt;=COUNTA(半紙!$B$11:$B$310)+COUNTA(条幅!$B$11:$B$310),INDEX(条幅!$C$11:$C$310,609-COUNTA(半紙!$B$11:$B$310)),IF(609&lt;=COUNTA(半紙!$B$11:$B$310)+COUNTA(条幅!$B$11:$B$310)+COUNTA(条幅4分の1!$B$11:$B$310),INDEX(条幅4分の1!$C$11:$C$310,609-COUNTA(半紙!$B$11:$B$310)-COUNTA(条幅!$B$11:$B$310)),""))))</f>
        <v/>
      </c>
      <c r="D614" s="38" t="str">
        <f>IF(IF(609&lt;=COUNTA(半紙!$B$11:$B$310),INDEX(半紙!$D$11:$D$310,609),IF(609&lt;=COUNTA(半紙!$B$11:$B$310)+COUNTA(条幅!$B$11:$B$310),INDEX(条幅!$D$11:$D$310,609-COUNTA(半紙!$B$11:$B$310)),IF(609&lt;=COUNTA(半紙!$B$11:$B$310)+COUNTA(条幅!$B$11:$B$310)+COUNTA(条幅4分の1!$B$11:$B$310),INDEX(条幅4分の1!$D$11:$D$310,609-COUNTA(半紙!$B$11:$B$310)-COUNTA(条幅!$B$11:$B$310)),"")))=0,"",IF(609&lt;=COUNTA(半紙!$B$11:$B$310),INDEX(半紙!$D$11:$D$310,609),IF(609&lt;=COUNTA(半紙!$B$11:$B$310)+COUNTA(条幅!$B$11:$B$310),INDEX(条幅!$D$11:$D$310,609-COUNTA(半紙!$B$11:$B$310)),IF(609&lt;=COUNTA(半紙!$B$11:$B$310)+COUNTA(条幅!$B$11:$B$310)+COUNTA(条幅4分の1!$B$11:$B$310),INDEX(条幅4分の1!$D$11:$D$310,609-COUNTA(半紙!$B$11:$B$310)-COUNTA(条幅!$B$11:$B$310)),""))))</f>
        <v/>
      </c>
      <c r="E614" s="38" t="str">
        <f>IF(IF(609&lt;=COUNTA(半紙!$B$11:$B$310),INDEX(半紙!$E$11:$E$310,609),IF(609&lt;=COUNTA(半紙!$B$11:$B$310)+COUNTA(条幅!$B$11:$B$310),INDEX(条幅!$E$11:$E$310,609-COUNTA(半紙!$B$11:$B$310)),IF(609&lt;=COUNTA(半紙!$B$11:$B$310)+COUNTA(条幅!$B$11:$B$310)+COUNTA(条幅4分の1!$B$11:$B$310),INDEX(条幅4分の1!$E$11:$E$310,609-COUNTA(半紙!$B$11:$B$310)-COUNTA(条幅!$B$11:$B$310)),"")))=0,"",IF(609&lt;=COUNTA(半紙!$B$11:$B$310),INDEX(半紙!$E$11:$E$310,609),IF(609&lt;=COUNTA(半紙!$B$11:$B$310)+COUNTA(条幅!$B$11:$B$310),INDEX(条幅!$E$11:$E$310,609-COUNTA(半紙!$B$11:$B$310)),IF(609&lt;=COUNTA(半紙!$B$11:$B$310)+COUNTA(条幅!$B$11:$B$310)+COUNTA(条幅4分の1!$B$11:$B$310),INDEX(条幅4分の1!$E$11:$E$310,609-COUNTA(半紙!$B$11:$B$310)-COUNTA(条幅!$B$11:$B$310)),""))))</f>
        <v/>
      </c>
      <c r="F614" s="38" t="str">
        <f>IF(IF(609&lt;=COUNTA(半紙!$B$11:$B$310),INDEX(半紙!$F$11:$F$310,609),IF(609&lt;=COUNTA(半紙!$B$11:$B$310)+COUNTA(条幅!$B$11:$B$310),INDEX(条幅!$F$11:$F$310,609-COUNTA(半紙!$B$11:$B$310)),IF(609&lt;=COUNTA(半紙!$B$11:$B$310)+COUNTA(条幅!$B$11:$B$310)+COUNTA(条幅4分の1!$B$11:$B$310),INDEX(条幅4分の1!$F$11:$F$310,609-COUNTA(半紙!$B$11:$B$310)-COUNTA(条幅!$B$11:$B$310)),"")))=0,"",IF(609&lt;=COUNTA(半紙!$B$11:$B$310),INDEX(半紙!$F$11:$F$310,609),IF(609&lt;=COUNTA(半紙!$B$11:$B$310)+COUNTA(条幅!$B$11:$B$310),INDEX(条幅!$F$11:$F$310,609-COUNTA(半紙!$B$11:$B$310)),IF(609&lt;=COUNTA(半紙!$B$11:$B$310)+COUNTA(条幅!$B$11:$B$310)+COUNTA(条幅4分の1!$B$11:$B$310),INDEX(条幅4分の1!$F$11:$F$310,609-COUNTA(半紙!$B$11:$B$310)-COUNTA(条幅!$B$11:$B$310)),""))))</f>
        <v/>
      </c>
      <c r="G614" s="38" t="str">
        <f>IF(IF(609&lt;=COUNTA(半紙!$B$11:$B$310),INDEX(半紙!$G$11:$G$310,609),IF(609&lt;=COUNTA(半紙!$B$11:$B$310)+COUNTA(条幅!$B$11:$B$310),INDEX(条幅!$G$11:$G$310,609-COUNTA(半紙!$B$11:$B$310)),IF(609&lt;=COUNTA(半紙!$B$11:$B$310)+COUNTA(条幅!$B$11:$B$310)+COUNTA(条幅4分の1!$B$11:$B$310),INDEX(条幅4分の1!$G$11:$G$310,609-COUNTA(半紙!$B$11:$B$310)-COUNTA(条幅!$B$11:$B$310)),"")))=0,"",IF(609&lt;=COUNTA(半紙!$B$11:$B$310),INDEX(半紙!$G$11:$G$310,609),IF(609&lt;=COUNTA(半紙!$B$11:$B$310)+COUNTA(条幅!$B$11:$B$310),INDEX(条幅!$G$11:$G$310,609-COUNTA(半紙!$B$11:$B$310)),IF(609&lt;=COUNTA(半紙!$B$11:$B$310)+COUNTA(条幅!$B$11:$B$310)+COUNTA(条幅4分の1!$B$11:$B$310),INDEX(条幅4分の1!$G$11:$G$310,609-COUNTA(半紙!$B$11:$B$310)-COUNTA(条幅!$B$11:$B$310)),""))))</f>
        <v/>
      </c>
      <c r="H614" s="38" t="str">
        <f>IF(IF(609&lt;=COUNTA(半紙!$B$11:$B$310),INDEX(半紙!$H$11:$H$310,609),IF(609&lt;=COUNTA(半紙!$B$11:$B$310)+COUNTA(条幅!$B$11:$B$310),INDEX(条幅!$H$11:$H$310,609-COUNTA(半紙!$B$11:$B$310)),IF(609&lt;=COUNTA(半紙!$B$11:$B$310)+COUNTA(条幅!$B$11:$B$310)+COUNTA(条幅4分の1!$B$11:$B$310),INDEX(条幅4分の1!$H$11:$H$310,609-COUNTA(半紙!$B$11:$B$310)-COUNTA(条幅!$B$11:$B$310)),"")))=0,"",IF(609&lt;=COUNTA(半紙!$B$11:$B$310),INDEX(半紙!$H$11:$H$310,609),IF(609&lt;=COUNTA(半紙!$B$11:$B$310)+COUNTA(条幅!$B$11:$B$310),INDEX(条幅!$H$11:$H$310,609-COUNTA(半紙!$B$11:$B$310)),IF(609&lt;=COUNTA(半紙!$B$11:$B$310)+COUNTA(条幅!$B$11:$B$310)+COUNTA(条幅4分の1!$B$11:$B$310),INDEX(条幅4分の1!$H$11:$H$310,609-COUNTA(半紙!$B$11:$B$310)-COUNTA(条幅!$B$11:$B$310)),""))))</f>
        <v/>
      </c>
      <c r="I614" s="38" t="str">
        <f>IF(IF(609&lt;=COUNTA(半紙!$B$11:$B$310),INDEX(半紙!$I$11:$I$310,609),IF(609&lt;=COUNTA(半紙!$B$11:$B$310)+COUNTA(条幅!$B$11:$B$310),INDEX(条幅!$I$11:$I$310,609-COUNTA(半紙!$B$11:$B$310)),IF(609&lt;=COUNTA(半紙!$B$11:$B$310)+COUNTA(条幅!$B$11:$B$310)+COUNTA(条幅4分の1!$B$11:$B$310),INDEX(条幅4分の1!$I$11:$I$310,609-COUNTA(半紙!$B$11:$B$310)-COUNTA(条幅!$B$11:$B$310)),"")))=0,"",IF(609&lt;=COUNTA(半紙!$B$11:$B$310),INDEX(半紙!$I$11:$I$310,609),IF(609&lt;=COUNTA(半紙!$B$11:$B$310)+COUNTA(条幅!$B$11:$B$310),INDEX(条幅!$I$11:$I$310,609-COUNTA(半紙!$B$11:$B$310)),IF(609&lt;=COUNTA(半紙!$B$11:$B$310)+COUNTA(条幅!$B$11:$B$310)+COUNTA(条幅4分の1!$B$11:$B$310),INDEX(条幅4分の1!$I$11:$I$310,609-COUNTA(半紙!$B$11:$B$310)-COUNTA(条幅!$B$11:$B$310)),""))))</f>
        <v/>
      </c>
      <c r="J614" s="38" t="str">
        <f>IF(IF(609&lt;=COUNTA(半紙!$B$11:$B$310),INDEX(半紙!$J$11:$J$310,609),IF(609&lt;=COUNTA(半紙!$B$11:$B$310)+COUNTA(条幅!$B$11:$B$310),INDEX(条幅!$J$11:$J$310,609-COUNTA(半紙!$B$11:$B$310)),IF(609&lt;=COUNTA(半紙!$B$11:$B$310)+COUNTA(条幅!$B$11:$B$310)+COUNTA(条幅4分の1!$B$11:$B$310),INDEX(条幅4分の1!$J$11:$J$310,609-COUNTA(半紙!$B$11:$B$310)-COUNTA(条幅!$B$11:$B$310)),"")))=0,"",IF(609&lt;=COUNTA(半紙!$B$11:$B$310),INDEX(半紙!$J$11:$J$310,609),IF(609&lt;=COUNTA(半紙!$B$11:$B$310)+COUNTA(条幅!$B$11:$B$310),INDEX(条幅!$J$11:$J$310,609-COUNTA(半紙!$B$11:$B$310)),IF(609&lt;=COUNTA(半紙!$B$11:$B$310)+COUNTA(条幅!$B$11:$B$310)+COUNTA(条幅4分の1!$B$11:$B$310),INDEX(条幅4分の1!$J$11:$J$310,609-COUNTA(半紙!$B$11:$B$310)-COUNTA(条幅!$B$11:$B$310)),""))))</f>
        <v/>
      </c>
      <c r="K614" s="38" t="str">
        <f>IF(IF(609&lt;=COUNTA(半紙!$B$11:$B$310),INDEX(半紙!$K$11:$K$310,609),IF(609&lt;=COUNTA(半紙!$B$11:$B$310)+COUNTA(条幅!$B$11:$B$310),INDEX(条幅!$K$11:$K$310,609-COUNTA(半紙!$B$11:$B$310)),IF(609&lt;=COUNTA(半紙!$B$11:$B$310)+COUNTA(条幅!$B$11:$B$310)+COUNTA(条幅4分の1!$B$11:$B$310),INDEX(条幅4分の1!$K$11:$K$310,609-COUNTA(半紙!$B$11:$B$310)-COUNTA(条幅!$B$11:$B$310)),"")))=0,"",IF(609&lt;=COUNTA(半紙!$B$11:$B$310),INDEX(半紙!$K$11:$K$310,609),IF(609&lt;=COUNTA(半紙!$B$11:$B$310)+COUNTA(条幅!$B$11:$B$310),INDEX(条幅!$K$11:$K$310,609-COUNTA(半紙!$B$11:$B$310)),IF(609&lt;=COUNTA(半紙!$B$11:$B$310)+COUNTA(条幅!$B$11:$B$310)+COUNTA(条幅4分の1!$B$11:$B$310),INDEX(条幅4分の1!$K$11:$K$310,609-COUNTA(半紙!$B$11:$B$310)-COUNTA(条幅!$B$11:$B$310)),""))))</f>
        <v/>
      </c>
      <c r="L614" s="48" t="str">
        <f>IF($B614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609))</f>
        <v/>
      </c>
    </row>
    <row r="615" spans="1:12" ht="15" customHeight="1">
      <c r="A615" s="37" t="str">
        <f>IF(610&lt;=COUNTA(半紙!$B$11:$B$310),"半紙",IF(610&lt;=COUNTA(半紙!$B$11:$B$310)+COUNTA(条幅!$B$11:$B$310),"条幅(半切)",IF(610&lt;=COUNTA(半紙!$B$11:$B$310)+COUNTA(条幅!$B$11:$B$310)+COUNTA(条幅4分の1!$B$11:$B$310),"条幅(1/4)","")))</f>
        <v/>
      </c>
      <c r="B615" s="38" t="str">
        <f>IF(IF(610&lt;=COUNTA(半紙!$B$11:$B$310),INDEX(半紙!$B$11:$B$310,610),IF(610&lt;=COUNTA(半紙!$B$11:$B$310)+COUNTA(条幅!$B$11:$B$310),INDEX(条幅!$B$11:$B$310,610-COUNTA(半紙!$B$11:$B$310)),IF(610&lt;=COUNTA(半紙!$B$11:$B$310)+COUNTA(条幅!$B$11:$B$310)+COUNTA(条幅4分の1!$B$11:$B$310),INDEX(条幅4分の1!$B$11:$B$310,610-COUNTA(半紙!$B$11:$B$310)-COUNTA(条幅!$B$11:$B$310)),"")))=0,"",IF(610&lt;=COUNTA(半紙!$B$11:$B$310),INDEX(半紙!$B$11:$B$310,610),IF(610&lt;=COUNTA(半紙!$B$11:$B$310)+COUNTA(条幅!$B$11:$B$310),INDEX(条幅!$B$11:$B$310,610-COUNTA(半紙!$B$11:$B$310)),IF(610&lt;=COUNTA(半紙!$B$11:$B$310)+COUNTA(条幅!$B$11:$B$310)+COUNTA(条幅4分の1!$B$11:$B$310),INDEX(条幅4分の1!$B$11:$B$310,610-COUNTA(半紙!$B$11:$B$310)-COUNTA(条幅!$B$11:$B$310)),""))))</f>
        <v/>
      </c>
      <c r="C615" s="38" t="str">
        <f>IF(IF(610&lt;=COUNTA(半紙!$B$11:$B$310),INDEX(半紙!$C$11:$C$310,610),IF(610&lt;=COUNTA(半紙!$B$11:$B$310)+COUNTA(条幅!$B$11:$B$310),INDEX(条幅!$C$11:$C$310,610-COUNTA(半紙!$B$11:$B$310)),IF(610&lt;=COUNTA(半紙!$B$11:$B$310)+COUNTA(条幅!$B$11:$B$310)+COUNTA(条幅4分の1!$B$11:$B$310),INDEX(条幅4分の1!$C$11:$C$310,610-COUNTA(半紙!$B$11:$B$310)-COUNTA(条幅!$B$11:$B$310)),"")))=0,"",IF(610&lt;=COUNTA(半紙!$B$11:$B$310),INDEX(半紙!$C$11:$C$310,610),IF(610&lt;=COUNTA(半紙!$B$11:$B$310)+COUNTA(条幅!$B$11:$B$310),INDEX(条幅!$C$11:$C$310,610-COUNTA(半紙!$B$11:$B$310)),IF(610&lt;=COUNTA(半紙!$B$11:$B$310)+COUNTA(条幅!$B$11:$B$310)+COUNTA(条幅4分の1!$B$11:$B$310),INDEX(条幅4分の1!$C$11:$C$310,610-COUNTA(半紙!$B$11:$B$310)-COUNTA(条幅!$B$11:$B$310)),""))))</f>
        <v/>
      </c>
      <c r="D615" s="38" t="str">
        <f>IF(IF(610&lt;=COUNTA(半紙!$B$11:$B$310),INDEX(半紙!$D$11:$D$310,610),IF(610&lt;=COUNTA(半紙!$B$11:$B$310)+COUNTA(条幅!$B$11:$B$310),INDEX(条幅!$D$11:$D$310,610-COUNTA(半紙!$B$11:$B$310)),IF(610&lt;=COUNTA(半紙!$B$11:$B$310)+COUNTA(条幅!$B$11:$B$310)+COUNTA(条幅4分の1!$B$11:$B$310),INDEX(条幅4分の1!$D$11:$D$310,610-COUNTA(半紙!$B$11:$B$310)-COUNTA(条幅!$B$11:$B$310)),"")))=0,"",IF(610&lt;=COUNTA(半紙!$B$11:$B$310),INDEX(半紙!$D$11:$D$310,610),IF(610&lt;=COUNTA(半紙!$B$11:$B$310)+COUNTA(条幅!$B$11:$B$310),INDEX(条幅!$D$11:$D$310,610-COUNTA(半紙!$B$11:$B$310)),IF(610&lt;=COUNTA(半紙!$B$11:$B$310)+COUNTA(条幅!$B$11:$B$310)+COUNTA(条幅4分の1!$B$11:$B$310),INDEX(条幅4分の1!$D$11:$D$310,610-COUNTA(半紙!$B$11:$B$310)-COUNTA(条幅!$B$11:$B$310)),""))))</f>
        <v/>
      </c>
      <c r="E615" s="38" t="str">
        <f>IF(IF(610&lt;=COUNTA(半紙!$B$11:$B$310),INDEX(半紙!$E$11:$E$310,610),IF(610&lt;=COUNTA(半紙!$B$11:$B$310)+COUNTA(条幅!$B$11:$B$310),INDEX(条幅!$E$11:$E$310,610-COUNTA(半紙!$B$11:$B$310)),IF(610&lt;=COUNTA(半紙!$B$11:$B$310)+COUNTA(条幅!$B$11:$B$310)+COUNTA(条幅4分の1!$B$11:$B$310),INDEX(条幅4分の1!$E$11:$E$310,610-COUNTA(半紙!$B$11:$B$310)-COUNTA(条幅!$B$11:$B$310)),"")))=0,"",IF(610&lt;=COUNTA(半紙!$B$11:$B$310),INDEX(半紙!$E$11:$E$310,610),IF(610&lt;=COUNTA(半紙!$B$11:$B$310)+COUNTA(条幅!$B$11:$B$310),INDEX(条幅!$E$11:$E$310,610-COUNTA(半紙!$B$11:$B$310)),IF(610&lt;=COUNTA(半紙!$B$11:$B$310)+COUNTA(条幅!$B$11:$B$310)+COUNTA(条幅4分の1!$B$11:$B$310),INDEX(条幅4分の1!$E$11:$E$310,610-COUNTA(半紙!$B$11:$B$310)-COUNTA(条幅!$B$11:$B$310)),""))))</f>
        <v/>
      </c>
      <c r="F615" s="38" t="str">
        <f>IF(IF(610&lt;=COUNTA(半紙!$B$11:$B$310),INDEX(半紙!$F$11:$F$310,610),IF(610&lt;=COUNTA(半紙!$B$11:$B$310)+COUNTA(条幅!$B$11:$B$310),INDEX(条幅!$F$11:$F$310,610-COUNTA(半紙!$B$11:$B$310)),IF(610&lt;=COUNTA(半紙!$B$11:$B$310)+COUNTA(条幅!$B$11:$B$310)+COUNTA(条幅4分の1!$B$11:$B$310),INDEX(条幅4分の1!$F$11:$F$310,610-COUNTA(半紙!$B$11:$B$310)-COUNTA(条幅!$B$11:$B$310)),"")))=0,"",IF(610&lt;=COUNTA(半紙!$B$11:$B$310),INDEX(半紙!$F$11:$F$310,610),IF(610&lt;=COUNTA(半紙!$B$11:$B$310)+COUNTA(条幅!$B$11:$B$310),INDEX(条幅!$F$11:$F$310,610-COUNTA(半紙!$B$11:$B$310)),IF(610&lt;=COUNTA(半紙!$B$11:$B$310)+COUNTA(条幅!$B$11:$B$310)+COUNTA(条幅4分の1!$B$11:$B$310),INDEX(条幅4分の1!$F$11:$F$310,610-COUNTA(半紙!$B$11:$B$310)-COUNTA(条幅!$B$11:$B$310)),""))))</f>
        <v/>
      </c>
      <c r="G615" s="38" t="str">
        <f>IF(IF(610&lt;=COUNTA(半紙!$B$11:$B$310),INDEX(半紙!$G$11:$G$310,610),IF(610&lt;=COUNTA(半紙!$B$11:$B$310)+COUNTA(条幅!$B$11:$B$310),INDEX(条幅!$G$11:$G$310,610-COUNTA(半紙!$B$11:$B$310)),IF(610&lt;=COUNTA(半紙!$B$11:$B$310)+COUNTA(条幅!$B$11:$B$310)+COUNTA(条幅4分の1!$B$11:$B$310),INDEX(条幅4分の1!$G$11:$G$310,610-COUNTA(半紙!$B$11:$B$310)-COUNTA(条幅!$B$11:$B$310)),"")))=0,"",IF(610&lt;=COUNTA(半紙!$B$11:$B$310),INDEX(半紙!$G$11:$G$310,610),IF(610&lt;=COUNTA(半紙!$B$11:$B$310)+COUNTA(条幅!$B$11:$B$310),INDEX(条幅!$G$11:$G$310,610-COUNTA(半紙!$B$11:$B$310)),IF(610&lt;=COUNTA(半紙!$B$11:$B$310)+COUNTA(条幅!$B$11:$B$310)+COUNTA(条幅4分の1!$B$11:$B$310),INDEX(条幅4分の1!$G$11:$G$310,610-COUNTA(半紙!$B$11:$B$310)-COUNTA(条幅!$B$11:$B$310)),""))))</f>
        <v/>
      </c>
      <c r="H615" s="38" t="str">
        <f>IF(IF(610&lt;=COUNTA(半紙!$B$11:$B$310),INDEX(半紙!$H$11:$H$310,610),IF(610&lt;=COUNTA(半紙!$B$11:$B$310)+COUNTA(条幅!$B$11:$B$310),INDEX(条幅!$H$11:$H$310,610-COUNTA(半紙!$B$11:$B$310)),IF(610&lt;=COUNTA(半紙!$B$11:$B$310)+COUNTA(条幅!$B$11:$B$310)+COUNTA(条幅4分の1!$B$11:$B$310),INDEX(条幅4分の1!$H$11:$H$310,610-COUNTA(半紙!$B$11:$B$310)-COUNTA(条幅!$B$11:$B$310)),"")))=0,"",IF(610&lt;=COUNTA(半紙!$B$11:$B$310),INDEX(半紙!$H$11:$H$310,610),IF(610&lt;=COUNTA(半紙!$B$11:$B$310)+COUNTA(条幅!$B$11:$B$310),INDEX(条幅!$H$11:$H$310,610-COUNTA(半紙!$B$11:$B$310)),IF(610&lt;=COUNTA(半紙!$B$11:$B$310)+COUNTA(条幅!$B$11:$B$310)+COUNTA(条幅4分の1!$B$11:$B$310),INDEX(条幅4分の1!$H$11:$H$310,610-COUNTA(半紙!$B$11:$B$310)-COUNTA(条幅!$B$11:$B$310)),""))))</f>
        <v/>
      </c>
      <c r="I615" s="38" t="str">
        <f>IF(IF(610&lt;=COUNTA(半紙!$B$11:$B$310),INDEX(半紙!$I$11:$I$310,610),IF(610&lt;=COUNTA(半紙!$B$11:$B$310)+COUNTA(条幅!$B$11:$B$310),INDEX(条幅!$I$11:$I$310,610-COUNTA(半紙!$B$11:$B$310)),IF(610&lt;=COUNTA(半紙!$B$11:$B$310)+COUNTA(条幅!$B$11:$B$310)+COUNTA(条幅4分の1!$B$11:$B$310),INDEX(条幅4分の1!$I$11:$I$310,610-COUNTA(半紙!$B$11:$B$310)-COUNTA(条幅!$B$11:$B$310)),"")))=0,"",IF(610&lt;=COUNTA(半紙!$B$11:$B$310),INDEX(半紙!$I$11:$I$310,610),IF(610&lt;=COUNTA(半紙!$B$11:$B$310)+COUNTA(条幅!$B$11:$B$310),INDEX(条幅!$I$11:$I$310,610-COUNTA(半紙!$B$11:$B$310)),IF(610&lt;=COUNTA(半紙!$B$11:$B$310)+COUNTA(条幅!$B$11:$B$310)+COUNTA(条幅4分の1!$B$11:$B$310),INDEX(条幅4分の1!$I$11:$I$310,610-COUNTA(半紙!$B$11:$B$310)-COUNTA(条幅!$B$11:$B$310)),""))))</f>
        <v/>
      </c>
      <c r="J615" s="38" t="str">
        <f>IF(IF(610&lt;=COUNTA(半紙!$B$11:$B$310),INDEX(半紙!$J$11:$J$310,610),IF(610&lt;=COUNTA(半紙!$B$11:$B$310)+COUNTA(条幅!$B$11:$B$310),INDEX(条幅!$J$11:$J$310,610-COUNTA(半紙!$B$11:$B$310)),IF(610&lt;=COUNTA(半紙!$B$11:$B$310)+COUNTA(条幅!$B$11:$B$310)+COUNTA(条幅4分の1!$B$11:$B$310),INDEX(条幅4分の1!$J$11:$J$310,610-COUNTA(半紙!$B$11:$B$310)-COUNTA(条幅!$B$11:$B$310)),"")))=0,"",IF(610&lt;=COUNTA(半紙!$B$11:$B$310),INDEX(半紙!$J$11:$J$310,610),IF(610&lt;=COUNTA(半紙!$B$11:$B$310)+COUNTA(条幅!$B$11:$B$310),INDEX(条幅!$J$11:$J$310,610-COUNTA(半紙!$B$11:$B$310)),IF(610&lt;=COUNTA(半紙!$B$11:$B$310)+COUNTA(条幅!$B$11:$B$310)+COUNTA(条幅4分の1!$B$11:$B$310),INDEX(条幅4分の1!$J$11:$J$310,610-COUNTA(半紙!$B$11:$B$310)-COUNTA(条幅!$B$11:$B$310)),""))))</f>
        <v/>
      </c>
      <c r="K615" s="38" t="str">
        <f>IF(IF(610&lt;=COUNTA(半紙!$B$11:$B$310),INDEX(半紙!$K$11:$K$310,610),IF(610&lt;=COUNTA(半紙!$B$11:$B$310)+COUNTA(条幅!$B$11:$B$310),INDEX(条幅!$K$11:$K$310,610-COUNTA(半紙!$B$11:$B$310)),IF(610&lt;=COUNTA(半紙!$B$11:$B$310)+COUNTA(条幅!$B$11:$B$310)+COUNTA(条幅4分の1!$B$11:$B$310),INDEX(条幅4分の1!$K$11:$K$310,610-COUNTA(半紙!$B$11:$B$310)-COUNTA(条幅!$B$11:$B$310)),"")))=0,"",IF(610&lt;=COUNTA(半紙!$B$11:$B$310),INDEX(半紙!$K$11:$K$310,610),IF(610&lt;=COUNTA(半紙!$B$11:$B$310)+COUNTA(条幅!$B$11:$B$310),INDEX(条幅!$K$11:$K$310,610-COUNTA(半紙!$B$11:$B$310)),IF(610&lt;=COUNTA(半紙!$B$11:$B$310)+COUNTA(条幅!$B$11:$B$310)+COUNTA(条幅4分の1!$B$11:$B$310),INDEX(条幅4分の1!$K$11:$K$310,610-COUNTA(半紙!$B$11:$B$310)-COUNTA(条幅!$B$11:$B$310)),""))))</f>
        <v/>
      </c>
      <c r="L615" s="48" t="str">
        <f>IF($B615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610))</f>
        <v/>
      </c>
    </row>
    <row r="616" spans="1:12" ht="15" customHeight="1">
      <c r="A616" s="37" t="str">
        <f>IF(611&lt;=COUNTA(半紙!$B$11:$B$310),"半紙",IF(611&lt;=COUNTA(半紙!$B$11:$B$310)+COUNTA(条幅!$B$11:$B$310),"条幅(半切)",IF(611&lt;=COUNTA(半紙!$B$11:$B$310)+COUNTA(条幅!$B$11:$B$310)+COUNTA(条幅4分の1!$B$11:$B$310),"条幅(1/4)","")))</f>
        <v/>
      </c>
      <c r="B616" s="38" t="str">
        <f>IF(IF(611&lt;=COUNTA(半紙!$B$11:$B$310),INDEX(半紙!$B$11:$B$310,611),IF(611&lt;=COUNTA(半紙!$B$11:$B$310)+COUNTA(条幅!$B$11:$B$310),INDEX(条幅!$B$11:$B$310,611-COUNTA(半紙!$B$11:$B$310)),IF(611&lt;=COUNTA(半紙!$B$11:$B$310)+COUNTA(条幅!$B$11:$B$310)+COUNTA(条幅4分の1!$B$11:$B$310),INDEX(条幅4分の1!$B$11:$B$310,611-COUNTA(半紙!$B$11:$B$310)-COUNTA(条幅!$B$11:$B$310)),"")))=0,"",IF(611&lt;=COUNTA(半紙!$B$11:$B$310),INDEX(半紙!$B$11:$B$310,611),IF(611&lt;=COUNTA(半紙!$B$11:$B$310)+COUNTA(条幅!$B$11:$B$310),INDEX(条幅!$B$11:$B$310,611-COUNTA(半紙!$B$11:$B$310)),IF(611&lt;=COUNTA(半紙!$B$11:$B$310)+COUNTA(条幅!$B$11:$B$310)+COUNTA(条幅4分の1!$B$11:$B$310),INDEX(条幅4分の1!$B$11:$B$310,611-COUNTA(半紙!$B$11:$B$310)-COUNTA(条幅!$B$11:$B$310)),""))))</f>
        <v/>
      </c>
      <c r="C616" s="38" t="str">
        <f>IF(IF(611&lt;=COUNTA(半紙!$B$11:$B$310),INDEX(半紙!$C$11:$C$310,611),IF(611&lt;=COUNTA(半紙!$B$11:$B$310)+COUNTA(条幅!$B$11:$B$310),INDEX(条幅!$C$11:$C$310,611-COUNTA(半紙!$B$11:$B$310)),IF(611&lt;=COUNTA(半紙!$B$11:$B$310)+COUNTA(条幅!$B$11:$B$310)+COUNTA(条幅4分の1!$B$11:$B$310),INDEX(条幅4分の1!$C$11:$C$310,611-COUNTA(半紙!$B$11:$B$310)-COUNTA(条幅!$B$11:$B$310)),"")))=0,"",IF(611&lt;=COUNTA(半紙!$B$11:$B$310),INDEX(半紙!$C$11:$C$310,611),IF(611&lt;=COUNTA(半紙!$B$11:$B$310)+COUNTA(条幅!$B$11:$B$310),INDEX(条幅!$C$11:$C$310,611-COUNTA(半紙!$B$11:$B$310)),IF(611&lt;=COUNTA(半紙!$B$11:$B$310)+COUNTA(条幅!$B$11:$B$310)+COUNTA(条幅4分の1!$B$11:$B$310),INDEX(条幅4分の1!$C$11:$C$310,611-COUNTA(半紙!$B$11:$B$310)-COUNTA(条幅!$B$11:$B$310)),""))))</f>
        <v/>
      </c>
      <c r="D616" s="38" t="str">
        <f>IF(IF(611&lt;=COUNTA(半紙!$B$11:$B$310),INDEX(半紙!$D$11:$D$310,611),IF(611&lt;=COUNTA(半紙!$B$11:$B$310)+COUNTA(条幅!$B$11:$B$310),INDEX(条幅!$D$11:$D$310,611-COUNTA(半紙!$B$11:$B$310)),IF(611&lt;=COUNTA(半紙!$B$11:$B$310)+COUNTA(条幅!$B$11:$B$310)+COUNTA(条幅4分の1!$B$11:$B$310),INDEX(条幅4分の1!$D$11:$D$310,611-COUNTA(半紙!$B$11:$B$310)-COUNTA(条幅!$B$11:$B$310)),"")))=0,"",IF(611&lt;=COUNTA(半紙!$B$11:$B$310),INDEX(半紙!$D$11:$D$310,611),IF(611&lt;=COUNTA(半紙!$B$11:$B$310)+COUNTA(条幅!$B$11:$B$310),INDEX(条幅!$D$11:$D$310,611-COUNTA(半紙!$B$11:$B$310)),IF(611&lt;=COUNTA(半紙!$B$11:$B$310)+COUNTA(条幅!$B$11:$B$310)+COUNTA(条幅4分の1!$B$11:$B$310),INDEX(条幅4分の1!$D$11:$D$310,611-COUNTA(半紙!$B$11:$B$310)-COUNTA(条幅!$B$11:$B$310)),""))))</f>
        <v/>
      </c>
      <c r="E616" s="38" t="str">
        <f>IF(IF(611&lt;=COUNTA(半紙!$B$11:$B$310),INDEX(半紙!$E$11:$E$310,611),IF(611&lt;=COUNTA(半紙!$B$11:$B$310)+COUNTA(条幅!$B$11:$B$310),INDEX(条幅!$E$11:$E$310,611-COUNTA(半紙!$B$11:$B$310)),IF(611&lt;=COUNTA(半紙!$B$11:$B$310)+COUNTA(条幅!$B$11:$B$310)+COUNTA(条幅4分の1!$B$11:$B$310),INDEX(条幅4分の1!$E$11:$E$310,611-COUNTA(半紙!$B$11:$B$310)-COUNTA(条幅!$B$11:$B$310)),"")))=0,"",IF(611&lt;=COUNTA(半紙!$B$11:$B$310),INDEX(半紙!$E$11:$E$310,611),IF(611&lt;=COUNTA(半紙!$B$11:$B$310)+COUNTA(条幅!$B$11:$B$310),INDEX(条幅!$E$11:$E$310,611-COUNTA(半紙!$B$11:$B$310)),IF(611&lt;=COUNTA(半紙!$B$11:$B$310)+COUNTA(条幅!$B$11:$B$310)+COUNTA(条幅4分の1!$B$11:$B$310),INDEX(条幅4分の1!$E$11:$E$310,611-COUNTA(半紙!$B$11:$B$310)-COUNTA(条幅!$B$11:$B$310)),""))))</f>
        <v/>
      </c>
      <c r="F616" s="38" t="str">
        <f>IF(IF(611&lt;=COUNTA(半紙!$B$11:$B$310),INDEX(半紙!$F$11:$F$310,611),IF(611&lt;=COUNTA(半紙!$B$11:$B$310)+COUNTA(条幅!$B$11:$B$310),INDEX(条幅!$F$11:$F$310,611-COUNTA(半紙!$B$11:$B$310)),IF(611&lt;=COUNTA(半紙!$B$11:$B$310)+COUNTA(条幅!$B$11:$B$310)+COUNTA(条幅4分の1!$B$11:$B$310),INDEX(条幅4分の1!$F$11:$F$310,611-COUNTA(半紙!$B$11:$B$310)-COUNTA(条幅!$B$11:$B$310)),"")))=0,"",IF(611&lt;=COUNTA(半紙!$B$11:$B$310),INDEX(半紙!$F$11:$F$310,611),IF(611&lt;=COUNTA(半紙!$B$11:$B$310)+COUNTA(条幅!$B$11:$B$310),INDEX(条幅!$F$11:$F$310,611-COUNTA(半紙!$B$11:$B$310)),IF(611&lt;=COUNTA(半紙!$B$11:$B$310)+COUNTA(条幅!$B$11:$B$310)+COUNTA(条幅4分の1!$B$11:$B$310),INDEX(条幅4分の1!$F$11:$F$310,611-COUNTA(半紙!$B$11:$B$310)-COUNTA(条幅!$B$11:$B$310)),""))))</f>
        <v/>
      </c>
      <c r="G616" s="38" t="str">
        <f>IF(IF(611&lt;=COUNTA(半紙!$B$11:$B$310),INDEX(半紙!$G$11:$G$310,611),IF(611&lt;=COUNTA(半紙!$B$11:$B$310)+COUNTA(条幅!$B$11:$B$310),INDEX(条幅!$G$11:$G$310,611-COUNTA(半紙!$B$11:$B$310)),IF(611&lt;=COUNTA(半紙!$B$11:$B$310)+COUNTA(条幅!$B$11:$B$310)+COUNTA(条幅4分の1!$B$11:$B$310),INDEX(条幅4分の1!$G$11:$G$310,611-COUNTA(半紙!$B$11:$B$310)-COUNTA(条幅!$B$11:$B$310)),"")))=0,"",IF(611&lt;=COUNTA(半紙!$B$11:$B$310),INDEX(半紙!$G$11:$G$310,611),IF(611&lt;=COUNTA(半紙!$B$11:$B$310)+COUNTA(条幅!$B$11:$B$310),INDEX(条幅!$G$11:$G$310,611-COUNTA(半紙!$B$11:$B$310)),IF(611&lt;=COUNTA(半紙!$B$11:$B$310)+COUNTA(条幅!$B$11:$B$310)+COUNTA(条幅4分の1!$B$11:$B$310),INDEX(条幅4分の1!$G$11:$G$310,611-COUNTA(半紙!$B$11:$B$310)-COUNTA(条幅!$B$11:$B$310)),""))))</f>
        <v/>
      </c>
      <c r="H616" s="38" t="str">
        <f>IF(IF(611&lt;=COUNTA(半紙!$B$11:$B$310),INDEX(半紙!$H$11:$H$310,611),IF(611&lt;=COUNTA(半紙!$B$11:$B$310)+COUNTA(条幅!$B$11:$B$310),INDEX(条幅!$H$11:$H$310,611-COUNTA(半紙!$B$11:$B$310)),IF(611&lt;=COUNTA(半紙!$B$11:$B$310)+COUNTA(条幅!$B$11:$B$310)+COUNTA(条幅4分の1!$B$11:$B$310),INDEX(条幅4分の1!$H$11:$H$310,611-COUNTA(半紙!$B$11:$B$310)-COUNTA(条幅!$B$11:$B$310)),"")))=0,"",IF(611&lt;=COUNTA(半紙!$B$11:$B$310),INDEX(半紙!$H$11:$H$310,611),IF(611&lt;=COUNTA(半紙!$B$11:$B$310)+COUNTA(条幅!$B$11:$B$310),INDEX(条幅!$H$11:$H$310,611-COUNTA(半紙!$B$11:$B$310)),IF(611&lt;=COUNTA(半紙!$B$11:$B$310)+COUNTA(条幅!$B$11:$B$310)+COUNTA(条幅4分の1!$B$11:$B$310),INDEX(条幅4分の1!$H$11:$H$310,611-COUNTA(半紙!$B$11:$B$310)-COUNTA(条幅!$B$11:$B$310)),""))))</f>
        <v/>
      </c>
      <c r="I616" s="38" t="str">
        <f>IF(IF(611&lt;=COUNTA(半紙!$B$11:$B$310),INDEX(半紙!$I$11:$I$310,611),IF(611&lt;=COUNTA(半紙!$B$11:$B$310)+COUNTA(条幅!$B$11:$B$310),INDEX(条幅!$I$11:$I$310,611-COUNTA(半紙!$B$11:$B$310)),IF(611&lt;=COUNTA(半紙!$B$11:$B$310)+COUNTA(条幅!$B$11:$B$310)+COUNTA(条幅4分の1!$B$11:$B$310),INDEX(条幅4分の1!$I$11:$I$310,611-COUNTA(半紙!$B$11:$B$310)-COUNTA(条幅!$B$11:$B$310)),"")))=0,"",IF(611&lt;=COUNTA(半紙!$B$11:$B$310),INDEX(半紙!$I$11:$I$310,611),IF(611&lt;=COUNTA(半紙!$B$11:$B$310)+COUNTA(条幅!$B$11:$B$310),INDEX(条幅!$I$11:$I$310,611-COUNTA(半紙!$B$11:$B$310)),IF(611&lt;=COUNTA(半紙!$B$11:$B$310)+COUNTA(条幅!$B$11:$B$310)+COUNTA(条幅4分の1!$B$11:$B$310),INDEX(条幅4分の1!$I$11:$I$310,611-COUNTA(半紙!$B$11:$B$310)-COUNTA(条幅!$B$11:$B$310)),""))))</f>
        <v/>
      </c>
      <c r="J616" s="38" t="str">
        <f>IF(IF(611&lt;=COUNTA(半紙!$B$11:$B$310),INDEX(半紙!$J$11:$J$310,611),IF(611&lt;=COUNTA(半紙!$B$11:$B$310)+COUNTA(条幅!$B$11:$B$310),INDEX(条幅!$J$11:$J$310,611-COUNTA(半紙!$B$11:$B$310)),IF(611&lt;=COUNTA(半紙!$B$11:$B$310)+COUNTA(条幅!$B$11:$B$310)+COUNTA(条幅4分の1!$B$11:$B$310),INDEX(条幅4分の1!$J$11:$J$310,611-COUNTA(半紙!$B$11:$B$310)-COUNTA(条幅!$B$11:$B$310)),"")))=0,"",IF(611&lt;=COUNTA(半紙!$B$11:$B$310),INDEX(半紙!$J$11:$J$310,611),IF(611&lt;=COUNTA(半紙!$B$11:$B$310)+COUNTA(条幅!$B$11:$B$310),INDEX(条幅!$J$11:$J$310,611-COUNTA(半紙!$B$11:$B$310)),IF(611&lt;=COUNTA(半紙!$B$11:$B$310)+COUNTA(条幅!$B$11:$B$310)+COUNTA(条幅4分の1!$B$11:$B$310),INDEX(条幅4分の1!$J$11:$J$310,611-COUNTA(半紙!$B$11:$B$310)-COUNTA(条幅!$B$11:$B$310)),""))))</f>
        <v/>
      </c>
      <c r="K616" s="38" t="str">
        <f>IF(IF(611&lt;=COUNTA(半紙!$B$11:$B$310),INDEX(半紙!$K$11:$K$310,611),IF(611&lt;=COUNTA(半紙!$B$11:$B$310)+COUNTA(条幅!$B$11:$B$310),INDEX(条幅!$K$11:$K$310,611-COUNTA(半紙!$B$11:$B$310)),IF(611&lt;=COUNTA(半紙!$B$11:$B$310)+COUNTA(条幅!$B$11:$B$310)+COUNTA(条幅4分の1!$B$11:$B$310),INDEX(条幅4分の1!$K$11:$K$310,611-COUNTA(半紙!$B$11:$B$310)-COUNTA(条幅!$B$11:$B$310)),"")))=0,"",IF(611&lt;=COUNTA(半紙!$B$11:$B$310),INDEX(半紙!$K$11:$K$310,611),IF(611&lt;=COUNTA(半紙!$B$11:$B$310)+COUNTA(条幅!$B$11:$B$310),INDEX(条幅!$K$11:$K$310,611-COUNTA(半紙!$B$11:$B$310)),IF(611&lt;=COUNTA(半紙!$B$11:$B$310)+COUNTA(条幅!$B$11:$B$310)+COUNTA(条幅4分の1!$B$11:$B$310),INDEX(条幅4分の1!$K$11:$K$310,611-COUNTA(半紙!$B$11:$B$310)-COUNTA(条幅!$B$11:$B$310)),""))))</f>
        <v/>
      </c>
      <c r="L616" s="48" t="str">
        <f>IF($B616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611))</f>
        <v/>
      </c>
    </row>
    <row r="617" spans="1:12" ht="15" customHeight="1">
      <c r="A617" s="37" t="str">
        <f>IF(612&lt;=COUNTA(半紙!$B$11:$B$310),"半紙",IF(612&lt;=COUNTA(半紙!$B$11:$B$310)+COUNTA(条幅!$B$11:$B$310),"条幅(半切)",IF(612&lt;=COUNTA(半紙!$B$11:$B$310)+COUNTA(条幅!$B$11:$B$310)+COUNTA(条幅4分の1!$B$11:$B$310),"条幅(1/4)","")))</f>
        <v/>
      </c>
      <c r="B617" s="38" t="str">
        <f>IF(IF(612&lt;=COUNTA(半紙!$B$11:$B$310),INDEX(半紙!$B$11:$B$310,612),IF(612&lt;=COUNTA(半紙!$B$11:$B$310)+COUNTA(条幅!$B$11:$B$310),INDEX(条幅!$B$11:$B$310,612-COUNTA(半紙!$B$11:$B$310)),IF(612&lt;=COUNTA(半紙!$B$11:$B$310)+COUNTA(条幅!$B$11:$B$310)+COUNTA(条幅4分の1!$B$11:$B$310),INDEX(条幅4分の1!$B$11:$B$310,612-COUNTA(半紙!$B$11:$B$310)-COUNTA(条幅!$B$11:$B$310)),"")))=0,"",IF(612&lt;=COUNTA(半紙!$B$11:$B$310),INDEX(半紙!$B$11:$B$310,612),IF(612&lt;=COUNTA(半紙!$B$11:$B$310)+COUNTA(条幅!$B$11:$B$310),INDEX(条幅!$B$11:$B$310,612-COUNTA(半紙!$B$11:$B$310)),IF(612&lt;=COUNTA(半紙!$B$11:$B$310)+COUNTA(条幅!$B$11:$B$310)+COUNTA(条幅4分の1!$B$11:$B$310),INDEX(条幅4分の1!$B$11:$B$310,612-COUNTA(半紙!$B$11:$B$310)-COUNTA(条幅!$B$11:$B$310)),""))))</f>
        <v/>
      </c>
      <c r="C617" s="38" t="str">
        <f>IF(IF(612&lt;=COUNTA(半紙!$B$11:$B$310),INDEX(半紙!$C$11:$C$310,612),IF(612&lt;=COUNTA(半紙!$B$11:$B$310)+COUNTA(条幅!$B$11:$B$310),INDEX(条幅!$C$11:$C$310,612-COUNTA(半紙!$B$11:$B$310)),IF(612&lt;=COUNTA(半紙!$B$11:$B$310)+COUNTA(条幅!$B$11:$B$310)+COUNTA(条幅4分の1!$B$11:$B$310),INDEX(条幅4分の1!$C$11:$C$310,612-COUNTA(半紙!$B$11:$B$310)-COUNTA(条幅!$B$11:$B$310)),"")))=0,"",IF(612&lt;=COUNTA(半紙!$B$11:$B$310),INDEX(半紙!$C$11:$C$310,612),IF(612&lt;=COUNTA(半紙!$B$11:$B$310)+COUNTA(条幅!$B$11:$B$310),INDEX(条幅!$C$11:$C$310,612-COUNTA(半紙!$B$11:$B$310)),IF(612&lt;=COUNTA(半紙!$B$11:$B$310)+COUNTA(条幅!$B$11:$B$310)+COUNTA(条幅4分の1!$B$11:$B$310),INDEX(条幅4分の1!$C$11:$C$310,612-COUNTA(半紙!$B$11:$B$310)-COUNTA(条幅!$B$11:$B$310)),""))))</f>
        <v/>
      </c>
      <c r="D617" s="38" t="str">
        <f>IF(IF(612&lt;=COUNTA(半紙!$B$11:$B$310),INDEX(半紙!$D$11:$D$310,612),IF(612&lt;=COUNTA(半紙!$B$11:$B$310)+COUNTA(条幅!$B$11:$B$310),INDEX(条幅!$D$11:$D$310,612-COUNTA(半紙!$B$11:$B$310)),IF(612&lt;=COUNTA(半紙!$B$11:$B$310)+COUNTA(条幅!$B$11:$B$310)+COUNTA(条幅4分の1!$B$11:$B$310),INDEX(条幅4分の1!$D$11:$D$310,612-COUNTA(半紙!$B$11:$B$310)-COUNTA(条幅!$B$11:$B$310)),"")))=0,"",IF(612&lt;=COUNTA(半紙!$B$11:$B$310),INDEX(半紙!$D$11:$D$310,612),IF(612&lt;=COUNTA(半紙!$B$11:$B$310)+COUNTA(条幅!$B$11:$B$310),INDEX(条幅!$D$11:$D$310,612-COUNTA(半紙!$B$11:$B$310)),IF(612&lt;=COUNTA(半紙!$B$11:$B$310)+COUNTA(条幅!$B$11:$B$310)+COUNTA(条幅4分の1!$B$11:$B$310),INDEX(条幅4分の1!$D$11:$D$310,612-COUNTA(半紙!$B$11:$B$310)-COUNTA(条幅!$B$11:$B$310)),""))))</f>
        <v/>
      </c>
      <c r="E617" s="38" t="str">
        <f>IF(IF(612&lt;=COUNTA(半紙!$B$11:$B$310),INDEX(半紙!$E$11:$E$310,612),IF(612&lt;=COUNTA(半紙!$B$11:$B$310)+COUNTA(条幅!$B$11:$B$310),INDEX(条幅!$E$11:$E$310,612-COUNTA(半紙!$B$11:$B$310)),IF(612&lt;=COUNTA(半紙!$B$11:$B$310)+COUNTA(条幅!$B$11:$B$310)+COUNTA(条幅4分の1!$B$11:$B$310),INDEX(条幅4分の1!$E$11:$E$310,612-COUNTA(半紙!$B$11:$B$310)-COUNTA(条幅!$B$11:$B$310)),"")))=0,"",IF(612&lt;=COUNTA(半紙!$B$11:$B$310),INDEX(半紙!$E$11:$E$310,612),IF(612&lt;=COUNTA(半紙!$B$11:$B$310)+COUNTA(条幅!$B$11:$B$310),INDEX(条幅!$E$11:$E$310,612-COUNTA(半紙!$B$11:$B$310)),IF(612&lt;=COUNTA(半紙!$B$11:$B$310)+COUNTA(条幅!$B$11:$B$310)+COUNTA(条幅4分の1!$B$11:$B$310),INDEX(条幅4分の1!$E$11:$E$310,612-COUNTA(半紙!$B$11:$B$310)-COUNTA(条幅!$B$11:$B$310)),""))))</f>
        <v/>
      </c>
      <c r="F617" s="38" t="str">
        <f>IF(IF(612&lt;=COUNTA(半紙!$B$11:$B$310),INDEX(半紙!$F$11:$F$310,612),IF(612&lt;=COUNTA(半紙!$B$11:$B$310)+COUNTA(条幅!$B$11:$B$310),INDEX(条幅!$F$11:$F$310,612-COUNTA(半紙!$B$11:$B$310)),IF(612&lt;=COUNTA(半紙!$B$11:$B$310)+COUNTA(条幅!$B$11:$B$310)+COUNTA(条幅4分の1!$B$11:$B$310),INDEX(条幅4分の1!$F$11:$F$310,612-COUNTA(半紙!$B$11:$B$310)-COUNTA(条幅!$B$11:$B$310)),"")))=0,"",IF(612&lt;=COUNTA(半紙!$B$11:$B$310),INDEX(半紙!$F$11:$F$310,612),IF(612&lt;=COUNTA(半紙!$B$11:$B$310)+COUNTA(条幅!$B$11:$B$310),INDEX(条幅!$F$11:$F$310,612-COUNTA(半紙!$B$11:$B$310)),IF(612&lt;=COUNTA(半紙!$B$11:$B$310)+COUNTA(条幅!$B$11:$B$310)+COUNTA(条幅4分の1!$B$11:$B$310),INDEX(条幅4分の1!$F$11:$F$310,612-COUNTA(半紙!$B$11:$B$310)-COUNTA(条幅!$B$11:$B$310)),""))))</f>
        <v/>
      </c>
      <c r="G617" s="38" t="str">
        <f>IF(IF(612&lt;=COUNTA(半紙!$B$11:$B$310),INDEX(半紙!$G$11:$G$310,612),IF(612&lt;=COUNTA(半紙!$B$11:$B$310)+COUNTA(条幅!$B$11:$B$310),INDEX(条幅!$G$11:$G$310,612-COUNTA(半紙!$B$11:$B$310)),IF(612&lt;=COUNTA(半紙!$B$11:$B$310)+COUNTA(条幅!$B$11:$B$310)+COUNTA(条幅4分の1!$B$11:$B$310),INDEX(条幅4分の1!$G$11:$G$310,612-COUNTA(半紙!$B$11:$B$310)-COUNTA(条幅!$B$11:$B$310)),"")))=0,"",IF(612&lt;=COUNTA(半紙!$B$11:$B$310),INDEX(半紙!$G$11:$G$310,612),IF(612&lt;=COUNTA(半紙!$B$11:$B$310)+COUNTA(条幅!$B$11:$B$310),INDEX(条幅!$G$11:$G$310,612-COUNTA(半紙!$B$11:$B$310)),IF(612&lt;=COUNTA(半紙!$B$11:$B$310)+COUNTA(条幅!$B$11:$B$310)+COUNTA(条幅4分の1!$B$11:$B$310),INDEX(条幅4分の1!$G$11:$G$310,612-COUNTA(半紙!$B$11:$B$310)-COUNTA(条幅!$B$11:$B$310)),""))))</f>
        <v/>
      </c>
      <c r="H617" s="38" t="str">
        <f>IF(IF(612&lt;=COUNTA(半紙!$B$11:$B$310),INDEX(半紙!$H$11:$H$310,612),IF(612&lt;=COUNTA(半紙!$B$11:$B$310)+COUNTA(条幅!$B$11:$B$310),INDEX(条幅!$H$11:$H$310,612-COUNTA(半紙!$B$11:$B$310)),IF(612&lt;=COUNTA(半紙!$B$11:$B$310)+COUNTA(条幅!$B$11:$B$310)+COUNTA(条幅4分の1!$B$11:$B$310),INDEX(条幅4分の1!$H$11:$H$310,612-COUNTA(半紙!$B$11:$B$310)-COUNTA(条幅!$B$11:$B$310)),"")))=0,"",IF(612&lt;=COUNTA(半紙!$B$11:$B$310),INDEX(半紙!$H$11:$H$310,612),IF(612&lt;=COUNTA(半紙!$B$11:$B$310)+COUNTA(条幅!$B$11:$B$310),INDEX(条幅!$H$11:$H$310,612-COUNTA(半紙!$B$11:$B$310)),IF(612&lt;=COUNTA(半紙!$B$11:$B$310)+COUNTA(条幅!$B$11:$B$310)+COUNTA(条幅4分の1!$B$11:$B$310),INDEX(条幅4分の1!$H$11:$H$310,612-COUNTA(半紙!$B$11:$B$310)-COUNTA(条幅!$B$11:$B$310)),""))))</f>
        <v/>
      </c>
      <c r="I617" s="38" t="str">
        <f>IF(IF(612&lt;=COUNTA(半紙!$B$11:$B$310),INDEX(半紙!$I$11:$I$310,612),IF(612&lt;=COUNTA(半紙!$B$11:$B$310)+COUNTA(条幅!$B$11:$B$310),INDEX(条幅!$I$11:$I$310,612-COUNTA(半紙!$B$11:$B$310)),IF(612&lt;=COUNTA(半紙!$B$11:$B$310)+COUNTA(条幅!$B$11:$B$310)+COUNTA(条幅4分の1!$B$11:$B$310),INDEX(条幅4分の1!$I$11:$I$310,612-COUNTA(半紙!$B$11:$B$310)-COUNTA(条幅!$B$11:$B$310)),"")))=0,"",IF(612&lt;=COUNTA(半紙!$B$11:$B$310),INDEX(半紙!$I$11:$I$310,612),IF(612&lt;=COUNTA(半紙!$B$11:$B$310)+COUNTA(条幅!$B$11:$B$310),INDEX(条幅!$I$11:$I$310,612-COUNTA(半紙!$B$11:$B$310)),IF(612&lt;=COUNTA(半紙!$B$11:$B$310)+COUNTA(条幅!$B$11:$B$310)+COUNTA(条幅4分の1!$B$11:$B$310),INDEX(条幅4分の1!$I$11:$I$310,612-COUNTA(半紙!$B$11:$B$310)-COUNTA(条幅!$B$11:$B$310)),""))))</f>
        <v/>
      </c>
      <c r="J617" s="38" t="str">
        <f>IF(IF(612&lt;=COUNTA(半紙!$B$11:$B$310),INDEX(半紙!$J$11:$J$310,612),IF(612&lt;=COUNTA(半紙!$B$11:$B$310)+COUNTA(条幅!$B$11:$B$310),INDEX(条幅!$J$11:$J$310,612-COUNTA(半紙!$B$11:$B$310)),IF(612&lt;=COUNTA(半紙!$B$11:$B$310)+COUNTA(条幅!$B$11:$B$310)+COUNTA(条幅4分の1!$B$11:$B$310),INDEX(条幅4分の1!$J$11:$J$310,612-COUNTA(半紙!$B$11:$B$310)-COUNTA(条幅!$B$11:$B$310)),"")))=0,"",IF(612&lt;=COUNTA(半紙!$B$11:$B$310),INDEX(半紙!$J$11:$J$310,612),IF(612&lt;=COUNTA(半紙!$B$11:$B$310)+COUNTA(条幅!$B$11:$B$310),INDEX(条幅!$J$11:$J$310,612-COUNTA(半紙!$B$11:$B$310)),IF(612&lt;=COUNTA(半紙!$B$11:$B$310)+COUNTA(条幅!$B$11:$B$310)+COUNTA(条幅4分の1!$B$11:$B$310),INDEX(条幅4分の1!$J$11:$J$310,612-COUNTA(半紙!$B$11:$B$310)-COUNTA(条幅!$B$11:$B$310)),""))))</f>
        <v/>
      </c>
      <c r="K617" s="38" t="str">
        <f>IF(IF(612&lt;=COUNTA(半紙!$B$11:$B$310),INDEX(半紙!$K$11:$K$310,612),IF(612&lt;=COUNTA(半紙!$B$11:$B$310)+COUNTA(条幅!$B$11:$B$310),INDEX(条幅!$K$11:$K$310,612-COUNTA(半紙!$B$11:$B$310)),IF(612&lt;=COUNTA(半紙!$B$11:$B$310)+COUNTA(条幅!$B$11:$B$310)+COUNTA(条幅4分の1!$B$11:$B$310),INDEX(条幅4分の1!$K$11:$K$310,612-COUNTA(半紙!$B$11:$B$310)-COUNTA(条幅!$B$11:$B$310)),"")))=0,"",IF(612&lt;=COUNTA(半紙!$B$11:$B$310),INDEX(半紙!$K$11:$K$310,612),IF(612&lt;=COUNTA(半紙!$B$11:$B$310)+COUNTA(条幅!$B$11:$B$310),INDEX(条幅!$K$11:$K$310,612-COUNTA(半紙!$B$11:$B$310)),IF(612&lt;=COUNTA(半紙!$B$11:$B$310)+COUNTA(条幅!$B$11:$B$310)+COUNTA(条幅4分の1!$B$11:$B$310),INDEX(条幅4分の1!$K$11:$K$310,612-COUNTA(半紙!$B$11:$B$310)-COUNTA(条幅!$B$11:$B$310)),""))))</f>
        <v/>
      </c>
      <c r="L617" s="48" t="str">
        <f>IF($B617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612))</f>
        <v/>
      </c>
    </row>
    <row r="618" spans="1:12" ht="15" customHeight="1">
      <c r="A618" s="37" t="str">
        <f>IF(613&lt;=COUNTA(半紙!$B$11:$B$310),"半紙",IF(613&lt;=COUNTA(半紙!$B$11:$B$310)+COUNTA(条幅!$B$11:$B$310),"条幅(半切)",IF(613&lt;=COUNTA(半紙!$B$11:$B$310)+COUNTA(条幅!$B$11:$B$310)+COUNTA(条幅4分の1!$B$11:$B$310),"条幅(1/4)","")))</f>
        <v/>
      </c>
      <c r="B618" s="38" t="str">
        <f>IF(IF(613&lt;=COUNTA(半紙!$B$11:$B$310),INDEX(半紙!$B$11:$B$310,613),IF(613&lt;=COUNTA(半紙!$B$11:$B$310)+COUNTA(条幅!$B$11:$B$310),INDEX(条幅!$B$11:$B$310,613-COUNTA(半紙!$B$11:$B$310)),IF(613&lt;=COUNTA(半紙!$B$11:$B$310)+COUNTA(条幅!$B$11:$B$310)+COUNTA(条幅4分の1!$B$11:$B$310),INDEX(条幅4分の1!$B$11:$B$310,613-COUNTA(半紙!$B$11:$B$310)-COUNTA(条幅!$B$11:$B$310)),"")))=0,"",IF(613&lt;=COUNTA(半紙!$B$11:$B$310),INDEX(半紙!$B$11:$B$310,613),IF(613&lt;=COUNTA(半紙!$B$11:$B$310)+COUNTA(条幅!$B$11:$B$310),INDEX(条幅!$B$11:$B$310,613-COUNTA(半紙!$B$11:$B$310)),IF(613&lt;=COUNTA(半紙!$B$11:$B$310)+COUNTA(条幅!$B$11:$B$310)+COUNTA(条幅4分の1!$B$11:$B$310),INDEX(条幅4分の1!$B$11:$B$310,613-COUNTA(半紙!$B$11:$B$310)-COUNTA(条幅!$B$11:$B$310)),""))))</f>
        <v/>
      </c>
      <c r="C618" s="38" t="str">
        <f>IF(IF(613&lt;=COUNTA(半紙!$B$11:$B$310),INDEX(半紙!$C$11:$C$310,613),IF(613&lt;=COUNTA(半紙!$B$11:$B$310)+COUNTA(条幅!$B$11:$B$310),INDEX(条幅!$C$11:$C$310,613-COUNTA(半紙!$B$11:$B$310)),IF(613&lt;=COUNTA(半紙!$B$11:$B$310)+COUNTA(条幅!$B$11:$B$310)+COUNTA(条幅4分の1!$B$11:$B$310),INDEX(条幅4分の1!$C$11:$C$310,613-COUNTA(半紙!$B$11:$B$310)-COUNTA(条幅!$B$11:$B$310)),"")))=0,"",IF(613&lt;=COUNTA(半紙!$B$11:$B$310),INDEX(半紙!$C$11:$C$310,613),IF(613&lt;=COUNTA(半紙!$B$11:$B$310)+COUNTA(条幅!$B$11:$B$310),INDEX(条幅!$C$11:$C$310,613-COUNTA(半紙!$B$11:$B$310)),IF(613&lt;=COUNTA(半紙!$B$11:$B$310)+COUNTA(条幅!$B$11:$B$310)+COUNTA(条幅4分の1!$B$11:$B$310),INDEX(条幅4分の1!$C$11:$C$310,613-COUNTA(半紙!$B$11:$B$310)-COUNTA(条幅!$B$11:$B$310)),""))))</f>
        <v/>
      </c>
      <c r="D618" s="38" t="str">
        <f>IF(IF(613&lt;=COUNTA(半紙!$B$11:$B$310),INDEX(半紙!$D$11:$D$310,613),IF(613&lt;=COUNTA(半紙!$B$11:$B$310)+COUNTA(条幅!$B$11:$B$310),INDEX(条幅!$D$11:$D$310,613-COUNTA(半紙!$B$11:$B$310)),IF(613&lt;=COUNTA(半紙!$B$11:$B$310)+COUNTA(条幅!$B$11:$B$310)+COUNTA(条幅4分の1!$B$11:$B$310),INDEX(条幅4分の1!$D$11:$D$310,613-COUNTA(半紙!$B$11:$B$310)-COUNTA(条幅!$B$11:$B$310)),"")))=0,"",IF(613&lt;=COUNTA(半紙!$B$11:$B$310),INDEX(半紙!$D$11:$D$310,613),IF(613&lt;=COUNTA(半紙!$B$11:$B$310)+COUNTA(条幅!$B$11:$B$310),INDEX(条幅!$D$11:$D$310,613-COUNTA(半紙!$B$11:$B$310)),IF(613&lt;=COUNTA(半紙!$B$11:$B$310)+COUNTA(条幅!$B$11:$B$310)+COUNTA(条幅4分の1!$B$11:$B$310),INDEX(条幅4分の1!$D$11:$D$310,613-COUNTA(半紙!$B$11:$B$310)-COUNTA(条幅!$B$11:$B$310)),""))))</f>
        <v/>
      </c>
      <c r="E618" s="38" t="str">
        <f>IF(IF(613&lt;=COUNTA(半紙!$B$11:$B$310),INDEX(半紙!$E$11:$E$310,613),IF(613&lt;=COUNTA(半紙!$B$11:$B$310)+COUNTA(条幅!$B$11:$B$310),INDEX(条幅!$E$11:$E$310,613-COUNTA(半紙!$B$11:$B$310)),IF(613&lt;=COUNTA(半紙!$B$11:$B$310)+COUNTA(条幅!$B$11:$B$310)+COUNTA(条幅4分の1!$B$11:$B$310),INDEX(条幅4分の1!$E$11:$E$310,613-COUNTA(半紙!$B$11:$B$310)-COUNTA(条幅!$B$11:$B$310)),"")))=0,"",IF(613&lt;=COUNTA(半紙!$B$11:$B$310),INDEX(半紙!$E$11:$E$310,613),IF(613&lt;=COUNTA(半紙!$B$11:$B$310)+COUNTA(条幅!$B$11:$B$310),INDEX(条幅!$E$11:$E$310,613-COUNTA(半紙!$B$11:$B$310)),IF(613&lt;=COUNTA(半紙!$B$11:$B$310)+COUNTA(条幅!$B$11:$B$310)+COUNTA(条幅4分の1!$B$11:$B$310),INDEX(条幅4分の1!$E$11:$E$310,613-COUNTA(半紙!$B$11:$B$310)-COUNTA(条幅!$B$11:$B$310)),""))))</f>
        <v/>
      </c>
      <c r="F618" s="38" t="str">
        <f>IF(IF(613&lt;=COUNTA(半紙!$B$11:$B$310),INDEX(半紙!$F$11:$F$310,613),IF(613&lt;=COUNTA(半紙!$B$11:$B$310)+COUNTA(条幅!$B$11:$B$310),INDEX(条幅!$F$11:$F$310,613-COUNTA(半紙!$B$11:$B$310)),IF(613&lt;=COUNTA(半紙!$B$11:$B$310)+COUNTA(条幅!$B$11:$B$310)+COUNTA(条幅4分の1!$B$11:$B$310),INDEX(条幅4分の1!$F$11:$F$310,613-COUNTA(半紙!$B$11:$B$310)-COUNTA(条幅!$B$11:$B$310)),"")))=0,"",IF(613&lt;=COUNTA(半紙!$B$11:$B$310),INDEX(半紙!$F$11:$F$310,613),IF(613&lt;=COUNTA(半紙!$B$11:$B$310)+COUNTA(条幅!$B$11:$B$310),INDEX(条幅!$F$11:$F$310,613-COUNTA(半紙!$B$11:$B$310)),IF(613&lt;=COUNTA(半紙!$B$11:$B$310)+COUNTA(条幅!$B$11:$B$310)+COUNTA(条幅4分の1!$B$11:$B$310),INDEX(条幅4分の1!$F$11:$F$310,613-COUNTA(半紙!$B$11:$B$310)-COUNTA(条幅!$B$11:$B$310)),""))))</f>
        <v/>
      </c>
      <c r="G618" s="38" t="str">
        <f>IF(IF(613&lt;=COUNTA(半紙!$B$11:$B$310),INDEX(半紙!$G$11:$G$310,613),IF(613&lt;=COUNTA(半紙!$B$11:$B$310)+COUNTA(条幅!$B$11:$B$310),INDEX(条幅!$G$11:$G$310,613-COUNTA(半紙!$B$11:$B$310)),IF(613&lt;=COUNTA(半紙!$B$11:$B$310)+COUNTA(条幅!$B$11:$B$310)+COUNTA(条幅4分の1!$B$11:$B$310),INDEX(条幅4分の1!$G$11:$G$310,613-COUNTA(半紙!$B$11:$B$310)-COUNTA(条幅!$B$11:$B$310)),"")))=0,"",IF(613&lt;=COUNTA(半紙!$B$11:$B$310),INDEX(半紙!$G$11:$G$310,613),IF(613&lt;=COUNTA(半紙!$B$11:$B$310)+COUNTA(条幅!$B$11:$B$310),INDEX(条幅!$G$11:$G$310,613-COUNTA(半紙!$B$11:$B$310)),IF(613&lt;=COUNTA(半紙!$B$11:$B$310)+COUNTA(条幅!$B$11:$B$310)+COUNTA(条幅4分の1!$B$11:$B$310),INDEX(条幅4分の1!$G$11:$G$310,613-COUNTA(半紙!$B$11:$B$310)-COUNTA(条幅!$B$11:$B$310)),""))))</f>
        <v/>
      </c>
      <c r="H618" s="38" t="str">
        <f>IF(IF(613&lt;=COUNTA(半紙!$B$11:$B$310),INDEX(半紙!$H$11:$H$310,613),IF(613&lt;=COUNTA(半紙!$B$11:$B$310)+COUNTA(条幅!$B$11:$B$310),INDEX(条幅!$H$11:$H$310,613-COUNTA(半紙!$B$11:$B$310)),IF(613&lt;=COUNTA(半紙!$B$11:$B$310)+COUNTA(条幅!$B$11:$B$310)+COUNTA(条幅4分の1!$B$11:$B$310),INDEX(条幅4分の1!$H$11:$H$310,613-COUNTA(半紙!$B$11:$B$310)-COUNTA(条幅!$B$11:$B$310)),"")))=0,"",IF(613&lt;=COUNTA(半紙!$B$11:$B$310),INDEX(半紙!$H$11:$H$310,613),IF(613&lt;=COUNTA(半紙!$B$11:$B$310)+COUNTA(条幅!$B$11:$B$310),INDEX(条幅!$H$11:$H$310,613-COUNTA(半紙!$B$11:$B$310)),IF(613&lt;=COUNTA(半紙!$B$11:$B$310)+COUNTA(条幅!$B$11:$B$310)+COUNTA(条幅4分の1!$B$11:$B$310),INDEX(条幅4分の1!$H$11:$H$310,613-COUNTA(半紙!$B$11:$B$310)-COUNTA(条幅!$B$11:$B$310)),""))))</f>
        <v/>
      </c>
      <c r="I618" s="38" t="str">
        <f>IF(IF(613&lt;=COUNTA(半紙!$B$11:$B$310),INDEX(半紙!$I$11:$I$310,613),IF(613&lt;=COUNTA(半紙!$B$11:$B$310)+COUNTA(条幅!$B$11:$B$310),INDEX(条幅!$I$11:$I$310,613-COUNTA(半紙!$B$11:$B$310)),IF(613&lt;=COUNTA(半紙!$B$11:$B$310)+COUNTA(条幅!$B$11:$B$310)+COUNTA(条幅4分の1!$B$11:$B$310),INDEX(条幅4分の1!$I$11:$I$310,613-COUNTA(半紙!$B$11:$B$310)-COUNTA(条幅!$B$11:$B$310)),"")))=0,"",IF(613&lt;=COUNTA(半紙!$B$11:$B$310),INDEX(半紙!$I$11:$I$310,613),IF(613&lt;=COUNTA(半紙!$B$11:$B$310)+COUNTA(条幅!$B$11:$B$310),INDEX(条幅!$I$11:$I$310,613-COUNTA(半紙!$B$11:$B$310)),IF(613&lt;=COUNTA(半紙!$B$11:$B$310)+COUNTA(条幅!$B$11:$B$310)+COUNTA(条幅4分の1!$B$11:$B$310),INDEX(条幅4分の1!$I$11:$I$310,613-COUNTA(半紙!$B$11:$B$310)-COUNTA(条幅!$B$11:$B$310)),""))))</f>
        <v/>
      </c>
      <c r="J618" s="38" t="str">
        <f>IF(IF(613&lt;=COUNTA(半紙!$B$11:$B$310),INDEX(半紙!$J$11:$J$310,613),IF(613&lt;=COUNTA(半紙!$B$11:$B$310)+COUNTA(条幅!$B$11:$B$310),INDEX(条幅!$J$11:$J$310,613-COUNTA(半紙!$B$11:$B$310)),IF(613&lt;=COUNTA(半紙!$B$11:$B$310)+COUNTA(条幅!$B$11:$B$310)+COUNTA(条幅4分の1!$B$11:$B$310),INDEX(条幅4分の1!$J$11:$J$310,613-COUNTA(半紙!$B$11:$B$310)-COUNTA(条幅!$B$11:$B$310)),"")))=0,"",IF(613&lt;=COUNTA(半紙!$B$11:$B$310),INDEX(半紙!$J$11:$J$310,613),IF(613&lt;=COUNTA(半紙!$B$11:$B$310)+COUNTA(条幅!$B$11:$B$310),INDEX(条幅!$J$11:$J$310,613-COUNTA(半紙!$B$11:$B$310)),IF(613&lt;=COUNTA(半紙!$B$11:$B$310)+COUNTA(条幅!$B$11:$B$310)+COUNTA(条幅4分の1!$B$11:$B$310),INDEX(条幅4分の1!$J$11:$J$310,613-COUNTA(半紙!$B$11:$B$310)-COUNTA(条幅!$B$11:$B$310)),""))))</f>
        <v/>
      </c>
      <c r="K618" s="38" t="str">
        <f>IF(IF(613&lt;=COUNTA(半紙!$B$11:$B$310),INDEX(半紙!$K$11:$K$310,613),IF(613&lt;=COUNTA(半紙!$B$11:$B$310)+COUNTA(条幅!$B$11:$B$310),INDEX(条幅!$K$11:$K$310,613-COUNTA(半紙!$B$11:$B$310)),IF(613&lt;=COUNTA(半紙!$B$11:$B$310)+COUNTA(条幅!$B$11:$B$310)+COUNTA(条幅4分の1!$B$11:$B$310),INDEX(条幅4分の1!$K$11:$K$310,613-COUNTA(半紙!$B$11:$B$310)-COUNTA(条幅!$B$11:$B$310)),"")))=0,"",IF(613&lt;=COUNTA(半紙!$B$11:$B$310),INDEX(半紙!$K$11:$K$310,613),IF(613&lt;=COUNTA(半紙!$B$11:$B$310)+COUNTA(条幅!$B$11:$B$310),INDEX(条幅!$K$11:$K$310,613-COUNTA(半紙!$B$11:$B$310)),IF(613&lt;=COUNTA(半紙!$B$11:$B$310)+COUNTA(条幅!$B$11:$B$310)+COUNTA(条幅4分の1!$B$11:$B$310),INDEX(条幅4分の1!$K$11:$K$310,613-COUNTA(半紙!$B$11:$B$310)-COUNTA(条幅!$B$11:$B$310)),""))))</f>
        <v/>
      </c>
      <c r="L618" s="48" t="str">
        <f>IF($B618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613))</f>
        <v/>
      </c>
    </row>
    <row r="619" spans="1:12" ht="15" customHeight="1">
      <c r="A619" s="37" t="str">
        <f>IF(614&lt;=COUNTA(半紙!$B$11:$B$310),"半紙",IF(614&lt;=COUNTA(半紙!$B$11:$B$310)+COUNTA(条幅!$B$11:$B$310),"条幅(半切)",IF(614&lt;=COUNTA(半紙!$B$11:$B$310)+COUNTA(条幅!$B$11:$B$310)+COUNTA(条幅4分の1!$B$11:$B$310),"条幅(1/4)","")))</f>
        <v/>
      </c>
      <c r="B619" s="38" t="str">
        <f>IF(IF(614&lt;=COUNTA(半紙!$B$11:$B$310),INDEX(半紙!$B$11:$B$310,614),IF(614&lt;=COUNTA(半紙!$B$11:$B$310)+COUNTA(条幅!$B$11:$B$310),INDEX(条幅!$B$11:$B$310,614-COUNTA(半紙!$B$11:$B$310)),IF(614&lt;=COUNTA(半紙!$B$11:$B$310)+COUNTA(条幅!$B$11:$B$310)+COUNTA(条幅4分の1!$B$11:$B$310),INDEX(条幅4分の1!$B$11:$B$310,614-COUNTA(半紙!$B$11:$B$310)-COUNTA(条幅!$B$11:$B$310)),"")))=0,"",IF(614&lt;=COUNTA(半紙!$B$11:$B$310),INDEX(半紙!$B$11:$B$310,614),IF(614&lt;=COUNTA(半紙!$B$11:$B$310)+COUNTA(条幅!$B$11:$B$310),INDEX(条幅!$B$11:$B$310,614-COUNTA(半紙!$B$11:$B$310)),IF(614&lt;=COUNTA(半紙!$B$11:$B$310)+COUNTA(条幅!$B$11:$B$310)+COUNTA(条幅4分の1!$B$11:$B$310),INDEX(条幅4分の1!$B$11:$B$310,614-COUNTA(半紙!$B$11:$B$310)-COUNTA(条幅!$B$11:$B$310)),""))))</f>
        <v/>
      </c>
      <c r="C619" s="38" t="str">
        <f>IF(IF(614&lt;=COUNTA(半紙!$B$11:$B$310),INDEX(半紙!$C$11:$C$310,614),IF(614&lt;=COUNTA(半紙!$B$11:$B$310)+COUNTA(条幅!$B$11:$B$310),INDEX(条幅!$C$11:$C$310,614-COUNTA(半紙!$B$11:$B$310)),IF(614&lt;=COUNTA(半紙!$B$11:$B$310)+COUNTA(条幅!$B$11:$B$310)+COUNTA(条幅4分の1!$B$11:$B$310),INDEX(条幅4分の1!$C$11:$C$310,614-COUNTA(半紙!$B$11:$B$310)-COUNTA(条幅!$B$11:$B$310)),"")))=0,"",IF(614&lt;=COUNTA(半紙!$B$11:$B$310),INDEX(半紙!$C$11:$C$310,614),IF(614&lt;=COUNTA(半紙!$B$11:$B$310)+COUNTA(条幅!$B$11:$B$310),INDEX(条幅!$C$11:$C$310,614-COUNTA(半紙!$B$11:$B$310)),IF(614&lt;=COUNTA(半紙!$B$11:$B$310)+COUNTA(条幅!$B$11:$B$310)+COUNTA(条幅4分の1!$B$11:$B$310),INDEX(条幅4分の1!$C$11:$C$310,614-COUNTA(半紙!$B$11:$B$310)-COUNTA(条幅!$B$11:$B$310)),""))))</f>
        <v/>
      </c>
      <c r="D619" s="38" t="str">
        <f>IF(IF(614&lt;=COUNTA(半紙!$B$11:$B$310),INDEX(半紙!$D$11:$D$310,614),IF(614&lt;=COUNTA(半紙!$B$11:$B$310)+COUNTA(条幅!$B$11:$B$310),INDEX(条幅!$D$11:$D$310,614-COUNTA(半紙!$B$11:$B$310)),IF(614&lt;=COUNTA(半紙!$B$11:$B$310)+COUNTA(条幅!$B$11:$B$310)+COUNTA(条幅4分の1!$B$11:$B$310),INDEX(条幅4分の1!$D$11:$D$310,614-COUNTA(半紙!$B$11:$B$310)-COUNTA(条幅!$B$11:$B$310)),"")))=0,"",IF(614&lt;=COUNTA(半紙!$B$11:$B$310),INDEX(半紙!$D$11:$D$310,614),IF(614&lt;=COUNTA(半紙!$B$11:$B$310)+COUNTA(条幅!$B$11:$B$310),INDEX(条幅!$D$11:$D$310,614-COUNTA(半紙!$B$11:$B$310)),IF(614&lt;=COUNTA(半紙!$B$11:$B$310)+COUNTA(条幅!$B$11:$B$310)+COUNTA(条幅4分の1!$B$11:$B$310),INDEX(条幅4分の1!$D$11:$D$310,614-COUNTA(半紙!$B$11:$B$310)-COUNTA(条幅!$B$11:$B$310)),""))))</f>
        <v/>
      </c>
      <c r="E619" s="38" t="str">
        <f>IF(IF(614&lt;=COUNTA(半紙!$B$11:$B$310),INDEX(半紙!$E$11:$E$310,614),IF(614&lt;=COUNTA(半紙!$B$11:$B$310)+COUNTA(条幅!$B$11:$B$310),INDEX(条幅!$E$11:$E$310,614-COUNTA(半紙!$B$11:$B$310)),IF(614&lt;=COUNTA(半紙!$B$11:$B$310)+COUNTA(条幅!$B$11:$B$310)+COUNTA(条幅4分の1!$B$11:$B$310),INDEX(条幅4分の1!$E$11:$E$310,614-COUNTA(半紙!$B$11:$B$310)-COUNTA(条幅!$B$11:$B$310)),"")))=0,"",IF(614&lt;=COUNTA(半紙!$B$11:$B$310),INDEX(半紙!$E$11:$E$310,614),IF(614&lt;=COUNTA(半紙!$B$11:$B$310)+COUNTA(条幅!$B$11:$B$310),INDEX(条幅!$E$11:$E$310,614-COUNTA(半紙!$B$11:$B$310)),IF(614&lt;=COUNTA(半紙!$B$11:$B$310)+COUNTA(条幅!$B$11:$B$310)+COUNTA(条幅4分の1!$B$11:$B$310),INDEX(条幅4分の1!$E$11:$E$310,614-COUNTA(半紙!$B$11:$B$310)-COUNTA(条幅!$B$11:$B$310)),""))))</f>
        <v/>
      </c>
      <c r="F619" s="38" t="str">
        <f>IF(IF(614&lt;=COUNTA(半紙!$B$11:$B$310),INDEX(半紙!$F$11:$F$310,614),IF(614&lt;=COUNTA(半紙!$B$11:$B$310)+COUNTA(条幅!$B$11:$B$310),INDEX(条幅!$F$11:$F$310,614-COUNTA(半紙!$B$11:$B$310)),IF(614&lt;=COUNTA(半紙!$B$11:$B$310)+COUNTA(条幅!$B$11:$B$310)+COUNTA(条幅4分の1!$B$11:$B$310),INDEX(条幅4分の1!$F$11:$F$310,614-COUNTA(半紙!$B$11:$B$310)-COUNTA(条幅!$B$11:$B$310)),"")))=0,"",IF(614&lt;=COUNTA(半紙!$B$11:$B$310),INDEX(半紙!$F$11:$F$310,614),IF(614&lt;=COUNTA(半紙!$B$11:$B$310)+COUNTA(条幅!$B$11:$B$310),INDEX(条幅!$F$11:$F$310,614-COUNTA(半紙!$B$11:$B$310)),IF(614&lt;=COUNTA(半紙!$B$11:$B$310)+COUNTA(条幅!$B$11:$B$310)+COUNTA(条幅4分の1!$B$11:$B$310),INDEX(条幅4分の1!$F$11:$F$310,614-COUNTA(半紙!$B$11:$B$310)-COUNTA(条幅!$B$11:$B$310)),""))))</f>
        <v/>
      </c>
      <c r="G619" s="38" t="str">
        <f>IF(IF(614&lt;=COUNTA(半紙!$B$11:$B$310),INDEX(半紙!$G$11:$G$310,614),IF(614&lt;=COUNTA(半紙!$B$11:$B$310)+COUNTA(条幅!$B$11:$B$310),INDEX(条幅!$G$11:$G$310,614-COUNTA(半紙!$B$11:$B$310)),IF(614&lt;=COUNTA(半紙!$B$11:$B$310)+COUNTA(条幅!$B$11:$B$310)+COUNTA(条幅4分の1!$B$11:$B$310),INDEX(条幅4分の1!$G$11:$G$310,614-COUNTA(半紙!$B$11:$B$310)-COUNTA(条幅!$B$11:$B$310)),"")))=0,"",IF(614&lt;=COUNTA(半紙!$B$11:$B$310),INDEX(半紙!$G$11:$G$310,614),IF(614&lt;=COUNTA(半紙!$B$11:$B$310)+COUNTA(条幅!$B$11:$B$310),INDEX(条幅!$G$11:$G$310,614-COUNTA(半紙!$B$11:$B$310)),IF(614&lt;=COUNTA(半紙!$B$11:$B$310)+COUNTA(条幅!$B$11:$B$310)+COUNTA(条幅4分の1!$B$11:$B$310),INDEX(条幅4分の1!$G$11:$G$310,614-COUNTA(半紙!$B$11:$B$310)-COUNTA(条幅!$B$11:$B$310)),""))))</f>
        <v/>
      </c>
      <c r="H619" s="38" t="str">
        <f>IF(IF(614&lt;=COUNTA(半紙!$B$11:$B$310),INDEX(半紙!$H$11:$H$310,614),IF(614&lt;=COUNTA(半紙!$B$11:$B$310)+COUNTA(条幅!$B$11:$B$310),INDEX(条幅!$H$11:$H$310,614-COUNTA(半紙!$B$11:$B$310)),IF(614&lt;=COUNTA(半紙!$B$11:$B$310)+COUNTA(条幅!$B$11:$B$310)+COUNTA(条幅4分の1!$B$11:$B$310),INDEX(条幅4分の1!$H$11:$H$310,614-COUNTA(半紙!$B$11:$B$310)-COUNTA(条幅!$B$11:$B$310)),"")))=0,"",IF(614&lt;=COUNTA(半紙!$B$11:$B$310),INDEX(半紙!$H$11:$H$310,614),IF(614&lt;=COUNTA(半紙!$B$11:$B$310)+COUNTA(条幅!$B$11:$B$310),INDEX(条幅!$H$11:$H$310,614-COUNTA(半紙!$B$11:$B$310)),IF(614&lt;=COUNTA(半紙!$B$11:$B$310)+COUNTA(条幅!$B$11:$B$310)+COUNTA(条幅4分の1!$B$11:$B$310),INDEX(条幅4分の1!$H$11:$H$310,614-COUNTA(半紙!$B$11:$B$310)-COUNTA(条幅!$B$11:$B$310)),""))))</f>
        <v/>
      </c>
      <c r="I619" s="38" t="str">
        <f>IF(IF(614&lt;=COUNTA(半紙!$B$11:$B$310),INDEX(半紙!$I$11:$I$310,614),IF(614&lt;=COUNTA(半紙!$B$11:$B$310)+COUNTA(条幅!$B$11:$B$310),INDEX(条幅!$I$11:$I$310,614-COUNTA(半紙!$B$11:$B$310)),IF(614&lt;=COUNTA(半紙!$B$11:$B$310)+COUNTA(条幅!$B$11:$B$310)+COUNTA(条幅4分の1!$B$11:$B$310),INDEX(条幅4分の1!$I$11:$I$310,614-COUNTA(半紙!$B$11:$B$310)-COUNTA(条幅!$B$11:$B$310)),"")))=0,"",IF(614&lt;=COUNTA(半紙!$B$11:$B$310),INDEX(半紙!$I$11:$I$310,614),IF(614&lt;=COUNTA(半紙!$B$11:$B$310)+COUNTA(条幅!$B$11:$B$310),INDEX(条幅!$I$11:$I$310,614-COUNTA(半紙!$B$11:$B$310)),IF(614&lt;=COUNTA(半紙!$B$11:$B$310)+COUNTA(条幅!$B$11:$B$310)+COUNTA(条幅4分の1!$B$11:$B$310),INDEX(条幅4分の1!$I$11:$I$310,614-COUNTA(半紙!$B$11:$B$310)-COUNTA(条幅!$B$11:$B$310)),""))))</f>
        <v/>
      </c>
      <c r="J619" s="38" t="str">
        <f>IF(IF(614&lt;=COUNTA(半紙!$B$11:$B$310),INDEX(半紙!$J$11:$J$310,614),IF(614&lt;=COUNTA(半紙!$B$11:$B$310)+COUNTA(条幅!$B$11:$B$310),INDEX(条幅!$J$11:$J$310,614-COUNTA(半紙!$B$11:$B$310)),IF(614&lt;=COUNTA(半紙!$B$11:$B$310)+COUNTA(条幅!$B$11:$B$310)+COUNTA(条幅4分の1!$B$11:$B$310),INDEX(条幅4分の1!$J$11:$J$310,614-COUNTA(半紙!$B$11:$B$310)-COUNTA(条幅!$B$11:$B$310)),"")))=0,"",IF(614&lt;=COUNTA(半紙!$B$11:$B$310),INDEX(半紙!$J$11:$J$310,614),IF(614&lt;=COUNTA(半紙!$B$11:$B$310)+COUNTA(条幅!$B$11:$B$310),INDEX(条幅!$J$11:$J$310,614-COUNTA(半紙!$B$11:$B$310)),IF(614&lt;=COUNTA(半紙!$B$11:$B$310)+COUNTA(条幅!$B$11:$B$310)+COUNTA(条幅4分の1!$B$11:$B$310),INDEX(条幅4分の1!$J$11:$J$310,614-COUNTA(半紙!$B$11:$B$310)-COUNTA(条幅!$B$11:$B$310)),""))))</f>
        <v/>
      </c>
      <c r="K619" s="38" t="str">
        <f>IF(IF(614&lt;=COUNTA(半紙!$B$11:$B$310),INDEX(半紙!$K$11:$K$310,614),IF(614&lt;=COUNTA(半紙!$B$11:$B$310)+COUNTA(条幅!$B$11:$B$310),INDEX(条幅!$K$11:$K$310,614-COUNTA(半紙!$B$11:$B$310)),IF(614&lt;=COUNTA(半紙!$B$11:$B$310)+COUNTA(条幅!$B$11:$B$310)+COUNTA(条幅4分の1!$B$11:$B$310),INDEX(条幅4分の1!$K$11:$K$310,614-COUNTA(半紙!$B$11:$B$310)-COUNTA(条幅!$B$11:$B$310)),"")))=0,"",IF(614&lt;=COUNTA(半紙!$B$11:$B$310),INDEX(半紙!$K$11:$K$310,614),IF(614&lt;=COUNTA(半紙!$B$11:$B$310)+COUNTA(条幅!$B$11:$B$310),INDEX(条幅!$K$11:$K$310,614-COUNTA(半紙!$B$11:$B$310)),IF(614&lt;=COUNTA(半紙!$B$11:$B$310)+COUNTA(条幅!$B$11:$B$310)+COUNTA(条幅4分の1!$B$11:$B$310),INDEX(条幅4分の1!$K$11:$K$310,614-COUNTA(半紙!$B$11:$B$310)-COUNTA(条幅!$B$11:$B$310)),""))))</f>
        <v/>
      </c>
      <c r="L619" s="48" t="str">
        <f>IF($B619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614))</f>
        <v/>
      </c>
    </row>
    <row r="620" spans="1:12" ht="15" customHeight="1">
      <c r="A620" s="37" t="str">
        <f>IF(615&lt;=COUNTA(半紙!$B$11:$B$310),"半紙",IF(615&lt;=COUNTA(半紙!$B$11:$B$310)+COUNTA(条幅!$B$11:$B$310),"条幅(半切)",IF(615&lt;=COUNTA(半紙!$B$11:$B$310)+COUNTA(条幅!$B$11:$B$310)+COUNTA(条幅4分の1!$B$11:$B$310),"条幅(1/4)","")))</f>
        <v/>
      </c>
      <c r="B620" s="38" t="str">
        <f>IF(IF(615&lt;=COUNTA(半紙!$B$11:$B$310),INDEX(半紙!$B$11:$B$310,615),IF(615&lt;=COUNTA(半紙!$B$11:$B$310)+COUNTA(条幅!$B$11:$B$310),INDEX(条幅!$B$11:$B$310,615-COUNTA(半紙!$B$11:$B$310)),IF(615&lt;=COUNTA(半紙!$B$11:$B$310)+COUNTA(条幅!$B$11:$B$310)+COUNTA(条幅4分の1!$B$11:$B$310),INDEX(条幅4分の1!$B$11:$B$310,615-COUNTA(半紙!$B$11:$B$310)-COUNTA(条幅!$B$11:$B$310)),"")))=0,"",IF(615&lt;=COUNTA(半紙!$B$11:$B$310),INDEX(半紙!$B$11:$B$310,615),IF(615&lt;=COUNTA(半紙!$B$11:$B$310)+COUNTA(条幅!$B$11:$B$310),INDEX(条幅!$B$11:$B$310,615-COUNTA(半紙!$B$11:$B$310)),IF(615&lt;=COUNTA(半紙!$B$11:$B$310)+COUNTA(条幅!$B$11:$B$310)+COUNTA(条幅4分の1!$B$11:$B$310),INDEX(条幅4分の1!$B$11:$B$310,615-COUNTA(半紙!$B$11:$B$310)-COUNTA(条幅!$B$11:$B$310)),""))))</f>
        <v/>
      </c>
      <c r="C620" s="38" t="str">
        <f>IF(IF(615&lt;=COUNTA(半紙!$B$11:$B$310),INDEX(半紙!$C$11:$C$310,615),IF(615&lt;=COUNTA(半紙!$B$11:$B$310)+COUNTA(条幅!$B$11:$B$310),INDEX(条幅!$C$11:$C$310,615-COUNTA(半紙!$B$11:$B$310)),IF(615&lt;=COUNTA(半紙!$B$11:$B$310)+COUNTA(条幅!$B$11:$B$310)+COUNTA(条幅4分の1!$B$11:$B$310),INDEX(条幅4分の1!$C$11:$C$310,615-COUNTA(半紙!$B$11:$B$310)-COUNTA(条幅!$B$11:$B$310)),"")))=0,"",IF(615&lt;=COUNTA(半紙!$B$11:$B$310),INDEX(半紙!$C$11:$C$310,615),IF(615&lt;=COUNTA(半紙!$B$11:$B$310)+COUNTA(条幅!$B$11:$B$310),INDEX(条幅!$C$11:$C$310,615-COUNTA(半紙!$B$11:$B$310)),IF(615&lt;=COUNTA(半紙!$B$11:$B$310)+COUNTA(条幅!$B$11:$B$310)+COUNTA(条幅4分の1!$B$11:$B$310),INDEX(条幅4分の1!$C$11:$C$310,615-COUNTA(半紙!$B$11:$B$310)-COUNTA(条幅!$B$11:$B$310)),""))))</f>
        <v/>
      </c>
      <c r="D620" s="38" t="str">
        <f>IF(IF(615&lt;=COUNTA(半紙!$B$11:$B$310),INDEX(半紙!$D$11:$D$310,615),IF(615&lt;=COUNTA(半紙!$B$11:$B$310)+COUNTA(条幅!$B$11:$B$310),INDEX(条幅!$D$11:$D$310,615-COUNTA(半紙!$B$11:$B$310)),IF(615&lt;=COUNTA(半紙!$B$11:$B$310)+COUNTA(条幅!$B$11:$B$310)+COUNTA(条幅4分の1!$B$11:$B$310),INDEX(条幅4分の1!$D$11:$D$310,615-COUNTA(半紙!$B$11:$B$310)-COUNTA(条幅!$B$11:$B$310)),"")))=0,"",IF(615&lt;=COUNTA(半紙!$B$11:$B$310),INDEX(半紙!$D$11:$D$310,615),IF(615&lt;=COUNTA(半紙!$B$11:$B$310)+COUNTA(条幅!$B$11:$B$310),INDEX(条幅!$D$11:$D$310,615-COUNTA(半紙!$B$11:$B$310)),IF(615&lt;=COUNTA(半紙!$B$11:$B$310)+COUNTA(条幅!$B$11:$B$310)+COUNTA(条幅4分の1!$B$11:$B$310),INDEX(条幅4分の1!$D$11:$D$310,615-COUNTA(半紙!$B$11:$B$310)-COUNTA(条幅!$B$11:$B$310)),""))))</f>
        <v/>
      </c>
      <c r="E620" s="38" t="str">
        <f>IF(IF(615&lt;=COUNTA(半紙!$B$11:$B$310),INDEX(半紙!$E$11:$E$310,615),IF(615&lt;=COUNTA(半紙!$B$11:$B$310)+COUNTA(条幅!$B$11:$B$310),INDEX(条幅!$E$11:$E$310,615-COUNTA(半紙!$B$11:$B$310)),IF(615&lt;=COUNTA(半紙!$B$11:$B$310)+COUNTA(条幅!$B$11:$B$310)+COUNTA(条幅4分の1!$B$11:$B$310),INDEX(条幅4分の1!$E$11:$E$310,615-COUNTA(半紙!$B$11:$B$310)-COUNTA(条幅!$B$11:$B$310)),"")))=0,"",IF(615&lt;=COUNTA(半紙!$B$11:$B$310),INDEX(半紙!$E$11:$E$310,615),IF(615&lt;=COUNTA(半紙!$B$11:$B$310)+COUNTA(条幅!$B$11:$B$310),INDEX(条幅!$E$11:$E$310,615-COUNTA(半紙!$B$11:$B$310)),IF(615&lt;=COUNTA(半紙!$B$11:$B$310)+COUNTA(条幅!$B$11:$B$310)+COUNTA(条幅4分の1!$B$11:$B$310),INDEX(条幅4分の1!$E$11:$E$310,615-COUNTA(半紙!$B$11:$B$310)-COUNTA(条幅!$B$11:$B$310)),""))))</f>
        <v/>
      </c>
      <c r="F620" s="38" t="str">
        <f>IF(IF(615&lt;=COUNTA(半紙!$B$11:$B$310),INDEX(半紙!$F$11:$F$310,615),IF(615&lt;=COUNTA(半紙!$B$11:$B$310)+COUNTA(条幅!$B$11:$B$310),INDEX(条幅!$F$11:$F$310,615-COUNTA(半紙!$B$11:$B$310)),IF(615&lt;=COUNTA(半紙!$B$11:$B$310)+COUNTA(条幅!$B$11:$B$310)+COUNTA(条幅4分の1!$B$11:$B$310),INDEX(条幅4分の1!$F$11:$F$310,615-COUNTA(半紙!$B$11:$B$310)-COUNTA(条幅!$B$11:$B$310)),"")))=0,"",IF(615&lt;=COUNTA(半紙!$B$11:$B$310),INDEX(半紙!$F$11:$F$310,615),IF(615&lt;=COUNTA(半紙!$B$11:$B$310)+COUNTA(条幅!$B$11:$B$310),INDEX(条幅!$F$11:$F$310,615-COUNTA(半紙!$B$11:$B$310)),IF(615&lt;=COUNTA(半紙!$B$11:$B$310)+COUNTA(条幅!$B$11:$B$310)+COUNTA(条幅4分の1!$B$11:$B$310),INDEX(条幅4分の1!$F$11:$F$310,615-COUNTA(半紙!$B$11:$B$310)-COUNTA(条幅!$B$11:$B$310)),""))))</f>
        <v/>
      </c>
      <c r="G620" s="38" t="str">
        <f>IF(IF(615&lt;=COUNTA(半紙!$B$11:$B$310),INDEX(半紙!$G$11:$G$310,615),IF(615&lt;=COUNTA(半紙!$B$11:$B$310)+COUNTA(条幅!$B$11:$B$310),INDEX(条幅!$G$11:$G$310,615-COUNTA(半紙!$B$11:$B$310)),IF(615&lt;=COUNTA(半紙!$B$11:$B$310)+COUNTA(条幅!$B$11:$B$310)+COUNTA(条幅4分の1!$B$11:$B$310),INDEX(条幅4分の1!$G$11:$G$310,615-COUNTA(半紙!$B$11:$B$310)-COUNTA(条幅!$B$11:$B$310)),"")))=0,"",IF(615&lt;=COUNTA(半紙!$B$11:$B$310),INDEX(半紙!$G$11:$G$310,615),IF(615&lt;=COUNTA(半紙!$B$11:$B$310)+COUNTA(条幅!$B$11:$B$310),INDEX(条幅!$G$11:$G$310,615-COUNTA(半紙!$B$11:$B$310)),IF(615&lt;=COUNTA(半紙!$B$11:$B$310)+COUNTA(条幅!$B$11:$B$310)+COUNTA(条幅4分の1!$B$11:$B$310),INDEX(条幅4分の1!$G$11:$G$310,615-COUNTA(半紙!$B$11:$B$310)-COUNTA(条幅!$B$11:$B$310)),""))))</f>
        <v/>
      </c>
      <c r="H620" s="38" t="str">
        <f>IF(IF(615&lt;=COUNTA(半紙!$B$11:$B$310),INDEX(半紙!$H$11:$H$310,615),IF(615&lt;=COUNTA(半紙!$B$11:$B$310)+COUNTA(条幅!$B$11:$B$310),INDEX(条幅!$H$11:$H$310,615-COUNTA(半紙!$B$11:$B$310)),IF(615&lt;=COUNTA(半紙!$B$11:$B$310)+COUNTA(条幅!$B$11:$B$310)+COUNTA(条幅4分の1!$B$11:$B$310),INDEX(条幅4分の1!$H$11:$H$310,615-COUNTA(半紙!$B$11:$B$310)-COUNTA(条幅!$B$11:$B$310)),"")))=0,"",IF(615&lt;=COUNTA(半紙!$B$11:$B$310),INDEX(半紙!$H$11:$H$310,615),IF(615&lt;=COUNTA(半紙!$B$11:$B$310)+COUNTA(条幅!$B$11:$B$310),INDEX(条幅!$H$11:$H$310,615-COUNTA(半紙!$B$11:$B$310)),IF(615&lt;=COUNTA(半紙!$B$11:$B$310)+COUNTA(条幅!$B$11:$B$310)+COUNTA(条幅4分の1!$B$11:$B$310),INDEX(条幅4分の1!$H$11:$H$310,615-COUNTA(半紙!$B$11:$B$310)-COUNTA(条幅!$B$11:$B$310)),""))))</f>
        <v/>
      </c>
      <c r="I620" s="38" t="str">
        <f>IF(IF(615&lt;=COUNTA(半紙!$B$11:$B$310),INDEX(半紙!$I$11:$I$310,615),IF(615&lt;=COUNTA(半紙!$B$11:$B$310)+COUNTA(条幅!$B$11:$B$310),INDEX(条幅!$I$11:$I$310,615-COUNTA(半紙!$B$11:$B$310)),IF(615&lt;=COUNTA(半紙!$B$11:$B$310)+COUNTA(条幅!$B$11:$B$310)+COUNTA(条幅4分の1!$B$11:$B$310),INDEX(条幅4分の1!$I$11:$I$310,615-COUNTA(半紙!$B$11:$B$310)-COUNTA(条幅!$B$11:$B$310)),"")))=0,"",IF(615&lt;=COUNTA(半紙!$B$11:$B$310),INDEX(半紙!$I$11:$I$310,615),IF(615&lt;=COUNTA(半紙!$B$11:$B$310)+COUNTA(条幅!$B$11:$B$310),INDEX(条幅!$I$11:$I$310,615-COUNTA(半紙!$B$11:$B$310)),IF(615&lt;=COUNTA(半紙!$B$11:$B$310)+COUNTA(条幅!$B$11:$B$310)+COUNTA(条幅4分の1!$B$11:$B$310),INDEX(条幅4分の1!$I$11:$I$310,615-COUNTA(半紙!$B$11:$B$310)-COUNTA(条幅!$B$11:$B$310)),""))))</f>
        <v/>
      </c>
      <c r="J620" s="38" t="str">
        <f>IF(IF(615&lt;=COUNTA(半紙!$B$11:$B$310),INDEX(半紙!$J$11:$J$310,615),IF(615&lt;=COUNTA(半紙!$B$11:$B$310)+COUNTA(条幅!$B$11:$B$310),INDEX(条幅!$J$11:$J$310,615-COUNTA(半紙!$B$11:$B$310)),IF(615&lt;=COUNTA(半紙!$B$11:$B$310)+COUNTA(条幅!$B$11:$B$310)+COUNTA(条幅4分の1!$B$11:$B$310),INDEX(条幅4分の1!$J$11:$J$310,615-COUNTA(半紙!$B$11:$B$310)-COUNTA(条幅!$B$11:$B$310)),"")))=0,"",IF(615&lt;=COUNTA(半紙!$B$11:$B$310),INDEX(半紙!$J$11:$J$310,615),IF(615&lt;=COUNTA(半紙!$B$11:$B$310)+COUNTA(条幅!$B$11:$B$310),INDEX(条幅!$J$11:$J$310,615-COUNTA(半紙!$B$11:$B$310)),IF(615&lt;=COUNTA(半紙!$B$11:$B$310)+COUNTA(条幅!$B$11:$B$310)+COUNTA(条幅4分の1!$B$11:$B$310),INDEX(条幅4分の1!$J$11:$J$310,615-COUNTA(半紙!$B$11:$B$310)-COUNTA(条幅!$B$11:$B$310)),""))))</f>
        <v/>
      </c>
      <c r="K620" s="38" t="str">
        <f>IF(IF(615&lt;=COUNTA(半紙!$B$11:$B$310),INDEX(半紙!$K$11:$K$310,615),IF(615&lt;=COUNTA(半紙!$B$11:$B$310)+COUNTA(条幅!$B$11:$B$310),INDEX(条幅!$K$11:$K$310,615-COUNTA(半紙!$B$11:$B$310)),IF(615&lt;=COUNTA(半紙!$B$11:$B$310)+COUNTA(条幅!$B$11:$B$310)+COUNTA(条幅4分の1!$B$11:$B$310),INDEX(条幅4分の1!$K$11:$K$310,615-COUNTA(半紙!$B$11:$B$310)-COUNTA(条幅!$B$11:$B$310)),"")))=0,"",IF(615&lt;=COUNTA(半紙!$B$11:$B$310),INDEX(半紙!$K$11:$K$310,615),IF(615&lt;=COUNTA(半紙!$B$11:$B$310)+COUNTA(条幅!$B$11:$B$310),INDEX(条幅!$K$11:$K$310,615-COUNTA(半紙!$B$11:$B$310)),IF(615&lt;=COUNTA(半紙!$B$11:$B$310)+COUNTA(条幅!$B$11:$B$310)+COUNTA(条幅4分の1!$B$11:$B$310),INDEX(条幅4分の1!$K$11:$K$310,615-COUNTA(半紙!$B$11:$B$310)-COUNTA(条幅!$B$11:$B$310)),""))))</f>
        <v/>
      </c>
      <c r="L620" s="48" t="str">
        <f>IF($B620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615))</f>
        <v/>
      </c>
    </row>
    <row r="621" spans="1:12" ht="15" customHeight="1">
      <c r="A621" s="37" t="str">
        <f>IF(616&lt;=COUNTA(半紙!$B$11:$B$310),"半紙",IF(616&lt;=COUNTA(半紙!$B$11:$B$310)+COUNTA(条幅!$B$11:$B$310),"条幅(半切)",IF(616&lt;=COUNTA(半紙!$B$11:$B$310)+COUNTA(条幅!$B$11:$B$310)+COUNTA(条幅4分の1!$B$11:$B$310),"条幅(1/4)","")))</f>
        <v/>
      </c>
      <c r="B621" s="38" t="str">
        <f>IF(IF(616&lt;=COUNTA(半紙!$B$11:$B$310),INDEX(半紙!$B$11:$B$310,616),IF(616&lt;=COUNTA(半紙!$B$11:$B$310)+COUNTA(条幅!$B$11:$B$310),INDEX(条幅!$B$11:$B$310,616-COUNTA(半紙!$B$11:$B$310)),IF(616&lt;=COUNTA(半紙!$B$11:$B$310)+COUNTA(条幅!$B$11:$B$310)+COUNTA(条幅4分の1!$B$11:$B$310),INDEX(条幅4分の1!$B$11:$B$310,616-COUNTA(半紙!$B$11:$B$310)-COUNTA(条幅!$B$11:$B$310)),"")))=0,"",IF(616&lt;=COUNTA(半紙!$B$11:$B$310),INDEX(半紙!$B$11:$B$310,616),IF(616&lt;=COUNTA(半紙!$B$11:$B$310)+COUNTA(条幅!$B$11:$B$310),INDEX(条幅!$B$11:$B$310,616-COUNTA(半紙!$B$11:$B$310)),IF(616&lt;=COUNTA(半紙!$B$11:$B$310)+COUNTA(条幅!$B$11:$B$310)+COUNTA(条幅4分の1!$B$11:$B$310),INDEX(条幅4分の1!$B$11:$B$310,616-COUNTA(半紙!$B$11:$B$310)-COUNTA(条幅!$B$11:$B$310)),""))))</f>
        <v/>
      </c>
      <c r="C621" s="38" t="str">
        <f>IF(IF(616&lt;=COUNTA(半紙!$B$11:$B$310),INDEX(半紙!$C$11:$C$310,616),IF(616&lt;=COUNTA(半紙!$B$11:$B$310)+COUNTA(条幅!$B$11:$B$310),INDEX(条幅!$C$11:$C$310,616-COUNTA(半紙!$B$11:$B$310)),IF(616&lt;=COUNTA(半紙!$B$11:$B$310)+COUNTA(条幅!$B$11:$B$310)+COUNTA(条幅4分の1!$B$11:$B$310),INDEX(条幅4分の1!$C$11:$C$310,616-COUNTA(半紙!$B$11:$B$310)-COUNTA(条幅!$B$11:$B$310)),"")))=0,"",IF(616&lt;=COUNTA(半紙!$B$11:$B$310),INDEX(半紙!$C$11:$C$310,616),IF(616&lt;=COUNTA(半紙!$B$11:$B$310)+COUNTA(条幅!$B$11:$B$310),INDEX(条幅!$C$11:$C$310,616-COUNTA(半紙!$B$11:$B$310)),IF(616&lt;=COUNTA(半紙!$B$11:$B$310)+COUNTA(条幅!$B$11:$B$310)+COUNTA(条幅4分の1!$B$11:$B$310),INDEX(条幅4分の1!$C$11:$C$310,616-COUNTA(半紙!$B$11:$B$310)-COUNTA(条幅!$B$11:$B$310)),""))))</f>
        <v/>
      </c>
      <c r="D621" s="38" t="str">
        <f>IF(IF(616&lt;=COUNTA(半紙!$B$11:$B$310),INDEX(半紙!$D$11:$D$310,616),IF(616&lt;=COUNTA(半紙!$B$11:$B$310)+COUNTA(条幅!$B$11:$B$310),INDEX(条幅!$D$11:$D$310,616-COUNTA(半紙!$B$11:$B$310)),IF(616&lt;=COUNTA(半紙!$B$11:$B$310)+COUNTA(条幅!$B$11:$B$310)+COUNTA(条幅4分の1!$B$11:$B$310),INDEX(条幅4分の1!$D$11:$D$310,616-COUNTA(半紙!$B$11:$B$310)-COUNTA(条幅!$B$11:$B$310)),"")))=0,"",IF(616&lt;=COUNTA(半紙!$B$11:$B$310),INDEX(半紙!$D$11:$D$310,616),IF(616&lt;=COUNTA(半紙!$B$11:$B$310)+COUNTA(条幅!$B$11:$B$310),INDEX(条幅!$D$11:$D$310,616-COUNTA(半紙!$B$11:$B$310)),IF(616&lt;=COUNTA(半紙!$B$11:$B$310)+COUNTA(条幅!$B$11:$B$310)+COUNTA(条幅4分の1!$B$11:$B$310),INDEX(条幅4分の1!$D$11:$D$310,616-COUNTA(半紙!$B$11:$B$310)-COUNTA(条幅!$B$11:$B$310)),""))))</f>
        <v/>
      </c>
      <c r="E621" s="38" t="str">
        <f>IF(IF(616&lt;=COUNTA(半紙!$B$11:$B$310),INDEX(半紙!$E$11:$E$310,616),IF(616&lt;=COUNTA(半紙!$B$11:$B$310)+COUNTA(条幅!$B$11:$B$310),INDEX(条幅!$E$11:$E$310,616-COUNTA(半紙!$B$11:$B$310)),IF(616&lt;=COUNTA(半紙!$B$11:$B$310)+COUNTA(条幅!$B$11:$B$310)+COUNTA(条幅4分の1!$B$11:$B$310),INDEX(条幅4分の1!$E$11:$E$310,616-COUNTA(半紙!$B$11:$B$310)-COUNTA(条幅!$B$11:$B$310)),"")))=0,"",IF(616&lt;=COUNTA(半紙!$B$11:$B$310),INDEX(半紙!$E$11:$E$310,616),IF(616&lt;=COUNTA(半紙!$B$11:$B$310)+COUNTA(条幅!$B$11:$B$310),INDEX(条幅!$E$11:$E$310,616-COUNTA(半紙!$B$11:$B$310)),IF(616&lt;=COUNTA(半紙!$B$11:$B$310)+COUNTA(条幅!$B$11:$B$310)+COUNTA(条幅4分の1!$B$11:$B$310),INDEX(条幅4分の1!$E$11:$E$310,616-COUNTA(半紙!$B$11:$B$310)-COUNTA(条幅!$B$11:$B$310)),""))))</f>
        <v/>
      </c>
      <c r="F621" s="38" t="str">
        <f>IF(IF(616&lt;=COUNTA(半紙!$B$11:$B$310),INDEX(半紙!$F$11:$F$310,616),IF(616&lt;=COUNTA(半紙!$B$11:$B$310)+COUNTA(条幅!$B$11:$B$310),INDEX(条幅!$F$11:$F$310,616-COUNTA(半紙!$B$11:$B$310)),IF(616&lt;=COUNTA(半紙!$B$11:$B$310)+COUNTA(条幅!$B$11:$B$310)+COUNTA(条幅4分の1!$B$11:$B$310),INDEX(条幅4分の1!$F$11:$F$310,616-COUNTA(半紙!$B$11:$B$310)-COUNTA(条幅!$B$11:$B$310)),"")))=0,"",IF(616&lt;=COUNTA(半紙!$B$11:$B$310),INDEX(半紙!$F$11:$F$310,616),IF(616&lt;=COUNTA(半紙!$B$11:$B$310)+COUNTA(条幅!$B$11:$B$310),INDEX(条幅!$F$11:$F$310,616-COUNTA(半紙!$B$11:$B$310)),IF(616&lt;=COUNTA(半紙!$B$11:$B$310)+COUNTA(条幅!$B$11:$B$310)+COUNTA(条幅4分の1!$B$11:$B$310),INDEX(条幅4分の1!$F$11:$F$310,616-COUNTA(半紙!$B$11:$B$310)-COUNTA(条幅!$B$11:$B$310)),""))))</f>
        <v/>
      </c>
      <c r="G621" s="38" t="str">
        <f>IF(IF(616&lt;=COUNTA(半紙!$B$11:$B$310),INDEX(半紙!$G$11:$G$310,616),IF(616&lt;=COUNTA(半紙!$B$11:$B$310)+COUNTA(条幅!$B$11:$B$310),INDEX(条幅!$G$11:$G$310,616-COUNTA(半紙!$B$11:$B$310)),IF(616&lt;=COUNTA(半紙!$B$11:$B$310)+COUNTA(条幅!$B$11:$B$310)+COUNTA(条幅4分の1!$B$11:$B$310),INDEX(条幅4分の1!$G$11:$G$310,616-COUNTA(半紙!$B$11:$B$310)-COUNTA(条幅!$B$11:$B$310)),"")))=0,"",IF(616&lt;=COUNTA(半紙!$B$11:$B$310),INDEX(半紙!$G$11:$G$310,616),IF(616&lt;=COUNTA(半紙!$B$11:$B$310)+COUNTA(条幅!$B$11:$B$310),INDEX(条幅!$G$11:$G$310,616-COUNTA(半紙!$B$11:$B$310)),IF(616&lt;=COUNTA(半紙!$B$11:$B$310)+COUNTA(条幅!$B$11:$B$310)+COUNTA(条幅4分の1!$B$11:$B$310),INDEX(条幅4分の1!$G$11:$G$310,616-COUNTA(半紙!$B$11:$B$310)-COUNTA(条幅!$B$11:$B$310)),""))))</f>
        <v/>
      </c>
      <c r="H621" s="38" t="str">
        <f>IF(IF(616&lt;=COUNTA(半紙!$B$11:$B$310),INDEX(半紙!$H$11:$H$310,616),IF(616&lt;=COUNTA(半紙!$B$11:$B$310)+COUNTA(条幅!$B$11:$B$310),INDEX(条幅!$H$11:$H$310,616-COUNTA(半紙!$B$11:$B$310)),IF(616&lt;=COUNTA(半紙!$B$11:$B$310)+COUNTA(条幅!$B$11:$B$310)+COUNTA(条幅4分の1!$B$11:$B$310),INDEX(条幅4分の1!$H$11:$H$310,616-COUNTA(半紙!$B$11:$B$310)-COUNTA(条幅!$B$11:$B$310)),"")))=0,"",IF(616&lt;=COUNTA(半紙!$B$11:$B$310),INDEX(半紙!$H$11:$H$310,616),IF(616&lt;=COUNTA(半紙!$B$11:$B$310)+COUNTA(条幅!$B$11:$B$310),INDEX(条幅!$H$11:$H$310,616-COUNTA(半紙!$B$11:$B$310)),IF(616&lt;=COUNTA(半紙!$B$11:$B$310)+COUNTA(条幅!$B$11:$B$310)+COUNTA(条幅4分の1!$B$11:$B$310),INDEX(条幅4分の1!$H$11:$H$310,616-COUNTA(半紙!$B$11:$B$310)-COUNTA(条幅!$B$11:$B$310)),""))))</f>
        <v/>
      </c>
      <c r="I621" s="38" t="str">
        <f>IF(IF(616&lt;=COUNTA(半紙!$B$11:$B$310),INDEX(半紙!$I$11:$I$310,616),IF(616&lt;=COUNTA(半紙!$B$11:$B$310)+COUNTA(条幅!$B$11:$B$310),INDEX(条幅!$I$11:$I$310,616-COUNTA(半紙!$B$11:$B$310)),IF(616&lt;=COUNTA(半紙!$B$11:$B$310)+COUNTA(条幅!$B$11:$B$310)+COUNTA(条幅4分の1!$B$11:$B$310),INDEX(条幅4分の1!$I$11:$I$310,616-COUNTA(半紙!$B$11:$B$310)-COUNTA(条幅!$B$11:$B$310)),"")))=0,"",IF(616&lt;=COUNTA(半紙!$B$11:$B$310),INDEX(半紙!$I$11:$I$310,616),IF(616&lt;=COUNTA(半紙!$B$11:$B$310)+COUNTA(条幅!$B$11:$B$310),INDEX(条幅!$I$11:$I$310,616-COUNTA(半紙!$B$11:$B$310)),IF(616&lt;=COUNTA(半紙!$B$11:$B$310)+COUNTA(条幅!$B$11:$B$310)+COUNTA(条幅4分の1!$B$11:$B$310),INDEX(条幅4分の1!$I$11:$I$310,616-COUNTA(半紙!$B$11:$B$310)-COUNTA(条幅!$B$11:$B$310)),""))))</f>
        <v/>
      </c>
      <c r="J621" s="38" t="str">
        <f>IF(IF(616&lt;=COUNTA(半紙!$B$11:$B$310),INDEX(半紙!$J$11:$J$310,616),IF(616&lt;=COUNTA(半紙!$B$11:$B$310)+COUNTA(条幅!$B$11:$B$310),INDEX(条幅!$J$11:$J$310,616-COUNTA(半紙!$B$11:$B$310)),IF(616&lt;=COUNTA(半紙!$B$11:$B$310)+COUNTA(条幅!$B$11:$B$310)+COUNTA(条幅4分の1!$B$11:$B$310),INDEX(条幅4分の1!$J$11:$J$310,616-COUNTA(半紙!$B$11:$B$310)-COUNTA(条幅!$B$11:$B$310)),"")))=0,"",IF(616&lt;=COUNTA(半紙!$B$11:$B$310),INDEX(半紙!$J$11:$J$310,616),IF(616&lt;=COUNTA(半紙!$B$11:$B$310)+COUNTA(条幅!$B$11:$B$310),INDEX(条幅!$J$11:$J$310,616-COUNTA(半紙!$B$11:$B$310)),IF(616&lt;=COUNTA(半紙!$B$11:$B$310)+COUNTA(条幅!$B$11:$B$310)+COUNTA(条幅4分の1!$B$11:$B$310),INDEX(条幅4分の1!$J$11:$J$310,616-COUNTA(半紙!$B$11:$B$310)-COUNTA(条幅!$B$11:$B$310)),""))))</f>
        <v/>
      </c>
      <c r="K621" s="38" t="str">
        <f>IF(IF(616&lt;=COUNTA(半紙!$B$11:$B$310),INDEX(半紙!$K$11:$K$310,616),IF(616&lt;=COUNTA(半紙!$B$11:$B$310)+COUNTA(条幅!$B$11:$B$310),INDEX(条幅!$K$11:$K$310,616-COUNTA(半紙!$B$11:$B$310)),IF(616&lt;=COUNTA(半紙!$B$11:$B$310)+COUNTA(条幅!$B$11:$B$310)+COUNTA(条幅4分の1!$B$11:$B$310),INDEX(条幅4分の1!$K$11:$K$310,616-COUNTA(半紙!$B$11:$B$310)-COUNTA(条幅!$B$11:$B$310)),"")))=0,"",IF(616&lt;=COUNTA(半紙!$B$11:$B$310),INDEX(半紙!$K$11:$K$310,616),IF(616&lt;=COUNTA(半紙!$B$11:$B$310)+COUNTA(条幅!$B$11:$B$310),INDEX(条幅!$K$11:$K$310,616-COUNTA(半紙!$B$11:$B$310)),IF(616&lt;=COUNTA(半紙!$B$11:$B$310)+COUNTA(条幅!$B$11:$B$310)+COUNTA(条幅4分の1!$B$11:$B$310),INDEX(条幅4分の1!$K$11:$K$310,616-COUNTA(半紙!$B$11:$B$310)-COUNTA(条幅!$B$11:$B$310)),""))))</f>
        <v/>
      </c>
      <c r="L621" s="48" t="str">
        <f>IF($B621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616))</f>
        <v/>
      </c>
    </row>
    <row r="622" spans="1:12" ht="15" customHeight="1">
      <c r="A622" s="37" t="str">
        <f>IF(617&lt;=COUNTA(半紙!$B$11:$B$310),"半紙",IF(617&lt;=COUNTA(半紙!$B$11:$B$310)+COUNTA(条幅!$B$11:$B$310),"条幅(半切)",IF(617&lt;=COUNTA(半紙!$B$11:$B$310)+COUNTA(条幅!$B$11:$B$310)+COUNTA(条幅4分の1!$B$11:$B$310),"条幅(1/4)","")))</f>
        <v/>
      </c>
      <c r="B622" s="38" t="str">
        <f>IF(IF(617&lt;=COUNTA(半紙!$B$11:$B$310),INDEX(半紙!$B$11:$B$310,617),IF(617&lt;=COUNTA(半紙!$B$11:$B$310)+COUNTA(条幅!$B$11:$B$310),INDEX(条幅!$B$11:$B$310,617-COUNTA(半紙!$B$11:$B$310)),IF(617&lt;=COUNTA(半紙!$B$11:$B$310)+COUNTA(条幅!$B$11:$B$310)+COUNTA(条幅4分の1!$B$11:$B$310),INDEX(条幅4分の1!$B$11:$B$310,617-COUNTA(半紙!$B$11:$B$310)-COUNTA(条幅!$B$11:$B$310)),"")))=0,"",IF(617&lt;=COUNTA(半紙!$B$11:$B$310),INDEX(半紙!$B$11:$B$310,617),IF(617&lt;=COUNTA(半紙!$B$11:$B$310)+COUNTA(条幅!$B$11:$B$310),INDEX(条幅!$B$11:$B$310,617-COUNTA(半紙!$B$11:$B$310)),IF(617&lt;=COUNTA(半紙!$B$11:$B$310)+COUNTA(条幅!$B$11:$B$310)+COUNTA(条幅4分の1!$B$11:$B$310),INDEX(条幅4分の1!$B$11:$B$310,617-COUNTA(半紙!$B$11:$B$310)-COUNTA(条幅!$B$11:$B$310)),""))))</f>
        <v/>
      </c>
      <c r="C622" s="38" t="str">
        <f>IF(IF(617&lt;=COUNTA(半紙!$B$11:$B$310),INDEX(半紙!$C$11:$C$310,617),IF(617&lt;=COUNTA(半紙!$B$11:$B$310)+COUNTA(条幅!$B$11:$B$310),INDEX(条幅!$C$11:$C$310,617-COUNTA(半紙!$B$11:$B$310)),IF(617&lt;=COUNTA(半紙!$B$11:$B$310)+COUNTA(条幅!$B$11:$B$310)+COUNTA(条幅4分の1!$B$11:$B$310),INDEX(条幅4分の1!$C$11:$C$310,617-COUNTA(半紙!$B$11:$B$310)-COUNTA(条幅!$B$11:$B$310)),"")))=0,"",IF(617&lt;=COUNTA(半紙!$B$11:$B$310),INDEX(半紙!$C$11:$C$310,617),IF(617&lt;=COUNTA(半紙!$B$11:$B$310)+COUNTA(条幅!$B$11:$B$310),INDEX(条幅!$C$11:$C$310,617-COUNTA(半紙!$B$11:$B$310)),IF(617&lt;=COUNTA(半紙!$B$11:$B$310)+COUNTA(条幅!$B$11:$B$310)+COUNTA(条幅4分の1!$B$11:$B$310),INDEX(条幅4分の1!$C$11:$C$310,617-COUNTA(半紙!$B$11:$B$310)-COUNTA(条幅!$B$11:$B$310)),""))))</f>
        <v/>
      </c>
      <c r="D622" s="38" t="str">
        <f>IF(IF(617&lt;=COUNTA(半紙!$B$11:$B$310),INDEX(半紙!$D$11:$D$310,617),IF(617&lt;=COUNTA(半紙!$B$11:$B$310)+COUNTA(条幅!$B$11:$B$310),INDEX(条幅!$D$11:$D$310,617-COUNTA(半紙!$B$11:$B$310)),IF(617&lt;=COUNTA(半紙!$B$11:$B$310)+COUNTA(条幅!$B$11:$B$310)+COUNTA(条幅4分の1!$B$11:$B$310),INDEX(条幅4分の1!$D$11:$D$310,617-COUNTA(半紙!$B$11:$B$310)-COUNTA(条幅!$B$11:$B$310)),"")))=0,"",IF(617&lt;=COUNTA(半紙!$B$11:$B$310),INDEX(半紙!$D$11:$D$310,617),IF(617&lt;=COUNTA(半紙!$B$11:$B$310)+COUNTA(条幅!$B$11:$B$310),INDEX(条幅!$D$11:$D$310,617-COUNTA(半紙!$B$11:$B$310)),IF(617&lt;=COUNTA(半紙!$B$11:$B$310)+COUNTA(条幅!$B$11:$B$310)+COUNTA(条幅4分の1!$B$11:$B$310),INDEX(条幅4分の1!$D$11:$D$310,617-COUNTA(半紙!$B$11:$B$310)-COUNTA(条幅!$B$11:$B$310)),""))))</f>
        <v/>
      </c>
      <c r="E622" s="38" t="str">
        <f>IF(IF(617&lt;=COUNTA(半紙!$B$11:$B$310),INDEX(半紙!$E$11:$E$310,617),IF(617&lt;=COUNTA(半紙!$B$11:$B$310)+COUNTA(条幅!$B$11:$B$310),INDEX(条幅!$E$11:$E$310,617-COUNTA(半紙!$B$11:$B$310)),IF(617&lt;=COUNTA(半紙!$B$11:$B$310)+COUNTA(条幅!$B$11:$B$310)+COUNTA(条幅4分の1!$B$11:$B$310),INDEX(条幅4分の1!$E$11:$E$310,617-COUNTA(半紙!$B$11:$B$310)-COUNTA(条幅!$B$11:$B$310)),"")))=0,"",IF(617&lt;=COUNTA(半紙!$B$11:$B$310),INDEX(半紙!$E$11:$E$310,617),IF(617&lt;=COUNTA(半紙!$B$11:$B$310)+COUNTA(条幅!$B$11:$B$310),INDEX(条幅!$E$11:$E$310,617-COUNTA(半紙!$B$11:$B$310)),IF(617&lt;=COUNTA(半紙!$B$11:$B$310)+COUNTA(条幅!$B$11:$B$310)+COUNTA(条幅4分の1!$B$11:$B$310),INDEX(条幅4分の1!$E$11:$E$310,617-COUNTA(半紙!$B$11:$B$310)-COUNTA(条幅!$B$11:$B$310)),""))))</f>
        <v/>
      </c>
      <c r="F622" s="38" t="str">
        <f>IF(IF(617&lt;=COUNTA(半紙!$B$11:$B$310),INDEX(半紙!$F$11:$F$310,617),IF(617&lt;=COUNTA(半紙!$B$11:$B$310)+COUNTA(条幅!$B$11:$B$310),INDEX(条幅!$F$11:$F$310,617-COUNTA(半紙!$B$11:$B$310)),IF(617&lt;=COUNTA(半紙!$B$11:$B$310)+COUNTA(条幅!$B$11:$B$310)+COUNTA(条幅4分の1!$B$11:$B$310),INDEX(条幅4分の1!$F$11:$F$310,617-COUNTA(半紙!$B$11:$B$310)-COUNTA(条幅!$B$11:$B$310)),"")))=0,"",IF(617&lt;=COUNTA(半紙!$B$11:$B$310),INDEX(半紙!$F$11:$F$310,617),IF(617&lt;=COUNTA(半紙!$B$11:$B$310)+COUNTA(条幅!$B$11:$B$310),INDEX(条幅!$F$11:$F$310,617-COUNTA(半紙!$B$11:$B$310)),IF(617&lt;=COUNTA(半紙!$B$11:$B$310)+COUNTA(条幅!$B$11:$B$310)+COUNTA(条幅4分の1!$B$11:$B$310),INDEX(条幅4分の1!$F$11:$F$310,617-COUNTA(半紙!$B$11:$B$310)-COUNTA(条幅!$B$11:$B$310)),""))))</f>
        <v/>
      </c>
      <c r="G622" s="38" t="str">
        <f>IF(IF(617&lt;=COUNTA(半紙!$B$11:$B$310),INDEX(半紙!$G$11:$G$310,617),IF(617&lt;=COUNTA(半紙!$B$11:$B$310)+COUNTA(条幅!$B$11:$B$310),INDEX(条幅!$G$11:$G$310,617-COUNTA(半紙!$B$11:$B$310)),IF(617&lt;=COUNTA(半紙!$B$11:$B$310)+COUNTA(条幅!$B$11:$B$310)+COUNTA(条幅4分の1!$B$11:$B$310),INDEX(条幅4分の1!$G$11:$G$310,617-COUNTA(半紙!$B$11:$B$310)-COUNTA(条幅!$B$11:$B$310)),"")))=0,"",IF(617&lt;=COUNTA(半紙!$B$11:$B$310),INDEX(半紙!$G$11:$G$310,617),IF(617&lt;=COUNTA(半紙!$B$11:$B$310)+COUNTA(条幅!$B$11:$B$310),INDEX(条幅!$G$11:$G$310,617-COUNTA(半紙!$B$11:$B$310)),IF(617&lt;=COUNTA(半紙!$B$11:$B$310)+COUNTA(条幅!$B$11:$B$310)+COUNTA(条幅4分の1!$B$11:$B$310),INDEX(条幅4分の1!$G$11:$G$310,617-COUNTA(半紙!$B$11:$B$310)-COUNTA(条幅!$B$11:$B$310)),""))))</f>
        <v/>
      </c>
      <c r="H622" s="38" t="str">
        <f>IF(IF(617&lt;=COUNTA(半紙!$B$11:$B$310),INDEX(半紙!$H$11:$H$310,617),IF(617&lt;=COUNTA(半紙!$B$11:$B$310)+COUNTA(条幅!$B$11:$B$310),INDEX(条幅!$H$11:$H$310,617-COUNTA(半紙!$B$11:$B$310)),IF(617&lt;=COUNTA(半紙!$B$11:$B$310)+COUNTA(条幅!$B$11:$B$310)+COUNTA(条幅4分の1!$B$11:$B$310),INDEX(条幅4分の1!$H$11:$H$310,617-COUNTA(半紙!$B$11:$B$310)-COUNTA(条幅!$B$11:$B$310)),"")))=0,"",IF(617&lt;=COUNTA(半紙!$B$11:$B$310),INDEX(半紙!$H$11:$H$310,617),IF(617&lt;=COUNTA(半紙!$B$11:$B$310)+COUNTA(条幅!$B$11:$B$310),INDEX(条幅!$H$11:$H$310,617-COUNTA(半紙!$B$11:$B$310)),IF(617&lt;=COUNTA(半紙!$B$11:$B$310)+COUNTA(条幅!$B$11:$B$310)+COUNTA(条幅4分の1!$B$11:$B$310),INDEX(条幅4分の1!$H$11:$H$310,617-COUNTA(半紙!$B$11:$B$310)-COUNTA(条幅!$B$11:$B$310)),""))))</f>
        <v/>
      </c>
      <c r="I622" s="38" t="str">
        <f>IF(IF(617&lt;=COUNTA(半紙!$B$11:$B$310),INDEX(半紙!$I$11:$I$310,617),IF(617&lt;=COUNTA(半紙!$B$11:$B$310)+COUNTA(条幅!$B$11:$B$310),INDEX(条幅!$I$11:$I$310,617-COUNTA(半紙!$B$11:$B$310)),IF(617&lt;=COUNTA(半紙!$B$11:$B$310)+COUNTA(条幅!$B$11:$B$310)+COUNTA(条幅4分の1!$B$11:$B$310),INDEX(条幅4分の1!$I$11:$I$310,617-COUNTA(半紙!$B$11:$B$310)-COUNTA(条幅!$B$11:$B$310)),"")))=0,"",IF(617&lt;=COUNTA(半紙!$B$11:$B$310),INDEX(半紙!$I$11:$I$310,617),IF(617&lt;=COUNTA(半紙!$B$11:$B$310)+COUNTA(条幅!$B$11:$B$310),INDEX(条幅!$I$11:$I$310,617-COUNTA(半紙!$B$11:$B$310)),IF(617&lt;=COUNTA(半紙!$B$11:$B$310)+COUNTA(条幅!$B$11:$B$310)+COUNTA(条幅4分の1!$B$11:$B$310),INDEX(条幅4分の1!$I$11:$I$310,617-COUNTA(半紙!$B$11:$B$310)-COUNTA(条幅!$B$11:$B$310)),""))))</f>
        <v/>
      </c>
      <c r="J622" s="38" t="str">
        <f>IF(IF(617&lt;=COUNTA(半紙!$B$11:$B$310),INDEX(半紙!$J$11:$J$310,617),IF(617&lt;=COUNTA(半紙!$B$11:$B$310)+COUNTA(条幅!$B$11:$B$310),INDEX(条幅!$J$11:$J$310,617-COUNTA(半紙!$B$11:$B$310)),IF(617&lt;=COUNTA(半紙!$B$11:$B$310)+COUNTA(条幅!$B$11:$B$310)+COUNTA(条幅4分の1!$B$11:$B$310),INDEX(条幅4分の1!$J$11:$J$310,617-COUNTA(半紙!$B$11:$B$310)-COUNTA(条幅!$B$11:$B$310)),"")))=0,"",IF(617&lt;=COUNTA(半紙!$B$11:$B$310),INDEX(半紙!$J$11:$J$310,617),IF(617&lt;=COUNTA(半紙!$B$11:$B$310)+COUNTA(条幅!$B$11:$B$310),INDEX(条幅!$J$11:$J$310,617-COUNTA(半紙!$B$11:$B$310)),IF(617&lt;=COUNTA(半紙!$B$11:$B$310)+COUNTA(条幅!$B$11:$B$310)+COUNTA(条幅4分の1!$B$11:$B$310),INDEX(条幅4分の1!$J$11:$J$310,617-COUNTA(半紙!$B$11:$B$310)-COUNTA(条幅!$B$11:$B$310)),""))))</f>
        <v/>
      </c>
      <c r="K622" s="38" t="str">
        <f>IF(IF(617&lt;=COUNTA(半紙!$B$11:$B$310),INDEX(半紙!$K$11:$K$310,617),IF(617&lt;=COUNTA(半紙!$B$11:$B$310)+COUNTA(条幅!$B$11:$B$310),INDEX(条幅!$K$11:$K$310,617-COUNTA(半紙!$B$11:$B$310)),IF(617&lt;=COUNTA(半紙!$B$11:$B$310)+COUNTA(条幅!$B$11:$B$310)+COUNTA(条幅4分の1!$B$11:$B$310),INDEX(条幅4分の1!$K$11:$K$310,617-COUNTA(半紙!$B$11:$B$310)-COUNTA(条幅!$B$11:$B$310)),"")))=0,"",IF(617&lt;=COUNTA(半紙!$B$11:$B$310),INDEX(半紙!$K$11:$K$310,617),IF(617&lt;=COUNTA(半紙!$B$11:$B$310)+COUNTA(条幅!$B$11:$B$310),INDEX(条幅!$K$11:$K$310,617-COUNTA(半紙!$B$11:$B$310)),IF(617&lt;=COUNTA(半紙!$B$11:$B$310)+COUNTA(条幅!$B$11:$B$310)+COUNTA(条幅4分の1!$B$11:$B$310),INDEX(条幅4分の1!$K$11:$K$310,617-COUNTA(半紙!$B$11:$B$310)-COUNTA(条幅!$B$11:$B$310)),""))))</f>
        <v/>
      </c>
      <c r="L622" s="48" t="str">
        <f>IF($B622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617))</f>
        <v/>
      </c>
    </row>
    <row r="623" spans="1:12" ht="15" customHeight="1">
      <c r="A623" s="37" t="str">
        <f>IF(618&lt;=COUNTA(半紙!$B$11:$B$310),"半紙",IF(618&lt;=COUNTA(半紙!$B$11:$B$310)+COUNTA(条幅!$B$11:$B$310),"条幅(半切)",IF(618&lt;=COUNTA(半紙!$B$11:$B$310)+COUNTA(条幅!$B$11:$B$310)+COUNTA(条幅4分の1!$B$11:$B$310),"条幅(1/4)","")))</f>
        <v/>
      </c>
      <c r="B623" s="38" t="str">
        <f>IF(IF(618&lt;=COUNTA(半紙!$B$11:$B$310),INDEX(半紙!$B$11:$B$310,618),IF(618&lt;=COUNTA(半紙!$B$11:$B$310)+COUNTA(条幅!$B$11:$B$310),INDEX(条幅!$B$11:$B$310,618-COUNTA(半紙!$B$11:$B$310)),IF(618&lt;=COUNTA(半紙!$B$11:$B$310)+COUNTA(条幅!$B$11:$B$310)+COUNTA(条幅4分の1!$B$11:$B$310),INDEX(条幅4分の1!$B$11:$B$310,618-COUNTA(半紙!$B$11:$B$310)-COUNTA(条幅!$B$11:$B$310)),"")))=0,"",IF(618&lt;=COUNTA(半紙!$B$11:$B$310),INDEX(半紙!$B$11:$B$310,618),IF(618&lt;=COUNTA(半紙!$B$11:$B$310)+COUNTA(条幅!$B$11:$B$310),INDEX(条幅!$B$11:$B$310,618-COUNTA(半紙!$B$11:$B$310)),IF(618&lt;=COUNTA(半紙!$B$11:$B$310)+COUNTA(条幅!$B$11:$B$310)+COUNTA(条幅4分の1!$B$11:$B$310),INDEX(条幅4分の1!$B$11:$B$310,618-COUNTA(半紙!$B$11:$B$310)-COUNTA(条幅!$B$11:$B$310)),""))))</f>
        <v/>
      </c>
      <c r="C623" s="38" t="str">
        <f>IF(IF(618&lt;=COUNTA(半紙!$B$11:$B$310),INDEX(半紙!$C$11:$C$310,618),IF(618&lt;=COUNTA(半紙!$B$11:$B$310)+COUNTA(条幅!$B$11:$B$310),INDEX(条幅!$C$11:$C$310,618-COUNTA(半紙!$B$11:$B$310)),IF(618&lt;=COUNTA(半紙!$B$11:$B$310)+COUNTA(条幅!$B$11:$B$310)+COUNTA(条幅4分の1!$B$11:$B$310),INDEX(条幅4分の1!$C$11:$C$310,618-COUNTA(半紙!$B$11:$B$310)-COUNTA(条幅!$B$11:$B$310)),"")))=0,"",IF(618&lt;=COUNTA(半紙!$B$11:$B$310),INDEX(半紙!$C$11:$C$310,618),IF(618&lt;=COUNTA(半紙!$B$11:$B$310)+COUNTA(条幅!$B$11:$B$310),INDEX(条幅!$C$11:$C$310,618-COUNTA(半紙!$B$11:$B$310)),IF(618&lt;=COUNTA(半紙!$B$11:$B$310)+COUNTA(条幅!$B$11:$B$310)+COUNTA(条幅4分の1!$B$11:$B$310),INDEX(条幅4分の1!$C$11:$C$310,618-COUNTA(半紙!$B$11:$B$310)-COUNTA(条幅!$B$11:$B$310)),""))))</f>
        <v/>
      </c>
      <c r="D623" s="38" t="str">
        <f>IF(IF(618&lt;=COUNTA(半紙!$B$11:$B$310),INDEX(半紙!$D$11:$D$310,618),IF(618&lt;=COUNTA(半紙!$B$11:$B$310)+COUNTA(条幅!$B$11:$B$310),INDEX(条幅!$D$11:$D$310,618-COUNTA(半紙!$B$11:$B$310)),IF(618&lt;=COUNTA(半紙!$B$11:$B$310)+COUNTA(条幅!$B$11:$B$310)+COUNTA(条幅4分の1!$B$11:$B$310),INDEX(条幅4分の1!$D$11:$D$310,618-COUNTA(半紙!$B$11:$B$310)-COUNTA(条幅!$B$11:$B$310)),"")))=0,"",IF(618&lt;=COUNTA(半紙!$B$11:$B$310),INDEX(半紙!$D$11:$D$310,618),IF(618&lt;=COUNTA(半紙!$B$11:$B$310)+COUNTA(条幅!$B$11:$B$310),INDEX(条幅!$D$11:$D$310,618-COUNTA(半紙!$B$11:$B$310)),IF(618&lt;=COUNTA(半紙!$B$11:$B$310)+COUNTA(条幅!$B$11:$B$310)+COUNTA(条幅4分の1!$B$11:$B$310),INDEX(条幅4分の1!$D$11:$D$310,618-COUNTA(半紙!$B$11:$B$310)-COUNTA(条幅!$B$11:$B$310)),""))))</f>
        <v/>
      </c>
      <c r="E623" s="38" t="str">
        <f>IF(IF(618&lt;=COUNTA(半紙!$B$11:$B$310),INDEX(半紙!$E$11:$E$310,618),IF(618&lt;=COUNTA(半紙!$B$11:$B$310)+COUNTA(条幅!$B$11:$B$310),INDEX(条幅!$E$11:$E$310,618-COUNTA(半紙!$B$11:$B$310)),IF(618&lt;=COUNTA(半紙!$B$11:$B$310)+COUNTA(条幅!$B$11:$B$310)+COUNTA(条幅4分の1!$B$11:$B$310),INDEX(条幅4分の1!$E$11:$E$310,618-COUNTA(半紙!$B$11:$B$310)-COUNTA(条幅!$B$11:$B$310)),"")))=0,"",IF(618&lt;=COUNTA(半紙!$B$11:$B$310),INDEX(半紙!$E$11:$E$310,618),IF(618&lt;=COUNTA(半紙!$B$11:$B$310)+COUNTA(条幅!$B$11:$B$310),INDEX(条幅!$E$11:$E$310,618-COUNTA(半紙!$B$11:$B$310)),IF(618&lt;=COUNTA(半紙!$B$11:$B$310)+COUNTA(条幅!$B$11:$B$310)+COUNTA(条幅4分の1!$B$11:$B$310),INDEX(条幅4分の1!$E$11:$E$310,618-COUNTA(半紙!$B$11:$B$310)-COUNTA(条幅!$B$11:$B$310)),""))))</f>
        <v/>
      </c>
      <c r="F623" s="38" t="str">
        <f>IF(IF(618&lt;=COUNTA(半紙!$B$11:$B$310),INDEX(半紙!$F$11:$F$310,618),IF(618&lt;=COUNTA(半紙!$B$11:$B$310)+COUNTA(条幅!$B$11:$B$310),INDEX(条幅!$F$11:$F$310,618-COUNTA(半紙!$B$11:$B$310)),IF(618&lt;=COUNTA(半紙!$B$11:$B$310)+COUNTA(条幅!$B$11:$B$310)+COUNTA(条幅4分の1!$B$11:$B$310),INDEX(条幅4分の1!$F$11:$F$310,618-COUNTA(半紙!$B$11:$B$310)-COUNTA(条幅!$B$11:$B$310)),"")))=0,"",IF(618&lt;=COUNTA(半紙!$B$11:$B$310),INDEX(半紙!$F$11:$F$310,618),IF(618&lt;=COUNTA(半紙!$B$11:$B$310)+COUNTA(条幅!$B$11:$B$310),INDEX(条幅!$F$11:$F$310,618-COUNTA(半紙!$B$11:$B$310)),IF(618&lt;=COUNTA(半紙!$B$11:$B$310)+COUNTA(条幅!$B$11:$B$310)+COUNTA(条幅4分の1!$B$11:$B$310),INDEX(条幅4分の1!$F$11:$F$310,618-COUNTA(半紙!$B$11:$B$310)-COUNTA(条幅!$B$11:$B$310)),""))))</f>
        <v/>
      </c>
      <c r="G623" s="38" t="str">
        <f>IF(IF(618&lt;=COUNTA(半紙!$B$11:$B$310),INDEX(半紙!$G$11:$G$310,618),IF(618&lt;=COUNTA(半紙!$B$11:$B$310)+COUNTA(条幅!$B$11:$B$310),INDEX(条幅!$G$11:$G$310,618-COUNTA(半紙!$B$11:$B$310)),IF(618&lt;=COUNTA(半紙!$B$11:$B$310)+COUNTA(条幅!$B$11:$B$310)+COUNTA(条幅4分の1!$B$11:$B$310),INDEX(条幅4分の1!$G$11:$G$310,618-COUNTA(半紙!$B$11:$B$310)-COUNTA(条幅!$B$11:$B$310)),"")))=0,"",IF(618&lt;=COUNTA(半紙!$B$11:$B$310),INDEX(半紙!$G$11:$G$310,618),IF(618&lt;=COUNTA(半紙!$B$11:$B$310)+COUNTA(条幅!$B$11:$B$310),INDEX(条幅!$G$11:$G$310,618-COUNTA(半紙!$B$11:$B$310)),IF(618&lt;=COUNTA(半紙!$B$11:$B$310)+COUNTA(条幅!$B$11:$B$310)+COUNTA(条幅4分の1!$B$11:$B$310),INDEX(条幅4分の1!$G$11:$G$310,618-COUNTA(半紙!$B$11:$B$310)-COUNTA(条幅!$B$11:$B$310)),""))))</f>
        <v/>
      </c>
      <c r="H623" s="38" t="str">
        <f>IF(IF(618&lt;=COUNTA(半紙!$B$11:$B$310),INDEX(半紙!$H$11:$H$310,618),IF(618&lt;=COUNTA(半紙!$B$11:$B$310)+COUNTA(条幅!$B$11:$B$310),INDEX(条幅!$H$11:$H$310,618-COUNTA(半紙!$B$11:$B$310)),IF(618&lt;=COUNTA(半紙!$B$11:$B$310)+COUNTA(条幅!$B$11:$B$310)+COUNTA(条幅4分の1!$B$11:$B$310),INDEX(条幅4分の1!$H$11:$H$310,618-COUNTA(半紙!$B$11:$B$310)-COUNTA(条幅!$B$11:$B$310)),"")))=0,"",IF(618&lt;=COUNTA(半紙!$B$11:$B$310),INDEX(半紙!$H$11:$H$310,618),IF(618&lt;=COUNTA(半紙!$B$11:$B$310)+COUNTA(条幅!$B$11:$B$310),INDEX(条幅!$H$11:$H$310,618-COUNTA(半紙!$B$11:$B$310)),IF(618&lt;=COUNTA(半紙!$B$11:$B$310)+COUNTA(条幅!$B$11:$B$310)+COUNTA(条幅4分の1!$B$11:$B$310),INDEX(条幅4分の1!$H$11:$H$310,618-COUNTA(半紙!$B$11:$B$310)-COUNTA(条幅!$B$11:$B$310)),""))))</f>
        <v/>
      </c>
      <c r="I623" s="38" t="str">
        <f>IF(IF(618&lt;=COUNTA(半紙!$B$11:$B$310),INDEX(半紙!$I$11:$I$310,618),IF(618&lt;=COUNTA(半紙!$B$11:$B$310)+COUNTA(条幅!$B$11:$B$310),INDEX(条幅!$I$11:$I$310,618-COUNTA(半紙!$B$11:$B$310)),IF(618&lt;=COUNTA(半紙!$B$11:$B$310)+COUNTA(条幅!$B$11:$B$310)+COUNTA(条幅4分の1!$B$11:$B$310),INDEX(条幅4分の1!$I$11:$I$310,618-COUNTA(半紙!$B$11:$B$310)-COUNTA(条幅!$B$11:$B$310)),"")))=0,"",IF(618&lt;=COUNTA(半紙!$B$11:$B$310),INDEX(半紙!$I$11:$I$310,618),IF(618&lt;=COUNTA(半紙!$B$11:$B$310)+COUNTA(条幅!$B$11:$B$310),INDEX(条幅!$I$11:$I$310,618-COUNTA(半紙!$B$11:$B$310)),IF(618&lt;=COUNTA(半紙!$B$11:$B$310)+COUNTA(条幅!$B$11:$B$310)+COUNTA(条幅4分の1!$B$11:$B$310),INDEX(条幅4分の1!$I$11:$I$310,618-COUNTA(半紙!$B$11:$B$310)-COUNTA(条幅!$B$11:$B$310)),""))))</f>
        <v/>
      </c>
      <c r="J623" s="38" t="str">
        <f>IF(IF(618&lt;=COUNTA(半紙!$B$11:$B$310),INDEX(半紙!$J$11:$J$310,618),IF(618&lt;=COUNTA(半紙!$B$11:$B$310)+COUNTA(条幅!$B$11:$B$310),INDEX(条幅!$J$11:$J$310,618-COUNTA(半紙!$B$11:$B$310)),IF(618&lt;=COUNTA(半紙!$B$11:$B$310)+COUNTA(条幅!$B$11:$B$310)+COUNTA(条幅4分の1!$B$11:$B$310),INDEX(条幅4分の1!$J$11:$J$310,618-COUNTA(半紙!$B$11:$B$310)-COUNTA(条幅!$B$11:$B$310)),"")))=0,"",IF(618&lt;=COUNTA(半紙!$B$11:$B$310),INDEX(半紙!$J$11:$J$310,618),IF(618&lt;=COUNTA(半紙!$B$11:$B$310)+COUNTA(条幅!$B$11:$B$310),INDEX(条幅!$J$11:$J$310,618-COUNTA(半紙!$B$11:$B$310)),IF(618&lt;=COUNTA(半紙!$B$11:$B$310)+COUNTA(条幅!$B$11:$B$310)+COUNTA(条幅4分の1!$B$11:$B$310),INDEX(条幅4分の1!$J$11:$J$310,618-COUNTA(半紙!$B$11:$B$310)-COUNTA(条幅!$B$11:$B$310)),""))))</f>
        <v/>
      </c>
      <c r="K623" s="38" t="str">
        <f>IF(IF(618&lt;=COUNTA(半紙!$B$11:$B$310),INDEX(半紙!$K$11:$K$310,618),IF(618&lt;=COUNTA(半紙!$B$11:$B$310)+COUNTA(条幅!$B$11:$B$310),INDEX(条幅!$K$11:$K$310,618-COUNTA(半紙!$B$11:$B$310)),IF(618&lt;=COUNTA(半紙!$B$11:$B$310)+COUNTA(条幅!$B$11:$B$310)+COUNTA(条幅4分の1!$B$11:$B$310),INDEX(条幅4分の1!$K$11:$K$310,618-COUNTA(半紙!$B$11:$B$310)-COUNTA(条幅!$B$11:$B$310)),"")))=0,"",IF(618&lt;=COUNTA(半紙!$B$11:$B$310),INDEX(半紙!$K$11:$K$310,618),IF(618&lt;=COUNTA(半紙!$B$11:$B$310)+COUNTA(条幅!$B$11:$B$310),INDEX(条幅!$K$11:$K$310,618-COUNTA(半紙!$B$11:$B$310)),IF(618&lt;=COUNTA(半紙!$B$11:$B$310)+COUNTA(条幅!$B$11:$B$310)+COUNTA(条幅4分の1!$B$11:$B$310),INDEX(条幅4分の1!$K$11:$K$310,618-COUNTA(半紙!$B$11:$B$310)-COUNTA(条幅!$B$11:$B$310)),""))))</f>
        <v/>
      </c>
      <c r="L623" s="48" t="str">
        <f>IF($B623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618))</f>
        <v/>
      </c>
    </row>
    <row r="624" spans="1:12" ht="15" customHeight="1">
      <c r="A624" s="37" t="str">
        <f>IF(619&lt;=COUNTA(半紙!$B$11:$B$310),"半紙",IF(619&lt;=COUNTA(半紙!$B$11:$B$310)+COUNTA(条幅!$B$11:$B$310),"条幅(半切)",IF(619&lt;=COUNTA(半紙!$B$11:$B$310)+COUNTA(条幅!$B$11:$B$310)+COUNTA(条幅4分の1!$B$11:$B$310),"条幅(1/4)","")))</f>
        <v/>
      </c>
      <c r="B624" s="38" t="str">
        <f>IF(IF(619&lt;=COUNTA(半紙!$B$11:$B$310),INDEX(半紙!$B$11:$B$310,619),IF(619&lt;=COUNTA(半紙!$B$11:$B$310)+COUNTA(条幅!$B$11:$B$310),INDEX(条幅!$B$11:$B$310,619-COUNTA(半紙!$B$11:$B$310)),IF(619&lt;=COUNTA(半紙!$B$11:$B$310)+COUNTA(条幅!$B$11:$B$310)+COUNTA(条幅4分の1!$B$11:$B$310),INDEX(条幅4分の1!$B$11:$B$310,619-COUNTA(半紙!$B$11:$B$310)-COUNTA(条幅!$B$11:$B$310)),"")))=0,"",IF(619&lt;=COUNTA(半紙!$B$11:$B$310),INDEX(半紙!$B$11:$B$310,619),IF(619&lt;=COUNTA(半紙!$B$11:$B$310)+COUNTA(条幅!$B$11:$B$310),INDEX(条幅!$B$11:$B$310,619-COUNTA(半紙!$B$11:$B$310)),IF(619&lt;=COUNTA(半紙!$B$11:$B$310)+COUNTA(条幅!$B$11:$B$310)+COUNTA(条幅4分の1!$B$11:$B$310),INDEX(条幅4分の1!$B$11:$B$310,619-COUNTA(半紙!$B$11:$B$310)-COUNTA(条幅!$B$11:$B$310)),""))))</f>
        <v/>
      </c>
      <c r="C624" s="38" t="str">
        <f>IF(IF(619&lt;=COUNTA(半紙!$B$11:$B$310),INDEX(半紙!$C$11:$C$310,619),IF(619&lt;=COUNTA(半紙!$B$11:$B$310)+COUNTA(条幅!$B$11:$B$310),INDEX(条幅!$C$11:$C$310,619-COUNTA(半紙!$B$11:$B$310)),IF(619&lt;=COUNTA(半紙!$B$11:$B$310)+COUNTA(条幅!$B$11:$B$310)+COUNTA(条幅4分の1!$B$11:$B$310),INDEX(条幅4分の1!$C$11:$C$310,619-COUNTA(半紙!$B$11:$B$310)-COUNTA(条幅!$B$11:$B$310)),"")))=0,"",IF(619&lt;=COUNTA(半紙!$B$11:$B$310),INDEX(半紙!$C$11:$C$310,619),IF(619&lt;=COUNTA(半紙!$B$11:$B$310)+COUNTA(条幅!$B$11:$B$310),INDEX(条幅!$C$11:$C$310,619-COUNTA(半紙!$B$11:$B$310)),IF(619&lt;=COUNTA(半紙!$B$11:$B$310)+COUNTA(条幅!$B$11:$B$310)+COUNTA(条幅4分の1!$B$11:$B$310),INDEX(条幅4分の1!$C$11:$C$310,619-COUNTA(半紙!$B$11:$B$310)-COUNTA(条幅!$B$11:$B$310)),""))))</f>
        <v/>
      </c>
      <c r="D624" s="38" t="str">
        <f>IF(IF(619&lt;=COUNTA(半紙!$B$11:$B$310),INDEX(半紙!$D$11:$D$310,619),IF(619&lt;=COUNTA(半紙!$B$11:$B$310)+COUNTA(条幅!$B$11:$B$310),INDEX(条幅!$D$11:$D$310,619-COUNTA(半紙!$B$11:$B$310)),IF(619&lt;=COUNTA(半紙!$B$11:$B$310)+COUNTA(条幅!$B$11:$B$310)+COUNTA(条幅4分の1!$B$11:$B$310),INDEX(条幅4分の1!$D$11:$D$310,619-COUNTA(半紙!$B$11:$B$310)-COUNTA(条幅!$B$11:$B$310)),"")))=0,"",IF(619&lt;=COUNTA(半紙!$B$11:$B$310),INDEX(半紙!$D$11:$D$310,619),IF(619&lt;=COUNTA(半紙!$B$11:$B$310)+COUNTA(条幅!$B$11:$B$310),INDEX(条幅!$D$11:$D$310,619-COUNTA(半紙!$B$11:$B$310)),IF(619&lt;=COUNTA(半紙!$B$11:$B$310)+COUNTA(条幅!$B$11:$B$310)+COUNTA(条幅4分の1!$B$11:$B$310),INDEX(条幅4分の1!$D$11:$D$310,619-COUNTA(半紙!$B$11:$B$310)-COUNTA(条幅!$B$11:$B$310)),""))))</f>
        <v/>
      </c>
      <c r="E624" s="38" t="str">
        <f>IF(IF(619&lt;=COUNTA(半紙!$B$11:$B$310),INDEX(半紙!$E$11:$E$310,619),IF(619&lt;=COUNTA(半紙!$B$11:$B$310)+COUNTA(条幅!$B$11:$B$310),INDEX(条幅!$E$11:$E$310,619-COUNTA(半紙!$B$11:$B$310)),IF(619&lt;=COUNTA(半紙!$B$11:$B$310)+COUNTA(条幅!$B$11:$B$310)+COUNTA(条幅4分の1!$B$11:$B$310),INDEX(条幅4分の1!$E$11:$E$310,619-COUNTA(半紙!$B$11:$B$310)-COUNTA(条幅!$B$11:$B$310)),"")))=0,"",IF(619&lt;=COUNTA(半紙!$B$11:$B$310),INDEX(半紙!$E$11:$E$310,619),IF(619&lt;=COUNTA(半紙!$B$11:$B$310)+COUNTA(条幅!$B$11:$B$310),INDEX(条幅!$E$11:$E$310,619-COUNTA(半紙!$B$11:$B$310)),IF(619&lt;=COUNTA(半紙!$B$11:$B$310)+COUNTA(条幅!$B$11:$B$310)+COUNTA(条幅4分の1!$B$11:$B$310),INDEX(条幅4分の1!$E$11:$E$310,619-COUNTA(半紙!$B$11:$B$310)-COUNTA(条幅!$B$11:$B$310)),""))))</f>
        <v/>
      </c>
      <c r="F624" s="38" t="str">
        <f>IF(IF(619&lt;=COUNTA(半紙!$B$11:$B$310),INDEX(半紙!$F$11:$F$310,619),IF(619&lt;=COUNTA(半紙!$B$11:$B$310)+COUNTA(条幅!$B$11:$B$310),INDEX(条幅!$F$11:$F$310,619-COUNTA(半紙!$B$11:$B$310)),IF(619&lt;=COUNTA(半紙!$B$11:$B$310)+COUNTA(条幅!$B$11:$B$310)+COUNTA(条幅4分の1!$B$11:$B$310),INDEX(条幅4分の1!$F$11:$F$310,619-COUNTA(半紙!$B$11:$B$310)-COUNTA(条幅!$B$11:$B$310)),"")))=0,"",IF(619&lt;=COUNTA(半紙!$B$11:$B$310),INDEX(半紙!$F$11:$F$310,619),IF(619&lt;=COUNTA(半紙!$B$11:$B$310)+COUNTA(条幅!$B$11:$B$310),INDEX(条幅!$F$11:$F$310,619-COUNTA(半紙!$B$11:$B$310)),IF(619&lt;=COUNTA(半紙!$B$11:$B$310)+COUNTA(条幅!$B$11:$B$310)+COUNTA(条幅4分の1!$B$11:$B$310),INDEX(条幅4分の1!$F$11:$F$310,619-COUNTA(半紙!$B$11:$B$310)-COUNTA(条幅!$B$11:$B$310)),""))))</f>
        <v/>
      </c>
      <c r="G624" s="38" t="str">
        <f>IF(IF(619&lt;=COUNTA(半紙!$B$11:$B$310),INDEX(半紙!$G$11:$G$310,619),IF(619&lt;=COUNTA(半紙!$B$11:$B$310)+COUNTA(条幅!$B$11:$B$310),INDEX(条幅!$G$11:$G$310,619-COUNTA(半紙!$B$11:$B$310)),IF(619&lt;=COUNTA(半紙!$B$11:$B$310)+COUNTA(条幅!$B$11:$B$310)+COUNTA(条幅4分の1!$B$11:$B$310),INDEX(条幅4分の1!$G$11:$G$310,619-COUNTA(半紙!$B$11:$B$310)-COUNTA(条幅!$B$11:$B$310)),"")))=0,"",IF(619&lt;=COUNTA(半紙!$B$11:$B$310),INDEX(半紙!$G$11:$G$310,619),IF(619&lt;=COUNTA(半紙!$B$11:$B$310)+COUNTA(条幅!$B$11:$B$310),INDEX(条幅!$G$11:$G$310,619-COUNTA(半紙!$B$11:$B$310)),IF(619&lt;=COUNTA(半紙!$B$11:$B$310)+COUNTA(条幅!$B$11:$B$310)+COUNTA(条幅4分の1!$B$11:$B$310),INDEX(条幅4分の1!$G$11:$G$310,619-COUNTA(半紙!$B$11:$B$310)-COUNTA(条幅!$B$11:$B$310)),""))))</f>
        <v/>
      </c>
      <c r="H624" s="38" t="str">
        <f>IF(IF(619&lt;=COUNTA(半紙!$B$11:$B$310),INDEX(半紙!$H$11:$H$310,619),IF(619&lt;=COUNTA(半紙!$B$11:$B$310)+COUNTA(条幅!$B$11:$B$310),INDEX(条幅!$H$11:$H$310,619-COUNTA(半紙!$B$11:$B$310)),IF(619&lt;=COUNTA(半紙!$B$11:$B$310)+COUNTA(条幅!$B$11:$B$310)+COUNTA(条幅4分の1!$B$11:$B$310),INDEX(条幅4分の1!$H$11:$H$310,619-COUNTA(半紙!$B$11:$B$310)-COUNTA(条幅!$B$11:$B$310)),"")))=0,"",IF(619&lt;=COUNTA(半紙!$B$11:$B$310),INDEX(半紙!$H$11:$H$310,619),IF(619&lt;=COUNTA(半紙!$B$11:$B$310)+COUNTA(条幅!$B$11:$B$310),INDEX(条幅!$H$11:$H$310,619-COUNTA(半紙!$B$11:$B$310)),IF(619&lt;=COUNTA(半紙!$B$11:$B$310)+COUNTA(条幅!$B$11:$B$310)+COUNTA(条幅4分の1!$B$11:$B$310),INDEX(条幅4分の1!$H$11:$H$310,619-COUNTA(半紙!$B$11:$B$310)-COUNTA(条幅!$B$11:$B$310)),""))))</f>
        <v/>
      </c>
      <c r="I624" s="38" t="str">
        <f>IF(IF(619&lt;=COUNTA(半紙!$B$11:$B$310),INDEX(半紙!$I$11:$I$310,619),IF(619&lt;=COUNTA(半紙!$B$11:$B$310)+COUNTA(条幅!$B$11:$B$310),INDEX(条幅!$I$11:$I$310,619-COUNTA(半紙!$B$11:$B$310)),IF(619&lt;=COUNTA(半紙!$B$11:$B$310)+COUNTA(条幅!$B$11:$B$310)+COUNTA(条幅4分の1!$B$11:$B$310),INDEX(条幅4分の1!$I$11:$I$310,619-COUNTA(半紙!$B$11:$B$310)-COUNTA(条幅!$B$11:$B$310)),"")))=0,"",IF(619&lt;=COUNTA(半紙!$B$11:$B$310),INDEX(半紙!$I$11:$I$310,619),IF(619&lt;=COUNTA(半紙!$B$11:$B$310)+COUNTA(条幅!$B$11:$B$310),INDEX(条幅!$I$11:$I$310,619-COUNTA(半紙!$B$11:$B$310)),IF(619&lt;=COUNTA(半紙!$B$11:$B$310)+COUNTA(条幅!$B$11:$B$310)+COUNTA(条幅4分の1!$B$11:$B$310),INDEX(条幅4分の1!$I$11:$I$310,619-COUNTA(半紙!$B$11:$B$310)-COUNTA(条幅!$B$11:$B$310)),""))))</f>
        <v/>
      </c>
      <c r="J624" s="38" t="str">
        <f>IF(IF(619&lt;=COUNTA(半紙!$B$11:$B$310),INDEX(半紙!$J$11:$J$310,619),IF(619&lt;=COUNTA(半紙!$B$11:$B$310)+COUNTA(条幅!$B$11:$B$310),INDEX(条幅!$J$11:$J$310,619-COUNTA(半紙!$B$11:$B$310)),IF(619&lt;=COUNTA(半紙!$B$11:$B$310)+COUNTA(条幅!$B$11:$B$310)+COUNTA(条幅4分の1!$B$11:$B$310),INDEX(条幅4分の1!$J$11:$J$310,619-COUNTA(半紙!$B$11:$B$310)-COUNTA(条幅!$B$11:$B$310)),"")))=0,"",IF(619&lt;=COUNTA(半紙!$B$11:$B$310),INDEX(半紙!$J$11:$J$310,619),IF(619&lt;=COUNTA(半紙!$B$11:$B$310)+COUNTA(条幅!$B$11:$B$310),INDEX(条幅!$J$11:$J$310,619-COUNTA(半紙!$B$11:$B$310)),IF(619&lt;=COUNTA(半紙!$B$11:$B$310)+COUNTA(条幅!$B$11:$B$310)+COUNTA(条幅4分の1!$B$11:$B$310),INDEX(条幅4分の1!$J$11:$J$310,619-COUNTA(半紙!$B$11:$B$310)-COUNTA(条幅!$B$11:$B$310)),""))))</f>
        <v/>
      </c>
      <c r="K624" s="38" t="str">
        <f>IF(IF(619&lt;=COUNTA(半紙!$B$11:$B$310),INDEX(半紙!$K$11:$K$310,619),IF(619&lt;=COUNTA(半紙!$B$11:$B$310)+COUNTA(条幅!$B$11:$B$310),INDEX(条幅!$K$11:$K$310,619-COUNTA(半紙!$B$11:$B$310)),IF(619&lt;=COUNTA(半紙!$B$11:$B$310)+COUNTA(条幅!$B$11:$B$310)+COUNTA(条幅4分の1!$B$11:$B$310),INDEX(条幅4分の1!$K$11:$K$310,619-COUNTA(半紙!$B$11:$B$310)-COUNTA(条幅!$B$11:$B$310)),"")))=0,"",IF(619&lt;=COUNTA(半紙!$B$11:$B$310),INDEX(半紙!$K$11:$K$310,619),IF(619&lt;=COUNTA(半紙!$B$11:$B$310)+COUNTA(条幅!$B$11:$B$310),INDEX(条幅!$K$11:$K$310,619-COUNTA(半紙!$B$11:$B$310)),IF(619&lt;=COUNTA(半紙!$B$11:$B$310)+COUNTA(条幅!$B$11:$B$310)+COUNTA(条幅4分の1!$B$11:$B$310),INDEX(条幅4分の1!$K$11:$K$310,619-COUNTA(半紙!$B$11:$B$310)-COUNTA(条幅!$B$11:$B$310)),""))))</f>
        <v/>
      </c>
      <c r="L624" s="48" t="str">
        <f>IF($B624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619))</f>
        <v/>
      </c>
    </row>
    <row r="625" spans="1:12" ht="15" customHeight="1">
      <c r="A625" s="37" t="str">
        <f>IF(620&lt;=COUNTA(半紙!$B$11:$B$310),"半紙",IF(620&lt;=COUNTA(半紙!$B$11:$B$310)+COUNTA(条幅!$B$11:$B$310),"条幅(半切)",IF(620&lt;=COUNTA(半紙!$B$11:$B$310)+COUNTA(条幅!$B$11:$B$310)+COUNTA(条幅4分の1!$B$11:$B$310),"条幅(1/4)","")))</f>
        <v/>
      </c>
      <c r="B625" s="38" t="str">
        <f>IF(IF(620&lt;=COUNTA(半紙!$B$11:$B$310),INDEX(半紙!$B$11:$B$310,620),IF(620&lt;=COUNTA(半紙!$B$11:$B$310)+COUNTA(条幅!$B$11:$B$310),INDEX(条幅!$B$11:$B$310,620-COUNTA(半紙!$B$11:$B$310)),IF(620&lt;=COUNTA(半紙!$B$11:$B$310)+COUNTA(条幅!$B$11:$B$310)+COUNTA(条幅4分の1!$B$11:$B$310),INDEX(条幅4分の1!$B$11:$B$310,620-COUNTA(半紙!$B$11:$B$310)-COUNTA(条幅!$B$11:$B$310)),"")))=0,"",IF(620&lt;=COUNTA(半紙!$B$11:$B$310),INDEX(半紙!$B$11:$B$310,620),IF(620&lt;=COUNTA(半紙!$B$11:$B$310)+COUNTA(条幅!$B$11:$B$310),INDEX(条幅!$B$11:$B$310,620-COUNTA(半紙!$B$11:$B$310)),IF(620&lt;=COUNTA(半紙!$B$11:$B$310)+COUNTA(条幅!$B$11:$B$310)+COUNTA(条幅4分の1!$B$11:$B$310),INDEX(条幅4分の1!$B$11:$B$310,620-COUNTA(半紙!$B$11:$B$310)-COUNTA(条幅!$B$11:$B$310)),""))))</f>
        <v/>
      </c>
      <c r="C625" s="38" t="str">
        <f>IF(IF(620&lt;=COUNTA(半紙!$B$11:$B$310),INDEX(半紙!$C$11:$C$310,620),IF(620&lt;=COUNTA(半紙!$B$11:$B$310)+COUNTA(条幅!$B$11:$B$310),INDEX(条幅!$C$11:$C$310,620-COUNTA(半紙!$B$11:$B$310)),IF(620&lt;=COUNTA(半紙!$B$11:$B$310)+COUNTA(条幅!$B$11:$B$310)+COUNTA(条幅4分の1!$B$11:$B$310),INDEX(条幅4分の1!$C$11:$C$310,620-COUNTA(半紙!$B$11:$B$310)-COUNTA(条幅!$B$11:$B$310)),"")))=0,"",IF(620&lt;=COUNTA(半紙!$B$11:$B$310),INDEX(半紙!$C$11:$C$310,620),IF(620&lt;=COUNTA(半紙!$B$11:$B$310)+COUNTA(条幅!$B$11:$B$310),INDEX(条幅!$C$11:$C$310,620-COUNTA(半紙!$B$11:$B$310)),IF(620&lt;=COUNTA(半紙!$B$11:$B$310)+COUNTA(条幅!$B$11:$B$310)+COUNTA(条幅4分の1!$B$11:$B$310),INDEX(条幅4分の1!$C$11:$C$310,620-COUNTA(半紙!$B$11:$B$310)-COUNTA(条幅!$B$11:$B$310)),""))))</f>
        <v/>
      </c>
      <c r="D625" s="38" t="str">
        <f>IF(IF(620&lt;=COUNTA(半紙!$B$11:$B$310),INDEX(半紙!$D$11:$D$310,620),IF(620&lt;=COUNTA(半紙!$B$11:$B$310)+COUNTA(条幅!$B$11:$B$310),INDEX(条幅!$D$11:$D$310,620-COUNTA(半紙!$B$11:$B$310)),IF(620&lt;=COUNTA(半紙!$B$11:$B$310)+COUNTA(条幅!$B$11:$B$310)+COUNTA(条幅4分の1!$B$11:$B$310),INDEX(条幅4分の1!$D$11:$D$310,620-COUNTA(半紙!$B$11:$B$310)-COUNTA(条幅!$B$11:$B$310)),"")))=0,"",IF(620&lt;=COUNTA(半紙!$B$11:$B$310),INDEX(半紙!$D$11:$D$310,620),IF(620&lt;=COUNTA(半紙!$B$11:$B$310)+COUNTA(条幅!$B$11:$B$310),INDEX(条幅!$D$11:$D$310,620-COUNTA(半紙!$B$11:$B$310)),IF(620&lt;=COUNTA(半紙!$B$11:$B$310)+COUNTA(条幅!$B$11:$B$310)+COUNTA(条幅4分の1!$B$11:$B$310),INDEX(条幅4分の1!$D$11:$D$310,620-COUNTA(半紙!$B$11:$B$310)-COUNTA(条幅!$B$11:$B$310)),""))))</f>
        <v/>
      </c>
      <c r="E625" s="38" t="str">
        <f>IF(IF(620&lt;=COUNTA(半紙!$B$11:$B$310),INDEX(半紙!$E$11:$E$310,620),IF(620&lt;=COUNTA(半紙!$B$11:$B$310)+COUNTA(条幅!$B$11:$B$310),INDEX(条幅!$E$11:$E$310,620-COUNTA(半紙!$B$11:$B$310)),IF(620&lt;=COUNTA(半紙!$B$11:$B$310)+COUNTA(条幅!$B$11:$B$310)+COUNTA(条幅4分の1!$B$11:$B$310),INDEX(条幅4分の1!$E$11:$E$310,620-COUNTA(半紙!$B$11:$B$310)-COUNTA(条幅!$B$11:$B$310)),"")))=0,"",IF(620&lt;=COUNTA(半紙!$B$11:$B$310),INDEX(半紙!$E$11:$E$310,620),IF(620&lt;=COUNTA(半紙!$B$11:$B$310)+COUNTA(条幅!$B$11:$B$310),INDEX(条幅!$E$11:$E$310,620-COUNTA(半紙!$B$11:$B$310)),IF(620&lt;=COUNTA(半紙!$B$11:$B$310)+COUNTA(条幅!$B$11:$B$310)+COUNTA(条幅4分の1!$B$11:$B$310),INDEX(条幅4分の1!$E$11:$E$310,620-COUNTA(半紙!$B$11:$B$310)-COUNTA(条幅!$B$11:$B$310)),""))))</f>
        <v/>
      </c>
      <c r="F625" s="38" t="str">
        <f>IF(IF(620&lt;=COUNTA(半紙!$B$11:$B$310),INDEX(半紙!$F$11:$F$310,620),IF(620&lt;=COUNTA(半紙!$B$11:$B$310)+COUNTA(条幅!$B$11:$B$310),INDEX(条幅!$F$11:$F$310,620-COUNTA(半紙!$B$11:$B$310)),IF(620&lt;=COUNTA(半紙!$B$11:$B$310)+COUNTA(条幅!$B$11:$B$310)+COUNTA(条幅4分の1!$B$11:$B$310),INDEX(条幅4分の1!$F$11:$F$310,620-COUNTA(半紙!$B$11:$B$310)-COUNTA(条幅!$B$11:$B$310)),"")))=0,"",IF(620&lt;=COUNTA(半紙!$B$11:$B$310),INDEX(半紙!$F$11:$F$310,620),IF(620&lt;=COUNTA(半紙!$B$11:$B$310)+COUNTA(条幅!$B$11:$B$310),INDEX(条幅!$F$11:$F$310,620-COUNTA(半紙!$B$11:$B$310)),IF(620&lt;=COUNTA(半紙!$B$11:$B$310)+COUNTA(条幅!$B$11:$B$310)+COUNTA(条幅4分の1!$B$11:$B$310),INDEX(条幅4分の1!$F$11:$F$310,620-COUNTA(半紙!$B$11:$B$310)-COUNTA(条幅!$B$11:$B$310)),""))))</f>
        <v/>
      </c>
      <c r="G625" s="38" t="str">
        <f>IF(IF(620&lt;=COUNTA(半紙!$B$11:$B$310),INDEX(半紙!$G$11:$G$310,620),IF(620&lt;=COUNTA(半紙!$B$11:$B$310)+COUNTA(条幅!$B$11:$B$310),INDEX(条幅!$G$11:$G$310,620-COUNTA(半紙!$B$11:$B$310)),IF(620&lt;=COUNTA(半紙!$B$11:$B$310)+COUNTA(条幅!$B$11:$B$310)+COUNTA(条幅4分の1!$B$11:$B$310),INDEX(条幅4分の1!$G$11:$G$310,620-COUNTA(半紙!$B$11:$B$310)-COUNTA(条幅!$B$11:$B$310)),"")))=0,"",IF(620&lt;=COUNTA(半紙!$B$11:$B$310),INDEX(半紙!$G$11:$G$310,620),IF(620&lt;=COUNTA(半紙!$B$11:$B$310)+COUNTA(条幅!$B$11:$B$310),INDEX(条幅!$G$11:$G$310,620-COUNTA(半紙!$B$11:$B$310)),IF(620&lt;=COUNTA(半紙!$B$11:$B$310)+COUNTA(条幅!$B$11:$B$310)+COUNTA(条幅4分の1!$B$11:$B$310),INDEX(条幅4分の1!$G$11:$G$310,620-COUNTA(半紙!$B$11:$B$310)-COUNTA(条幅!$B$11:$B$310)),""))))</f>
        <v/>
      </c>
      <c r="H625" s="38" t="str">
        <f>IF(IF(620&lt;=COUNTA(半紙!$B$11:$B$310),INDEX(半紙!$H$11:$H$310,620),IF(620&lt;=COUNTA(半紙!$B$11:$B$310)+COUNTA(条幅!$B$11:$B$310),INDEX(条幅!$H$11:$H$310,620-COUNTA(半紙!$B$11:$B$310)),IF(620&lt;=COUNTA(半紙!$B$11:$B$310)+COUNTA(条幅!$B$11:$B$310)+COUNTA(条幅4分の1!$B$11:$B$310),INDEX(条幅4分の1!$H$11:$H$310,620-COUNTA(半紙!$B$11:$B$310)-COUNTA(条幅!$B$11:$B$310)),"")))=0,"",IF(620&lt;=COUNTA(半紙!$B$11:$B$310),INDEX(半紙!$H$11:$H$310,620),IF(620&lt;=COUNTA(半紙!$B$11:$B$310)+COUNTA(条幅!$B$11:$B$310),INDEX(条幅!$H$11:$H$310,620-COUNTA(半紙!$B$11:$B$310)),IF(620&lt;=COUNTA(半紙!$B$11:$B$310)+COUNTA(条幅!$B$11:$B$310)+COUNTA(条幅4分の1!$B$11:$B$310),INDEX(条幅4分の1!$H$11:$H$310,620-COUNTA(半紙!$B$11:$B$310)-COUNTA(条幅!$B$11:$B$310)),""))))</f>
        <v/>
      </c>
      <c r="I625" s="38" t="str">
        <f>IF(IF(620&lt;=COUNTA(半紙!$B$11:$B$310),INDEX(半紙!$I$11:$I$310,620),IF(620&lt;=COUNTA(半紙!$B$11:$B$310)+COUNTA(条幅!$B$11:$B$310),INDEX(条幅!$I$11:$I$310,620-COUNTA(半紙!$B$11:$B$310)),IF(620&lt;=COUNTA(半紙!$B$11:$B$310)+COUNTA(条幅!$B$11:$B$310)+COUNTA(条幅4分の1!$B$11:$B$310),INDEX(条幅4分の1!$I$11:$I$310,620-COUNTA(半紙!$B$11:$B$310)-COUNTA(条幅!$B$11:$B$310)),"")))=0,"",IF(620&lt;=COUNTA(半紙!$B$11:$B$310),INDEX(半紙!$I$11:$I$310,620),IF(620&lt;=COUNTA(半紙!$B$11:$B$310)+COUNTA(条幅!$B$11:$B$310),INDEX(条幅!$I$11:$I$310,620-COUNTA(半紙!$B$11:$B$310)),IF(620&lt;=COUNTA(半紙!$B$11:$B$310)+COUNTA(条幅!$B$11:$B$310)+COUNTA(条幅4分の1!$B$11:$B$310),INDEX(条幅4分の1!$I$11:$I$310,620-COUNTA(半紙!$B$11:$B$310)-COUNTA(条幅!$B$11:$B$310)),""))))</f>
        <v/>
      </c>
      <c r="J625" s="38" t="str">
        <f>IF(IF(620&lt;=COUNTA(半紙!$B$11:$B$310),INDEX(半紙!$J$11:$J$310,620),IF(620&lt;=COUNTA(半紙!$B$11:$B$310)+COUNTA(条幅!$B$11:$B$310),INDEX(条幅!$J$11:$J$310,620-COUNTA(半紙!$B$11:$B$310)),IF(620&lt;=COUNTA(半紙!$B$11:$B$310)+COUNTA(条幅!$B$11:$B$310)+COUNTA(条幅4分の1!$B$11:$B$310),INDEX(条幅4分の1!$J$11:$J$310,620-COUNTA(半紙!$B$11:$B$310)-COUNTA(条幅!$B$11:$B$310)),"")))=0,"",IF(620&lt;=COUNTA(半紙!$B$11:$B$310),INDEX(半紙!$J$11:$J$310,620),IF(620&lt;=COUNTA(半紙!$B$11:$B$310)+COUNTA(条幅!$B$11:$B$310),INDEX(条幅!$J$11:$J$310,620-COUNTA(半紙!$B$11:$B$310)),IF(620&lt;=COUNTA(半紙!$B$11:$B$310)+COUNTA(条幅!$B$11:$B$310)+COUNTA(条幅4分の1!$B$11:$B$310),INDEX(条幅4分の1!$J$11:$J$310,620-COUNTA(半紙!$B$11:$B$310)-COUNTA(条幅!$B$11:$B$310)),""))))</f>
        <v/>
      </c>
      <c r="K625" s="38" t="str">
        <f>IF(IF(620&lt;=COUNTA(半紙!$B$11:$B$310),INDEX(半紙!$K$11:$K$310,620),IF(620&lt;=COUNTA(半紙!$B$11:$B$310)+COUNTA(条幅!$B$11:$B$310),INDEX(条幅!$K$11:$K$310,620-COUNTA(半紙!$B$11:$B$310)),IF(620&lt;=COUNTA(半紙!$B$11:$B$310)+COUNTA(条幅!$B$11:$B$310)+COUNTA(条幅4分の1!$B$11:$B$310),INDEX(条幅4分の1!$K$11:$K$310,620-COUNTA(半紙!$B$11:$B$310)-COUNTA(条幅!$B$11:$B$310)),"")))=0,"",IF(620&lt;=COUNTA(半紙!$B$11:$B$310),INDEX(半紙!$K$11:$K$310,620),IF(620&lt;=COUNTA(半紙!$B$11:$B$310)+COUNTA(条幅!$B$11:$B$310),INDEX(条幅!$K$11:$K$310,620-COUNTA(半紙!$B$11:$B$310)),IF(620&lt;=COUNTA(半紙!$B$11:$B$310)+COUNTA(条幅!$B$11:$B$310)+COUNTA(条幅4分の1!$B$11:$B$310),INDEX(条幅4分の1!$K$11:$K$310,620-COUNTA(半紙!$B$11:$B$310)-COUNTA(条幅!$B$11:$B$310)),""))))</f>
        <v/>
      </c>
      <c r="L625" s="48" t="str">
        <f>IF($B625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620))</f>
        <v/>
      </c>
    </row>
    <row r="626" spans="1:12" ht="15" customHeight="1">
      <c r="A626" s="37" t="str">
        <f>IF(621&lt;=COUNTA(半紙!$B$11:$B$310),"半紙",IF(621&lt;=COUNTA(半紙!$B$11:$B$310)+COUNTA(条幅!$B$11:$B$310),"条幅(半切)",IF(621&lt;=COUNTA(半紙!$B$11:$B$310)+COUNTA(条幅!$B$11:$B$310)+COUNTA(条幅4分の1!$B$11:$B$310),"条幅(1/4)","")))</f>
        <v/>
      </c>
      <c r="B626" s="38" t="str">
        <f>IF(IF(621&lt;=COUNTA(半紙!$B$11:$B$310),INDEX(半紙!$B$11:$B$310,621),IF(621&lt;=COUNTA(半紙!$B$11:$B$310)+COUNTA(条幅!$B$11:$B$310),INDEX(条幅!$B$11:$B$310,621-COUNTA(半紙!$B$11:$B$310)),IF(621&lt;=COUNTA(半紙!$B$11:$B$310)+COUNTA(条幅!$B$11:$B$310)+COUNTA(条幅4分の1!$B$11:$B$310),INDEX(条幅4分の1!$B$11:$B$310,621-COUNTA(半紙!$B$11:$B$310)-COUNTA(条幅!$B$11:$B$310)),"")))=0,"",IF(621&lt;=COUNTA(半紙!$B$11:$B$310),INDEX(半紙!$B$11:$B$310,621),IF(621&lt;=COUNTA(半紙!$B$11:$B$310)+COUNTA(条幅!$B$11:$B$310),INDEX(条幅!$B$11:$B$310,621-COUNTA(半紙!$B$11:$B$310)),IF(621&lt;=COUNTA(半紙!$B$11:$B$310)+COUNTA(条幅!$B$11:$B$310)+COUNTA(条幅4分の1!$B$11:$B$310),INDEX(条幅4分の1!$B$11:$B$310,621-COUNTA(半紙!$B$11:$B$310)-COUNTA(条幅!$B$11:$B$310)),""))))</f>
        <v/>
      </c>
      <c r="C626" s="38" t="str">
        <f>IF(IF(621&lt;=COUNTA(半紙!$B$11:$B$310),INDEX(半紙!$C$11:$C$310,621),IF(621&lt;=COUNTA(半紙!$B$11:$B$310)+COUNTA(条幅!$B$11:$B$310),INDEX(条幅!$C$11:$C$310,621-COUNTA(半紙!$B$11:$B$310)),IF(621&lt;=COUNTA(半紙!$B$11:$B$310)+COUNTA(条幅!$B$11:$B$310)+COUNTA(条幅4分の1!$B$11:$B$310),INDEX(条幅4分の1!$C$11:$C$310,621-COUNTA(半紙!$B$11:$B$310)-COUNTA(条幅!$B$11:$B$310)),"")))=0,"",IF(621&lt;=COUNTA(半紙!$B$11:$B$310),INDEX(半紙!$C$11:$C$310,621),IF(621&lt;=COUNTA(半紙!$B$11:$B$310)+COUNTA(条幅!$B$11:$B$310),INDEX(条幅!$C$11:$C$310,621-COUNTA(半紙!$B$11:$B$310)),IF(621&lt;=COUNTA(半紙!$B$11:$B$310)+COUNTA(条幅!$B$11:$B$310)+COUNTA(条幅4分の1!$B$11:$B$310),INDEX(条幅4分の1!$C$11:$C$310,621-COUNTA(半紙!$B$11:$B$310)-COUNTA(条幅!$B$11:$B$310)),""))))</f>
        <v/>
      </c>
      <c r="D626" s="38" t="str">
        <f>IF(IF(621&lt;=COUNTA(半紙!$B$11:$B$310),INDEX(半紙!$D$11:$D$310,621),IF(621&lt;=COUNTA(半紙!$B$11:$B$310)+COUNTA(条幅!$B$11:$B$310),INDEX(条幅!$D$11:$D$310,621-COUNTA(半紙!$B$11:$B$310)),IF(621&lt;=COUNTA(半紙!$B$11:$B$310)+COUNTA(条幅!$B$11:$B$310)+COUNTA(条幅4分の1!$B$11:$B$310),INDEX(条幅4分の1!$D$11:$D$310,621-COUNTA(半紙!$B$11:$B$310)-COUNTA(条幅!$B$11:$B$310)),"")))=0,"",IF(621&lt;=COUNTA(半紙!$B$11:$B$310),INDEX(半紙!$D$11:$D$310,621),IF(621&lt;=COUNTA(半紙!$B$11:$B$310)+COUNTA(条幅!$B$11:$B$310),INDEX(条幅!$D$11:$D$310,621-COUNTA(半紙!$B$11:$B$310)),IF(621&lt;=COUNTA(半紙!$B$11:$B$310)+COUNTA(条幅!$B$11:$B$310)+COUNTA(条幅4分の1!$B$11:$B$310),INDEX(条幅4分の1!$D$11:$D$310,621-COUNTA(半紙!$B$11:$B$310)-COUNTA(条幅!$B$11:$B$310)),""))))</f>
        <v/>
      </c>
      <c r="E626" s="38" t="str">
        <f>IF(IF(621&lt;=COUNTA(半紙!$B$11:$B$310),INDEX(半紙!$E$11:$E$310,621),IF(621&lt;=COUNTA(半紙!$B$11:$B$310)+COUNTA(条幅!$B$11:$B$310),INDEX(条幅!$E$11:$E$310,621-COUNTA(半紙!$B$11:$B$310)),IF(621&lt;=COUNTA(半紙!$B$11:$B$310)+COUNTA(条幅!$B$11:$B$310)+COUNTA(条幅4分の1!$B$11:$B$310),INDEX(条幅4分の1!$E$11:$E$310,621-COUNTA(半紙!$B$11:$B$310)-COUNTA(条幅!$B$11:$B$310)),"")))=0,"",IF(621&lt;=COUNTA(半紙!$B$11:$B$310),INDEX(半紙!$E$11:$E$310,621),IF(621&lt;=COUNTA(半紙!$B$11:$B$310)+COUNTA(条幅!$B$11:$B$310),INDEX(条幅!$E$11:$E$310,621-COUNTA(半紙!$B$11:$B$310)),IF(621&lt;=COUNTA(半紙!$B$11:$B$310)+COUNTA(条幅!$B$11:$B$310)+COUNTA(条幅4分の1!$B$11:$B$310),INDEX(条幅4分の1!$E$11:$E$310,621-COUNTA(半紙!$B$11:$B$310)-COUNTA(条幅!$B$11:$B$310)),""))))</f>
        <v/>
      </c>
      <c r="F626" s="38" t="str">
        <f>IF(IF(621&lt;=COUNTA(半紙!$B$11:$B$310),INDEX(半紙!$F$11:$F$310,621),IF(621&lt;=COUNTA(半紙!$B$11:$B$310)+COUNTA(条幅!$B$11:$B$310),INDEX(条幅!$F$11:$F$310,621-COUNTA(半紙!$B$11:$B$310)),IF(621&lt;=COUNTA(半紙!$B$11:$B$310)+COUNTA(条幅!$B$11:$B$310)+COUNTA(条幅4分の1!$B$11:$B$310),INDEX(条幅4分の1!$F$11:$F$310,621-COUNTA(半紙!$B$11:$B$310)-COUNTA(条幅!$B$11:$B$310)),"")))=0,"",IF(621&lt;=COUNTA(半紙!$B$11:$B$310),INDEX(半紙!$F$11:$F$310,621),IF(621&lt;=COUNTA(半紙!$B$11:$B$310)+COUNTA(条幅!$B$11:$B$310),INDEX(条幅!$F$11:$F$310,621-COUNTA(半紙!$B$11:$B$310)),IF(621&lt;=COUNTA(半紙!$B$11:$B$310)+COUNTA(条幅!$B$11:$B$310)+COUNTA(条幅4分の1!$B$11:$B$310),INDEX(条幅4分の1!$F$11:$F$310,621-COUNTA(半紙!$B$11:$B$310)-COUNTA(条幅!$B$11:$B$310)),""))))</f>
        <v/>
      </c>
      <c r="G626" s="38" t="str">
        <f>IF(IF(621&lt;=COUNTA(半紙!$B$11:$B$310),INDEX(半紙!$G$11:$G$310,621),IF(621&lt;=COUNTA(半紙!$B$11:$B$310)+COUNTA(条幅!$B$11:$B$310),INDEX(条幅!$G$11:$G$310,621-COUNTA(半紙!$B$11:$B$310)),IF(621&lt;=COUNTA(半紙!$B$11:$B$310)+COUNTA(条幅!$B$11:$B$310)+COUNTA(条幅4分の1!$B$11:$B$310),INDEX(条幅4分の1!$G$11:$G$310,621-COUNTA(半紙!$B$11:$B$310)-COUNTA(条幅!$B$11:$B$310)),"")))=0,"",IF(621&lt;=COUNTA(半紙!$B$11:$B$310),INDEX(半紙!$G$11:$G$310,621),IF(621&lt;=COUNTA(半紙!$B$11:$B$310)+COUNTA(条幅!$B$11:$B$310),INDEX(条幅!$G$11:$G$310,621-COUNTA(半紙!$B$11:$B$310)),IF(621&lt;=COUNTA(半紙!$B$11:$B$310)+COUNTA(条幅!$B$11:$B$310)+COUNTA(条幅4分の1!$B$11:$B$310),INDEX(条幅4分の1!$G$11:$G$310,621-COUNTA(半紙!$B$11:$B$310)-COUNTA(条幅!$B$11:$B$310)),""))))</f>
        <v/>
      </c>
      <c r="H626" s="38" t="str">
        <f>IF(IF(621&lt;=COUNTA(半紙!$B$11:$B$310),INDEX(半紙!$H$11:$H$310,621),IF(621&lt;=COUNTA(半紙!$B$11:$B$310)+COUNTA(条幅!$B$11:$B$310),INDEX(条幅!$H$11:$H$310,621-COUNTA(半紙!$B$11:$B$310)),IF(621&lt;=COUNTA(半紙!$B$11:$B$310)+COUNTA(条幅!$B$11:$B$310)+COUNTA(条幅4分の1!$B$11:$B$310),INDEX(条幅4分の1!$H$11:$H$310,621-COUNTA(半紙!$B$11:$B$310)-COUNTA(条幅!$B$11:$B$310)),"")))=0,"",IF(621&lt;=COUNTA(半紙!$B$11:$B$310),INDEX(半紙!$H$11:$H$310,621),IF(621&lt;=COUNTA(半紙!$B$11:$B$310)+COUNTA(条幅!$B$11:$B$310),INDEX(条幅!$H$11:$H$310,621-COUNTA(半紙!$B$11:$B$310)),IF(621&lt;=COUNTA(半紙!$B$11:$B$310)+COUNTA(条幅!$B$11:$B$310)+COUNTA(条幅4分の1!$B$11:$B$310),INDEX(条幅4分の1!$H$11:$H$310,621-COUNTA(半紙!$B$11:$B$310)-COUNTA(条幅!$B$11:$B$310)),""))))</f>
        <v/>
      </c>
      <c r="I626" s="38" t="str">
        <f>IF(IF(621&lt;=COUNTA(半紙!$B$11:$B$310),INDEX(半紙!$I$11:$I$310,621),IF(621&lt;=COUNTA(半紙!$B$11:$B$310)+COUNTA(条幅!$B$11:$B$310),INDEX(条幅!$I$11:$I$310,621-COUNTA(半紙!$B$11:$B$310)),IF(621&lt;=COUNTA(半紙!$B$11:$B$310)+COUNTA(条幅!$B$11:$B$310)+COUNTA(条幅4分の1!$B$11:$B$310),INDEX(条幅4分の1!$I$11:$I$310,621-COUNTA(半紙!$B$11:$B$310)-COUNTA(条幅!$B$11:$B$310)),"")))=0,"",IF(621&lt;=COUNTA(半紙!$B$11:$B$310),INDEX(半紙!$I$11:$I$310,621),IF(621&lt;=COUNTA(半紙!$B$11:$B$310)+COUNTA(条幅!$B$11:$B$310),INDEX(条幅!$I$11:$I$310,621-COUNTA(半紙!$B$11:$B$310)),IF(621&lt;=COUNTA(半紙!$B$11:$B$310)+COUNTA(条幅!$B$11:$B$310)+COUNTA(条幅4分の1!$B$11:$B$310),INDEX(条幅4分の1!$I$11:$I$310,621-COUNTA(半紙!$B$11:$B$310)-COUNTA(条幅!$B$11:$B$310)),""))))</f>
        <v/>
      </c>
      <c r="J626" s="38" t="str">
        <f>IF(IF(621&lt;=COUNTA(半紙!$B$11:$B$310),INDEX(半紙!$J$11:$J$310,621),IF(621&lt;=COUNTA(半紙!$B$11:$B$310)+COUNTA(条幅!$B$11:$B$310),INDEX(条幅!$J$11:$J$310,621-COUNTA(半紙!$B$11:$B$310)),IF(621&lt;=COUNTA(半紙!$B$11:$B$310)+COUNTA(条幅!$B$11:$B$310)+COUNTA(条幅4分の1!$B$11:$B$310),INDEX(条幅4分の1!$J$11:$J$310,621-COUNTA(半紙!$B$11:$B$310)-COUNTA(条幅!$B$11:$B$310)),"")))=0,"",IF(621&lt;=COUNTA(半紙!$B$11:$B$310),INDEX(半紙!$J$11:$J$310,621),IF(621&lt;=COUNTA(半紙!$B$11:$B$310)+COUNTA(条幅!$B$11:$B$310),INDEX(条幅!$J$11:$J$310,621-COUNTA(半紙!$B$11:$B$310)),IF(621&lt;=COUNTA(半紙!$B$11:$B$310)+COUNTA(条幅!$B$11:$B$310)+COUNTA(条幅4分の1!$B$11:$B$310),INDEX(条幅4分の1!$J$11:$J$310,621-COUNTA(半紙!$B$11:$B$310)-COUNTA(条幅!$B$11:$B$310)),""))))</f>
        <v/>
      </c>
      <c r="K626" s="38" t="str">
        <f>IF(IF(621&lt;=COUNTA(半紙!$B$11:$B$310),INDEX(半紙!$K$11:$K$310,621),IF(621&lt;=COUNTA(半紙!$B$11:$B$310)+COUNTA(条幅!$B$11:$B$310),INDEX(条幅!$K$11:$K$310,621-COUNTA(半紙!$B$11:$B$310)),IF(621&lt;=COUNTA(半紙!$B$11:$B$310)+COUNTA(条幅!$B$11:$B$310)+COUNTA(条幅4分の1!$B$11:$B$310),INDEX(条幅4分の1!$K$11:$K$310,621-COUNTA(半紙!$B$11:$B$310)-COUNTA(条幅!$B$11:$B$310)),"")))=0,"",IF(621&lt;=COUNTA(半紙!$B$11:$B$310),INDEX(半紙!$K$11:$K$310,621),IF(621&lt;=COUNTA(半紙!$B$11:$B$310)+COUNTA(条幅!$B$11:$B$310),INDEX(条幅!$K$11:$K$310,621-COUNTA(半紙!$B$11:$B$310)),IF(621&lt;=COUNTA(半紙!$B$11:$B$310)+COUNTA(条幅!$B$11:$B$310)+COUNTA(条幅4分の1!$B$11:$B$310),INDEX(条幅4分の1!$K$11:$K$310,621-COUNTA(半紙!$B$11:$B$310)-COUNTA(条幅!$B$11:$B$310)),""))))</f>
        <v/>
      </c>
      <c r="L626" s="48" t="str">
        <f>IF($B626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621))</f>
        <v/>
      </c>
    </row>
    <row r="627" spans="1:12" ht="15" customHeight="1">
      <c r="A627" s="37" t="str">
        <f>IF(622&lt;=COUNTA(半紙!$B$11:$B$310),"半紙",IF(622&lt;=COUNTA(半紙!$B$11:$B$310)+COUNTA(条幅!$B$11:$B$310),"条幅(半切)",IF(622&lt;=COUNTA(半紙!$B$11:$B$310)+COUNTA(条幅!$B$11:$B$310)+COUNTA(条幅4分の1!$B$11:$B$310),"条幅(1/4)","")))</f>
        <v/>
      </c>
      <c r="B627" s="38" t="str">
        <f>IF(IF(622&lt;=COUNTA(半紙!$B$11:$B$310),INDEX(半紙!$B$11:$B$310,622),IF(622&lt;=COUNTA(半紙!$B$11:$B$310)+COUNTA(条幅!$B$11:$B$310),INDEX(条幅!$B$11:$B$310,622-COUNTA(半紙!$B$11:$B$310)),IF(622&lt;=COUNTA(半紙!$B$11:$B$310)+COUNTA(条幅!$B$11:$B$310)+COUNTA(条幅4分の1!$B$11:$B$310),INDEX(条幅4分の1!$B$11:$B$310,622-COUNTA(半紙!$B$11:$B$310)-COUNTA(条幅!$B$11:$B$310)),"")))=0,"",IF(622&lt;=COUNTA(半紙!$B$11:$B$310),INDEX(半紙!$B$11:$B$310,622),IF(622&lt;=COUNTA(半紙!$B$11:$B$310)+COUNTA(条幅!$B$11:$B$310),INDEX(条幅!$B$11:$B$310,622-COUNTA(半紙!$B$11:$B$310)),IF(622&lt;=COUNTA(半紙!$B$11:$B$310)+COUNTA(条幅!$B$11:$B$310)+COUNTA(条幅4分の1!$B$11:$B$310),INDEX(条幅4分の1!$B$11:$B$310,622-COUNTA(半紙!$B$11:$B$310)-COUNTA(条幅!$B$11:$B$310)),""))))</f>
        <v/>
      </c>
      <c r="C627" s="38" t="str">
        <f>IF(IF(622&lt;=COUNTA(半紙!$B$11:$B$310),INDEX(半紙!$C$11:$C$310,622),IF(622&lt;=COUNTA(半紙!$B$11:$B$310)+COUNTA(条幅!$B$11:$B$310),INDEX(条幅!$C$11:$C$310,622-COUNTA(半紙!$B$11:$B$310)),IF(622&lt;=COUNTA(半紙!$B$11:$B$310)+COUNTA(条幅!$B$11:$B$310)+COUNTA(条幅4分の1!$B$11:$B$310),INDEX(条幅4分の1!$C$11:$C$310,622-COUNTA(半紙!$B$11:$B$310)-COUNTA(条幅!$B$11:$B$310)),"")))=0,"",IF(622&lt;=COUNTA(半紙!$B$11:$B$310),INDEX(半紙!$C$11:$C$310,622),IF(622&lt;=COUNTA(半紙!$B$11:$B$310)+COUNTA(条幅!$B$11:$B$310),INDEX(条幅!$C$11:$C$310,622-COUNTA(半紙!$B$11:$B$310)),IF(622&lt;=COUNTA(半紙!$B$11:$B$310)+COUNTA(条幅!$B$11:$B$310)+COUNTA(条幅4分の1!$B$11:$B$310),INDEX(条幅4分の1!$C$11:$C$310,622-COUNTA(半紙!$B$11:$B$310)-COUNTA(条幅!$B$11:$B$310)),""))))</f>
        <v/>
      </c>
      <c r="D627" s="38" t="str">
        <f>IF(IF(622&lt;=COUNTA(半紙!$B$11:$B$310),INDEX(半紙!$D$11:$D$310,622),IF(622&lt;=COUNTA(半紙!$B$11:$B$310)+COUNTA(条幅!$B$11:$B$310),INDEX(条幅!$D$11:$D$310,622-COUNTA(半紙!$B$11:$B$310)),IF(622&lt;=COUNTA(半紙!$B$11:$B$310)+COUNTA(条幅!$B$11:$B$310)+COUNTA(条幅4分の1!$B$11:$B$310),INDEX(条幅4分の1!$D$11:$D$310,622-COUNTA(半紙!$B$11:$B$310)-COUNTA(条幅!$B$11:$B$310)),"")))=0,"",IF(622&lt;=COUNTA(半紙!$B$11:$B$310),INDEX(半紙!$D$11:$D$310,622),IF(622&lt;=COUNTA(半紙!$B$11:$B$310)+COUNTA(条幅!$B$11:$B$310),INDEX(条幅!$D$11:$D$310,622-COUNTA(半紙!$B$11:$B$310)),IF(622&lt;=COUNTA(半紙!$B$11:$B$310)+COUNTA(条幅!$B$11:$B$310)+COUNTA(条幅4分の1!$B$11:$B$310),INDEX(条幅4分の1!$D$11:$D$310,622-COUNTA(半紙!$B$11:$B$310)-COUNTA(条幅!$B$11:$B$310)),""))))</f>
        <v/>
      </c>
      <c r="E627" s="38" t="str">
        <f>IF(IF(622&lt;=COUNTA(半紙!$B$11:$B$310),INDEX(半紙!$E$11:$E$310,622),IF(622&lt;=COUNTA(半紙!$B$11:$B$310)+COUNTA(条幅!$B$11:$B$310),INDEX(条幅!$E$11:$E$310,622-COUNTA(半紙!$B$11:$B$310)),IF(622&lt;=COUNTA(半紙!$B$11:$B$310)+COUNTA(条幅!$B$11:$B$310)+COUNTA(条幅4分の1!$B$11:$B$310),INDEX(条幅4分の1!$E$11:$E$310,622-COUNTA(半紙!$B$11:$B$310)-COUNTA(条幅!$B$11:$B$310)),"")))=0,"",IF(622&lt;=COUNTA(半紙!$B$11:$B$310),INDEX(半紙!$E$11:$E$310,622),IF(622&lt;=COUNTA(半紙!$B$11:$B$310)+COUNTA(条幅!$B$11:$B$310),INDEX(条幅!$E$11:$E$310,622-COUNTA(半紙!$B$11:$B$310)),IF(622&lt;=COUNTA(半紙!$B$11:$B$310)+COUNTA(条幅!$B$11:$B$310)+COUNTA(条幅4分の1!$B$11:$B$310),INDEX(条幅4分の1!$E$11:$E$310,622-COUNTA(半紙!$B$11:$B$310)-COUNTA(条幅!$B$11:$B$310)),""))))</f>
        <v/>
      </c>
      <c r="F627" s="38" t="str">
        <f>IF(IF(622&lt;=COUNTA(半紙!$B$11:$B$310),INDEX(半紙!$F$11:$F$310,622),IF(622&lt;=COUNTA(半紙!$B$11:$B$310)+COUNTA(条幅!$B$11:$B$310),INDEX(条幅!$F$11:$F$310,622-COUNTA(半紙!$B$11:$B$310)),IF(622&lt;=COUNTA(半紙!$B$11:$B$310)+COUNTA(条幅!$B$11:$B$310)+COUNTA(条幅4分の1!$B$11:$B$310),INDEX(条幅4分の1!$F$11:$F$310,622-COUNTA(半紙!$B$11:$B$310)-COUNTA(条幅!$B$11:$B$310)),"")))=0,"",IF(622&lt;=COUNTA(半紙!$B$11:$B$310),INDEX(半紙!$F$11:$F$310,622),IF(622&lt;=COUNTA(半紙!$B$11:$B$310)+COUNTA(条幅!$B$11:$B$310),INDEX(条幅!$F$11:$F$310,622-COUNTA(半紙!$B$11:$B$310)),IF(622&lt;=COUNTA(半紙!$B$11:$B$310)+COUNTA(条幅!$B$11:$B$310)+COUNTA(条幅4分の1!$B$11:$B$310),INDEX(条幅4分の1!$F$11:$F$310,622-COUNTA(半紙!$B$11:$B$310)-COUNTA(条幅!$B$11:$B$310)),""))))</f>
        <v/>
      </c>
      <c r="G627" s="38" t="str">
        <f>IF(IF(622&lt;=COUNTA(半紙!$B$11:$B$310),INDEX(半紙!$G$11:$G$310,622),IF(622&lt;=COUNTA(半紙!$B$11:$B$310)+COUNTA(条幅!$B$11:$B$310),INDEX(条幅!$G$11:$G$310,622-COUNTA(半紙!$B$11:$B$310)),IF(622&lt;=COUNTA(半紙!$B$11:$B$310)+COUNTA(条幅!$B$11:$B$310)+COUNTA(条幅4分の1!$B$11:$B$310),INDEX(条幅4分の1!$G$11:$G$310,622-COUNTA(半紙!$B$11:$B$310)-COUNTA(条幅!$B$11:$B$310)),"")))=0,"",IF(622&lt;=COUNTA(半紙!$B$11:$B$310),INDEX(半紙!$G$11:$G$310,622),IF(622&lt;=COUNTA(半紙!$B$11:$B$310)+COUNTA(条幅!$B$11:$B$310),INDEX(条幅!$G$11:$G$310,622-COUNTA(半紙!$B$11:$B$310)),IF(622&lt;=COUNTA(半紙!$B$11:$B$310)+COUNTA(条幅!$B$11:$B$310)+COUNTA(条幅4分の1!$B$11:$B$310),INDEX(条幅4分の1!$G$11:$G$310,622-COUNTA(半紙!$B$11:$B$310)-COUNTA(条幅!$B$11:$B$310)),""))))</f>
        <v/>
      </c>
      <c r="H627" s="38" t="str">
        <f>IF(IF(622&lt;=COUNTA(半紙!$B$11:$B$310),INDEX(半紙!$H$11:$H$310,622),IF(622&lt;=COUNTA(半紙!$B$11:$B$310)+COUNTA(条幅!$B$11:$B$310),INDEX(条幅!$H$11:$H$310,622-COUNTA(半紙!$B$11:$B$310)),IF(622&lt;=COUNTA(半紙!$B$11:$B$310)+COUNTA(条幅!$B$11:$B$310)+COUNTA(条幅4分の1!$B$11:$B$310),INDEX(条幅4分の1!$H$11:$H$310,622-COUNTA(半紙!$B$11:$B$310)-COUNTA(条幅!$B$11:$B$310)),"")))=0,"",IF(622&lt;=COUNTA(半紙!$B$11:$B$310),INDEX(半紙!$H$11:$H$310,622),IF(622&lt;=COUNTA(半紙!$B$11:$B$310)+COUNTA(条幅!$B$11:$B$310),INDEX(条幅!$H$11:$H$310,622-COUNTA(半紙!$B$11:$B$310)),IF(622&lt;=COUNTA(半紙!$B$11:$B$310)+COUNTA(条幅!$B$11:$B$310)+COUNTA(条幅4分の1!$B$11:$B$310),INDEX(条幅4分の1!$H$11:$H$310,622-COUNTA(半紙!$B$11:$B$310)-COUNTA(条幅!$B$11:$B$310)),""))))</f>
        <v/>
      </c>
      <c r="I627" s="38" t="str">
        <f>IF(IF(622&lt;=COUNTA(半紙!$B$11:$B$310),INDEX(半紙!$I$11:$I$310,622),IF(622&lt;=COUNTA(半紙!$B$11:$B$310)+COUNTA(条幅!$B$11:$B$310),INDEX(条幅!$I$11:$I$310,622-COUNTA(半紙!$B$11:$B$310)),IF(622&lt;=COUNTA(半紙!$B$11:$B$310)+COUNTA(条幅!$B$11:$B$310)+COUNTA(条幅4分の1!$B$11:$B$310),INDEX(条幅4分の1!$I$11:$I$310,622-COUNTA(半紙!$B$11:$B$310)-COUNTA(条幅!$B$11:$B$310)),"")))=0,"",IF(622&lt;=COUNTA(半紙!$B$11:$B$310),INDEX(半紙!$I$11:$I$310,622),IF(622&lt;=COUNTA(半紙!$B$11:$B$310)+COUNTA(条幅!$B$11:$B$310),INDEX(条幅!$I$11:$I$310,622-COUNTA(半紙!$B$11:$B$310)),IF(622&lt;=COUNTA(半紙!$B$11:$B$310)+COUNTA(条幅!$B$11:$B$310)+COUNTA(条幅4分の1!$B$11:$B$310),INDEX(条幅4分の1!$I$11:$I$310,622-COUNTA(半紙!$B$11:$B$310)-COUNTA(条幅!$B$11:$B$310)),""))))</f>
        <v/>
      </c>
      <c r="J627" s="38" t="str">
        <f>IF(IF(622&lt;=COUNTA(半紙!$B$11:$B$310),INDEX(半紙!$J$11:$J$310,622),IF(622&lt;=COUNTA(半紙!$B$11:$B$310)+COUNTA(条幅!$B$11:$B$310),INDEX(条幅!$J$11:$J$310,622-COUNTA(半紙!$B$11:$B$310)),IF(622&lt;=COUNTA(半紙!$B$11:$B$310)+COUNTA(条幅!$B$11:$B$310)+COUNTA(条幅4分の1!$B$11:$B$310),INDEX(条幅4分の1!$J$11:$J$310,622-COUNTA(半紙!$B$11:$B$310)-COUNTA(条幅!$B$11:$B$310)),"")))=0,"",IF(622&lt;=COUNTA(半紙!$B$11:$B$310),INDEX(半紙!$J$11:$J$310,622),IF(622&lt;=COUNTA(半紙!$B$11:$B$310)+COUNTA(条幅!$B$11:$B$310),INDEX(条幅!$J$11:$J$310,622-COUNTA(半紙!$B$11:$B$310)),IF(622&lt;=COUNTA(半紙!$B$11:$B$310)+COUNTA(条幅!$B$11:$B$310)+COUNTA(条幅4分の1!$B$11:$B$310),INDEX(条幅4分の1!$J$11:$J$310,622-COUNTA(半紙!$B$11:$B$310)-COUNTA(条幅!$B$11:$B$310)),""))))</f>
        <v/>
      </c>
      <c r="K627" s="38" t="str">
        <f>IF(IF(622&lt;=COUNTA(半紙!$B$11:$B$310),INDEX(半紙!$K$11:$K$310,622),IF(622&lt;=COUNTA(半紙!$B$11:$B$310)+COUNTA(条幅!$B$11:$B$310),INDEX(条幅!$K$11:$K$310,622-COUNTA(半紙!$B$11:$B$310)),IF(622&lt;=COUNTA(半紙!$B$11:$B$310)+COUNTA(条幅!$B$11:$B$310)+COUNTA(条幅4分の1!$B$11:$B$310),INDEX(条幅4分の1!$K$11:$K$310,622-COUNTA(半紙!$B$11:$B$310)-COUNTA(条幅!$B$11:$B$310)),"")))=0,"",IF(622&lt;=COUNTA(半紙!$B$11:$B$310),INDEX(半紙!$K$11:$K$310,622),IF(622&lt;=COUNTA(半紙!$B$11:$B$310)+COUNTA(条幅!$B$11:$B$310),INDEX(条幅!$K$11:$K$310,622-COUNTA(半紙!$B$11:$B$310)),IF(622&lt;=COUNTA(半紙!$B$11:$B$310)+COUNTA(条幅!$B$11:$B$310)+COUNTA(条幅4分の1!$B$11:$B$310),INDEX(条幅4分の1!$K$11:$K$310,622-COUNTA(半紙!$B$11:$B$310)-COUNTA(条幅!$B$11:$B$310)),""))))</f>
        <v/>
      </c>
      <c r="L627" s="48" t="str">
        <f>IF($B627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622))</f>
        <v/>
      </c>
    </row>
    <row r="628" spans="1:12" ht="15" customHeight="1">
      <c r="A628" s="37" t="str">
        <f>IF(623&lt;=COUNTA(半紙!$B$11:$B$310),"半紙",IF(623&lt;=COUNTA(半紙!$B$11:$B$310)+COUNTA(条幅!$B$11:$B$310),"条幅(半切)",IF(623&lt;=COUNTA(半紙!$B$11:$B$310)+COUNTA(条幅!$B$11:$B$310)+COUNTA(条幅4分の1!$B$11:$B$310),"条幅(1/4)","")))</f>
        <v/>
      </c>
      <c r="B628" s="38" t="str">
        <f>IF(IF(623&lt;=COUNTA(半紙!$B$11:$B$310),INDEX(半紙!$B$11:$B$310,623),IF(623&lt;=COUNTA(半紙!$B$11:$B$310)+COUNTA(条幅!$B$11:$B$310),INDEX(条幅!$B$11:$B$310,623-COUNTA(半紙!$B$11:$B$310)),IF(623&lt;=COUNTA(半紙!$B$11:$B$310)+COUNTA(条幅!$B$11:$B$310)+COUNTA(条幅4分の1!$B$11:$B$310),INDEX(条幅4分の1!$B$11:$B$310,623-COUNTA(半紙!$B$11:$B$310)-COUNTA(条幅!$B$11:$B$310)),"")))=0,"",IF(623&lt;=COUNTA(半紙!$B$11:$B$310),INDEX(半紙!$B$11:$B$310,623),IF(623&lt;=COUNTA(半紙!$B$11:$B$310)+COUNTA(条幅!$B$11:$B$310),INDEX(条幅!$B$11:$B$310,623-COUNTA(半紙!$B$11:$B$310)),IF(623&lt;=COUNTA(半紙!$B$11:$B$310)+COUNTA(条幅!$B$11:$B$310)+COUNTA(条幅4分の1!$B$11:$B$310),INDEX(条幅4分の1!$B$11:$B$310,623-COUNTA(半紙!$B$11:$B$310)-COUNTA(条幅!$B$11:$B$310)),""))))</f>
        <v/>
      </c>
      <c r="C628" s="38" t="str">
        <f>IF(IF(623&lt;=COUNTA(半紙!$B$11:$B$310),INDEX(半紙!$C$11:$C$310,623),IF(623&lt;=COUNTA(半紙!$B$11:$B$310)+COUNTA(条幅!$B$11:$B$310),INDEX(条幅!$C$11:$C$310,623-COUNTA(半紙!$B$11:$B$310)),IF(623&lt;=COUNTA(半紙!$B$11:$B$310)+COUNTA(条幅!$B$11:$B$310)+COUNTA(条幅4分の1!$B$11:$B$310),INDEX(条幅4分の1!$C$11:$C$310,623-COUNTA(半紙!$B$11:$B$310)-COUNTA(条幅!$B$11:$B$310)),"")))=0,"",IF(623&lt;=COUNTA(半紙!$B$11:$B$310),INDEX(半紙!$C$11:$C$310,623),IF(623&lt;=COUNTA(半紙!$B$11:$B$310)+COUNTA(条幅!$B$11:$B$310),INDEX(条幅!$C$11:$C$310,623-COUNTA(半紙!$B$11:$B$310)),IF(623&lt;=COUNTA(半紙!$B$11:$B$310)+COUNTA(条幅!$B$11:$B$310)+COUNTA(条幅4分の1!$B$11:$B$310),INDEX(条幅4分の1!$C$11:$C$310,623-COUNTA(半紙!$B$11:$B$310)-COUNTA(条幅!$B$11:$B$310)),""))))</f>
        <v/>
      </c>
      <c r="D628" s="38" t="str">
        <f>IF(IF(623&lt;=COUNTA(半紙!$B$11:$B$310),INDEX(半紙!$D$11:$D$310,623),IF(623&lt;=COUNTA(半紙!$B$11:$B$310)+COUNTA(条幅!$B$11:$B$310),INDEX(条幅!$D$11:$D$310,623-COUNTA(半紙!$B$11:$B$310)),IF(623&lt;=COUNTA(半紙!$B$11:$B$310)+COUNTA(条幅!$B$11:$B$310)+COUNTA(条幅4分の1!$B$11:$B$310),INDEX(条幅4分の1!$D$11:$D$310,623-COUNTA(半紙!$B$11:$B$310)-COUNTA(条幅!$B$11:$B$310)),"")))=0,"",IF(623&lt;=COUNTA(半紙!$B$11:$B$310),INDEX(半紙!$D$11:$D$310,623),IF(623&lt;=COUNTA(半紙!$B$11:$B$310)+COUNTA(条幅!$B$11:$B$310),INDEX(条幅!$D$11:$D$310,623-COUNTA(半紙!$B$11:$B$310)),IF(623&lt;=COUNTA(半紙!$B$11:$B$310)+COUNTA(条幅!$B$11:$B$310)+COUNTA(条幅4分の1!$B$11:$B$310),INDEX(条幅4分の1!$D$11:$D$310,623-COUNTA(半紙!$B$11:$B$310)-COUNTA(条幅!$B$11:$B$310)),""))))</f>
        <v/>
      </c>
      <c r="E628" s="38" t="str">
        <f>IF(IF(623&lt;=COUNTA(半紙!$B$11:$B$310),INDEX(半紙!$E$11:$E$310,623),IF(623&lt;=COUNTA(半紙!$B$11:$B$310)+COUNTA(条幅!$B$11:$B$310),INDEX(条幅!$E$11:$E$310,623-COUNTA(半紙!$B$11:$B$310)),IF(623&lt;=COUNTA(半紙!$B$11:$B$310)+COUNTA(条幅!$B$11:$B$310)+COUNTA(条幅4分の1!$B$11:$B$310),INDEX(条幅4分の1!$E$11:$E$310,623-COUNTA(半紙!$B$11:$B$310)-COUNTA(条幅!$B$11:$B$310)),"")))=0,"",IF(623&lt;=COUNTA(半紙!$B$11:$B$310),INDEX(半紙!$E$11:$E$310,623),IF(623&lt;=COUNTA(半紙!$B$11:$B$310)+COUNTA(条幅!$B$11:$B$310),INDEX(条幅!$E$11:$E$310,623-COUNTA(半紙!$B$11:$B$310)),IF(623&lt;=COUNTA(半紙!$B$11:$B$310)+COUNTA(条幅!$B$11:$B$310)+COUNTA(条幅4分の1!$B$11:$B$310),INDEX(条幅4分の1!$E$11:$E$310,623-COUNTA(半紙!$B$11:$B$310)-COUNTA(条幅!$B$11:$B$310)),""))))</f>
        <v/>
      </c>
      <c r="F628" s="38" t="str">
        <f>IF(IF(623&lt;=COUNTA(半紙!$B$11:$B$310),INDEX(半紙!$F$11:$F$310,623),IF(623&lt;=COUNTA(半紙!$B$11:$B$310)+COUNTA(条幅!$B$11:$B$310),INDEX(条幅!$F$11:$F$310,623-COUNTA(半紙!$B$11:$B$310)),IF(623&lt;=COUNTA(半紙!$B$11:$B$310)+COUNTA(条幅!$B$11:$B$310)+COUNTA(条幅4分の1!$B$11:$B$310),INDEX(条幅4分の1!$F$11:$F$310,623-COUNTA(半紙!$B$11:$B$310)-COUNTA(条幅!$B$11:$B$310)),"")))=0,"",IF(623&lt;=COUNTA(半紙!$B$11:$B$310),INDEX(半紙!$F$11:$F$310,623),IF(623&lt;=COUNTA(半紙!$B$11:$B$310)+COUNTA(条幅!$B$11:$B$310),INDEX(条幅!$F$11:$F$310,623-COUNTA(半紙!$B$11:$B$310)),IF(623&lt;=COUNTA(半紙!$B$11:$B$310)+COUNTA(条幅!$B$11:$B$310)+COUNTA(条幅4分の1!$B$11:$B$310),INDEX(条幅4分の1!$F$11:$F$310,623-COUNTA(半紙!$B$11:$B$310)-COUNTA(条幅!$B$11:$B$310)),""))))</f>
        <v/>
      </c>
      <c r="G628" s="38" t="str">
        <f>IF(IF(623&lt;=COUNTA(半紙!$B$11:$B$310),INDEX(半紙!$G$11:$G$310,623),IF(623&lt;=COUNTA(半紙!$B$11:$B$310)+COUNTA(条幅!$B$11:$B$310),INDEX(条幅!$G$11:$G$310,623-COUNTA(半紙!$B$11:$B$310)),IF(623&lt;=COUNTA(半紙!$B$11:$B$310)+COUNTA(条幅!$B$11:$B$310)+COUNTA(条幅4分の1!$B$11:$B$310),INDEX(条幅4分の1!$G$11:$G$310,623-COUNTA(半紙!$B$11:$B$310)-COUNTA(条幅!$B$11:$B$310)),"")))=0,"",IF(623&lt;=COUNTA(半紙!$B$11:$B$310),INDEX(半紙!$G$11:$G$310,623),IF(623&lt;=COUNTA(半紙!$B$11:$B$310)+COUNTA(条幅!$B$11:$B$310),INDEX(条幅!$G$11:$G$310,623-COUNTA(半紙!$B$11:$B$310)),IF(623&lt;=COUNTA(半紙!$B$11:$B$310)+COUNTA(条幅!$B$11:$B$310)+COUNTA(条幅4分の1!$B$11:$B$310),INDEX(条幅4分の1!$G$11:$G$310,623-COUNTA(半紙!$B$11:$B$310)-COUNTA(条幅!$B$11:$B$310)),""))))</f>
        <v/>
      </c>
      <c r="H628" s="38" t="str">
        <f>IF(IF(623&lt;=COUNTA(半紙!$B$11:$B$310),INDEX(半紙!$H$11:$H$310,623),IF(623&lt;=COUNTA(半紙!$B$11:$B$310)+COUNTA(条幅!$B$11:$B$310),INDEX(条幅!$H$11:$H$310,623-COUNTA(半紙!$B$11:$B$310)),IF(623&lt;=COUNTA(半紙!$B$11:$B$310)+COUNTA(条幅!$B$11:$B$310)+COUNTA(条幅4分の1!$B$11:$B$310),INDEX(条幅4分の1!$H$11:$H$310,623-COUNTA(半紙!$B$11:$B$310)-COUNTA(条幅!$B$11:$B$310)),"")))=0,"",IF(623&lt;=COUNTA(半紙!$B$11:$B$310),INDEX(半紙!$H$11:$H$310,623),IF(623&lt;=COUNTA(半紙!$B$11:$B$310)+COUNTA(条幅!$B$11:$B$310),INDEX(条幅!$H$11:$H$310,623-COUNTA(半紙!$B$11:$B$310)),IF(623&lt;=COUNTA(半紙!$B$11:$B$310)+COUNTA(条幅!$B$11:$B$310)+COUNTA(条幅4分の1!$B$11:$B$310),INDEX(条幅4分の1!$H$11:$H$310,623-COUNTA(半紙!$B$11:$B$310)-COUNTA(条幅!$B$11:$B$310)),""))))</f>
        <v/>
      </c>
      <c r="I628" s="38" t="str">
        <f>IF(IF(623&lt;=COUNTA(半紙!$B$11:$B$310),INDEX(半紙!$I$11:$I$310,623),IF(623&lt;=COUNTA(半紙!$B$11:$B$310)+COUNTA(条幅!$B$11:$B$310),INDEX(条幅!$I$11:$I$310,623-COUNTA(半紙!$B$11:$B$310)),IF(623&lt;=COUNTA(半紙!$B$11:$B$310)+COUNTA(条幅!$B$11:$B$310)+COUNTA(条幅4分の1!$B$11:$B$310),INDEX(条幅4分の1!$I$11:$I$310,623-COUNTA(半紙!$B$11:$B$310)-COUNTA(条幅!$B$11:$B$310)),"")))=0,"",IF(623&lt;=COUNTA(半紙!$B$11:$B$310),INDEX(半紙!$I$11:$I$310,623),IF(623&lt;=COUNTA(半紙!$B$11:$B$310)+COUNTA(条幅!$B$11:$B$310),INDEX(条幅!$I$11:$I$310,623-COUNTA(半紙!$B$11:$B$310)),IF(623&lt;=COUNTA(半紙!$B$11:$B$310)+COUNTA(条幅!$B$11:$B$310)+COUNTA(条幅4分の1!$B$11:$B$310),INDEX(条幅4分の1!$I$11:$I$310,623-COUNTA(半紙!$B$11:$B$310)-COUNTA(条幅!$B$11:$B$310)),""))))</f>
        <v/>
      </c>
      <c r="J628" s="38" t="str">
        <f>IF(IF(623&lt;=COUNTA(半紙!$B$11:$B$310),INDEX(半紙!$J$11:$J$310,623),IF(623&lt;=COUNTA(半紙!$B$11:$B$310)+COUNTA(条幅!$B$11:$B$310),INDEX(条幅!$J$11:$J$310,623-COUNTA(半紙!$B$11:$B$310)),IF(623&lt;=COUNTA(半紙!$B$11:$B$310)+COUNTA(条幅!$B$11:$B$310)+COUNTA(条幅4分の1!$B$11:$B$310),INDEX(条幅4分の1!$J$11:$J$310,623-COUNTA(半紙!$B$11:$B$310)-COUNTA(条幅!$B$11:$B$310)),"")))=0,"",IF(623&lt;=COUNTA(半紙!$B$11:$B$310),INDEX(半紙!$J$11:$J$310,623),IF(623&lt;=COUNTA(半紙!$B$11:$B$310)+COUNTA(条幅!$B$11:$B$310),INDEX(条幅!$J$11:$J$310,623-COUNTA(半紙!$B$11:$B$310)),IF(623&lt;=COUNTA(半紙!$B$11:$B$310)+COUNTA(条幅!$B$11:$B$310)+COUNTA(条幅4分の1!$B$11:$B$310),INDEX(条幅4分の1!$J$11:$J$310,623-COUNTA(半紙!$B$11:$B$310)-COUNTA(条幅!$B$11:$B$310)),""))))</f>
        <v/>
      </c>
      <c r="K628" s="38" t="str">
        <f>IF(IF(623&lt;=COUNTA(半紙!$B$11:$B$310),INDEX(半紙!$K$11:$K$310,623),IF(623&lt;=COUNTA(半紙!$B$11:$B$310)+COUNTA(条幅!$B$11:$B$310),INDEX(条幅!$K$11:$K$310,623-COUNTA(半紙!$B$11:$B$310)),IF(623&lt;=COUNTA(半紙!$B$11:$B$310)+COUNTA(条幅!$B$11:$B$310)+COUNTA(条幅4分の1!$B$11:$B$310),INDEX(条幅4分の1!$K$11:$K$310,623-COUNTA(半紙!$B$11:$B$310)-COUNTA(条幅!$B$11:$B$310)),"")))=0,"",IF(623&lt;=COUNTA(半紙!$B$11:$B$310),INDEX(半紙!$K$11:$K$310,623),IF(623&lt;=COUNTA(半紙!$B$11:$B$310)+COUNTA(条幅!$B$11:$B$310),INDEX(条幅!$K$11:$K$310,623-COUNTA(半紙!$B$11:$B$310)),IF(623&lt;=COUNTA(半紙!$B$11:$B$310)+COUNTA(条幅!$B$11:$B$310)+COUNTA(条幅4分の1!$B$11:$B$310),INDEX(条幅4分の1!$K$11:$K$310,623-COUNTA(半紙!$B$11:$B$310)-COUNTA(条幅!$B$11:$B$310)),""))))</f>
        <v/>
      </c>
      <c r="L628" s="48" t="str">
        <f>IF($B628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623))</f>
        <v/>
      </c>
    </row>
    <row r="629" spans="1:12" ht="15" customHeight="1">
      <c r="A629" s="37" t="str">
        <f>IF(624&lt;=COUNTA(半紙!$B$11:$B$310),"半紙",IF(624&lt;=COUNTA(半紙!$B$11:$B$310)+COUNTA(条幅!$B$11:$B$310),"条幅(半切)",IF(624&lt;=COUNTA(半紙!$B$11:$B$310)+COUNTA(条幅!$B$11:$B$310)+COUNTA(条幅4分の1!$B$11:$B$310),"条幅(1/4)","")))</f>
        <v/>
      </c>
      <c r="B629" s="38" t="str">
        <f>IF(IF(624&lt;=COUNTA(半紙!$B$11:$B$310),INDEX(半紙!$B$11:$B$310,624),IF(624&lt;=COUNTA(半紙!$B$11:$B$310)+COUNTA(条幅!$B$11:$B$310),INDEX(条幅!$B$11:$B$310,624-COUNTA(半紙!$B$11:$B$310)),IF(624&lt;=COUNTA(半紙!$B$11:$B$310)+COUNTA(条幅!$B$11:$B$310)+COUNTA(条幅4分の1!$B$11:$B$310),INDEX(条幅4分の1!$B$11:$B$310,624-COUNTA(半紙!$B$11:$B$310)-COUNTA(条幅!$B$11:$B$310)),"")))=0,"",IF(624&lt;=COUNTA(半紙!$B$11:$B$310),INDEX(半紙!$B$11:$B$310,624),IF(624&lt;=COUNTA(半紙!$B$11:$B$310)+COUNTA(条幅!$B$11:$B$310),INDEX(条幅!$B$11:$B$310,624-COUNTA(半紙!$B$11:$B$310)),IF(624&lt;=COUNTA(半紙!$B$11:$B$310)+COUNTA(条幅!$B$11:$B$310)+COUNTA(条幅4分の1!$B$11:$B$310),INDEX(条幅4分の1!$B$11:$B$310,624-COUNTA(半紙!$B$11:$B$310)-COUNTA(条幅!$B$11:$B$310)),""))))</f>
        <v/>
      </c>
      <c r="C629" s="38" t="str">
        <f>IF(IF(624&lt;=COUNTA(半紙!$B$11:$B$310),INDEX(半紙!$C$11:$C$310,624),IF(624&lt;=COUNTA(半紙!$B$11:$B$310)+COUNTA(条幅!$B$11:$B$310),INDEX(条幅!$C$11:$C$310,624-COUNTA(半紙!$B$11:$B$310)),IF(624&lt;=COUNTA(半紙!$B$11:$B$310)+COUNTA(条幅!$B$11:$B$310)+COUNTA(条幅4分の1!$B$11:$B$310),INDEX(条幅4分の1!$C$11:$C$310,624-COUNTA(半紙!$B$11:$B$310)-COUNTA(条幅!$B$11:$B$310)),"")))=0,"",IF(624&lt;=COUNTA(半紙!$B$11:$B$310),INDEX(半紙!$C$11:$C$310,624),IF(624&lt;=COUNTA(半紙!$B$11:$B$310)+COUNTA(条幅!$B$11:$B$310),INDEX(条幅!$C$11:$C$310,624-COUNTA(半紙!$B$11:$B$310)),IF(624&lt;=COUNTA(半紙!$B$11:$B$310)+COUNTA(条幅!$B$11:$B$310)+COUNTA(条幅4分の1!$B$11:$B$310),INDEX(条幅4分の1!$C$11:$C$310,624-COUNTA(半紙!$B$11:$B$310)-COUNTA(条幅!$B$11:$B$310)),""))))</f>
        <v/>
      </c>
      <c r="D629" s="38" t="str">
        <f>IF(IF(624&lt;=COUNTA(半紙!$B$11:$B$310),INDEX(半紙!$D$11:$D$310,624),IF(624&lt;=COUNTA(半紙!$B$11:$B$310)+COUNTA(条幅!$B$11:$B$310),INDEX(条幅!$D$11:$D$310,624-COUNTA(半紙!$B$11:$B$310)),IF(624&lt;=COUNTA(半紙!$B$11:$B$310)+COUNTA(条幅!$B$11:$B$310)+COUNTA(条幅4分の1!$B$11:$B$310),INDEX(条幅4分の1!$D$11:$D$310,624-COUNTA(半紙!$B$11:$B$310)-COUNTA(条幅!$B$11:$B$310)),"")))=0,"",IF(624&lt;=COUNTA(半紙!$B$11:$B$310),INDEX(半紙!$D$11:$D$310,624),IF(624&lt;=COUNTA(半紙!$B$11:$B$310)+COUNTA(条幅!$B$11:$B$310),INDEX(条幅!$D$11:$D$310,624-COUNTA(半紙!$B$11:$B$310)),IF(624&lt;=COUNTA(半紙!$B$11:$B$310)+COUNTA(条幅!$B$11:$B$310)+COUNTA(条幅4分の1!$B$11:$B$310),INDEX(条幅4分の1!$D$11:$D$310,624-COUNTA(半紙!$B$11:$B$310)-COUNTA(条幅!$B$11:$B$310)),""))))</f>
        <v/>
      </c>
      <c r="E629" s="38" t="str">
        <f>IF(IF(624&lt;=COUNTA(半紙!$B$11:$B$310),INDEX(半紙!$E$11:$E$310,624),IF(624&lt;=COUNTA(半紙!$B$11:$B$310)+COUNTA(条幅!$B$11:$B$310),INDEX(条幅!$E$11:$E$310,624-COUNTA(半紙!$B$11:$B$310)),IF(624&lt;=COUNTA(半紙!$B$11:$B$310)+COUNTA(条幅!$B$11:$B$310)+COUNTA(条幅4分の1!$B$11:$B$310),INDEX(条幅4分の1!$E$11:$E$310,624-COUNTA(半紙!$B$11:$B$310)-COUNTA(条幅!$B$11:$B$310)),"")))=0,"",IF(624&lt;=COUNTA(半紙!$B$11:$B$310),INDEX(半紙!$E$11:$E$310,624),IF(624&lt;=COUNTA(半紙!$B$11:$B$310)+COUNTA(条幅!$B$11:$B$310),INDEX(条幅!$E$11:$E$310,624-COUNTA(半紙!$B$11:$B$310)),IF(624&lt;=COUNTA(半紙!$B$11:$B$310)+COUNTA(条幅!$B$11:$B$310)+COUNTA(条幅4分の1!$B$11:$B$310),INDEX(条幅4分の1!$E$11:$E$310,624-COUNTA(半紙!$B$11:$B$310)-COUNTA(条幅!$B$11:$B$310)),""))))</f>
        <v/>
      </c>
      <c r="F629" s="38" t="str">
        <f>IF(IF(624&lt;=COUNTA(半紙!$B$11:$B$310),INDEX(半紙!$F$11:$F$310,624),IF(624&lt;=COUNTA(半紙!$B$11:$B$310)+COUNTA(条幅!$B$11:$B$310),INDEX(条幅!$F$11:$F$310,624-COUNTA(半紙!$B$11:$B$310)),IF(624&lt;=COUNTA(半紙!$B$11:$B$310)+COUNTA(条幅!$B$11:$B$310)+COUNTA(条幅4分の1!$B$11:$B$310),INDEX(条幅4分の1!$F$11:$F$310,624-COUNTA(半紙!$B$11:$B$310)-COUNTA(条幅!$B$11:$B$310)),"")))=0,"",IF(624&lt;=COUNTA(半紙!$B$11:$B$310),INDEX(半紙!$F$11:$F$310,624),IF(624&lt;=COUNTA(半紙!$B$11:$B$310)+COUNTA(条幅!$B$11:$B$310),INDEX(条幅!$F$11:$F$310,624-COUNTA(半紙!$B$11:$B$310)),IF(624&lt;=COUNTA(半紙!$B$11:$B$310)+COUNTA(条幅!$B$11:$B$310)+COUNTA(条幅4分の1!$B$11:$B$310),INDEX(条幅4分の1!$F$11:$F$310,624-COUNTA(半紙!$B$11:$B$310)-COUNTA(条幅!$B$11:$B$310)),""))))</f>
        <v/>
      </c>
      <c r="G629" s="38" t="str">
        <f>IF(IF(624&lt;=COUNTA(半紙!$B$11:$B$310),INDEX(半紙!$G$11:$G$310,624),IF(624&lt;=COUNTA(半紙!$B$11:$B$310)+COUNTA(条幅!$B$11:$B$310),INDEX(条幅!$G$11:$G$310,624-COUNTA(半紙!$B$11:$B$310)),IF(624&lt;=COUNTA(半紙!$B$11:$B$310)+COUNTA(条幅!$B$11:$B$310)+COUNTA(条幅4分の1!$B$11:$B$310),INDEX(条幅4分の1!$G$11:$G$310,624-COUNTA(半紙!$B$11:$B$310)-COUNTA(条幅!$B$11:$B$310)),"")))=0,"",IF(624&lt;=COUNTA(半紙!$B$11:$B$310),INDEX(半紙!$G$11:$G$310,624),IF(624&lt;=COUNTA(半紙!$B$11:$B$310)+COUNTA(条幅!$B$11:$B$310),INDEX(条幅!$G$11:$G$310,624-COUNTA(半紙!$B$11:$B$310)),IF(624&lt;=COUNTA(半紙!$B$11:$B$310)+COUNTA(条幅!$B$11:$B$310)+COUNTA(条幅4分の1!$B$11:$B$310),INDEX(条幅4分の1!$G$11:$G$310,624-COUNTA(半紙!$B$11:$B$310)-COUNTA(条幅!$B$11:$B$310)),""))))</f>
        <v/>
      </c>
      <c r="H629" s="38" t="str">
        <f>IF(IF(624&lt;=COUNTA(半紙!$B$11:$B$310),INDEX(半紙!$H$11:$H$310,624),IF(624&lt;=COUNTA(半紙!$B$11:$B$310)+COUNTA(条幅!$B$11:$B$310),INDEX(条幅!$H$11:$H$310,624-COUNTA(半紙!$B$11:$B$310)),IF(624&lt;=COUNTA(半紙!$B$11:$B$310)+COUNTA(条幅!$B$11:$B$310)+COUNTA(条幅4分の1!$B$11:$B$310),INDEX(条幅4分の1!$H$11:$H$310,624-COUNTA(半紙!$B$11:$B$310)-COUNTA(条幅!$B$11:$B$310)),"")))=0,"",IF(624&lt;=COUNTA(半紙!$B$11:$B$310),INDEX(半紙!$H$11:$H$310,624),IF(624&lt;=COUNTA(半紙!$B$11:$B$310)+COUNTA(条幅!$B$11:$B$310),INDEX(条幅!$H$11:$H$310,624-COUNTA(半紙!$B$11:$B$310)),IF(624&lt;=COUNTA(半紙!$B$11:$B$310)+COUNTA(条幅!$B$11:$B$310)+COUNTA(条幅4分の1!$B$11:$B$310),INDEX(条幅4分の1!$H$11:$H$310,624-COUNTA(半紙!$B$11:$B$310)-COUNTA(条幅!$B$11:$B$310)),""))))</f>
        <v/>
      </c>
      <c r="I629" s="38" t="str">
        <f>IF(IF(624&lt;=COUNTA(半紙!$B$11:$B$310),INDEX(半紙!$I$11:$I$310,624),IF(624&lt;=COUNTA(半紙!$B$11:$B$310)+COUNTA(条幅!$B$11:$B$310),INDEX(条幅!$I$11:$I$310,624-COUNTA(半紙!$B$11:$B$310)),IF(624&lt;=COUNTA(半紙!$B$11:$B$310)+COUNTA(条幅!$B$11:$B$310)+COUNTA(条幅4分の1!$B$11:$B$310),INDEX(条幅4分の1!$I$11:$I$310,624-COUNTA(半紙!$B$11:$B$310)-COUNTA(条幅!$B$11:$B$310)),"")))=0,"",IF(624&lt;=COUNTA(半紙!$B$11:$B$310),INDEX(半紙!$I$11:$I$310,624),IF(624&lt;=COUNTA(半紙!$B$11:$B$310)+COUNTA(条幅!$B$11:$B$310),INDEX(条幅!$I$11:$I$310,624-COUNTA(半紙!$B$11:$B$310)),IF(624&lt;=COUNTA(半紙!$B$11:$B$310)+COUNTA(条幅!$B$11:$B$310)+COUNTA(条幅4分の1!$B$11:$B$310),INDEX(条幅4分の1!$I$11:$I$310,624-COUNTA(半紙!$B$11:$B$310)-COUNTA(条幅!$B$11:$B$310)),""))))</f>
        <v/>
      </c>
      <c r="J629" s="38" t="str">
        <f>IF(IF(624&lt;=COUNTA(半紙!$B$11:$B$310),INDEX(半紙!$J$11:$J$310,624),IF(624&lt;=COUNTA(半紙!$B$11:$B$310)+COUNTA(条幅!$B$11:$B$310),INDEX(条幅!$J$11:$J$310,624-COUNTA(半紙!$B$11:$B$310)),IF(624&lt;=COUNTA(半紙!$B$11:$B$310)+COUNTA(条幅!$B$11:$B$310)+COUNTA(条幅4分の1!$B$11:$B$310),INDEX(条幅4分の1!$J$11:$J$310,624-COUNTA(半紙!$B$11:$B$310)-COUNTA(条幅!$B$11:$B$310)),"")))=0,"",IF(624&lt;=COUNTA(半紙!$B$11:$B$310),INDEX(半紙!$J$11:$J$310,624),IF(624&lt;=COUNTA(半紙!$B$11:$B$310)+COUNTA(条幅!$B$11:$B$310),INDEX(条幅!$J$11:$J$310,624-COUNTA(半紙!$B$11:$B$310)),IF(624&lt;=COUNTA(半紙!$B$11:$B$310)+COUNTA(条幅!$B$11:$B$310)+COUNTA(条幅4分の1!$B$11:$B$310),INDEX(条幅4分の1!$J$11:$J$310,624-COUNTA(半紙!$B$11:$B$310)-COUNTA(条幅!$B$11:$B$310)),""))))</f>
        <v/>
      </c>
      <c r="K629" s="38" t="str">
        <f>IF(IF(624&lt;=COUNTA(半紙!$B$11:$B$310),INDEX(半紙!$K$11:$K$310,624),IF(624&lt;=COUNTA(半紙!$B$11:$B$310)+COUNTA(条幅!$B$11:$B$310),INDEX(条幅!$K$11:$K$310,624-COUNTA(半紙!$B$11:$B$310)),IF(624&lt;=COUNTA(半紙!$B$11:$B$310)+COUNTA(条幅!$B$11:$B$310)+COUNTA(条幅4分の1!$B$11:$B$310),INDEX(条幅4分の1!$K$11:$K$310,624-COUNTA(半紙!$B$11:$B$310)-COUNTA(条幅!$B$11:$B$310)),"")))=0,"",IF(624&lt;=COUNTA(半紙!$B$11:$B$310),INDEX(半紙!$K$11:$K$310,624),IF(624&lt;=COUNTA(半紙!$B$11:$B$310)+COUNTA(条幅!$B$11:$B$310),INDEX(条幅!$K$11:$K$310,624-COUNTA(半紙!$B$11:$B$310)),IF(624&lt;=COUNTA(半紙!$B$11:$B$310)+COUNTA(条幅!$B$11:$B$310)+COUNTA(条幅4分の1!$B$11:$B$310),INDEX(条幅4分の1!$K$11:$K$310,624-COUNTA(半紙!$B$11:$B$310)-COUNTA(条幅!$B$11:$B$310)),""))))</f>
        <v/>
      </c>
      <c r="L629" s="48" t="str">
        <f>IF($B629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624))</f>
        <v/>
      </c>
    </row>
    <row r="630" spans="1:12" ht="15" customHeight="1">
      <c r="A630" s="37" t="str">
        <f>IF(625&lt;=COUNTA(半紙!$B$11:$B$310),"半紙",IF(625&lt;=COUNTA(半紙!$B$11:$B$310)+COUNTA(条幅!$B$11:$B$310),"条幅(半切)",IF(625&lt;=COUNTA(半紙!$B$11:$B$310)+COUNTA(条幅!$B$11:$B$310)+COUNTA(条幅4分の1!$B$11:$B$310),"条幅(1/4)","")))</f>
        <v/>
      </c>
      <c r="B630" s="38" t="str">
        <f>IF(IF(625&lt;=COUNTA(半紙!$B$11:$B$310),INDEX(半紙!$B$11:$B$310,625),IF(625&lt;=COUNTA(半紙!$B$11:$B$310)+COUNTA(条幅!$B$11:$B$310),INDEX(条幅!$B$11:$B$310,625-COUNTA(半紙!$B$11:$B$310)),IF(625&lt;=COUNTA(半紙!$B$11:$B$310)+COUNTA(条幅!$B$11:$B$310)+COUNTA(条幅4分の1!$B$11:$B$310),INDEX(条幅4分の1!$B$11:$B$310,625-COUNTA(半紙!$B$11:$B$310)-COUNTA(条幅!$B$11:$B$310)),"")))=0,"",IF(625&lt;=COUNTA(半紙!$B$11:$B$310),INDEX(半紙!$B$11:$B$310,625),IF(625&lt;=COUNTA(半紙!$B$11:$B$310)+COUNTA(条幅!$B$11:$B$310),INDEX(条幅!$B$11:$B$310,625-COUNTA(半紙!$B$11:$B$310)),IF(625&lt;=COUNTA(半紙!$B$11:$B$310)+COUNTA(条幅!$B$11:$B$310)+COUNTA(条幅4分の1!$B$11:$B$310),INDEX(条幅4分の1!$B$11:$B$310,625-COUNTA(半紙!$B$11:$B$310)-COUNTA(条幅!$B$11:$B$310)),""))))</f>
        <v/>
      </c>
      <c r="C630" s="38" t="str">
        <f>IF(IF(625&lt;=COUNTA(半紙!$B$11:$B$310),INDEX(半紙!$C$11:$C$310,625),IF(625&lt;=COUNTA(半紙!$B$11:$B$310)+COUNTA(条幅!$B$11:$B$310),INDEX(条幅!$C$11:$C$310,625-COUNTA(半紙!$B$11:$B$310)),IF(625&lt;=COUNTA(半紙!$B$11:$B$310)+COUNTA(条幅!$B$11:$B$310)+COUNTA(条幅4分の1!$B$11:$B$310),INDEX(条幅4分の1!$C$11:$C$310,625-COUNTA(半紙!$B$11:$B$310)-COUNTA(条幅!$B$11:$B$310)),"")))=0,"",IF(625&lt;=COUNTA(半紙!$B$11:$B$310),INDEX(半紙!$C$11:$C$310,625),IF(625&lt;=COUNTA(半紙!$B$11:$B$310)+COUNTA(条幅!$B$11:$B$310),INDEX(条幅!$C$11:$C$310,625-COUNTA(半紙!$B$11:$B$310)),IF(625&lt;=COUNTA(半紙!$B$11:$B$310)+COUNTA(条幅!$B$11:$B$310)+COUNTA(条幅4分の1!$B$11:$B$310),INDEX(条幅4分の1!$C$11:$C$310,625-COUNTA(半紙!$B$11:$B$310)-COUNTA(条幅!$B$11:$B$310)),""))))</f>
        <v/>
      </c>
      <c r="D630" s="38" t="str">
        <f>IF(IF(625&lt;=COUNTA(半紙!$B$11:$B$310),INDEX(半紙!$D$11:$D$310,625),IF(625&lt;=COUNTA(半紙!$B$11:$B$310)+COUNTA(条幅!$B$11:$B$310),INDEX(条幅!$D$11:$D$310,625-COUNTA(半紙!$B$11:$B$310)),IF(625&lt;=COUNTA(半紙!$B$11:$B$310)+COUNTA(条幅!$B$11:$B$310)+COUNTA(条幅4分の1!$B$11:$B$310),INDEX(条幅4分の1!$D$11:$D$310,625-COUNTA(半紙!$B$11:$B$310)-COUNTA(条幅!$B$11:$B$310)),"")))=0,"",IF(625&lt;=COUNTA(半紙!$B$11:$B$310),INDEX(半紙!$D$11:$D$310,625),IF(625&lt;=COUNTA(半紙!$B$11:$B$310)+COUNTA(条幅!$B$11:$B$310),INDEX(条幅!$D$11:$D$310,625-COUNTA(半紙!$B$11:$B$310)),IF(625&lt;=COUNTA(半紙!$B$11:$B$310)+COUNTA(条幅!$B$11:$B$310)+COUNTA(条幅4分の1!$B$11:$B$310),INDEX(条幅4分の1!$D$11:$D$310,625-COUNTA(半紙!$B$11:$B$310)-COUNTA(条幅!$B$11:$B$310)),""))))</f>
        <v/>
      </c>
      <c r="E630" s="38" t="str">
        <f>IF(IF(625&lt;=COUNTA(半紙!$B$11:$B$310),INDEX(半紙!$E$11:$E$310,625),IF(625&lt;=COUNTA(半紙!$B$11:$B$310)+COUNTA(条幅!$B$11:$B$310),INDEX(条幅!$E$11:$E$310,625-COUNTA(半紙!$B$11:$B$310)),IF(625&lt;=COUNTA(半紙!$B$11:$B$310)+COUNTA(条幅!$B$11:$B$310)+COUNTA(条幅4分の1!$B$11:$B$310),INDEX(条幅4分の1!$E$11:$E$310,625-COUNTA(半紙!$B$11:$B$310)-COUNTA(条幅!$B$11:$B$310)),"")))=0,"",IF(625&lt;=COUNTA(半紙!$B$11:$B$310),INDEX(半紙!$E$11:$E$310,625),IF(625&lt;=COUNTA(半紙!$B$11:$B$310)+COUNTA(条幅!$B$11:$B$310),INDEX(条幅!$E$11:$E$310,625-COUNTA(半紙!$B$11:$B$310)),IF(625&lt;=COUNTA(半紙!$B$11:$B$310)+COUNTA(条幅!$B$11:$B$310)+COUNTA(条幅4分の1!$B$11:$B$310),INDEX(条幅4分の1!$E$11:$E$310,625-COUNTA(半紙!$B$11:$B$310)-COUNTA(条幅!$B$11:$B$310)),""))))</f>
        <v/>
      </c>
      <c r="F630" s="38" t="str">
        <f>IF(IF(625&lt;=COUNTA(半紙!$B$11:$B$310),INDEX(半紙!$F$11:$F$310,625),IF(625&lt;=COUNTA(半紙!$B$11:$B$310)+COUNTA(条幅!$B$11:$B$310),INDEX(条幅!$F$11:$F$310,625-COUNTA(半紙!$B$11:$B$310)),IF(625&lt;=COUNTA(半紙!$B$11:$B$310)+COUNTA(条幅!$B$11:$B$310)+COUNTA(条幅4分の1!$B$11:$B$310),INDEX(条幅4分の1!$F$11:$F$310,625-COUNTA(半紙!$B$11:$B$310)-COUNTA(条幅!$B$11:$B$310)),"")))=0,"",IF(625&lt;=COUNTA(半紙!$B$11:$B$310),INDEX(半紙!$F$11:$F$310,625),IF(625&lt;=COUNTA(半紙!$B$11:$B$310)+COUNTA(条幅!$B$11:$B$310),INDEX(条幅!$F$11:$F$310,625-COUNTA(半紙!$B$11:$B$310)),IF(625&lt;=COUNTA(半紙!$B$11:$B$310)+COUNTA(条幅!$B$11:$B$310)+COUNTA(条幅4分の1!$B$11:$B$310),INDEX(条幅4分の1!$F$11:$F$310,625-COUNTA(半紙!$B$11:$B$310)-COUNTA(条幅!$B$11:$B$310)),""))))</f>
        <v/>
      </c>
      <c r="G630" s="38" t="str">
        <f>IF(IF(625&lt;=COUNTA(半紙!$B$11:$B$310),INDEX(半紙!$G$11:$G$310,625),IF(625&lt;=COUNTA(半紙!$B$11:$B$310)+COUNTA(条幅!$B$11:$B$310),INDEX(条幅!$G$11:$G$310,625-COUNTA(半紙!$B$11:$B$310)),IF(625&lt;=COUNTA(半紙!$B$11:$B$310)+COUNTA(条幅!$B$11:$B$310)+COUNTA(条幅4分の1!$B$11:$B$310),INDEX(条幅4分の1!$G$11:$G$310,625-COUNTA(半紙!$B$11:$B$310)-COUNTA(条幅!$B$11:$B$310)),"")))=0,"",IF(625&lt;=COUNTA(半紙!$B$11:$B$310),INDEX(半紙!$G$11:$G$310,625),IF(625&lt;=COUNTA(半紙!$B$11:$B$310)+COUNTA(条幅!$B$11:$B$310),INDEX(条幅!$G$11:$G$310,625-COUNTA(半紙!$B$11:$B$310)),IF(625&lt;=COUNTA(半紙!$B$11:$B$310)+COUNTA(条幅!$B$11:$B$310)+COUNTA(条幅4分の1!$B$11:$B$310),INDEX(条幅4分の1!$G$11:$G$310,625-COUNTA(半紙!$B$11:$B$310)-COUNTA(条幅!$B$11:$B$310)),""))))</f>
        <v/>
      </c>
      <c r="H630" s="38" t="str">
        <f>IF(IF(625&lt;=COUNTA(半紙!$B$11:$B$310),INDEX(半紙!$H$11:$H$310,625),IF(625&lt;=COUNTA(半紙!$B$11:$B$310)+COUNTA(条幅!$B$11:$B$310),INDEX(条幅!$H$11:$H$310,625-COUNTA(半紙!$B$11:$B$310)),IF(625&lt;=COUNTA(半紙!$B$11:$B$310)+COUNTA(条幅!$B$11:$B$310)+COUNTA(条幅4分の1!$B$11:$B$310),INDEX(条幅4分の1!$H$11:$H$310,625-COUNTA(半紙!$B$11:$B$310)-COUNTA(条幅!$B$11:$B$310)),"")))=0,"",IF(625&lt;=COUNTA(半紙!$B$11:$B$310),INDEX(半紙!$H$11:$H$310,625),IF(625&lt;=COUNTA(半紙!$B$11:$B$310)+COUNTA(条幅!$B$11:$B$310),INDEX(条幅!$H$11:$H$310,625-COUNTA(半紙!$B$11:$B$310)),IF(625&lt;=COUNTA(半紙!$B$11:$B$310)+COUNTA(条幅!$B$11:$B$310)+COUNTA(条幅4分の1!$B$11:$B$310),INDEX(条幅4分の1!$H$11:$H$310,625-COUNTA(半紙!$B$11:$B$310)-COUNTA(条幅!$B$11:$B$310)),""))))</f>
        <v/>
      </c>
      <c r="I630" s="38" t="str">
        <f>IF(IF(625&lt;=COUNTA(半紙!$B$11:$B$310),INDEX(半紙!$I$11:$I$310,625),IF(625&lt;=COUNTA(半紙!$B$11:$B$310)+COUNTA(条幅!$B$11:$B$310),INDEX(条幅!$I$11:$I$310,625-COUNTA(半紙!$B$11:$B$310)),IF(625&lt;=COUNTA(半紙!$B$11:$B$310)+COUNTA(条幅!$B$11:$B$310)+COUNTA(条幅4分の1!$B$11:$B$310),INDEX(条幅4分の1!$I$11:$I$310,625-COUNTA(半紙!$B$11:$B$310)-COUNTA(条幅!$B$11:$B$310)),"")))=0,"",IF(625&lt;=COUNTA(半紙!$B$11:$B$310),INDEX(半紙!$I$11:$I$310,625),IF(625&lt;=COUNTA(半紙!$B$11:$B$310)+COUNTA(条幅!$B$11:$B$310),INDEX(条幅!$I$11:$I$310,625-COUNTA(半紙!$B$11:$B$310)),IF(625&lt;=COUNTA(半紙!$B$11:$B$310)+COUNTA(条幅!$B$11:$B$310)+COUNTA(条幅4分の1!$B$11:$B$310),INDEX(条幅4分の1!$I$11:$I$310,625-COUNTA(半紙!$B$11:$B$310)-COUNTA(条幅!$B$11:$B$310)),""))))</f>
        <v/>
      </c>
      <c r="J630" s="38" t="str">
        <f>IF(IF(625&lt;=COUNTA(半紙!$B$11:$B$310),INDEX(半紙!$J$11:$J$310,625),IF(625&lt;=COUNTA(半紙!$B$11:$B$310)+COUNTA(条幅!$B$11:$B$310),INDEX(条幅!$J$11:$J$310,625-COUNTA(半紙!$B$11:$B$310)),IF(625&lt;=COUNTA(半紙!$B$11:$B$310)+COUNTA(条幅!$B$11:$B$310)+COUNTA(条幅4分の1!$B$11:$B$310),INDEX(条幅4分の1!$J$11:$J$310,625-COUNTA(半紙!$B$11:$B$310)-COUNTA(条幅!$B$11:$B$310)),"")))=0,"",IF(625&lt;=COUNTA(半紙!$B$11:$B$310),INDEX(半紙!$J$11:$J$310,625),IF(625&lt;=COUNTA(半紙!$B$11:$B$310)+COUNTA(条幅!$B$11:$B$310),INDEX(条幅!$J$11:$J$310,625-COUNTA(半紙!$B$11:$B$310)),IF(625&lt;=COUNTA(半紙!$B$11:$B$310)+COUNTA(条幅!$B$11:$B$310)+COUNTA(条幅4分の1!$B$11:$B$310),INDEX(条幅4分の1!$J$11:$J$310,625-COUNTA(半紙!$B$11:$B$310)-COUNTA(条幅!$B$11:$B$310)),""))))</f>
        <v/>
      </c>
      <c r="K630" s="38" t="str">
        <f>IF(IF(625&lt;=COUNTA(半紙!$B$11:$B$310),INDEX(半紙!$K$11:$K$310,625),IF(625&lt;=COUNTA(半紙!$B$11:$B$310)+COUNTA(条幅!$B$11:$B$310),INDEX(条幅!$K$11:$K$310,625-COUNTA(半紙!$B$11:$B$310)),IF(625&lt;=COUNTA(半紙!$B$11:$B$310)+COUNTA(条幅!$B$11:$B$310)+COUNTA(条幅4分の1!$B$11:$B$310),INDEX(条幅4分の1!$K$11:$K$310,625-COUNTA(半紙!$B$11:$B$310)-COUNTA(条幅!$B$11:$B$310)),"")))=0,"",IF(625&lt;=COUNTA(半紙!$B$11:$B$310),INDEX(半紙!$K$11:$K$310,625),IF(625&lt;=COUNTA(半紙!$B$11:$B$310)+COUNTA(条幅!$B$11:$B$310),INDEX(条幅!$K$11:$K$310,625-COUNTA(半紙!$B$11:$B$310)),IF(625&lt;=COUNTA(半紙!$B$11:$B$310)+COUNTA(条幅!$B$11:$B$310)+COUNTA(条幅4分の1!$B$11:$B$310),INDEX(条幅4分の1!$K$11:$K$310,625-COUNTA(半紙!$B$11:$B$310)-COUNTA(条幅!$B$11:$B$310)),""))))</f>
        <v/>
      </c>
      <c r="L630" s="48" t="str">
        <f>IF($B630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625))</f>
        <v/>
      </c>
    </row>
    <row r="631" spans="1:12" ht="15" customHeight="1">
      <c r="A631" s="37" t="str">
        <f>IF(626&lt;=COUNTA(半紙!$B$11:$B$310),"半紙",IF(626&lt;=COUNTA(半紙!$B$11:$B$310)+COUNTA(条幅!$B$11:$B$310),"条幅(半切)",IF(626&lt;=COUNTA(半紙!$B$11:$B$310)+COUNTA(条幅!$B$11:$B$310)+COUNTA(条幅4分の1!$B$11:$B$310),"条幅(1/4)","")))</f>
        <v/>
      </c>
      <c r="B631" s="38" t="str">
        <f>IF(IF(626&lt;=COUNTA(半紙!$B$11:$B$310),INDEX(半紙!$B$11:$B$310,626),IF(626&lt;=COUNTA(半紙!$B$11:$B$310)+COUNTA(条幅!$B$11:$B$310),INDEX(条幅!$B$11:$B$310,626-COUNTA(半紙!$B$11:$B$310)),IF(626&lt;=COUNTA(半紙!$B$11:$B$310)+COUNTA(条幅!$B$11:$B$310)+COUNTA(条幅4分の1!$B$11:$B$310),INDEX(条幅4分の1!$B$11:$B$310,626-COUNTA(半紙!$B$11:$B$310)-COUNTA(条幅!$B$11:$B$310)),"")))=0,"",IF(626&lt;=COUNTA(半紙!$B$11:$B$310),INDEX(半紙!$B$11:$B$310,626),IF(626&lt;=COUNTA(半紙!$B$11:$B$310)+COUNTA(条幅!$B$11:$B$310),INDEX(条幅!$B$11:$B$310,626-COUNTA(半紙!$B$11:$B$310)),IF(626&lt;=COUNTA(半紙!$B$11:$B$310)+COUNTA(条幅!$B$11:$B$310)+COUNTA(条幅4分の1!$B$11:$B$310),INDEX(条幅4分の1!$B$11:$B$310,626-COUNTA(半紙!$B$11:$B$310)-COUNTA(条幅!$B$11:$B$310)),""))))</f>
        <v/>
      </c>
      <c r="C631" s="38" t="str">
        <f>IF(IF(626&lt;=COUNTA(半紙!$B$11:$B$310),INDEX(半紙!$C$11:$C$310,626),IF(626&lt;=COUNTA(半紙!$B$11:$B$310)+COUNTA(条幅!$B$11:$B$310),INDEX(条幅!$C$11:$C$310,626-COUNTA(半紙!$B$11:$B$310)),IF(626&lt;=COUNTA(半紙!$B$11:$B$310)+COUNTA(条幅!$B$11:$B$310)+COUNTA(条幅4分の1!$B$11:$B$310),INDEX(条幅4分の1!$C$11:$C$310,626-COUNTA(半紙!$B$11:$B$310)-COUNTA(条幅!$B$11:$B$310)),"")))=0,"",IF(626&lt;=COUNTA(半紙!$B$11:$B$310),INDEX(半紙!$C$11:$C$310,626),IF(626&lt;=COUNTA(半紙!$B$11:$B$310)+COUNTA(条幅!$B$11:$B$310),INDEX(条幅!$C$11:$C$310,626-COUNTA(半紙!$B$11:$B$310)),IF(626&lt;=COUNTA(半紙!$B$11:$B$310)+COUNTA(条幅!$B$11:$B$310)+COUNTA(条幅4分の1!$B$11:$B$310),INDEX(条幅4分の1!$C$11:$C$310,626-COUNTA(半紙!$B$11:$B$310)-COUNTA(条幅!$B$11:$B$310)),""))))</f>
        <v/>
      </c>
      <c r="D631" s="38" t="str">
        <f>IF(IF(626&lt;=COUNTA(半紙!$B$11:$B$310),INDEX(半紙!$D$11:$D$310,626),IF(626&lt;=COUNTA(半紙!$B$11:$B$310)+COUNTA(条幅!$B$11:$B$310),INDEX(条幅!$D$11:$D$310,626-COUNTA(半紙!$B$11:$B$310)),IF(626&lt;=COUNTA(半紙!$B$11:$B$310)+COUNTA(条幅!$B$11:$B$310)+COUNTA(条幅4分の1!$B$11:$B$310),INDEX(条幅4分の1!$D$11:$D$310,626-COUNTA(半紙!$B$11:$B$310)-COUNTA(条幅!$B$11:$B$310)),"")))=0,"",IF(626&lt;=COUNTA(半紙!$B$11:$B$310),INDEX(半紙!$D$11:$D$310,626),IF(626&lt;=COUNTA(半紙!$B$11:$B$310)+COUNTA(条幅!$B$11:$B$310),INDEX(条幅!$D$11:$D$310,626-COUNTA(半紙!$B$11:$B$310)),IF(626&lt;=COUNTA(半紙!$B$11:$B$310)+COUNTA(条幅!$B$11:$B$310)+COUNTA(条幅4分の1!$B$11:$B$310),INDEX(条幅4分の1!$D$11:$D$310,626-COUNTA(半紙!$B$11:$B$310)-COUNTA(条幅!$B$11:$B$310)),""))))</f>
        <v/>
      </c>
      <c r="E631" s="38" t="str">
        <f>IF(IF(626&lt;=COUNTA(半紙!$B$11:$B$310),INDEX(半紙!$E$11:$E$310,626),IF(626&lt;=COUNTA(半紙!$B$11:$B$310)+COUNTA(条幅!$B$11:$B$310),INDEX(条幅!$E$11:$E$310,626-COUNTA(半紙!$B$11:$B$310)),IF(626&lt;=COUNTA(半紙!$B$11:$B$310)+COUNTA(条幅!$B$11:$B$310)+COUNTA(条幅4分の1!$B$11:$B$310),INDEX(条幅4分の1!$E$11:$E$310,626-COUNTA(半紙!$B$11:$B$310)-COUNTA(条幅!$B$11:$B$310)),"")))=0,"",IF(626&lt;=COUNTA(半紙!$B$11:$B$310),INDEX(半紙!$E$11:$E$310,626),IF(626&lt;=COUNTA(半紙!$B$11:$B$310)+COUNTA(条幅!$B$11:$B$310),INDEX(条幅!$E$11:$E$310,626-COUNTA(半紙!$B$11:$B$310)),IF(626&lt;=COUNTA(半紙!$B$11:$B$310)+COUNTA(条幅!$B$11:$B$310)+COUNTA(条幅4分の1!$B$11:$B$310),INDEX(条幅4分の1!$E$11:$E$310,626-COUNTA(半紙!$B$11:$B$310)-COUNTA(条幅!$B$11:$B$310)),""))))</f>
        <v/>
      </c>
      <c r="F631" s="38" t="str">
        <f>IF(IF(626&lt;=COUNTA(半紙!$B$11:$B$310),INDEX(半紙!$F$11:$F$310,626),IF(626&lt;=COUNTA(半紙!$B$11:$B$310)+COUNTA(条幅!$B$11:$B$310),INDEX(条幅!$F$11:$F$310,626-COUNTA(半紙!$B$11:$B$310)),IF(626&lt;=COUNTA(半紙!$B$11:$B$310)+COUNTA(条幅!$B$11:$B$310)+COUNTA(条幅4分の1!$B$11:$B$310),INDEX(条幅4分の1!$F$11:$F$310,626-COUNTA(半紙!$B$11:$B$310)-COUNTA(条幅!$B$11:$B$310)),"")))=0,"",IF(626&lt;=COUNTA(半紙!$B$11:$B$310),INDEX(半紙!$F$11:$F$310,626),IF(626&lt;=COUNTA(半紙!$B$11:$B$310)+COUNTA(条幅!$B$11:$B$310),INDEX(条幅!$F$11:$F$310,626-COUNTA(半紙!$B$11:$B$310)),IF(626&lt;=COUNTA(半紙!$B$11:$B$310)+COUNTA(条幅!$B$11:$B$310)+COUNTA(条幅4分の1!$B$11:$B$310),INDEX(条幅4分の1!$F$11:$F$310,626-COUNTA(半紙!$B$11:$B$310)-COUNTA(条幅!$B$11:$B$310)),""))))</f>
        <v/>
      </c>
      <c r="G631" s="38" t="str">
        <f>IF(IF(626&lt;=COUNTA(半紙!$B$11:$B$310),INDEX(半紙!$G$11:$G$310,626),IF(626&lt;=COUNTA(半紙!$B$11:$B$310)+COUNTA(条幅!$B$11:$B$310),INDEX(条幅!$G$11:$G$310,626-COUNTA(半紙!$B$11:$B$310)),IF(626&lt;=COUNTA(半紙!$B$11:$B$310)+COUNTA(条幅!$B$11:$B$310)+COUNTA(条幅4分の1!$B$11:$B$310),INDEX(条幅4分の1!$G$11:$G$310,626-COUNTA(半紙!$B$11:$B$310)-COUNTA(条幅!$B$11:$B$310)),"")))=0,"",IF(626&lt;=COUNTA(半紙!$B$11:$B$310),INDEX(半紙!$G$11:$G$310,626),IF(626&lt;=COUNTA(半紙!$B$11:$B$310)+COUNTA(条幅!$B$11:$B$310),INDEX(条幅!$G$11:$G$310,626-COUNTA(半紙!$B$11:$B$310)),IF(626&lt;=COUNTA(半紙!$B$11:$B$310)+COUNTA(条幅!$B$11:$B$310)+COUNTA(条幅4分の1!$B$11:$B$310),INDEX(条幅4分の1!$G$11:$G$310,626-COUNTA(半紙!$B$11:$B$310)-COUNTA(条幅!$B$11:$B$310)),""))))</f>
        <v/>
      </c>
      <c r="H631" s="38" t="str">
        <f>IF(IF(626&lt;=COUNTA(半紙!$B$11:$B$310),INDEX(半紙!$H$11:$H$310,626),IF(626&lt;=COUNTA(半紙!$B$11:$B$310)+COUNTA(条幅!$B$11:$B$310),INDEX(条幅!$H$11:$H$310,626-COUNTA(半紙!$B$11:$B$310)),IF(626&lt;=COUNTA(半紙!$B$11:$B$310)+COUNTA(条幅!$B$11:$B$310)+COUNTA(条幅4分の1!$B$11:$B$310),INDEX(条幅4分の1!$H$11:$H$310,626-COUNTA(半紙!$B$11:$B$310)-COUNTA(条幅!$B$11:$B$310)),"")))=0,"",IF(626&lt;=COUNTA(半紙!$B$11:$B$310),INDEX(半紙!$H$11:$H$310,626),IF(626&lt;=COUNTA(半紙!$B$11:$B$310)+COUNTA(条幅!$B$11:$B$310),INDEX(条幅!$H$11:$H$310,626-COUNTA(半紙!$B$11:$B$310)),IF(626&lt;=COUNTA(半紙!$B$11:$B$310)+COUNTA(条幅!$B$11:$B$310)+COUNTA(条幅4分の1!$B$11:$B$310),INDEX(条幅4分の1!$H$11:$H$310,626-COUNTA(半紙!$B$11:$B$310)-COUNTA(条幅!$B$11:$B$310)),""))))</f>
        <v/>
      </c>
      <c r="I631" s="38" t="str">
        <f>IF(IF(626&lt;=COUNTA(半紙!$B$11:$B$310),INDEX(半紙!$I$11:$I$310,626),IF(626&lt;=COUNTA(半紙!$B$11:$B$310)+COUNTA(条幅!$B$11:$B$310),INDEX(条幅!$I$11:$I$310,626-COUNTA(半紙!$B$11:$B$310)),IF(626&lt;=COUNTA(半紙!$B$11:$B$310)+COUNTA(条幅!$B$11:$B$310)+COUNTA(条幅4分の1!$B$11:$B$310),INDEX(条幅4分の1!$I$11:$I$310,626-COUNTA(半紙!$B$11:$B$310)-COUNTA(条幅!$B$11:$B$310)),"")))=0,"",IF(626&lt;=COUNTA(半紙!$B$11:$B$310),INDEX(半紙!$I$11:$I$310,626),IF(626&lt;=COUNTA(半紙!$B$11:$B$310)+COUNTA(条幅!$B$11:$B$310),INDEX(条幅!$I$11:$I$310,626-COUNTA(半紙!$B$11:$B$310)),IF(626&lt;=COUNTA(半紙!$B$11:$B$310)+COUNTA(条幅!$B$11:$B$310)+COUNTA(条幅4分の1!$B$11:$B$310),INDEX(条幅4分の1!$I$11:$I$310,626-COUNTA(半紙!$B$11:$B$310)-COUNTA(条幅!$B$11:$B$310)),""))))</f>
        <v/>
      </c>
      <c r="J631" s="38" t="str">
        <f>IF(IF(626&lt;=COUNTA(半紙!$B$11:$B$310),INDEX(半紙!$J$11:$J$310,626),IF(626&lt;=COUNTA(半紙!$B$11:$B$310)+COUNTA(条幅!$B$11:$B$310),INDEX(条幅!$J$11:$J$310,626-COUNTA(半紙!$B$11:$B$310)),IF(626&lt;=COUNTA(半紙!$B$11:$B$310)+COUNTA(条幅!$B$11:$B$310)+COUNTA(条幅4分の1!$B$11:$B$310),INDEX(条幅4分の1!$J$11:$J$310,626-COUNTA(半紙!$B$11:$B$310)-COUNTA(条幅!$B$11:$B$310)),"")))=0,"",IF(626&lt;=COUNTA(半紙!$B$11:$B$310),INDEX(半紙!$J$11:$J$310,626),IF(626&lt;=COUNTA(半紙!$B$11:$B$310)+COUNTA(条幅!$B$11:$B$310),INDEX(条幅!$J$11:$J$310,626-COUNTA(半紙!$B$11:$B$310)),IF(626&lt;=COUNTA(半紙!$B$11:$B$310)+COUNTA(条幅!$B$11:$B$310)+COUNTA(条幅4分の1!$B$11:$B$310),INDEX(条幅4分の1!$J$11:$J$310,626-COUNTA(半紙!$B$11:$B$310)-COUNTA(条幅!$B$11:$B$310)),""))))</f>
        <v/>
      </c>
      <c r="K631" s="38" t="str">
        <f>IF(IF(626&lt;=COUNTA(半紙!$B$11:$B$310),INDEX(半紙!$K$11:$K$310,626),IF(626&lt;=COUNTA(半紙!$B$11:$B$310)+COUNTA(条幅!$B$11:$B$310),INDEX(条幅!$K$11:$K$310,626-COUNTA(半紙!$B$11:$B$310)),IF(626&lt;=COUNTA(半紙!$B$11:$B$310)+COUNTA(条幅!$B$11:$B$310)+COUNTA(条幅4分の1!$B$11:$B$310),INDEX(条幅4分の1!$K$11:$K$310,626-COUNTA(半紙!$B$11:$B$310)-COUNTA(条幅!$B$11:$B$310)),"")))=0,"",IF(626&lt;=COUNTA(半紙!$B$11:$B$310),INDEX(半紙!$K$11:$K$310,626),IF(626&lt;=COUNTA(半紙!$B$11:$B$310)+COUNTA(条幅!$B$11:$B$310),INDEX(条幅!$K$11:$K$310,626-COUNTA(半紙!$B$11:$B$310)),IF(626&lt;=COUNTA(半紙!$B$11:$B$310)+COUNTA(条幅!$B$11:$B$310)+COUNTA(条幅4分の1!$B$11:$B$310),INDEX(条幅4分の1!$K$11:$K$310,626-COUNTA(半紙!$B$11:$B$310)-COUNTA(条幅!$B$11:$B$310)),""))))</f>
        <v/>
      </c>
      <c r="L631" s="48" t="str">
        <f>IF($B631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626))</f>
        <v/>
      </c>
    </row>
    <row r="632" spans="1:12" ht="15" customHeight="1">
      <c r="A632" s="37" t="str">
        <f>IF(627&lt;=COUNTA(半紙!$B$11:$B$310),"半紙",IF(627&lt;=COUNTA(半紙!$B$11:$B$310)+COUNTA(条幅!$B$11:$B$310),"条幅(半切)",IF(627&lt;=COUNTA(半紙!$B$11:$B$310)+COUNTA(条幅!$B$11:$B$310)+COUNTA(条幅4分の1!$B$11:$B$310),"条幅(1/4)","")))</f>
        <v/>
      </c>
      <c r="B632" s="38" t="str">
        <f>IF(IF(627&lt;=COUNTA(半紙!$B$11:$B$310),INDEX(半紙!$B$11:$B$310,627),IF(627&lt;=COUNTA(半紙!$B$11:$B$310)+COUNTA(条幅!$B$11:$B$310),INDEX(条幅!$B$11:$B$310,627-COUNTA(半紙!$B$11:$B$310)),IF(627&lt;=COUNTA(半紙!$B$11:$B$310)+COUNTA(条幅!$B$11:$B$310)+COUNTA(条幅4分の1!$B$11:$B$310),INDEX(条幅4分の1!$B$11:$B$310,627-COUNTA(半紙!$B$11:$B$310)-COUNTA(条幅!$B$11:$B$310)),"")))=0,"",IF(627&lt;=COUNTA(半紙!$B$11:$B$310),INDEX(半紙!$B$11:$B$310,627),IF(627&lt;=COUNTA(半紙!$B$11:$B$310)+COUNTA(条幅!$B$11:$B$310),INDEX(条幅!$B$11:$B$310,627-COUNTA(半紙!$B$11:$B$310)),IF(627&lt;=COUNTA(半紙!$B$11:$B$310)+COUNTA(条幅!$B$11:$B$310)+COUNTA(条幅4分の1!$B$11:$B$310),INDEX(条幅4分の1!$B$11:$B$310,627-COUNTA(半紙!$B$11:$B$310)-COUNTA(条幅!$B$11:$B$310)),""))))</f>
        <v/>
      </c>
      <c r="C632" s="38" t="str">
        <f>IF(IF(627&lt;=COUNTA(半紙!$B$11:$B$310),INDEX(半紙!$C$11:$C$310,627),IF(627&lt;=COUNTA(半紙!$B$11:$B$310)+COUNTA(条幅!$B$11:$B$310),INDEX(条幅!$C$11:$C$310,627-COUNTA(半紙!$B$11:$B$310)),IF(627&lt;=COUNTA(半紙!$B$11:$B$310)+COUNTA(条幅!$B$11:$B$310)+COUNTA(条幅4分の1!$B$11:$B$310),INDEX(条幅4分の1!$C$11:$C$310,627-COUNTA(半紙!$B$11:$B$310)-COUNTA(条幅!$B$11:$B$310)),"")))=0,"",IF(627&lt;=COUNTA(半紙!$B$11:$B$310),INDEX(半紙!$C$11:$C$310,627),IF(627&lt;=COUNTA(半紙!$B$11:$B$310)+COUNTA(条幅!$B$11:$B$310),INDEX(条幅!$C$11:$C$310,627-COUNTA(半紙!$B$11:$B$310)),IF(627&lt;=COUNTA(半紙!$B$11:$B$310)+COUNTA(条幅!$B$11:$B$310)+COUNTA(条幅4分の1!$B$11:$B$310),INDEX(条幅4分の1!$C$11:$C$310,627-COUNTA(半紙!$B$11:$B$310)-COUNTA(条幅!$B$11:$B$310)),""))))</f>
        <v/>
      </c>
      <c r="D632" s="38" t="str">
        <f>IF(IF(627&lt;=COUNTA(半紙!$B$11:$B$310),INDEX(半紙!$D$11:$D$310,627),IF(627&lt;=COUNTA(半紙!$B$11:$B$310)+COUNTA(条幅!$B$11:$B$310),INDEX(条幅!$D$11:$D$310,627-COUNTA(半紙!$B$11:$B$310)),IF(627&lt;=COUNTA(半紙!$B$11:$B$310)+COUNTA(条幅!$B$11:$B$310)+COUNTA(条幅4分の1!$B$11:$B$310),INDEX(条幅4分の1!$D$11:$D$310,627-COUNTA(半紙!$B$11:$B$310)-COUNTA(条幅!$B$11:$B$310)),"")))=0,"",IF(627&lt;=COUNTA(半紙!$B$11:$B$310),INDEX(半紙!$D$11:$D$310,627),IF(627&lt;=COUNTA(半紙!$B$11:$B$310)+COUNTA(条幅!$B$11:$B$310),INDEX(条幅!$D$11:$D$310,627-COUNTA(半紙!$B$11:$B$310)),IF(627&lt;=COUNTA(半紙!$B$11:$B$310)+COUNTA(条幅!$B$11:$B$310)+COUNTA(条幅4分の1!$B$11:$B$310),INDEX(条幅4分の1!$D$11:$D$310,627-COUNTA(半紙!$B$11:$B$310)-COUNTA(条幅!$B$11:$B$310)),""))))</f>
        <v/>
      </c>
      <c r="E632" s="38" t="str">
        <f>IF(IF(627&lt;=COUNTA(半紙!$B$11:$B$310),INDEX(半紙!$E$11:$E$310,627),IF(627&lt;=COUNTA(半紙!$B$11:$B$310)+COUNTA(条幅!$B$11:$B$310),INDEX(条幅!$E$11:$E$310,627-COUNTA(半紙!$B$11:$B$310)),IF(627&lt;=COUNTA(半紙!$B$11:$B$310)+COUNTA(条幅!$B$11:$B$310)+COUNTA(条幅4分の1!$B$11:$B$310),INDEX(条幅4分の1!$E$11:$E$310,627-COUNTA(半紙!$B$11:$B$310)-COUNTA(条幅!$B$11:$B$310)),"")))=0,"",IF(627&lt;=COUNTA(半紙!$B$11:$B$310),INDEX(半紙!$E$11:$E$310,627),IF(627&lt;=COUNTA(半紙!$B$11:$B$310)+COUNTA(条幅!$B$11:$B$310),INDEX(条幅!$E$11:$E$310,627-COUNTA(半紙!$B$11:$B$310)),IF(627&lt;=COUNTA(半紙!$B$11:$B$310)+COUNTA(条幅!$B$11:$B$310)+COUNTA(条幅4分の1!$B$11:$B$310),INDEX(条幅4分の1!$E$11:$E$310,627-COUNTA(半紙!$B$11:$B$310)-COUNTA(条幅!$B$11:$B$310)),""))))</f>
        <v/>
      </c>
      <c r="F632" s="38" t="str">
        <f>IF(IF(627&lt;=COUNTA(半紙!$B$11:$B$310),INDEX(半紙!$F$11:$F$310,627),IF(627&lt;=COUNTA(半紙!$B$11:$B$310)+COUNTA(条幅!$B$11:$B$310),INDEX(条幅!$F$11:$F$310,627-COUNTA(半紙!$B$11:$B$310)),IF(627&lt;=COUNTA(半紙!$B$11:$B$310)+COUNTA(条幅!$B$11:$B$310)+COUNTA(条幅4分の1!$B$11:$B$310),INDEX(条幅4分の1!$F$11:$F$310,627-COUNTA(半紙!$B$11:$B$310)-COUNTA(条幅!$B$11:$B$310)),"")))=0,"",IF(627&lt;=COUNTA(半紙!$B$11:$B$310),INDEX(半紙!$F$11:$F$310,627),IF(627&lt;=COUNTA(半紙!$B$11:$B$310)+COUNTA(条幅!$B$11:$B$310),INDEX(条幅!$F$11:$F$310,627-COUNTA(半紙!$B$11:$B$310)),IF(627&lt;=COUNTA(半紙!$B$11:$B$310)+COUNTA(条幅!$B$11:$B$310)+COUNTA(条幅4分の1!$B$11:$B$310),INDEX(条幅4分の1!$F$11:$F$310,627-COUNTA(半紙!$B$11:$B$310)-COUNTA(条幅!$B$11:$B$310)),""))))</f>
        <v/>
      </c>
      <c r="G632" s="38" t="str">
        <f>IF(IF(627&lt;=COUNTA(半紙!$B$11:$B$310),INDEX(半紙!$G$11:$G$310,627),IF(627&lt;=COUNTA(半紙!$B$11:$B$310)+COUNTA(条幅!$B$11:$B$310),INDEX(条幅!$G$11:$G$310,627-COUNTA(半紙!$B$11:$B$310)),IF(627&lt;=COUNTA(半紙!$B$11:$B$310)+COUNTA(条幅!$B$11:$B$310)+COUNTA(条幅4分の1!$B$11:$B$310),INDEX(条幅4分の1!$G$11:$G$310,627-COUNTA(半紙!$B$11:$B$310)-COUNTA(条幅!$B$11:$B$310)),"")))=0,"",IF(627&lt;=COUNTA(半紙!$B$11:$B$310),INDEX(半紙!$G$11:$G$310,627),IF(627&lt;=COUNTA(半紙!$B$11:$B$310)+COUNTA(条幅!$B$11:$B$310),INDEX(条幅!$G$11:$G$310,627-COUNTA(半紙!$B$11:$B$310)),IF(627&lt;=COUNTA(半紙!$B$11:$B$310)+COUNTA(条幅!$B$11:$B$310)+COUNTA(条幅4分の1!$B$11:$B$310),INDEX(条幅4分の1!$G$11:$G$310,627-COUNTA(半紙!$B$11:$B$310)-COUNTA(条幅!$B$11:$B$310)),""))))</f>
        <v/>
      </c>
      <c r="H632" s="38" t="str">
        <f>IF(IF(627&lt;=COUNTA(半紙!$B$11:$B$310),INDEX(半紙!$H$11:$H$310,627),IF(627&lt;=COUNTA(半紙!$B$11:$B$310)+COUNTA(条幅!$B$11:$B$310),INDEX(条幅!$H$11:$H$310,627-COUNTA(半紙!$B$11:$B$310)),IF(627&lt;=COUNTA(半紙!$B$11:$B$310)+COUNTA(条幅!$B$11:$B$310)+COUNTA(条幅4分の1!$B$11:$B$310),INDEX(条幅4分の1!$H$11:$H$310,627-COUNTA(半紙!$B$11:$B$310)-COUNTA(条幅!$B$11:$B$310)),"")))=0,"",IF(627&lt;=COUNTA(半紙!$B$11:$B$310),INDEX(半紙!$H$11:$H$310,627),IF(627&lt;=COUNTA(半紙!$B$11:$B$310)+COUNTA(条幅!$B$11:$B$310),INDEX(条幅!$H$11:$H$310,627-COUNTA(半紙!$B$11:$B$310)),IF(627&lt;=COUNTA(半紙!$B$11:$B$310)+COUNTA(条幅!$B$11:$B$310)+COUNTA(条幅4分の1!$B$11:$B$310),INDEX(条幅4分の1!$H$11:$H$310,627-COUNTA(半紙!$B$11:$B$310)-COUNTA(条幅!$B$11:$B$310)),""))))</f>
        <v/>
      </c>
      <c r="I632" s="38" t="str">
        <f>IF(IF(627&lt;=COUNTA(半紙!$B$11:$B$310),INDEX(半紙!$I$11:$I$310,627),IF(627&lt;=COUNTA(半紙!$B$11:$B$310)+COUNTA(条幅!$B$11:$B$310),INDEX(条幅!$I$11:$I$310,627-COUNTA(半紙!$B$11:$B$310)),IF(627&lt;=COUNTA(半紙!$B$11:$B$310)+COUNTA(条幅!$B$11:$B$310)+COUNTA(条幅4分の1!$B$11:$B$310),INDEX(条幅4分の1!$I$11:$I$310,627-COUNTA(半紙!$B$11:$B$310)-COUNTA(条幅!$B$11:$B$310)),"")))=0,"",IF(627&lt;=COUNTA(半紙!$B$11:$B$310),INDEX(半紙!$I$11:$I$310,627),IF(627&lt;=COUNTA(半紙!$B$11:$B$310)+COUNTA(条幅!$B$11:$B$310),INDEX(条幅!$I$11:$I$310,627-COUNTA(半紙!$B$11:$B$310)),IF(627&lt;=COUNTA(半紙!$B$11:$B$310)+COUNTA(条幅!$B$11:$B$310)+COUNTA(条幅4分の1!$B$11:$B$310),INDEX(条幅4分の1!$I$11:$I$310,627-COUNTA(半紙!$B$11:$B$310)-COUNTA(条幅!$B$11:$B$310)),""))))</f>
        <v/>
      </c>
      <c r="J632" s="38" t="str">
        <f>IF(IF(627&lt;=COUNTA(半紙!$B$11:$B$310),INDEX(半紙!$J$11:$J$310,627),IF(627&lt;=COUNTA(半紙!$B$11:$B$310)+COUNTA(条幅!$B$11:$B$310),INDEX(条幅!$J$11:$J$310,627-COUNTA(半紙!$B$11:$B$310)),IF(627&lt;=COUNTA(半紙!$B$11:$B$310)+COUNTA(条幅!$B$11:$B$310)+COUNTA(条幅4分の1!$B$11:$B$310),INDEX(条幅4分の1!$J$11:$J$310,627-COUNTA(半紙!$B$11:$B$310)-COUNTA(条幅!$B$11:$B$310)),"")))=0,"",IF(627&lt;=COUNTA(半紙!$B$11:$B$310),INDEX(半紙!$J$11:$J$310,627),IF(627&lt;=COUNTA(半紙!$B$11:$B$310)+COUNTA(条幅!$B$11:$B$310),INDEX(条幅!$J$11:$J$310,627-COUNTA(半紙!$B$11:$B$310)),IF(627&lt;=COUNTA(半紙!$B$11:$B$310)+COUNTA(条幅!$B$11:$B$310)+COUNTA(条幅4分の1!$B$11:$B$310),INDEX(条幅4分の1!$J$11:$J$310,627-COUNTA(半紙!$B$11:$B$310)-COUNTA(条幅!$B$11:$B$310)),""))))</f>
        <v/>
      </c>
      <c r="K632" s="38" t="str">
        <f>IF(IF(627&lt;=COUNTA(半紙!$B$11:$B$310),INDEX(半紙!$K$11:$K$310,627),IF(627&lt;=COUNTA(半紙!$B$11:$B$310)+COUNTA(条幅!$B$11:$B$310),INDEX(条幅!$K$11:$K$310,627-COUNTA(半紙!$B$11:$B$310)),IF(627&lt;=COUNTA(半紙!$B$11:$B$310)+COUNTA(条幅!$B$11:$B$310)+COUNTA(条幅4分の1!$B$11:$B$310),INDEX(条幅4分の1!$K$11:$K$310,627-COUNTA(半紙!$B$11:$B$310)-COUNTA(条幅!$B$11:$B$310)),"")))=0,"",IF(627&lt;=COUNTA(半紙!$B$11:$B$310),INDEX(半紙!$K$11:$K$310,627),IF(627&lt;=COUNTA(半紙!$B$11:$B$310)+COUNTA(条幅!$B$11:$B$310),INDEX(条幅!$K$11:$K$310,627-COUNTA(半紙!$B$11:$B$310)),IF(627&lt;=COUNTA(半紙!$B$11:$B$310)+COUNTA(条幅!$B$11:$B$310)+COUNTA(条幅4分の1!$B$11:$B$310),INDEX(条幅4分の1!$K$11:$K$310,627-COUNTA(半紙!$B$11:$B$310)-COUNTA(条幅!$B$11:$B$310)),""))))</f>
        <v/>
      </c>
      <c r="L632" s="48" t="str">
        <f>IF($B632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627))</f>
        <v/>
      </c>
    </row>
    <row r="633" spans="1:12" ht="15" customHeight="1">
      <c r="A633" s="37" t="str">
        <f>IF(628&lt;=COUNTA(半紙!$B$11:$B$310),"半紙",IF(628&lt;=COUNTA(半紙!$B$11:$B$310)+COUNTA(条幅!$B$11:$B$310),"条幅(半切)",IF(628&lt;=COUNTA(半紙!$B$11:$B$310)+COUNTA(条幅!$B$11:$B$310)+COUNTA(条幅4分の1!$B$11:$B$310),"条幅(1/4)","")))</f>
        <v/>
      </c>
      <c r="B633" s="38" t="str">
        <f>IF(IF(628&lt;=COUNTA(半紙!$B$11:$B$310),INDEX(半紙!$B$11:$B$310,628),IF(628&lt;=COUNTA(半紙!$B$11:$B$310)+COUNTA(条幅!$B$11:$B$310),INDEX(条幅!$B$11:$B$310,628-COUNTA(半紙!$B$11:$B$310)),IF(628&lt;=COUNTA(半紙!$B$11:$B$310)+COUNTA(条幅!$B$11:$B$310)+COUNTA(条幅4分の1!$B$11:$B$310),INDEX(条幅4分の1!$B$11:$B$310,628-COUNTA(半紙!$B$11:$B$310)-COUNTA(条幅!$B$11:$B$310)),"")))=0,"",IF(628&lt;=COUNTA(半紙!$B$11:$B$310),INDEX(半紙!$B$11:$B$310,628),IF(628&lt;=COUNTA(半紙!$B$11:$B$310)+COUNTA(条幅!$B$11:$B$310),INDEX(条幅!$B$11:$B$310,628-COUNTA(半紙!$B$11:$B$310)),IF(628&lt;=COUNTA(半紙!$B$11:$B$310)+COUNTA(条幅!$B$11:$B$310)+COUNTA(条幅4分の1!$B$11:$B$310),INDEX(条幅4分の1!$B$11:$B$310,628-COUNTA(半紙!$B$11:$B$310)-COUNTA(条幅!$B$11:$B$310)),""))))</f>
        <v/>
      </c>
      <c r="C633" s="38" t="str">
        <f>IF(IF(628&lt;=COUNTA(半紙!$B$11:$B$310),INDEX(半紙!$C$11:$C$310,628),IF(628&lt;=COUNTA(半紙!$B$11:$B$310)+COUNTA(条幅!$B$11:$B$310),INDEX(条幅!$C$11:$C$310,628-COUNTA(半紙!$B$11:$B$310)),IF(628&lt;=COUNTA(半紙!$B$11:$B$310)+COUNTA(条幅!$B$11:$B$310)+COUNTA(条幅4分の1!$B$11:$B$310),INDEX(条幅4分の1!$C$11:$C$310,628-COUNTA(半紙!$B$11:$B$310)-COUNTA(条幅!$B$11:$B$310)),"")))=0,"",IF(628&lt;=COUNTA(半紙!$B$11:$B$310),INDEX(半紙!$C$11:$C$310,628),IF(628&lt;=COUNTA(半紙!$B$11:$B$310)+COUNTA(条幅!$B$11:$B$310),INDEX(条幅!$C$11:$C$310,628-COUNTA(半紙!$B$11:$B$310)),IF(628&lt;=COUNTA(半紙!$B$11:$B$310)+COUNTA(条幅!$B$11:$B$310)+COUNTA(条幅4分の1!$B$11:$B$310),INDEX(条幅4分の1!$C$11:$C$310,628-COUNTA(半紙!$B$11:$B$310)-COUNTA(条幅!$B$11:$B$310)),""))))</f>
        <v/>
      </c>
      <c r="D633" s="38" t="str">
        <f>IF(IF(628&lt;=COUNTA(半紙!$B$11:$B$310),INDEX(半紙!$D$11:$D$310,628),IF(628&lt;=COUNTA(半紙!$B$11:$B$310)+COUNTA(条幅!$B$11:$B$310),INDEX(条幅!$D$11:$D$310,628-COUNTA(半紙!$B$11:$B$310)),IF(628&lt;=COUNTA(半紙!$B$11:$B$310)+COUNTA(条幅!$B$11:$B$310)+COUNTA(条幅4分の1!$B$11:$B$310),INDEX(条幅4分の1!$D$11:$D$310,628-COUNTA(半紙!$B$11:$B$310)-COUNTA(条幅!$B$11:$B$310)),"")))=0,"",IF(628&lt;=COUNTA(半紙!$B$11:$B$310),INDEX(半紙!$D$11:$D$310,628),IF(628&lt;=COUNTA(半紙!$B$11:$B$310)+COUNTA(条幅!$B$11:$B$310),INDEX(条幅!$D$11:$D$310,628-COUNTA(半紙!$B$11:$B$310)),IF(628&lt;=COUNTA(半紙!$B$11:$B$310)+COUNTA(条幅!$B$11:$B$310)+COUNTA(条幅4分の1!$B$11:$B$310),INDEX(条幅4分の1!$D$11:$D$310,628-COUNTA(半紙!$B$11:$B$310)-COUNTA(条幅!$B$11:$B$310)),""))))</f>
        <v/>
      </c>
      <c r="E633" s="38" t="str">
        <f>IF(IF(628&lt;=COUNTA(半紙!$B$11:$B$310),INDEX(半紙!$E$11:$E$310,628),IF(628&lt;=COUNTA(半紙!$B$11:$B$310)+COUNTA(条幅!$B$11:$B$310),INDEX(条幅!$E$11:$E$310,628-COUNTA(半紙!$B$11:$B$310)),IF(628&lt;=COUNTA(半紙!$B$11:$B$310)+COUNTA(条幅!$B$11:$B$310)+COUNTA(条幅4分の1!$B$11:$B$310),INDEX(条幅4分の1!$E$11:$E$310,628-COUNTA(半紙!$B$11:$B$310)-COUNTA(条幅!$B$11:$B$310)),"")))=0,"",IF(628&lt;=COUNTA(半紙!$B$11:$B$310),INDEX(半紙!$E$11:$E$310,628),IF(628&lt;=COUNTA(半紙!$B$11:$B$310)+COUNTA(条幅!$B$11:$B$310),INDEX(条幅!$E$11:$E$310,628-COUNTA(半紙!$B$11:$B$310)),IF(628&lt;=COUNTA(半紙!$B$11:$B$310)+COUNTA(条幅!$B$11:$B$310)+COUNTA(条幅4分の1!$B$11:$B$310),INDEX(条幅4分の1!$E$11:$E$310,628-COUNTA(半紙!$B$11:$B$310)-COUNTA(条幅!$B$11:$B$310)),""))))</f>
        <v/>
      </c>
      <c r="F633" s="38" t="str">
        <f>IF(IF(628&lt;=COUNTA(半紙!$B$11:$B$310),INDEX(半紙!$F$11:$F$310,628),IF(628&lt;=COUNTA(半紙!$B$11:$B$310)+COUNTA(条幅!$B$11:$B$310),INDEX(条幅!$F$11:$F$310,628-COUNTA(半紙!$B$11:$B$310)),IF(628&lt;=COUNTA(半紙!$B$11:$B$310)+COUNTA(条幅!$B$11:$B$310)+COUNTA(条幅4分の1!$B$11:$B$310),INDEX(条幅4分の1!$F$11:$F$310,628-COUNTA(半紙!$B$11:$B$310)-COUNTA(条幅!$B$11:$B$310)),"")))=0,"",IF(628&lt;=COUNTA(半紙!$B$11:$B$310),INDEX(半紙!$F$11:$F$310,628),IF(628&lt;=COUNTA(半紙!$B$11:$B$310)+COUNTA(条幅!$B$11:$B$310),INDEX(条幅!$F$11:$F$310,628-COUNTA(半紙!$B$11:$B$310)),IF(628&lt;=COUNTA(半紙!$B$11:$B$310)+COUNTA(条幅!$B$11:$B$310)+COUNTA(条幅4分の1!$B$11:$B$310),INDEX(条幅4分の1!$F$11:$F$310,628-COUNTA(半紙!$B$11:$B$310)-COUNTA(条幅!$B$11:$B$310)),""))))</f>
        <v/>
      </c>
      <c r="G633" s="38" t="str">
        <f>IF(IF(628&lt;=COUNTA(半紙!$B$11:$B$310),INDEX(半紙!$G$11:$G$310,628),IF(628&lt;=COUNTA(半紙!$B$11:$B$310)+COUNTA(条幅!$B$11:$B$310),INDEX(条幅!$G$11:$G$310,628-COUNTA(半紙!$B$11:$B$310)),IF(628&lt;=COUNTA(半紙!$B$11:$B$310)+COUNTA(条幅!$B$11:$B$310)+COUNTA(条幅4分の1!$B$11:$B$310),INDEX(条幅4分の1!$G$11:$G$310,628-COUNTA(半紙!$B$11:$B$310)-COUNTA(条幅!$B$11:$B$310)),"")))=0,"",IF(628&lt;=COUNTA(半紙!$B$11:$B$310),INDEX(半紙!$G$11:$G$310,628),IF(628&lt;=COUNTA(半紙!$B$11:$B$310)+COUNTA(条幅!$B$11:$B$310),INDEX(条幅!$G$11:$G$310,628-COUNTA(半紙!$B$11:$B$310)),IF(628&lt;=COUNTA(半紙!$B$11:$B$310)+COUNTA(条幅!$B$11:$B$310)+COUNTA(条幅4分の1!$B$11:$B$310),INDEX(条幅4分の1!$G$11:$G$310,628-COUNTA(半紙!$B$11:$B$310)-COUNTA(条幅!$B$11:$B$310)),""))))</f>
        <v/>
      </c>
      <c r="H633" s="38" t="str">
        <f>IF(IF(628&lt;=COUNTA(半紙!$B$11:$B$310),INDEX(半紙!$H$11:$H$310,628),IF(628&lt;=COUNTA(半紙!$B$11:$B$310)+COUNTA(条幅!$B$11:$B$310),INDEX(条幅!$H$11:$H$310,628-COUNTA(半紙!$B$11:$B$310)),IF(628&lt;=COUNTA(半紙!$B$11:$B$310)+COUNTA(条幅!$B$11:$B$310)+COUNTA(条幅4分の1!$B$11:$B$310),INDEX(条幅4分の1!$H$11:$H$310,628-COUNTA(半紙!$B$11:$B$310)-COUNTA(条幅!$B$11:$B$310)),"")))=0,"",IF(628&lt;=COUNTA(半紙!$B$11:$B$310),INDEX(半紙!$H$11:$H$310,628),IF(628&lt;=COUNTA(半紙!$B$11:$B$310)+COUNTA(条幅!$B$11:$B$310),INDEX(条幅!$H$11:$H$310,628-COUNTA(半紙!$B$11:$B$310)),IF(628&lt;=COUNTA(半紙!$B$11:$B$310)+COUNTA(条幅!$B$11:$B$310)+COUNTA(条幅4分の1!$B$11:$B$310),INDEX(条幅4分の1!$H$11:$H$310,628-COUNTA(半紙!$B$11:$B$310)-COUNTA(条幅!$B$11:$B$310)),""))))</f>
        <v/>
      </c>
      <c r="I633" s="38" t="str">
        <f>IF(IF(628&lt;=COUNTA(半紙!$B$11:$B$310),INDEX(半紙!$I$11:$I$310,628),IF(628&lt;=COUNTA(半紙!$B$11:$B$310)+COUNTA(条幅!$B$11:$B$310),INDEX(条幅!$I$11:$I$310,628-COUNTA(半紙!$B$11:$B$310)),IF(628&lt;=COUNTA(半紙!$B$11:$B$310)+COUNTA(条幅!$B$11:$B$310)+COUNTA(条幅4分の1!$B$11:$B$310),INDEX(条幅4分の1!$I$11:$I$310,628-COUNTA(半紙!$B$11:$B$310)-COUNTA(条幅!$B$11:$B$310)),"")))=0,"",IF(628&lt;=COUNTA(半紙!$B$11:$B$310),INDEX(半紙!$I$11:$I$310,628),IF(628&lt;=COUNTA(半紙!$B$11:$B$310)+COUNTA(条幅!$B$11:$B$310),INDEX(条幅!$I$11:$I$310,628-COUNTA(半紙!$B$11:$B$310)),IF(628&lt;=COUNTA(半紙!$B$11:$B$310)+COUNTA(条幅!$B$11:$B$310)+COUNTA(条幅4分の1!$B$11:$B$310),INDEX(条幅4分の1!$I$11:$I$310,628-COUNTA(半紙!$B$11:$B$310)-COUNTA(条幅!$B$11:$B$310)),""))))</f>
        <v/>
      </c>
      <c r="J633" s="38" t="str">
        <f>IF(IF(628&lt;=COUNTA(半紙!$B$11:$B$310),INDEX(半紙!$J$11:$J$310,628),IF(628&lt;=COUNTA(半紙!$B$11:$B$310)+COUNTA(条幅!$B$11:$B$310),INDEX(条幅!$J$11:$J$310,628-COUNTA(半紙!$B$11:$B$310)),IF(628&lt;=COUNTA(半紙!$B$11:$B$310)+COUNTA(条幅!$B$11:$B$310)+COUNTA(条幅4分の1!$B$11:$B$310),INDEX(条幅4分の1!$J$11:$J$310,628-COUNTA(半紙!$B$11:$B$310)-COUNTA(条幅!$B$11:$B$310)),"")))=0,"",IF(628&lt;=COUNTA(半紙!$B$11:$B$310),INDEX(半紙!$J$11:$J$310,628),IF(628&lt;=COUNTA(半紙!$B$11:$B$310)+COUNTA(条幅!$B$11:$B$310),INDEX(条幅!$J$11:$J$310,628-COUNTA(半紙!$B$11:$B$310)),IF(628&lt;=COUNTA(半紙!$B$11:$B$310)+COUNTA(条幅!$B$11:$B$310)+COUNTA(条幅4分の1!$B$11:$B$310),INDEX(条幅4分の1!$J$11:$J$310,628-COUNTA(半紙!$B$11:$B$310)-COUNTA(条幅!$B$11:$B$310)),""))))</f>
        <v/>
      </c>
      <c r="K633" s="38" t="str">
        <f>IF(IF(628&lt;=COUNTA(半紙!$B$11:$B$310),INDEX(半紙!$K$11:$K$310,628),IF(628&lt;=COUNTA(半紙!$B$11:$B$310)+COUNTA(条幅!$B$11:$B$310),INDEX(条幅!$K$11:$K$310,628-COUNTA(半紙!$B$11:$B$310)),IF(628&lt;=COUNTA(半紙!$B$11:$B$310)+COUNTA(条幅!$B$11:$B$310)+COUNTA(条幅4分の1!$B$11:$B$310),INDEX(条幅4分の1!$K$11:$K$310,628-COUNTA(半紙!$B$11:$B$310)-COUNTA(条幅!$B$11:$B$310)),"")))=0,"",IF(628&lt;=COUNTA(半紙!$B$11:$B$310),INDEX(半紙!$K$11:$K$310,628),IF(628&lt;=COUNTA(半紙!$B$11:$B$310)+COUNTA(条幅!$B$11:$B$310),INDEX(条幅!$K$11:$K$310,628-COUNTA(半紙!$B$11:$B$310)),IF(628&lt;=COUNTA(半紙!$B$11:$B$310)+COUNTA(条幅!$B$11:$B$310)+COUNTA(条幅4分の1!$B$11:$B$310),INDEX(条幅4分の1!$K$11:$K$310,628-COUNTA(半紙!$B$11:$B$310)-COUNTA(条幅!$B$11:$B$310)),""))))</f>
        <v/>
      </c>
      <c r="L633" s="48" t="str">
        <f>IF($B633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628))</f>
        <v/>
      </c>
    </row>
    <row r="634" spans="1:12" ht="15" customHeight="1">
      <c r="A634" s="37" t="str">
        <f>IF(629&lt;=COUNTA(半紙!$B$11:$B$310),"半紙",IF(629&lt;=COUNTA(半紙!$B$11:$B$310)+COUNTA(条幅!$B$11:$B$310),"条幅(半切)",IF(629&lt;=COUNTA(半紙!$B$11:$B$310)+COUNTA(条幅!$B$11:$B$310)+COUNTA(条幅4分の1!$B$11:$B$310),"条幅(1/4)","")))</f>
        <v/>
      </c>
      <c r="B634" s="38" t="str">
        <f>IF(IF(629&lt;=COUNTA(半紙!$B$11:$B$310),INDEX(半紙!$B$11:$B$310,629),IF(629&lt;=COUNTA(半紙!$B$11:$B$310)+COUNTA(条幅!$B$11:$B$310),INDEX(条幅!$B$11:$B$310,629-COUNTA(半紙!$B$11:$B$310)),IF(629&lt;=COUNTA(半紙!$B$11:$B$310)+COUNTA(条幅!$B$11:$B$310)+COUNTA(条幅4分の1!$B$11:$B$310),INDEX(条幅4分の1!$B$11:$B$310,629-COUNTA(半紙!$B$11:$B$310)-COUNTA(条幅!$B$11:$B$310)),"")))=0,"",IF(629&lt;=COUNTA(半紙!$B$11:$B$310),INDEX(半紙!$B$11:$B$310,629),IF(629&lt;=COUNTA(半紙!$B$11:$B$310)+COUNTA(条幅!$B$11:$B$310),INDEX(条幅!$B$11:$B$310,629-COUNTA(半紙!$B$11:$B$310)),IF(629&lt;=COUNTA(半紙!$B$11:$B$310)+COUNTA(条幅!$B$11:$B$310)+COUNTA(条幅4分の1!$B$11:$B$310),INDEX(条幅4分の1!$B$11:$B$310,629-COUNTA(半紙!$B$11:$B$310)-COUNTA(条幅!$B$11:$B$310)),""))))</f>
        <v/>
      </c>
      <c r="C634" s="38" t="str">
        <f>IF(IF(629&lt;=COUNTA(半紙!$B$11:$B$310),INDEX(半紙!$C$11:$C$310,629),IF(629&lt;=COUNTA(半紙!$B$11:$B$310)+COUNTA(条幅!$B$11:$B$310),INDEX(条幅!$C$11:$C$310,629-COUNTA(半紙!$B$11:$B$310)),IF(629&lt;=COUNTA(半紙!$B$11:$B$310)+COUNTA(条幅!$B$11:$B$310)+COUNTA(条幅4分の1!$B$11:$B$310),INDEX(条幅4分の1!$C$11:$C$310,629-COUNTA(半紙!$B$11:$B$310)-COUNTA(条幅!$B$11:$B$310)),"")))=0,"",IF(629&lt;=COUNTA(半紙!$B$11:$B$310),INDEX(半紙!$C$11:$C$310,629),IF(629&lt;=COUNTA(半紙!$B$11:$B$310)+COUNTA(条幅!$B$11:$B$310),INDEX(条幅!$C$11:$C$310,629-COUNTA(半紙!$B$11:$B$310)),IF(629&lt;=COUNTA(半紙!$B$11:$B$310)+COUNTA(条幅!$B$11:$B$310)+COUNTA(条幅4分の1!$B$11:$B$310),INDEX(条幅4分の1!$C$11:$C$310,629-COUNTA(半紙!$B$11:$B$310)-COUNTA(条幅!$B$11:$B$310)),""))))</f>
        <v/>
      </c>
      <c r="D634" s="38" t="str">
        <f>IF(IF(629&lt;=COUNTA(半紙!$B$11:$B$310),INDEX(半紙!$D$11:$D$310,629),IF(629&lt;=COUNTA(半紙!$B$11:$B$310)+COUNTA(条幅!$B$11:$B$310),INDEX(条幅!$D$11:$D$310,629-COUNTA(半紙!$B$11:$B$310)),IF(629&lt;=COUNTA(半紙!$B$11:$B$310)+COUNTA(条幅!$B$11:$B$310)+COUNTA(条幅4分の1!$B$11:$B$310),INDEX(条幅4分の1!$D$11:$D$310,629-COUNTA(半紙!$B$11:$B$310)-COUNTA(条幅!$B$11:$B$310)),"")))=0,"",IF(629&lt;=COUNTA(半紙!$B$11:$B$310),INDEX(半紙!$D$11:$D$310,629),IF(629&lt;=COUNTA(半紙!$B$11:$B$310)+COUNTA(条幅!$B$11:$B$310),INDEX(条幅!$D$11:$D$310,629-COUNTA(半紙!$B$11:$B$310)),IF(629&lt;=COUNTA(半紙!$B$11:$B$310)+COUNTA(条幅!$B$11:$B$310)+COUNTA(条幅4分の1!$B$11:$B$310),INDEX(条幅4分の1!$D$11:$D$310,629-COUNTA(半紙!$B$11:$B$310)-COUNTA(条幅!$B$11:$B$310)),""))))</f>
        <v/>
      </c>
      <c r="E634" s="38" t="str">
        <f>IF(IF(629&lt;=COUNTA(半紙!$B$11:$B$310),INDEX(半紙!$E$11:$E$310,629),IF(629&lt;=COUNTA(半紙!$B$11:$B$310)+COUNTA(条幅!$B$11:$B$310),INDEX(条幅!$E$11:$E$310,629-COUNTA(半紙!$B$11:$B$310)),IF(629&lt;=COUNTA(半紙!$B$11:$B$310)+COUNTA(条幅!$B$11:$B$310)+COUNTA(条幅4分の1!$B$11:$B$310),INDEX(条幅4分の1!$E$11:$E$310,629-COUNTA(半紙!$B$11:$B$310)-COUNTA(条幅!$B$11:$B$310)),"")))=0,"",IF(629&lt;=COUNTA(半紙!$B$11:$B$310),INDEX(半紙!$E$11:$E$310,629),IF(629&lt;=COUNTA(半紙!$B$11:$B$310)+COUNTA(条幅!$B$11:$B$310),INDEX(条幅!$E$11:$E$310,629-COUNTA(半紙!$B$11:$B$310)),IF(629&lt;=COUNTA(半紙!$B$11:$B$310)+COUNTA(条幅!$B$11:$B$310)+COUNTA(条幅4分の1!$B$11:$B$310),INDEX(条幅4分の1!$E$11:$E$310,629-COUNTA(半紙!$B$11:$B$310)-COUNTA(条幅!$B$11:$B$310)),""))))</f>
        <v/>
      </c>
      <c r="F634" s="38" t="str">
        <f>IF(IF(629&lt;=COUNTA(半紙!$B$11:$B$310),INDEX(半紙!$F$11:$F$310,629),IF(629&lt;=COUNTA(半紙!$B$11:$B$310)+COUNTA(条幅!$B$11:$B$310),INDEX(条幅!$F$11:$F$310,629-COUNTA(半紙!$B$11:$B$310)),IF(629&lt;=COUNTA(半紙!$B$11:$B$310)+COUNTA(条幅!$B$11:$B$310)+COUNTA(条幅4分の1!$B$11:$B$310),INDEX(条幅4分の1!$F$11:$F$310,629-COUNTA(半紙!$B$11:$B$310)-COUNTA(条幅!$B$11:$B$310)),"")))=0,"",IF(629&lt;=COUNTA(半紙!$B$11:$B$310),INDEX(半紙!$F$11:$F$310,629),IF(629&lt;=COUNTA(半紙!$B$11:$B$310)+COUNTA(条幅!$B$11:$B$310),INDEX(条幅!$F$11:$F$310,629-COUNTA(半紙!$B$11:$B$310)),IF(629&lt;=COUNTA(半紙!$B$11:$B$310)+COUNTA(条幅!$B$11:$B$310)+COUNTA(条幅4分の1!$B$11:$B$310),INDEX(条幅4分の1!$F$11:$F$310,629-COUNTA(半紙!$B$11:$B$310)-COUNTA(条幅!$B$11:$B$310)),""))))</f>
        <v/>
      </c>
      <c r="G634" s="38" t="str">
        <f>IF(IF(629&lt;=COUNTA(半紙!$B$11:$B$310),INDEX(半紙!$G$11:$G$310,629),IF(629&lt;=COUNTA(半紙!$B$11:$B$310)+COUNTA(条幅!$B$11:$B$310),INDEX(条幅!$G$11:$G$310,629-COUNTA(半紙!$B$11:$B$310)),IF(629&lt;=COUNTA(半紙!$B$11:$B$310)+COUNTA(条幅!$B$11:$B$310)+COUNTA(条幅4分の1!$B$11:$B$310),INDEX(条幅4分の1!$G$11:$G$310,629-COUNTA(半紙!$B$11:$B$310)-COUNTA(条幅!$B$11:$B$310)),"")))=0,"",IF(629&lt;=COUNTA(半紙!$B$11:$B$310),INDEX(半紙!$G$11:$G$310,629),IF(629&lt;=COUNTA(半紙!$B$11:$B$310)+COUNTA(条幅!$B$11:$B$310),INDEX(条幅!$G$11:$G$310,629-COUNTA(半紙!$B$11:$B$310)),IF(629&lt;=COUNTA(半紙!$B$11:$B$310)+COUNTA(条幅!$B$11:$B$310)+COUNTA(条幅4分の1!$B$11:$B$310),INDEX(条幅4分の1!$G$11:$G$310,629-COUNTA(半紙!$B$11:$B$310)-COUNTA(条幅!$B$11:$B$310)),""))))</f>
        <v/>
      </c>
      <c r="H634" s="38" t="str">
        <f>IF(IF(629&lt;=COUNTA(半紙!$B$11:$B$310),INDEX(半紙!$H$11:$H$310,629),IF(629&lt;=COUNTA(半紙!$B$11:$B$310)+COUNTA(条幅!$B$11:$B$310),INDEX(条幅!$H$11:$H$310,629-COUNTA(半紙!$B$11:$B$310)),IF(629&lt;=COUNTA(半紙!$B$11:$B$310)+COUNTA(条幅!$B$11:$B$310)+COUNTA(条幅4分の1!$B$11:$B$310),INDEX(条幅4分の1!$H$11:$H$310,629-COUNTA(半紙!$B$11:$B$310)-COUNTA(条幅!$B$11:$B$310)),"")))=0,"",IF(629&lt;=COUNTA(半紙!$B$11:$B$310),INDEX(半紙!$H$11:$H$310,629),IF(629&lt;=COUNTA(半紙!$B$11:$B$310)+COUNTA(条幅!$B$11:$B$310),INDEX(条幅!$H$11:$H$310,629-COUNTA(半紙!$B$11:$B$310)),IF(629&lt;=COUNTA(半紙!$B$11:$B$310)+COUNTA(条幅!$B$11:$B$310)+COUNTA(条幅4分の1!$B$11:$B$310),INDEX(条幅4分の1!$H$11:$H$310,629-COUNTA(半紙!$B$11:$B$310)-COUNTA(条幅!$B$11:$B$310)),""))))</f>
        <v/>
      </c>
      <c r="I634" s="38" t="str">
        <f>IF(IF(629&lt;=COUNTA(半紙!$B$11:$B$310),INDEX(半紙!$I$11:$I$310,629),IF(629&lt;=COUNTA(半紙!$B$11:$B$310)+COUNTA(条幅!$B$11:$B$310),INDEX(条幅!$I$11:$I$310,629-COUNTA(半紙!$B$11:$B$310)),IF(629&lt;=COUNTA(半紙!$B$11:$B$310)+COUNTA(条幅!$B$11:$B$310)+COUNTA(条幅4分の1!$B$11:$B$310),INDEX(条幅4分の1!$I$11:$I$310,629-COUNTA(半紙!$B$11:$B$310)-COUNTA(条幅!$B$11:$B$310)),"")))=0,"",IF(629&lt;=COUNTA(半紙!$B$11:$B$310),INDEX(半紙!$I$11:$I$310,629),IF(629&lt;=COUNTA(半紙!$B$11:$B$310)+COUNTA(条幅!$B$11:$B$310),INDEX(条幅!$I$11:$I$310,629-COUNTA(半紙!$B$11:$B$310)),IF(629&lt;=COUNTA(半紙!$B$11:$B$310)+COUNTA(条幅!$B$11:$B$310)+COUNTA(条幅4分の1!$B$11:$B$310),INDEX(条幅4分の1!$I$11:$I$310,629-COUNTA(半紙!$B$11:$B$310)-COUNTA(条幅!$B$11:$B$310)),""))))</f>
        <v/>
      </c>
      <c r="J634" s="38" t="str">
        <f>IF(IF(629&lt;=COUNTA(半紙!$B$11:$B$310),INDEX(半紙!$J$11:$J$310,629),IF(629&lt;=COUNTA(半紙!$B$11:$B$310)+COUNTA(条幅!$B$11:$B$310),INDEX(条幅!$J$11:$J$310,629-COUNTA(半紙!$B$11:$B$310)),IF(629&lt;=COUNTA(半紙!$B$11:$B$310)+COUNTA(条幅!$B$11:$B$310)+COUNTA(条幅4分の1!$B$11:$B$310),INDEX(条幅4分の1!$J$11:$J$310,629-COUNTA(半紙!$B$11:$B$310)-COUNTA(条幅!$B$11:$B$310)),"")))=0,"",IF(629&lt;=COUNTA(半紙!$B$11:$B$310),INDEX(半紙!$J$11:$J$310,629),IF(629&lt;=COUNTA(半紙!$B$11:$B$310)+COUNTA(条幅!$B$11:$B$310),INDEX(条幅!$J$11:$J$310,629-COUNTA(半紙!$B$11:$B$310)),IF(629&lt;=COUNTA(半紙!$B$11:$B$310)+COUNTA(条幅!$B$11:$B$310)+COUNTA(条幅4分の1!$B$11:$B$310),INDEX(条幅4分の1!$J$11:$J$310,629-COUNTA(半紙!$B$11:$B$310)-COUNTA(条幅!$B$11:$B$310)),""))))</f>
        <v/>
      </c>
      <c r="K634" s="38" t="str">
        <f>IF(IF(629&lt;=COUNTA(半紙!$B$11:$B$310),INDEX(半紙!$K$11:$K$310,629),IF(629&lt;=COUNTA(半紙!$B$11:$B$310)+COUNTA(条幅!$B$11:$B$310),INDEX(条幅!$K$11:$K$310,629-COUNTA(半紙!$B$11:$B$310)),IF(629&lt;=COUNTA(半紙!$B$11:$B$310)+COUNTA(条幅!$B$11:$B$310)+COUNTA(条幅4分の1!$B$11:$B$310),INDEX(条幅4分の1!$K$11:$K$310,629-COUNTA(半紙!$B$11:$B$310)-COUNTA(条幅!$B$11:$B$310)),"")))=0,"",IF(629&lt;=COUNTA(半紙!$B$11:$B$310),INDEX(半紙!$K$11:$K$310,629),IF(629&lt;=COUNTA(半紙!$B$11:$B$310)+COUNTA(条幅!$B$11:$B$310),INDEX(条幅!$K$11:$K$310,629-COUNTA(半紙!$B$11:$B$310)),IF(629&lt;=COUNTA(半紙!$B$11:$B$310)+COUNTA(条幅!$B$11:$B$310)+COUNTA(条幅4分の1!$B$11:$B$310),INDEX(条幅4分の1!$K$11:$K$310,629-COUNTA(半紙!$B$11:$B$310)-COUNTA(条幅!$B$11:$B$310)),""))))</f>
        <v/>
      </c>
      <c r="L634" s="48" t="str">
        <f>IF($B634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629))</f>
        <v/>
      </c>
    </row>
    <row r="635" spans="1:12" ht="15" customHeight="1">
      <c r="A635" s="37" t="str">
        <f>IF(630&lt;=COUNTA(半紙!$B$11:$B$310),"半紙",IF(630&lt;=COUNTA(半紙!$B$11:$B$310)+COUNTA(条幅!$B$11:$B$310),"条幅(半切)",IF(630&lt;=COUNTA(半紙!$B$11:$B$310)+COUNTA(条幅!$B$11:$B$310)+COUNTA(条幅4分の1!$B$11:$B$310),"条幅(1/4)","")))</f>
        <v/>
      </c>
      <c r="B635" s="38" t="str">
        <f>IF(IF(630&lt;=COUNTA(半紙!$B$11:$B$310),INDEX(半紙!$B$11:$B$310,630),IF(630&lt;=COUNTA(半紙!$B$11:$B$310)+COUNTA(条幅!$B$11:$B$310),INDEX(条幅!$B$11:$B$310,630-COUNTA(半紙!$B$11:$B$310)),IF(630&lt;=COUNTA(半紙!$B$11:$B$310)+COUNTA(条幅!$B$11:$B$310)+COUNTA(条幅4分の1!$B$11:$B$310),INDEX(条幅4分の1!$B$11:$B$310,630-COUNTA(半紙!$B$11:$B$310)-COUNTA(条幅!$B$11:$B$310)),"")))=0,"",IF(630&lt;=COUNTA(半紙!$B$11:$B$310),INDEX(半紙!$B$11:$B$310,630),IF(630&lt;=COUNTA(半紙!$B$11:$B$310)+COUNTA(条幅!$B$11:$B$310),INDEX(条幅!$B$11:$B$310,630-COUNTA(半紙!$B$11:$B$310)),IF(630&lt;=COUNTA(半紙!$B$11:$B$310)+COUNTA(条幅!$B$11:$B$310)+COUNTA(条幅4分の1!$B$11:$B$310),INDEX(条幅4分の1!$B$11:$B$310,630-COUNTA(半紙!$B$11:$B$310)-COUNTA(条幅!$B$11:$B$310)),""))))</f>
        <v/>
      </c>
      <c r="C635" s="38" t="str">
        <f>IF(IF(630&lt;=COUNTA(半紙!$B$11:$B$310),INDEX(半紙!$C$11:$C$310,630),IF(630&lt;=COUNTA(半紙!$B$11:$B$310)+COUNTA(条幅!$B$11:$B$310),INDEX(条幅!$C$11:$C$310,630-COUNTA(半紙!$B$11:$B$310)),IF(630&lt;=COUNTA(半紙!$B$11:$B$310)+COUNTA(条幅!$B$11:$B$310)+COUNTA(条幅4分の1!$B$11:$B$310),INDEX(条幅4分の1!$C$11:$C$310,630-COUNTA(半紙!$B$11:$B$310)-COUNTA(条幅!$B$11:$B$310)),"")))=0,"",IF(630&lt;=COUNTA(半紙!$B$11:$B$310),INDEX(半紙!$C$11:$C$310,630),IF(630&lt;=COUNTA(半紙!$B$11:$B$310)+COUNTA(条幅!$B$11:$B$310),INDEX(条幅!$C$11:$C$310,630-COUNTA(半紙!$B$11:$B$310)),IF(630&lt;=COUNTA(半紙!$B$11:$B$310)+COUNTA(条幅!$B$11:$B$310)+COUNTA(条幅4分の1!$B$11:$B$310),INDEX(条幅4分の1!$C$11:$C$310,630-COUNTA(半紙!$B$11:$B$310)-COUNTA(条幅!$B$11:$B$310)),""))))</f>
        <v/>
      </c>
      <c r="D635" s="38" t="str">
        <f>IF(IF(630&lt;=COUNTA(半紙!$B$11:$B$310),INDEX(半紙!$D$11:$D$310,630),IF(630&lt;=COUNTA(半紙!$B$11:$B$310)+COUNTA(条幅!$B$11:$B$310),INDEX(条幅!$D$11:$D$310,630-COUNTA(半紙!$B$11:$B$310)),IF(630&lt;=COUNTA(半紙!$B$11:$B$310)+COUNTA(条幅!$B$11:$B$310)+COUNTA(条幅4分の1!$B$11:$B$310),INDEX(条幅4分の1!$D$11:$D$310,630-COUNTA(半紙!$B$11:$B$310)-COUNTA(条幅!$B$11:$B$310)),"")))=0,"",IF(630&lt;=COUNTA(半紙!$B$11:$B$310),INDEX(半紙!$D$11:$D$310,630),IF(630&lt;=COUNTA(半紙!$B$11:$B$310)+COUNTA(条幅!$B$11:$B$310),INDEX(条幅!$D$11:$D$310,630-COUNTA(半紙!$B$11:$B$310)),IF(630&lt;=COUNTA(半紙!$B$11:$B$310)+COUNTA(条幅!$B$11:$B$310)+COUNTA(条幅4分の1!$B$11:$B$310),INDEX(条幅4分の1!$D$11:$D$310,630-COUNTA(半紙!$B$11:$B$310)-COUNTA(条幅!$B$11:$B$310)),""))))</f>
        <v/>
      </c>
      <c r="E635" s="38" t="str">
        <f>IF(IF(630&lt;=COUNTA(半紙!$B$11:$B$310),INDEX(半紙!$E$11:$E$310,630),IF(630&lt;=COUNTA(半紙!$B$11:$B$310)+COUNTA(条幅!$B$11:$B$310),INDEX(条幅!$E$11:$E$310,630-COUNTA(半紙!$B$11:$B$310)),IF(630&lt;=COUNTA(半紙!$B$11:$B$310)+COUNTA(条幅!$B$11:$B$310)+COUNTA(条幅4分の1!$B$11:$B$310),INDEX(条幅4分の1!$E$11:$E$310,630-COUNTA(半紙!$B$11:$B$310)-COUNTA(条幅!$B$11:$B$310)),"")))=0,"",IF(630&lt;=COUNTA(半紙!$B$11:$B$310),INDEX(半紙!$E$11:$E$310,630),IF(630&lt;=COUNTA(半紙!$B$11:$B$310)+COUNTA(条幅!$B$11:$B$310),INDEX(条幅!$E$11:$E$310,630-COUNTA(半紙!$B$11:$B$310)),IF(630&lt;=COUNTA(半紙!$B$11:$B$310)+COUNTA(条幅!$B$11:$B$310)+COUNTA(条幅4分の1!$B$11:$B$310),INDEX(条幅4分の1!$E$11:$E$310,630-COUNTA(半紙!$B$11:$B$310)-COUNTA(条幅!$B$11:$B$310)),""))))</f>
        <v/>
      </c>
      <c r="F635" s="38" t="str">
        <f>IF(IF(630&lt;=COUNTA(半紙!$B$11:$B$310),INDEX(半紙!$F$11:$F$310,630),IF(630&lt;=COUNTA(半紙!$B$11:$B$310)+COUNTA(条幅!$B$11:$B$310),INDEX(条幅!$F$11:$F$310,630-COUNTA(半紙!$B$11:$B$310)),IF(630&lt;=COUNTA(半紙!$B$11:$B$310)+COUNTA(条幅!$B$11:$B$310)+COUNTA(条幅4分の1!$B$11:$B$310),INDEX(条幅4分の1!$F$11:$F$310,630-COUNTA(半紙!$B$11:$B$310)-COUNTA(条幅!$B$11:$B$310)),"")))=0,"",IF(630&lt;=COUNTA(半紙!$B$11:$B$310),INDEX(半紙!$F$11:$F$310,630),IF(630&lt;=COUNTA(半紙!$B$11:$B$310)+COUNTA(条幅!$B$11:$B$310),INDEX(条幅!$F$11:$F$310,630-COUNTA(半紙!$B$11:$B$310)),IF(630&lt;=COUNTA(半紙!$B$11:$B$310)+COUNTA(条幅!$B$11:$B$310)+COUNTA(条幅4分の1!$B$11:$B$310),INDEX(条幅4分の1!$F$11:$F$310,630-COUNTA(半紙!$B$11:$B$310)-COUNTA(条幅!$B$11:$B$310)),""))))</f>
        <v/>
      </c>
      <c r="G635" s="38" t="str">
        <f>IF(IF(630&lt;=COUNTA(半紙!$B$11:$B$310),INDEX(半紙!$G$11:$G$310,630),IF(630&lt;=COUNTA(半紙!$B$11:$B$310)+COUNTA(条幅!$B$11:$B$310),INDEX(条幅!$G$11:$G$310,630-COUNTA(半紙!$B$11:$B$310)),IF(630&lt;=COUNTA(半紙!$B$11:$B$310)+COUNTA(条幅!$B$11:$B$310)+COUNTA(条幅4分の1!$B$11:$B$310),INDEX(条幅4分の1!$G$11:$G$310,630-COUNTA(半紙!$B$11:$B$310)-COUNTA(条幅!$B$11:$B$310)),"")))=0,"",IF(630&lt;=COUNTA(半紙!$B$11:$B$310),INDEX(半紙!$G$11:$G$310,630),IF(630&lt;=COUNTA(半紙!$B$11:$B$310)+COUNTA(条幅!$B$11:$B$310),INDEX(条幅!$G$11:$G$310,630-COUNTA(半紙!$B$11:$B$310)),IF(630&lt;=COUNTA(半紙!$B$11:$B$310)+COUNTA(条幅!$B$11:$B$310)+COUNTA(条幅4分の1!$B$11:$B$310),INDEX(条幅4分の1!$G$11:$G$310,630-COUNTA(半紙!$B$11:$B$310)-COUNTA(条幅!$B$11:$B$310)),""))))</f>
        <v/>
      </c>
      <c r="H635" s="38" t="str">
        <f>IF(IF(630&lt;=COUNTA(半紙!$B$11:$B$310),INDEX(半紙!$H$11:$H$310,630),IF(630&lt;=COUNTA(半紙!$B$11:$B$310)+COUNTA(条幅!$B$11:$B$310),INDEX(条幅!$H$11:$H$310,630-COUNTA(半紙!$B$11:$B$310)),IF(630&lt;=COUNTA(半紙!$B$11:$B$310)+COUNTA(条幅!$B$11:$B$310)+COUNTA(条幅4分の1!$B$11:$B$310),INDEX(条幅4分の1!$H$11:$H$310,630-COUNTA(半紙!$B$11:$B$310)-COUNTA(条幅!$B$11:$B$310)),"")))=0,"",IF(630&lt;=COUNTA(半紙!$B$11:$B$310),INDEX(半紙!$H$11:$H$310,630),IF(630&lt;=COUNTA(半紙!$B$11:$B$310)+COUNTA(条幅!$B$11:$B$310),INDEX(条幅!$H$11:$H$310,630-COUNTA(半紙!$B$11:$B$310)),IF(630&lt;=COUNTA(半紙!$B$11:$B$310)+COUNTA(条幅!$B$11:$B$310)+COUNTA(条幅4分の1!$B$11:$B$310),INDEX(条幅4分の1!$H$11:$H$310,630-COUNTA(半紙!$B$11:$B$310)-COUNTA(条幅!$B$11:$B$310)),""))))</f>
        <v/>
      </c>
      <c r="I635" s="38" t="str">
        <f>IF(IF(630&lt;=COUNTA(半紙!$B$11:$B$310),INDEX(半紙!$I$11:$I$310,630),IF(630&lt;=COUNTA(半紙!$B$11:$B$310)+COUNTA(条幅!$B$11:$B$310),INDEX(条幅!$I$11:$I$310,630-COUNTA(半紙!$B$11:$B$310)),IF(630&lt;=COUNTA(半紙!$B$11:$B$310)+COUNTA(条幅!$B$11:$B$310)+COUNTA(条幅4分の1!$B$11:$B$310),INDEX(条幅4分の1!$I$11:$I$310,630-COUNTA(半紙!$B$11:$B$310)-COUNTA(条幅!$B$11:$B$310)),"")))=0,"",IF(630&lt;=COUNTA(半紙!$B$11:$B$310),INDEX(半紙!$I$11:$I$310,630),IF(630&lt;=COUNTA(半紙!$B$11:$B$310)+COUNTA(条幅!$B$11:$B$310),INDEX(条幅!$I$11:$I$310,630-COUNTA(半紙!$B$11:$B$310)),IF(630&lt;=COUNTA(半紙!$B$11:$B$310)+COUNTA(条幅!$B$11:$B$310)+COUNTA(条幅4分の1!$B$11:$B$310),INDEX(条幅4分の1!$I$11:$I$310,630-COUNTA(半紙!$B$11:$B$310)-COUNTA(条幅!$B$11:$B$310)),""))))</f>
        <v/>
      </c>
      <c r="J635" s="38" t="str">
        <f>IF(IF(630&lt;=COUNTA(半紙!$B$11:$B$310),INDEX(半紙!$J$11:$J$310,630),IF(630&lt;=COUNTA(半紙!$B$11:$B$310)+COUNTA(条幅!$B$11:$B$310),INDEX(条幅!$J$11:$J$310,630-COUNTA(半紙!$B$11:$B$310)),IF(630&lt;=COUNTA(半紙!$B$11:$B$310)+COUNTA(条幅!$B$11:$B$310)+COUNTA(条幅4分の1!$B$11:$B$310),INDEX(条幅4分の1!$J$11:$J$310,630-COUNTA(半紙!$B$11:$B$310)-COUNTA(条幅!$B$11:$B$310)),"")))=0,"",IF(630&lt;=COUNTA(半紙!$B$11:$B$310),INDEX(半紙!$J$11:$J$310,630),IF(630&lt;=COUNTA(半紙!$B$11:$B$310)+COUNTA(条幅!$B$11:$B$310),INDEX(条幅!$J$11:$J$310,630-COUNTA(半紙!$B$11:$B$310)),IF(630&lt;=COUNTA(半紙!$B$11:$B$310)+COUNTA(条幅!$B$11:$B$310)+COUNTA(条幅4分の1!$B$11:$B$310),INDEX(条幅4分の1!$J$11:$J$310,630-COUNTA(半紙!$B$11:$B$310)-COUNTA(条幅!$B$11:$B$310)),""))))</f>
        <v/>
      </c>
      <c r="K635" s="38" t="str">
        <f>IF(IF(630&lt;=COUNTA(半紙!$B$11:$B$310),INDEX(半紙!$K$11:$K$310,630),IF(630&lt;=COUNTA(半紙!$B$11:$B$310)+COUNTA(条幅!$B$11:$B$310),INDEX(条幅!$K$11:$K$310,630-COUNTA(半紙!$B$11:$B$310)),IF(630&lt;=COUNTA(半紙!$B$11:$B$310)+COUNTA(条幅!$B$11:$B$310)+COUNTA(条幅4分の1!$B$11:$B$310),INDEX(条幅4分の1!$K$11:$K$310,630-COUNTA(半紙!$B$11:$B$310)-COUNTA(条幅!$B$11:$B$310)),"")))=0,"",IF(630&lt;=COUNTA(半紙!$B$11:$B$310),INDEX(半紙!$K$11:$K$310,630),IF(630&lt;=COUNTA(半紙!$B$11:$B$310)+COUNTA(条幅!$B$11:$B$310),INDEX(条幅!$K$11:$K$310,630-COUNTA(半紙!$B$11:$B$310)),IF(630&lt;=COUNTA(半紙!$B$11:$B$310)+COUNTA(条幅!$B$11:$B$310)+COUNTA(条幅4分の1!$B$11:$B$310),INDEX(条幅4分の1!$K$11:$K$310,630-COUNTA(半紙!$B$11:$B$310)-COUNTA(条幅!$B$11:$B$310)),""))))</f>
        <v/>
      </c>
      <c r="L635" s="48" t="str">
        <f>IF($B635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630))</f>
        <v/>
      </c>
    </row>
    <row r="636" spans="1:12" ht="15" customHeight="1">
      <c r="A636" s="37" t="str">
        <f>IF(631&lt;=COUNTA(半紙!$B$11:$B$310),"半紙",IF(631&lt;=COUNTA(半紙!$B$11:$B$310)+COUNTA(条幅!$B$11:$B$310),"条幅(半切)",IF(631&lt;=COUNTA(半紙!$B$11:$B$310)+COUNTA(条幅!$B$11:$B$310)+COUNTA(条幅4分の1!$B$11:$B$310),"条幅(1/4)","")))</f>
        <v/>
      </c>
      <c r="B636" s="38" t="str">
        <f>IF(IF(631&lt;=COUNTA(半紙!$B$11:$B$310),INDEX(半紙!$B$11:$B$310,631),IF(631&lt;=COUNTA(半紙!$B$11:$B$310)+COUNTA(条幅!$B$11:$B$310),INDEX(条幅!$B$11:$B$310,631-COUNTA(半紙!$B$11:$B$310)),IF(631&lt;=COUNTA(半紙!$B$11:$B$310)+COUNTA(条幅!$B$11:$B$310)+COUNTA(条幅4分の1!$B$11:$B$310),INDEX(条幅4分の1!$B$11:$B$310,631-COUNTA(半紙!$B$11:$B$310)-COUNTA(条幅!$B$11:$B$310)),"")))=0,"",IF(631&lt;=COUNTA(半紙!$B$11:$B$310),INDEX(半紙!$B$11:$B$310,631),IF(631&lt;=COUNTA(半紙!$B$11:$B$310)+COUNTA(条幅!$B$11:$B$310),INDEX(条幅!$B$11:$B$310,631-COUNTA(半紙!$B$11:$B$310)),IF(631&lt;=COUNTA(半紙!$B$11:$B$310)+COUNTA(条幅!$B$11:$B$310)+COUNTA(条幅4分の1!$B$11:$B$310),INDEX(条幅4分の1!$B$11:$B$310,631-COUNTA(半紙!$B$11:$B$310)-COUNTA(条幅!$B$11:$B$310)),""))))</f>
        <v/>
      </c>
      <c r="C636" s="38" t="str">
        <f>IF(IF(631&lt;=COUNTA(半紙!$B$11:$B$310),INDEX(半紙!$C$11:$C$310,631),IF(631&lt;=COUNTA(半紙!$B$11:$B$310)+COUNTA(条幅!$B$11:$B$310),INDEX(条幅!$C$11:$C$310,631-COUNTA(半紙!$B$11:$B$310)),IF(631&lt;=COUNTA(半紙!$B$11:$B$310)+COUNTA(条幅!$B$11:$B$310)+COUNTA(条幅4分の1!$B$11:$B$310),INDEX(条幅4分の1!$C$11:$C$310,631-COUNTA(半紙!$B$11:$B$310)-COUNTA(条幅!$B$11:$B$310)),"")))=0,"",IF(631&lt;=COUNTA(半紙!$B$11:$B$310),INDEX(半紙!$C$11:$C$310,631),IF(631&lt;=COUNTA(半紙!$B$11:$B$310)+COUNTA(条幅!$B$11:$B$310),INDEX(条幅!$C$11:$C$310,631-COUNTA(半紙!$B$11:$B$310)),IF(631&lt;=COUNTA(半紙!$B$11:$B$310)+COUNTA(条幅!$B$11:$B$310)+COUNTA(条幅4分の1!$B$11:$B$310),INDEX(条幅4分の1!$C$11:$C$310,631-COUNTA(半紙!$B$11:$B$310)-COUNTA(条幅!$B$11:$B$310)),""))))</f>
        <v/>
      </c>
      <c r="D636" s="38" t="str">
        <f>IF(IF(631&lt;=COUNTA(半紙!$B$11:$B$310),INDEX(半紙!$D$11:$D$310,631),IF(631&lt;=COUNTA(半紙!$B$11:$B$310)+COUNTA(条幅!$B$11:$B$310),INDEX(条幅!$D$11:$D$310,631-COUNTA(半紙!$B$11:$B$310)),IF(631&lt;=COUNTA(半紙!$B$11:$B$310)+COUNTA(条幅!$B$11:$B$310)+COUNTA(条幅4分の1!$B$11:$B$310),INDEX(条幅4分の1!$D$11:$D$310,631-COUNTA(半紙!$B$11:$B$310)-COUNTA(条幅!$B$11:$B$310)),"")))=0,"",IF(631&lt;=COUNTA(半紙!$B$11:$B$310),INDEX(半紙!$D$11:$D$310,631),IF(631&lt;=COUNTA(半紙!$B$11:$B$310)+COUNTA(条幅!$B$11:$B$310),INDEX(条幅!$D$11:$D$310,631-COUNTA(半紙!$B$11:$B$310)),IF(631&lt;=COUNTA(半紙!$B$11:$B$310)+COUNTA(条幅!$B$11:$B$310)+COUNTA(条幅4分の1!$B$11:$B$310),INDEX(条幅4分の1!$D$11:$D$310,631-COUNTA(半紙!$B$11:$B$310)-COUNTA(条幅!$B$11:$B$310)),""))))</f>
        <v/>
      </c>
      <c r="E636" s="38" t="str">
        <f>IF(IF(631&lt;=COUNTA(半紙!$B$11:$B$310),INDEX(半紙!$E$11:$E$310,631),IF(631&lt;=COUNTA(半紙!$B$11:$B$310)+COUNTA(条幅!$B$11:$B$310),INDEX(条幅!$E$11:$E$310,631-COUNTA(半紙!$B$11:$B$310)),IF(631&lt;=COUNTA(半紙!$B$11:$B$310)+COUNTA(条幅!$B$11:$B$310)+COUNTA(条幅4分の1!$B$11:$B$310),INDEX(条幅4分の1!$E$11:$E$310,631-COUNTA(半紙!$B$11:$B$310)-COUNTA(条幅!$B$11:$B$310)),"")))=0,"",IF(631&lt;=COUNTA(半紙!$B$11:$B$310),INDEX(半紙!$E$11:$E$310,631),IF(631&lt;=COUNTA(半紙!$B$11:$B$310)+COUNTA(条幅!$B$11:$B$310),INDEX(条幅!$E$11:$E$310,631-COUNTA(半紙!$B$11:$B$310)),IF(631&lt;=COUNTA(半紙!$B$11:$B$310)+COUNTA(条幅!$B$11:$B$310)+COUNTA(条幅4分の1!$B$11:$B$310),INDEX(条幅4分の1!$E$11:$E$310,631-COUNTA(半紙!$B$11:$B$310)-COUNTA(条幅!$B$11:$B$310)),""))))</f>
        <v/>
      </c>
      <c r="F636" s="38" t="str">
        <f>IF(IF(631&lt;=COUNTA(半紙!$B$11:$B$310),INDEX(半紙!$F$11:$F$310,631),IF(631&lt;=COUNTA(半紙!$B$11:$B$310)+COUNTA(条幅!$B$11:$B$310),INDEX(条幅!$F$11:$F$310,631-COUNTA(半紙!$B$11:$B$310)),IF(631&lt;=COUNTA(半紙!$B$11:$B$310)+COUNTA(条幅!$B$11:$B$310)+COUNTA(条幅4分の1!$B$11:$B$310),INDEX(条幅4分の1!$F$11:$F$310,631-COUNTA(半紙!$B$11:$B$310)-COUNTA(条幅!$B$11:$B$310)),"")))=0,"",IF(631&lt;=COUNTA(半紙!$B$11:$B$310),INDEX(半紙!$F$11:$F$310,631),IF(631&lt;=COUNTA(半紙!$B$11:$B$310)+COUNTA(条幅!$B$11:$B$310),INDEX(条幅!$F$11:$F$310,631-COUNTA(半紙!$B$11:$B$310)),IF(631&lt;=COUNTA(半紙!$B$11:$B$310)+COUNTA(条幅!$B$11:$B$310)+COUNTA(条幅4分の1!$B$11:$B$310),INDEX(条幅4分の1!$F$11:$F$310,631-COUNTA(半紙!$B$11:$B$310)-COUNTA(条幅!$B$11:$B$310)),""))))</f>
        <v/>
      </c>
      <c r="G636" s="38" t="str">
        <f>IF(IF(631&lt;=COUNTA(半紙!$B$11:$B$310),INDEX(半紙!$G$11:$G$310,631),IF(631&lt;=COUNTA(半紙!$B$11:$B$310)+COUNTA(条幅!$B$11:$B$310),INDEX(条幅!$G$11:$G$310,631-COUNTA(半紙!$B$11:$B$310)),IF(631&lt;=COUNTA(半紙!$B$11:$B$310)+COUNTA(条幅!$B$11:$B$310)+COUNTA(条幅4分の1!$B$11:$B$310),INDEX(条幅4分の1!$G$11:$G$310,631-COUNTA(半紙!$B$11:$B$310)-COUNTA(条幅!$B$11:$B$310)),"")))=0,"",IF(631&lt;=COUNTA(半紙!$B$11:$B$310),INDEX(半紙!$G$11:$G$310,631),IF(631&lt;=COUNTA(半紙!$B$11:$B$310)+COUNTA(条幅!$B$11:$B$310),INDEX(条幅!$G$11:$G$310,631-COUNTA(半紙!$B$11:$B$310)),IF(631&lt;=COUNTA(半紙!$B$11:$B$310)+COUNTA(条幅!$B$11:$B$310)+COUNTA(条幅4分の1!$B$11:$B$310),INDEX(条幅4分の1!$G$11:$G$310,631-COUNTA(半紙!$B$11:$B$310)-COUNTA(条幅!$B$11:$B$310)),""))))</f>
        <v/>
      </c>
      <c r="H636" s="38" t="str">
        <f>IF(IF(631&lt;=COUNTA(半紙!$B$11:$B$310),INDEX(半紙!$H$11:$H$310,631),IF(631&lt;=COUNTA(半紙!$B$11:$B$310)+COUNTA(条幅!$B$11:$B$310),INDEX(条幅!$H$11:$H$310,631-COUNTA(半紙!$B$11:$B$310)),IF(631&lt;=COUNTA(半紙!$B$11:$B$310)+COUNTA(条幅!$B$11:$B$310)+COUNTA(条幅4分の1!$B$11:$B$310),INDEX(条幅4分の1!$H$11:$H$310,631-COUNTA(半紙!$B$11:$B$310)-COUNTA(条幅!$B$11:$B$310)),"")))=0,"",IF(631&lt;=COUNTA(半紙!$B$11:$B$310),INDEX(半紙!$H$11:$H$310,631),IF(631&lt;=COUNTA(半紙!$B$11:$B$310)+COUNTA(条幅!$B$11:$B$310),INDEX(条幅!$H$11:$H$310,631-COUNTA(半紙!$B$11:$B$310)),IF(631&lt;=COUNTA(半紙!$B$11:$B$310)+COUNTA(条幅!$B$11:$B$310)+COUNTA(条幅4分の1!$B$11:$B$310),INDEX(条幅4分の1!$H$11:$H$310,631-COUNTA(半紙!$B$11:$B$310)-COUNTA(条幅!$B$11:$B$310)),""))))</f>
        <v/>
      </c>
      <c r="I636" s="38" t="str">
        <f>IF(IF(631&lt;=COUNTA(半紙!$B$11:$B$310),INDEX(半紙!$I$11:$I$310,631),IF(631&lt;=COUNTA(半紙!$B$11:$B$310)+COUNTA(条幅!$B$11:$B$310),INDEX(条幅!$I$11:$I$310,631-COUNTA(半紙!$B$11:$B$310)),IF(631&lt;=COUNTA(半紙!$B$11:$B$310)+COUNTA(条幅!$B$11:$B$310)+COUNTA(条幅4分の1!$B$11:$B$310),INDEX(条幅4分の1!$I$11:$I$310,631-COUNTA(半紙!$B$11:$B$310)-COUNTA(条幅!$B$11:$B$310)),"")))=0,"",IF(631&lt;=COUNTA(半紙!$B$11:$B$310),INDEX(半紙!$I$11:$I$310,631),IF(631&lt;=COUNTA(半紙!$B$11:$B$310)+COUNTA(条幅!$B$11:$B$310),INDEX(条幅!$I$11:$I$310,631-COUNTA(半紙!$B$11:$B$310)),IF(631&lt;=COUNTA(半紙!$B$11:$B$310)+COUNTA(条幅!$B$11:$B$310)+COUNTA(条幅4分の1!$B$11:$B$310),INDEX(条幅4分の1!$I$11:$I$310,631-COUNTA(半紙!$B$11:$B$310)-COUNTA(条幅!$B$11:$B$310)),""))))</f>
        <v/>
      </c>
      <c r="J636" s="38" t="str">
        <f>IF(IF(631&lt;=COUNTA(半紙!$B$11:$B$310),INDEX(半紙!$J$11:$J$310,631),IF(631&lt;=COUNTA(半紙!$B$11:$B$310)+COUNTA(条幅!$B$11:$B$310),INDEX(条幅!$J$11:$J$310,631-COUNTA(半紙!$B$11:$B$310)),IF(631&lt;=COUNTA(半紙!$B$11:$B$310)+COUNTA(条幅!$B$11:$B$310)+COUNTA(条幅4分の1!$B$11:$B$310),INDEX(条幅4分の1!$J$11:$J$310,631-COUNTA(半紙!$B$11:$B$310)-COUNTA(条幅!$B$11:$B$310)),"")))=0,"",IF(631&lt;=COUNTA(半紙!$B$11:$B$310),INDEX(半紙!$J$11:$J$310,631),IF(631&lt;=COUNTA(半紙!$B$11:$B$310)+COUNTA(条幅!$B$11:$B$310),INDEX(条幅!$J$11:$J$310,631-COUNTA(半紙!$B$11:$B$310)),IF(631&lt;=COUNTA(半紙!$B$11:$B$310)+COUNTA(条幅!$B$11:$B$310)+COUNTA(条幅4分の1!$B$11:$B$310),INDEX(条幅4分の1!$J$11:$J$310,631-COUNTA(半紙!$B$11:$B$310)-COUNTA(条幅!$B$11:$B$310)),""))))</f>
        <v/>
      </c>
      <c r="K636" s="38" t="str">
        <f>IF(IF(631&lt;=COUNTA(半紙!$B$11:$B$310),INDEX(半紙!$K$11:$K$310,631),IF(631&lt;=COUNTA(半紙!$B$11:$B$310)+COUNTA(条幅!$B$11:$B$310),INDEX(条幅!$K$11:$K$310,631-COUNTA(半紙!$B$11:$B$310)),IF(631&lt;=COUNTA(半紙!$B$11:$B$310)+COUNTA(条幅!$B$11:$B$310)+COUNTA(条幅4分の1!$B$11:$B$310),INDEX(条幅4分の1!$K$11:$K$310,631-COUNTA(半紙!$B$11:$B$310)-COUNTA(条幅!$B$11:$B$310)),"")))=0,"",IF(631&lt;=COUNTA(半紙!$B$11:$B$310),INDEX(半紙!$K$11:$K$310,631),IF(631&lt;=COUNTA(半紙!$B$11:$B$310)+COUNTA(条幅!$B$11:$B$310),INDEX(条幅!$K$11:$K$310,631-COUNTA(半紙!$B$11:$B$310)),IF(631&lt;=COUNTA(半紙!$B$11:$B$310)+COUNTA(条幅!$B$11:$B$310)+COUNTA(条幅4分の1!$B$11:$B$310),INDEX(条幅4分の1!$K$11:$K$310,631-COUNTA(半紙!$B$11:$B$310)-COUNTA(条幅!$B$11:$B$310)),""))))</f>
        <v/>
      </c>
      <c r="L636" s="48" t="str">
        <f>IF($B636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631))</f>
        <v/>
      </c>
    </row>
    <row r="637" spans="1:12" ht="15" customHeight="1">
      <c r="A637" s="37" t="str">
        <f>IF(632&lt;=COUNTA(半紙!$B$11:$B$310),"半紙",IF(632&lt;=COUNTA(半紙!$B$11:$B$310)+COUNTA(条幅!$B$11:$B$310),"条幅(半切)",IF(632&lt;=COUNTA(半紙!$B$11:$B$310)+COUNTA(条幅!$B$11:$B$310)+COUNTA(条幅4分の1!$B$11:$B$310),"条幅(1/4)","")))</f>
        <v/>
      </c>
      <c r="B637" s="38" t="str">
        <f>IF(IF(632&lt;=COUNTA(半紙!$B$11:$B$310),INDEX(半紙!$B$11:$B$310,632),IF(632&lt;=COUNTA(半紙!$B$11:$B$310)+COUNTA(条幅!$B$11:$B$310),INDEX(条幅!$B$11:$B$310,632-COUNTA(半紙!$B$11:$B$310)),IF(632&lt;=COUNTA(半紙!$B$11:$B$310)+COUNTA(条幅!$B$11:$B$310)+COUNTA(条幅4分の1!$B$11:$B$310),INDEX(条幅4分の1!$B$11:$B$310,632-COUNTA(半紙!$B$11:$B$310)-COUNTA(条幅!$B$11:$B$310)),"")))=0,"",IF(632&lt;=COUNTA(半紙!$B$11:$B$310),INDEX(半紙!$B$11:$B$310,632),IF(632&lt;=COUNTA(半紙!$B$11:$B$310)+COUNTA(条幅!$B$11:$B$310),INDEX(条幅!$B$11:$B$310,632-COUNTA(半紙!$B$11:$B$310)),IF(632&lt;=COUNTA(半紙!$B$11:$B$310)+COUNTA(条幅!$B$11:$B$310)+COUNTA(条幅4分の1!$B$11:$B$310),INDEX(条幅4分の1!$B$11:$B$310,632-COUNTA(半紙!$B$11:$B$310)-COUNTA(条幅!$B$11:$B$310)),""))))</f>
        <v/>
      </c>
      <c r="C637" s="38" t="str">
        <f>IF(IF(632&lt;=COUNTA(半紙!$B$11:$B$310),INDEX(半紙!$C$11:$C$310,632),IF(632&lt;=COUNTA(半紙!$B$11:$B$310)+COUNTA(条幅!$B$11:$B$310),INDEX(条幅!$C$11:$C$310,632-COUNTA(半紙!$B$11:$B$310)),IF(632&lt;=COUNTA(半紙!$B$11:$B$310)+COUNTA(条幅!$B$11:$B$310)+COUNTA(条幅4分の1!$B$11:$B$310),INDEX(条幅4分の1!$C$11:$C$310,632-COUNTA(半紙!$B$11:$B$310)-COUNTA(条幅!$B$11:$B$310)),"")))=0,"",IF(632&lt;=COUNTA(半紙!$B$11:$B$310),INDEX(半紙!$C$11:$C$310,632),IF(632&lt;=COUNTA(半紙!$B$11:$B$310)+COUNTA(条幅!$B$11:$B$310),INDEX(条幅!$C$11:$C$310,632-COUNTA(半紙!$B$11:$B$310)),IF(632&lt;=COUNTA(半紙!$B$11:$B$310)+COUNTA(条幅!$B$11:$B$310)+COUNTA(条幅4分の1!$B$11:$B$310),INDEX(条幅4分の1!$C$11:$C$310,632-COUNTA(半紙!$B$11:$B$310)-COUNTA(条幅!$B$11:$B$310)),""))))</f>
        <v/>
      </c>
      <c r="D637" s="38" t="str">
        <f>IF(IF(632&lt;=COUNTA(半紙!$B$11:$B$310),INDEX(半紙!$D$11:$D$310,632),IF(632&lt;=COUNTA(半紙!$B$11:$B$310)+COUNTA(条幅!$B$11:$B$310),INDEX(条幅!$D$11:$D$310,632-COUNTA(半紙!$B$11:$B$310)),IF(632&lt;=COUNTA(半紙!$B$11:$B$310)+COUNTA(条幅!$B$11:$B$310)+COUNTA(条幅4分の1!$B$11:$B$310),INDEX(条幅4分の1!$D$11:$D$310,632-COUNTA(半紙!$B$11:$B$310)-COUNTA(条幅!$B$11:$B$310)),"")))=0,"",IF(632&lt;=COUNTA(半紙!$B$11:$B$310),INDEX(半紙!$D$11:$D$310,632),IF(632&lt;=COUNTA(半紙!$B$11:$B$310)+COUNTA(条幅!$B$11:$B$310),INDEX(条幅!$D$11:$D$310,632-COUNTA(半紙!$B$11:$B$310)),IF(632&lt;=COUNTA(半紙!$B$11:$B$310)+COUNTA(条幅!$B$11:$B$310)+COUNTA(条幅4分の1!$B$11:$B$310),INDEX(条幅4分の1!$D$11:$D$310,632-COUNTA(半紙!$B$11:$B$310)-COUNTA(条幅!$B$11:$B$310)),""))))</f>
        <v/>
      </c>
      <c r="E637" s="38" t="str">
        <f>IF(IF(632&lt;=COUNTA(半紙!$B$11:$B$310),INDEX(半紙!$E$11:$E$310,632),IF(632&lt;=COUNTA(半紙!$B$11:$B$310)+COUNTA(条幅!$B$11:$B$310),INDEX(条幅!$E$11:$E$310,632-COUNTA(半紙!$B$11:$B$310)),IF(632&lt;=COUNTA(半紙!$B$11:$B$310)+COUNTA(条幅!$B$11:$B$310)+COUNTA(条幅4分の1!$B$11:$B$310),INDEX(条幅4分の1!$E$11:$E$310,632-COUNTA(半紙!$B$11:$B$310)-COUNTA(条幅!$B$11:$B$310)),"")))=0,"",IF(632&lt;=COUNTA(半紙!$B$11:$B$310),INDEX(半紙!$E$11:$E$310,632),IF(632&lt;=COUNTA(半紙!$B$11:$B$310)+COUNTA(条幅!$B$11:$B$310),INDEX(条幅!$E$11:$E$310,632-COUNTA(半紙!$B$11:$B$310)),IF(632&lt;=COUNTA(半紙!$B$11:$B$310)+COUNTA(条幅!$B$11:$B$310)+COUNTA(条幅4分の1!$B$11:$B$310),INDEX(条幅4分の1!$E$11:$E$310,632-COUNTA(半紙!$B$11:$B$310)-COUNTA(条幅!$B$11:$B$310)),""))))</f>
        <v/>
      </c>
      <c r="F637" s="38" t="str">
        <f>IF(IF(632&lt;=COUNTA(半紙!$B$11:$B$310),INDEX(半紙!$F$11:$F$310,632),IF(632&lt;=COUNTA(半紙!$B$11:$B$310)+COUNTA(条幅!$B$11:$B$310),INDEX(条幅!$F$11:$F$310,632-COUNTA(半紙!$B$11:$B$310)),IF(632&lt;=COUNTA(半紙!$B$11:$B$310)+COUNTA(条幅!$B$11:$B$310)+COUNTA(条幅4分の1!$B$11:$B$310),INDEX(条幅4分の1!$F$11:$F$310,632-COUNTA(半紙!$B$11:$B$310)-COUNTA(条幅!$B$11:$B$310)),"")))=0,"",IF(632&lt;=COUNTA(半紙!$B$11:$B$310),INDEX(半紙!$F$11:$F$310,632),IF(632&lt;=COUNTA(半紙!$B$11:$B$310)+COUNTA(条幅!$B$11:$B$310),INDEX(条幅!$F$11:$F$310,632-COUNTA(半紙!$B$11:$B$310)),IF(632&lt;=COUNTA(半紙!$B$11:$B$310)+COUNTA(条幅!$B$11:$B$310)+COUNTA(条幅4分の1!$B$11:$B$310),INDEX(条幅4分の1!$F$11:$F$310,632-COUNTA(半紙!$B$11:$B$310)-COUNTA(条幅!$B$11:$B$310)),""))))</f>
        <v/>
      </c>
      <c r="G637" s="38" t="str">
        <f>IF(IF(632&lt;=COUNTA(半紙!$B$11:$B$310),INDEX(半紙!$G$11:$G$310,632),IF(632&lt;=COUNTA(半紙!$B$11:$B$310)+COUNTA(条幅!$B$11:$B$310),INDEX(条幅!$G$11:$G$310,632-COUNTA(半紙!$B$11:$B$310)),IF(632&lt;=COUNTA(半紙!$B$11:$B$310)+COUNTA(条幅!$B$11:$B$310)+COUNTA(条幅4分の1!$B$11:$B$310),INDEX(条幅4分の1!$G$11:$G$310,632-COUNTA(半紙!$B$11:$B$310)-COUNTA(条幅!$B$11:$B$310)),"")))=0,"",IF(632&lt;=COUNTA(半紙!$B$11:$B$310),INDEX(半紙!$G$11:$G$310,632),IF(632&lt;=COUNTA(半紙!$B$11:$B$310)+COUNTA(条幅!$B$11:$B$310),INDEX(条幅!$G$11:$G$310,632-COUNTA(半紙!$B$11:$B$310)),IF(632&lt;=COUNTA(半紙!$B$11:$B$310)+COUNTA(条幅!$B$11:$B$310)+COUNTA(条幅4分の1!$B$11:$B$310),INDEX(条幅4分の1!$G$11:$G$310,632-COUNTA(半紙!$B$11:$B$310)-COUNTA(条幅!$B$11:$B$310)),""))))</f>
        <v/>
      </c>
      <c r="H637" s="38" t="str">
        <f>IF(IF(632&lt;=COUNTA(半紙!$B$11:$B$310),INDEX(半紙!$H$11:$H$310,632),IF(632&lt;=COUNTA(半紙!$B$11:$B$310)+COUNTA(条幅!$B$11:$B$310),INDEX(条幅!$H$11:$H$310,632-COUNTA(半紙!$B$11:$B$310)),IF(632&lt;=COUNTA(半紙!$B$11:$B$310)+COUNTA(条幅!$B$11:$B$310)+COUNTA(条幅4分の1!$B$11:$B$310),INDEX(条幅4分の1!$H$11:$H$310,632-COUNTA(半紙!$B$11:$B$310)-COUNTA(条幅!$B$11:$B$310)),"")))=0,"",IF(632&lt;=COUNTA(半紙!$B$11:$B$310),INDEX(半紙!$H$11:$H$310,632),IF(632&lt;=COUNTA(半紙!$B$11:$B$310)+COUNTA(条幅!$B$11:$B$310),INDEX(条幅!$H$11:$H$310,632-COUNTA(半紙!$B$11:$B$310)),IF(632&lt;=COUNTA(半紙!$B$11:$B$310)+COUNTA(条幅!$B$11:$B$310)+COUNTA(条幅4分の1!$B$11:$B$310),INDEX(条幅4分の1!$H$11:$H$310,632-COUNTA(半紙!$B$11:$B$310)-COUNTA(条幅!$B$11:$B$310)),""))))</f>
        <v/>
      </c>
      <c r="I637" s="38" t="str">
        <f>IF(IF(632&lt;=COUNTA(半紙!$B$11:$B$310),INDEX(半紙!$I$11:$I$310,632),IF(632&lt;=COUNTA(半紙!$B$11:$B$310)+COUNTA(条幅!$B$11:$B$310),INDEX(条幅!$I$11:$I$310,632-COUNTA(半紙!$B$11:$B$310)),IF(632&lt;=COUNTA(半紙!$B$11:$B$310)+COUNTA(条幅!$B$11:$B$310)+COUNTA(条幅4分の1!$B$11:$B$310),INDEX(条幅4分の1!$I$11:$I$310,632-COUNTA(半紙!$B$11:$B$310)-COUNTA(条幅!$B$11:$B$310)),"")))=0,"",IF(632&lt;=COUNTA(半紙!$B$11:$B$310),INDEX(半紙!$I$11:$I$310,632),IF(632&lt;=COUNTA(半紙!$B$11:$B$310)+COUNTA(条幅!$B$11:$B$310),INDEX(条幅!$I$11:$I$310,632-COUNTA(半紙!$B$11:$B$310)),IF(632&lt;=COUNTA(半紙!$B$11:$B$310)+COUNTA(条幅!$B$11:$B$310)+COUNTA(条幅4分の1!$B$11:$B$310),INDEX(条幅4分の1!$I$11:$I$310,632-COUNTA(半紙!$B$11:$B$310)-COUNTA(条幅!$B$11:$B$310)),""))))</f>
        <v/>
      </c>
      <c r="J637" s="38" t="str">
        <f>IF(IF(632&lt;=COUNTA(半紙!$B$11:$B$310),INDEX(半紙!$J$11:$J$310,632),IF(632&lt;=COUNTA(半紙!$B$11:$B$310)+COUNTA(条幅!$B$11:$B$310),INDEX(条幅!$J$11:$J$310,632-COUNTA(半紙!$B$11:$B$310)),IF(632&lt;=COUNTA(半紙!$B$11:$B$310)+COUNTA(条幅!$B$11:$B$310)+COUNTA(条幅4分の1!$B$11:$B$310),INDEX(条幅4分の1!$J$11:$J$310,632-COUNTA(半紙!$B$11:$B$310)-COUNTA(条幅!$B$11:$B$310)),"")))=0,"",IF(632&lt;=COUNTA(半紙!$B$11:$B$310),INDEX(半紙!$J$11:$J$310,632),IF(632&lt;=COUNTA(半紙!$B$11:$B$310)+COUNTA(条幅!$B$11:$B$310),INDEX(条幅!$J$11:$J$310,632-COUNTA(半紙!$B$11:$B$310)),IF(632&lt;=COUNTA(半紙!$B$11:$B$310)+COUNTA(条幅!$B$11:$B$310)+COUNTA(条幅4分の1!$B$11:$B$310),INDEX(条幅4分の1!$J$11:$J$310,632-COUNTA(半紙!$B$11:$B$310)-COUNTA(条幅!$B$11:$B$310)),""))))</f>
        <v/>
      </c>
      <c r="K637" s="38" t="str">
        <f>IF(IF(632&lt;=COUNTA(半紙!$B$11:$B$310),INDEX(半紙!$K$11:$K$310,632),IF(632&lt;=COUNTA(半紙!$B$11:$B$310)+COUNTA(条幅!$B$11:$B$310),INDEX(条幅!$K$11:$K$310,632-COUNTA(半紙!$B$11:$B$310)),IF(632&lt;=COUNTA(半紙!$B$11:$B$310)+COUNTA(条幅!$B$11:$B$310)+COUNTA(条幅4分の1!$B$11:$B$310),INDEX(条幅4分の1!$K$11:$K$310,632-COUNTA(半紙!$B$11:$B$310)-COUNTA(条幅!$B$11:$B$310)),"")))=0,"",IF(632&lt;=COUNTA(半紙!$B$11:$B$310),INDEX(半紙!$K$11:$K$310,632),IF(632&lt;=COUNTA(半紙!$B$11:$B$310)+COUNTA(条幅!$B$11:$B$310),INDEX(条幅!$K$11:$K$310,632-COUNTA(半紙!$B$11:$B$310)),IF(632&lt;=COUNTA(半紙!$B$11:$B$310)+COUNTA(条幅!$B$11:$B$310)+COUNTA(条幅4分の1!$B$11:$B$310),INDEX(条幅4分の1!$K$11:$K$310,632-COUNTA(半紙!$B$11:$B$310)-COUNTA(条幅!$B$11:$B$310)),""))))</f>
        <v/>
      </c>
      <c r="L637" s="48" t="str">
        <f>IF($B637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632))</f>
        <v/>
      </c>
    </row>
    <row r="638" spans="1:12" ht="15" customHeight="1">
      <c r="A638" s="37" t="str">
        <f>IF(633&lt;=COUNTA(半紙!$B$11:$B$310),"半紙",IF(633&lt;=COUNTA(半紙!$B$11:$B$310)+COUNTA(条幅!$B$11:$B$310),"条幅(半切)",IF(633&lt;=COUNTA(半紙!$B$11:$B$310)+COUNTA(条幅!$B$11:$B$310)+COUNTA(条幅4分の1!$B$11:$B$310),"条幅(1/4)","")))</f>
        <v/>
      </c>
      <c r="B638" s="38" t="str">
        <f>IF(IF(633&lt;=COUNTA(半紙!$B$11:$B$310),INDEX(半紙!$B$11:$B$310,633),IF(633&lt;=COUNTA(半紙!$B$11:$B$310)+COUNTA(条幅!$B$11:$B$310),INDEX(条幅!$B$11:$B$310,633-COUNTA(半紙!$B$11:$B$310)),IF(633&lt;=COUNTA(半紙!$B$11:$B$310)+COUNTA(条幅!$B$11:$B$310)+COUNTA(条幅4分の1!$B$11:$B$310),INDEX(条幅4分の1!$B$11:$B$310,633-COUNTA(半紙!$B$11:$B$310)-COUNTA(条幅!$B$11:$B$310)),"")))=0,"",IF(633&lt;=COUNTA(半紙!$B$11:$B$310),INDEX(半紙!$B$11:$B$310,633),IF(633&lt;=COUNTA(半紙!$B$11:$B$310)+COUNTA(条幅!$B$11:$B$310),INDEX(条幅!$B$11:$B$310,633-COUNTA(半紙!$B$11:$B$310)),IF(633&lt;=COUNTA(半紙!$B$11:$B$310)+COUNTA(条幅!$B$11:$B$310)+COUNTA(条幅4分の1!$B$11:$B$310),INDEX(条幅4分の1!$B$11:$B$310,633-COUNTA(半紙!$B$11:$B$310)-COUNTA(条幅!$B$11:$B$310)),""))))</f>
        <v/>
      </c>
      <c r="C638" s="38" t="str">
        <f>IF(IF(633&lt;=COUNTA(半紙!$B$11:$B$310),INDEX(半紙!$C$11:$C$310,633),IF(633&lt;=COUNTA(半紙!$B$11:$B$310)+COUNTA(条幅!$B$11:$B$310),INDEX(条幅!$C$11:$C$310,633-COUNTA(半紙!$B$11:$B$310)),IF(633&lt;=COUNTA(半紙!$B$11:$B$310)+COUNTA(条幅!$B$11:$B$310)+COUNTA(条幅4分の1!$B$11:$B$310),INDEX(条幅4分の1!$C$11:$C$310,633-COUNTA(半紙!$B$11:$B$310)-COUNTA(条幅!$B$11:$B$310)),"")))=0,"",IF(633&lt;=COUNTA(半紙!$B$11:$B$310),INDEX(半紙!$C$11:$C$310,633),IF(633&lt;=COUNTA(半紙!$B$11:$B$310)+COUNTA(条幅!$B$11:$B$310),INDEX(条幅!$C$11:$C$310,633-COUNTA(半紙!$B$11:$B$310)),IF(633&lt;=COUNTA(半紙!$B$11:$B$310)+COUNTA(条幅!$B$11:$B$310)+COUNTA(条幅4分の1!$B$11:$B$310),INDEX(条幅4分の1!$C$11:$C$310,633-COUNTA(半紙!$B$11:$B$310)-COUNTA(条幅!$B$11:$B$310)),""))))</f>
        <v/>
      </c>
      <c r="D638" s="38" t="str">
        <f>IF(IF(633&lt;=COUNTA(半紙!$B$11:$B$310),INDEX(半紙!$D$11:$D$310,633),IF(633&lt;=COUNTA(半紙!$B$11:$B$310)+COUNTA(条幅!$B$11:$B$310),INDEX(条幅!$D$11:$D$310,633-COUNTA(半紙!$B$11:$B$310)),IF(633&lt;=COUNTA(半紙!$B$11:$B$310)+COUNTA(条幅!$B$11:$B$310)+COUNTA(条幅4分の1!$B$11:$B$310),INDEX(条幅4分の1!$D$11:$D$310,633-COUNTA(半紙!$B$11:$B$310)-COUNTA(条幅!$B$11:$B$310)),"")))=0,"",IF(633&lt;=COUNTA(半紙!$B$11:$B$310),INDEX(半紙!$D$11:$D$310,633),IF(633&lt;=COUNTA(半紙!$B$11:$B$310)+COUNTA(条幅!$B$11:$B$310),INDEX(条幅!$D$11:$D$310,633-COUNTA(半紙!$B$11:$B$310)),IF(633&lt;=COUNTA(半紙!$B$11:$B$310)+COUNTA(条幅!$B$11:$B$310)+COUNTA(条幅4分の1!$B$11:$B$310),INDEX(条幅4分の1!$D$11:$D$310,633-COUNTA(半紙!$B$11:$B$310)-COUNTA(条幅!$B$11:$B$310)),""))))</f>
        <v/>
      </c>
      <c r="E638" s="38" t="str">
        <f>IF(IF(633&lt;=COUNTA(半紙!$B$11:$B$310),INDEX(半紙!$E$11:$E$310,633),IF(633&lt;=COUNTA(半紙!$B$11:$B$310)+COUNTA(条幅!$B$11:$B$310),INDEX(条幅!$E$11:$E$310,633-COUNTA(半紙!$B$11:$B$310)),IF(633&lt;=COUNTA(半紙!$B$11:$B$310)+COUNTA(条幅!$B$11:$B$310)+COUNTA(条幅4分の1!$B$11:$B$310),INDEX(条幅4分の1!$E$11:$E$310,633-COUNTA(半紙!$B$11:$B$310)-COUNTA(条幅!$B$11:$B$310)),"")))=0,"",IF(633&lt;=COUNTA(半紙!$B$11:$B$310),INDEX(半紙!$E$11:$E$310,633),IF(633&lt;=COUNTA(半紙!$B$11:$B$310)+COUNTA(条幅!$B$11:$B$310),INDEX(条幅!$E$11:$E$310,633-COUNTA(半紙!$B$11:$B$310)),IF(633&lt;=COUNTA(半紙!$B$11:$B$310)+COUNTA(条幅!$B$11:$B$310)+COUNTA(条幅4分の1!$B$11:$B$310),INDEX(条幅4分の1!$E$11:$E$310,633-COUNTA(半紙!$B$11:$B$310)-COUNTA(条幅!$B$11:$B$310)),""))))</f>
        <v/>
      </c>
      <c r="F638" s="38" t="str">
        <f>IF(IF(633&lt;=COUNTA(半紙!$B$11:$B$310),INDEX(半紙!$F$11:$F$310,633),IF(633&lt;=COUNTA(半紙!$B$11:$B$310)+COUNTA(条幅!$B$11:$B$310),INDEX(条幅!$F$11:$F$310,633-COUNTA(半紙!$B$11:$B$310)),IF(633&lt;=COUNTA(半紙!$B$11:$B$310)+COUNTA(条幅!$B$11:$B$310)+COUNTA(条幅4分の1!$B$11:$B$310),INDEX(条幅4分の1!$F$11:$F$310,633-COUNTA(半紙!$B$11:$B$310)-COUNTA(条幅!$B$11:$B$310)),"")))=0,"",IF(633&lt;=COUNTA(半紙!$B$11:$B$310),INDEX(半紙!$F$11:$F$310,633),IF(633&lt;=COUNTA(半紙!$B$11:$B$310)+COUNTA(条幅!$B$11:$B$310),INDEX(条幅!$F$11:$F$310,633-COUNTA(半紙!$B$11:$B$310)),IF(633&lt;=COUNTA(半紙!$B$11:$B$310)+COUNTA(条幅!$B$11:$B$310)+COUNTA(条幅4分の1!$B$11:$B$310),INDEX(条幅4分の1!$F$11:$F$310,633-COUNTA(半紙!$B$11:$B$310)-COUNTA(条幅!$B$11:$B$310)),""))))</f>
        <v/>
      </c>
      <c r="G638" s="38" t="str">
        <f>IF(IF(633&lt;=COUNTA(半紙!$B$11:$B$310),INDEX(半紙!$G$11:$G$310,633),IF(633&lt;=COUNTA(半紙!$B$11:$B$310)+COUNTA(条幅!$B$11:$B$310),INDEX(条幅!$G$11:$G$310,633-COUNTA(半紙!$B$11:$B$310)),IF(633&lt;=COUNTA(半紙!$B$11:$B$310)+COUNTA(条幅!$B$11:$B$310)+COUNTA(条幅4分の1!$B$11:$B$310),INDEX(条幅4分の1!$G$11:$G$310,633-COUNTA(半紙!$B$11:$B$310)-COUNTA(条幅!$B$11:$B$310)),"")))=0,"",IF(633&lt;=COUNTA(半紙!$B$11:$B$310),INDEX(半紙!$G$11:$G$310,633),IF(633&lt;=COUNTA(半紙!$B$11:$B$310)+COUNTA(条幅!$B$11:$B$310),INDEX(条幅!$G$11:$G$310,633-COUNTA(半紙!$B$11:$B$310)),IF(633&lt;=COUNTA(半紙!$B$11:$B$310)+COUNTA(条幅!$B$11:$B$310)+COUNTA(条幅4分の1!$B$11:$B$310),INDEX(条幅4分の1!$G$11:$G$310,633-COUNTA(半紙!$B$11:$B$310)-COUNTA(条幅!$B$11:$B$310)),""))))</f>
        <v/>
      </c>
      <c r="H638" s="38" t="str">
        <f>IF(IF(633&lt;=COUNTA(半紙!$B$11:$B$310),INDEX(半紙!$H$11:$H$310,633),IF(633&lt;=COUNTA(半紙!$B$11:$B$310)+COUNTA(条幅!$B$11:$B$310),INDEX(条幅!$H$11:$H$310,633-COUNTA(半紙!$B$11:$B$310)),IF(633&lt;=COUNTA(半紙!$B$11:$B$310)+COUNTA(条幅!$B$11:$B$310)+COUNTA(条幅4分の1!$B$11:$B$310),INDEX(条幅4分の1!$H$11:$H$310,633-COUNTA(半紙!$B$11:$B$310)-COUNTA(条幅!$B$11:$B$310)),"")))=0,"",IF(633&lt;=COUNTA(半紙!$B$11:$B$310),INDEX(半紙!$H$11:$H$310,633),IF(633&lt;=COUNTA(半紙!$B$11:$B$310)+COUNTA(条幅!$B$11:$B$310),INDEX(条幅!$H$11:$H$310,633-COUNTA(半紙!$B$11:$B$310)),IF(633&lt;=COUNTA(半紙!$B$11:$B$310)+COUNTA(条幅!$B$11:$B$310)+COUNTA(条幅4分の1!$B$11:$B$310),INDEX(条幅4分の1!$H$11:$H$310,633-COUNTA(半紙!$B$11:$B$310)-COUNTA(条幅!$B$11:$B$310)),""))))</f>
        <v/>
      </c>
      <c r="I638" s="38" t="str">
        <f>IF(IF(633&lt;=COUNTA(半紙!$B$11:$B$310),INDEX(半紙!$I$11:$I$310,633),IF(633&lt;=COUNTA(半紙!$B$11:$B$310)+COUNTA(条幅!$B$11:$B$310),INDEX(条幅!$I$11:$I$310,633-COUNTA(半紙!$B$11:$B$310)),IF(633&lt;=COUNTA(半紙!$B$11:$B$310)+COUNTA(条幅!$B$11:$B$310)+COUNTA(条幅4分の1!$B$11:$B$310),INDEX(条幅4分の1!$I$11:$I$310,633-COUNTA(半紙!$B$11:$B$310)-COUNTA(条幅!$B$11:$B$310)),"")))=0,"",IF(633&lt;=COUNTA(半紙!$B$11:$B$310),INDEX(半紙!$I$11:$I$310,633),IF(633&lt;=COUNTA(半紙!$B$11:$B$310)+COUNTA(条幅!$B$11:$B$310),INDEX(条幅!$I$11:$I$310,633-COUNTA(半紙!$B$11:$B$310)),IF(633&lt;=COUNTA(半紙!$B$11:$B$310)+COUNTA(条幅!$B$11:$B$310)+COUNTA(条幅4分の1!$B$11:$B$310),INDEX(条幅4分の1!$I$11:$I$310,633-COUNTA(半紙!$B$11:$B$310)-COUNTA(条幅!$B$11:$B$310)),""))))</f>
        <v/>
      </c>
      <c r="J638" s="38" t="str">
        <f>IF(IF(633&lt;=COUNTA(半紙!$B$11:$B$310),INDEX(半紙!$J$11:$J$310,633),IF(633&lt;=COUNTA(半紙!$B$11:$B$310)+COUNTA(条幅!$B$11:$B$310),INDEX(条幅!$J$11:$J$310,633-COUNTA(半紙!$B$11:$B$310)),IF(633&lt;=COUNTA(半紙!$B$11:$B$310)+COUNTA(条幅!$B$11:$B$310)+COUNTA(条幅4分の1!$B$11:$B$310),INDEX(条幅4分の1!$J$11:$J$310,633-COUNTA(半紙!$B$11:$B$310)-COUNTA(条幅!$B$11:$B$310)),"")))=0,"",IF(633&lt;=COUNTA(半紙!$B$11:$B$310),INDEX(半紙!$J$11:$J$310,633),IF(633&lt;=COUNTA(半紙!$B$11:$B$310)+COUNTA(条幅!$B$11:$B$310),INDEX(条幅!$J$11:$J$310,633-COUNTA(半紙!$B$11:$B$310)),IF(633&lt;=COUNTA(半紙!$B$11:$B$310)+COUNTA(条幅!$B$11:$B$310)+COUNTA(条幅4分の1!$B$11:$B$310),INDEX(条幅4分の1!$J$11:$J$310,633-COUNTA(半紙!$B$11:$B$310)-COUNTA(条幅!$B$11:$B$310)),""))))</f>
        <v/>
      </c>
      <c r="K638" s="38" t="str">
        <f>IF(IF(633&lt;=COUNTA(半紙!$B$11:$B$310),INDEX(半紙!$K$11:$K$310,633),IF(633&lt;=COUNTA(半紙!$B$11:$B$310)+COUNTA(条幅!$B$11:$B$310),INDEX(条幅!$K$11:$K$310,633-COUNTA(半紙!$B$11:$B$310)),IF(633&lt;=COUNTA(半紙!$B$11:$B$310)+COUNTA(条幅!$B$11:$B$310)+COUNTA(条幅4分の1!$B$11:$B$310),INDEX(条幅4分の1!$K$11:$K$310,633-COUNTA(半紙!$B$11:$B$310)-COUNTA(条幅!$B$11:$B$310)),"")))=0,"",IF(633&lt;=COUNTA(半紙!$B$11:$B$310),INDEX(半紙!$K$11:$K$310,633),IF(633&lt;=COUNTA(半紙!$B$11:$B$310)+COUNTA(条幅!$B$11:$B$310),INDEX(条幅!$K$11:$K$310,633-COUNTA(半紙!$B$11:$B$310)),IF(633&lt;=COUNTA(半紙!$B$11:$B$310)+COUNTA(条幅!$B$11:$B$310)+COUNTA(条幅4分の1!$B$11:$B$310),INDEX(条幅4分の1!$K$11:$K$310,633-COUNTA(半紙!$B$11:$B$310)-COUNTA(条幅!$B$11:$B$310)),""))))</f>
        <v/>
      </c>
      <c r="L638" s="48" t="str">
        <f>IF($B638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633))</f>
        <v/>
      </c>
    </row>
    <row r="639" spans="1:12" ht="15" customHeight="1">
      <c r="A639" s="37" t="str">
        <f>IF(634&lt;=COUNTA(半紙!$B$11:$B$310),"半紙",IF(634&lt;=COUNTA(半紙!$B$11:$B$310)+COUNTA(条幅!$B$11:$B$310),"条幅(半切)",IF(634&lt;=COUNTA(半紙!$B$11:$B$310)+COUNTA(条幅!$B$11:$B$310)+COUNTA(条幅4分の1!$B$11:$B$310),"条幅(1/4)","")))</f>
        <v/>
      </c>
      <c r="B639" s="38" t="str">
        <f>IF(IF(634&lt;=COUNTA(半紙!$B$11:$B$310),INDEX(半紙!$B$11:$B$310,634),IF(634&lt;=COUNTA(半紙!$B$11:$B$310)+COUNTA(条幅!$B$11:$B$310),INDEX(条幅!$B$11:$B$310,634-COUNTA(半紙!$B$11:$B$310)),IF(634&lt;=COUNTA(半紙!$B$11:$B$310)+COUNTA(条幅!$B$11:$B$310)+COUNTA(条幅4分の1!$B$11:$B$310),INDEX(条幅4分の1!$B$11:$B$310,634-COUNTA(半紙!$B$11:$B$310)-COUNTA(条幅!$B$11:$B$310)),"")))=0,"",IF(634&lt;=COUNTA(半紙!$B$11:$B$310),INDEX(半紙!$B$11:$B$310,634),IF(634&lt;=COUNTA(半紙!$B$11:$B$310)+COUNTA(条幅!$B$11:$B$310),INDEX(条幅!$B$11:$B$310,634-COUNTA(半紙!$B$11:$B$310)),IF(634&lt;=COUNTA(半紙!$B$11:$B$310)+COUNTA(条幅!$B$11:$B$310)+COUNTA(条幅4分の1!$B$11:$B$310),INDEX(条幅4分の1!$B$11:$B$310,634-COUNTA(半紙!$B$11:$B$310)-COUNTA(条幅!$B$11:$B$310)),""))))</f>
        <v/>
      </c>
      <c r="C639" s="38" t="str">
        <f>IF(IF(634&lt;=COUNTA(半紙!$B$11:$B$310),INDEX(半紙!$C$11:$C$310,634),IF(634&lt;=COUNTA(半紙!$B$11:$B$310)+COUNTA(条幅!$B$11:$B$310),INDEX(条幅!$C$11:$C$310,634-COUNTA(半紙!$B$11:$B$310)),IF(634&lt;=COUNTA(半紙!$B$11:$B$310)+COUNTA(条幅!$B$11:$B$310)+COUNTA(条幅4分の1!$B$11:$B$310),INDEX(条幅4分の1!$C$11:$C$310,634-COUNTA(半紙!$B$11:$B$310)-COUNTA(条幅!$B$11:$B$310)),"")))=0,"",IF(634&lt;=COUNTA(半紙!$B$11:$B$310),INDEX(半紙!$C$11:$C$310,634),IF(634&lt;=COUNTA(半紙!$B$11:$B$310)+COUNTA(条幅!$B$11:$B$310),INDEX(条幅!$C$11:$C$310,634-COUNTA(半紙!$B$11:$B$310)),IF(634&lt;=COUNTA(半紙!$B$11:$B$310)+COUNTA(条幅!$B$11:$B$310)+COUNTA(条幅4分の1!$B$11:$B$310),INDEX(条幅4分の1!$C$11:$C$310,634-COUNTA(半紙!$B$11:$B$310)-COUNTA(条幅!$B$11:$B$310)),""))))</f>
        <v/>
      </c>
      <c r="D639" s="38" t="str">
        <f>IF(IF(634&lt;=COUNTA(半紙!$B$11:$B$310),INDEX(半紙!$D$11:$D$310,634),IF(634&lt;=COUNTA(半紙!$B$11:$B$310)+COUNTA(条幅!$B$11:$B$310),INDEX(条幅!$D$11:$D$310,634-COUNTA(半紙!$B$11:$B$310)),IF(634&lt;=COUNTA(半紙!$B$11:$B$310)+COUNTA(条幅!$B$11:$B$310)+COUNTA(条幅4分の1!$B$11:$B$310),INDEX(条幅4分の1!$D$11:$D$310,634-COUNTA(半紙!$B$11:$B$310)-COUNTA(条幅!$B$11:$B$310)),"")))=0,"",IF(634&lt;=COUNTA(半紙!$B$11:$B$310),INDEX(半紙!$D$11:$D$310,634),IF(634&lt;=COUNTA(半紙!$B$11:$B$310)+COUNTA(条幅!$B$11:$B$310),INDEX(条幅!$D$11:$D$310,634-COUNTA(半紙!$B$11:$B$310)),IF(634&lt;=COUNTA(半紙!$B$11:$B$310)+COUNTA(条幅!$B$11:$B$310)+COUNTA(条幅4分の1!$B$11:$B$310),INDEX(条幅4分の1!$D$11:$D$310,634-COUNTA(半紙!$B$11:$B$310)-COUNTA(条幅!$B$11:$B$310)),""))))</f>
        <v/>
      </c>
      <c r="E639" s="38" t="str">
        <f>IF(IF(634&lt;=COUNTA(半紙!$B$11:$B$310),INDEX(半紙!$E$11:$E$310,634),IF(634&lt;=COUNTA(半紙!$B$11:$B$310)+COUNTA(条幅!$B$11:$B$310),INDEX(条幅!$E$11:$E$310,634-COUNTA(半紙!$B$11:$B$310)),IF(634&lt;=COUNTA(半紙!$B$11:$B$310)+COUNTA(条幅!$B$11:$B$310)+COUNTA(条幅4分の1!$B$11:$B$310),INDEX(条幅4分の1!$E$11:$E$310,634-COUNTA(半紙!$B$11:$B$310)-COUNTA(条幅!$B$11:$B$310)),"")))=0,"",IF(634&lt;=COUNTA(半紙!$B$11:$B$310),INDEX(半紙!$E$11:$E$310,634),IF(634&lt;=COUNTA(半紙!$B$11:$B$310)+COUNTA(条幅!$B$11:$B$310),INDEX(条幅!$E$11:$E$310,634-COUNTA(半紙!$B$11:$B$310)),IF(634&lt;=COUNTA(半紙!$B$11:$B$310)+COUNTA(条幅!$B$11:$B$310)+COUNTA(条幅4分の1!$B$11:$B$310),INDEX(条幅4分の1!$E$11:$E$310,634-COUNTA(半紙!$B$11:$B$310)-COUNTA(条幅!$B$11:$B$310)),""))))</f>
        <v/>
      </c>
      <c r="F639" s="38" t="str">
        <f>IF(IF(634&lt;=COUNTA(半紙!$B$11:$B$310),INDEX(半紙!$F$11:$F$310,634),IF(634&lt;=COUNTA(半紙!$B$11:$B$310)+COUNTA(条幅!$B$11:$B$310),INDEX(条幅!$F$11:$F$310,634-COUNTA(半紙!$B$11:$B$310)),IF(634&lt;=COUNTA(半紙!$B$11:$B$310)+COUNTA(条幅!$B$11:$B$310)+COUNTA(条幅4分の1!$B$11:$B$310),INDEX(条幅4分の1!$F$11:$F$310,634-COUNTA(半紙!$B$11:$B$310)-COUNTA(条幅!$B$11:$B$310)),"")))=0,"",IF(634&lt;=COUNTA(半紙!$B$11:$B$310),INDEX(半紙!$F$11:$F$310,634),IF(634&lt;=COUNTA(半紙!$B$11:$B$310)+COUNTA(条幅!$B$11:$B$310),INDEX(条幅!$F$11:$F$310,634-COUNTA(半紙!$B$11:$B$310)),IF(634&lt;=COUNTA(半紙!$B$11:$B$310)+COUNTA(条幅!$B$11:$B$310)+COUNTA(条幅4分の1!$B$11:$B$310),INDEX(条幅4分の1!$F$11:$F$310,634-COUNTA(半紙!$B$11:$B$310)-COUNTA(条幅!$B$11:$B$310)),""))))</f>
        <v/>
      </c>
      <c r="G639" s="38" t="str">
        <f>IF(IF(634&lt;=COUNTA(半紙!$B$11:$B$310),INDEX(半紙!$G$11:$G$310,634),IF(634&lt;=COUNTA(半紙!$B$11:$B$310)+COUNTA(条幅!$B$11:$B$310),INDEX(条幅!$G$11:$G$310,634-COUNTA(半紙!$B$11:$B$310)),IF(634&lt;=COUNTA(半紙!$B$11:$B$310)+COUNTA(条幅!$B$11:$B$310)+COUNTA(条幅4分の1!$B$11:$B$310),INDEX(条幅4分の1!$G$11:$G$310,634-COUNTA(半紙!$B$11:$B$310)-COUNTA(条幅!$B$11:$B$310)),"")))=0,"",IF(634&lt;=COUNTA(半紙!$B$11:$B$310),INDEX(半紙!$G$11:$G$310,634),IF(634&lt;=COUNTA(半紙!$B$11:$B$310)+COUNTA(条幅!$B$11:$B$310),INDEX(条幅!$G$11:$G$310,634-COUNTA(半紙!$B$11:$B$310)),IF(634&lt;=COUNTA(半紙!$B$11:$B$310)+COUNTA(条幅!$B$11:$B$310)+COUNTA(条幅4分の1!$B$11:$B$310),INDEX(条幅4分の1!$G$11:$G$310,634-COUNTA(半紙!$B$11:$B$310)-COUNTA(条幅!$B$11:$B$310)),""))))</f>
        <v/>
      </c>
      <c r="H639" s="38" t="str">
        <f>IF(IF(634&lt;=COUNTA(半紙!$B$11:$B$310),INDEX(半紙!$H$11:$H$310,634),IF(634&lt;=COUNTA(半紙!$B$11:$B$310)+COUNTA(条幅!$B$11:$B$310),INDEX(条幅!$H$11:$H$310,634-COUNTA(半紙!$B$11:$B$310)),IF(634&lt;=COUNTA(半紙!$B$11:$B$310)+COUNTA(条幅!$B$11:$B$310)+COUNTA(条幅4分の1!$B$11:$B$310),INDEX(条幅4分の1!$H$11:$H$310,634-COUNTA(半紙!$B$11:$B$310)-COUNTA(条幅!$B$11:$B$310)),"")))=0,"",IF(634&lt;=COUNTA(半紙!$B$11:$B$310),INDEX(半紙!$H$11:$H$310,634),IF(634&lt;=COUNTA(半紙!$B$11:$B$310)+COUNTA(条幅!$B$11:$B$310),INDEX(条幅!$H$11:$H$310,634-COUNTA(半紙!$B$11:$B$310)),IF(634&lt;=COUNTA(半紙!$B$11:$B$310)+COUNTA(条幅!$B$11:$B$310)+COUNTA(条幅4分の1!$B$11:$B$310),INDEX(条幅4分の1!$H$11:$H$310,634-COUNTA(半紙!$B$11:$B$310)-COUNTA(条幅!$B$11:$B$310)),""))))</f>
        <v/>
      </c>
      <c r="I639" s="38" t="str">
        <f>IF(IF(634&lt;=COUNTA(半紙!$B$11:$B$310),INDEX(半紙!$I$11:$I$310,634),IF(634&lt;=COUNTA(半紙!$B$11:$B$310)+COUNTA(条幅!$B$11:$B$310),INDEX(条幅!$I$11:$I$310,634-COUNTA(半紙!$B$11:$B$310)),IF(634&lt;=COUNTA(半紙!$B$11:$B$310)+COUNTA(条幅!$B$11:$B$310)+COUNTA(条幅4分の1!$B$11:$B$310),INDEX(条幅4分の1!$I$11:$I$310,634-COUNTA(半紙!$B$11:$B$310)-COUNTA(条幅!$B$11:$B$310)),"")))=0,"",IF(634&lt;=COUNTA(半紙!$B$11:$B$310),INDEX(半紙!$I$11:$I$310,634),IF(634&lt;=COUNTA(半紙!$B$11:$B$310)+COUNTA(条幅!$B$11:$B$310),INDEX(条幅!$I$11:$I$310,634-COUNTA(半紙!$B$11:$B$310)),IF(634&lt;=COUNTA(半紙!$B$11:$B$310)+COUNTA(条幅!$B$11:$B$310)+COUNTA(条幅4分の1!$B$11:$B$310),INDEX(条幅4分の1!$I$11:$I$310,634-COUNTA(半紙!$B$11:$B$310)-COUNTA(条幅!$B$11:$B$310)),""))))</f>
        <v/>
      </c>
      <c r="J639" s="38" t="str">
        <f>IF(IF(634&lt;=COUNTA(半紙!$B$11:$B$310),INDEX(半紙!$J$11:$J$310,634),IF(634&lt;=COUNTA(半紙!$B$11:$B$310)+COUNTA(条幅!$B$11:$B$310),INDEX(条幅!$J$11:$J$310,634-COUNTA(半紙!$B$11:$B$310)),IF(634&lt;=COUNTA(半紙!$B$11:$B$310)+COUNTA(条幅!$B$11:$B$310)+COUNTA(条幅4分の1!$B$11:$B$310),INDEX(条幅4分の1!$J$11:$J$310,634-COUNTA(半紙!$B$11:$B$310)-COUNTA(条幅!$B$11:$B$310)),"")))=0,"",IF(634&lt;=COUNTA(半紙!$B$11:$B$310),INDEX(半紙!$J$11:$J$310,634),IF(634&lt;=COUNTA(半紙!$B$11:$B$310)+COUNTA(条幅!$B$11:$B$310),INDEX(条幅!$J$11:$J$310,634-COUNTA(半紙!$B$11:$B$310)),IF(634&lt;=COUNTA(半紙!$B$11:$B$310)+COUNTA(条幅!$B$11:$B$310)+COUNTA(条幅4分の1!$B$11:$B$310),INDEX(条幅4分の1!$J$11:$J$310,634-COUNTA(半紙!$B$11:$B$310)-COUNTA(条幅!$B$11:$B$310)),""))))</f>
        <v/>
      </c>
      <c r="K639" s="38" t="str">
        <f>IF(IF(634&lt;=COUNTA(半紙!$B$11:$B$310),INDEX(半紙!$K$11:$K$310,634),IF(634&lt;=COUNTA(半紙!$B$11:$B$310)+COUNTA(条幅!$B$11:$B$310),INDEX(条幅!$K$11:$K$310,634-COUNTA(半紙!$B$11:$B$310)),IF(634&lt;=COUNTA(半紙!$B$11:$B$310)+COUNTA(条幅!$B$11:$B$310)+COUNTA(条幅4分の1!$B$11:$B$310),INDEX(条幅4分の1!$K$11:$K$310,634-COUNTA(半紙!$B$11:$B$310)-COUNTA(条幅!$B$11:$B$310)),"")))=0,"",IF(634&lt;=COUNTA(半紙!$B$11:$B$310),INDEX(半紙!$K$11:$K$310,634),IF(634&lt;=COUNTA(半紙!$B$11:$B$310)+COUNTA(条幅!$B$11:$B$310),INDEX(条幅!$K$11:$K$310,634-COUNTA(半紙!$B$11:$B$310)),IF(634&lt;=COUNTA(半紙!$B$11:$B$310)+COUNTA(条幅!$B$11:$B$310)+COUNTA(条幅4分の1!$B$11:$B$310),INDEX(条幅4分の1!$K$11:$K$310,634-COUNTA(半紙!$B$11:$B$310)-COUNTA(条幅!$B$11:$B$310)),""))))</f>
        <v/>
      </c>
      <c r="L639" s="48" t="str">
        <f>IF($B639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634))</f>
        <v/>
      </c>
    </row>
    <row r="640" spans="1:12" ht="15" customHeight="1">
      <c r="A640" s="37" t="str">
        <f>IF(635&lt;=COUNTA(半紙!$B$11:$B$310),"半紙",IF(635&lt;=COUNTA(半紙!$B$11:$B$310)+COUNTA(条幅!$B$11:$B$310),"条幅(半切)",IF(635&lt;=COUNTA(半紙!$B$11:$B$310)+COUNTA(条幅!$B$11:$B$310)+COUNTA(条幅4分の1!$B$11:$B$310),"条幅(1/4)","")))</f>
        <v/>
      </c>
      <c r="B640" s="38" t="str">
        <f>IF(IF(635&lt;=COUNTA(半紙!$B$11:$B$310),INDEX(半紙!$B$11:$B$310,635),IF(635&lt;=COUNTA(半紙!$B$11:$B$310)+COUNTA(条幅!$B$11:$B$310),INDEX(条幅!$B$11:$B$310,635-COUNTA(半紙!$B$11:$B$310)),IF(635&lt;=COUNTA(半紙!$B$11:$B$310)+COUNTA(条幅!$B$11:$B$310)+COUNTA(条幅4分の1!$B$11:$B$310),INDEX(条幅4分の1!$B$11:$B$310,635-COUNTA(半紙!$B$11:$B$310)-COUNTA(条幅!$B$11:$B$310)),"")))=0,"",IF(635&lt;=COUNTA(半紙!$B$11:$B$310),INDEX(半紙!$B$11:$B$310,635),IF(635&lt;=COUNTA(半紙!$B$11:$B$310)+COUNTA(条幅!$B$11:$B$310),INDEX(条幅!$B$11:$B$310,635-COUNTA(半紙!$B$11:$B$310)),IF(635&lt;=COUNTA(半紙!$B$11:$B$310)+COUNTA(条幅!$B$11:$B$310)+COUNTA(条幅4分の1!$B$11:$B$310),INDEX(条幅4分の1!$B$11:$B$310,635-COUNTA(半紙!$B$11:$B$310)-COUNTA(条幅!$B$11:$B$310)),""))))</f>
        <v/>
      </c>
      <c r="C640" s="38" t="str">
        <f>IF(IF(635&lt;=COUNTA(半紙!$B$11:$B$310),INDEX(半紙!$C$11:$C$310,635),IF(635&lt;=COUNTA(半紙!$B$11:$B$310)+COUNTA(条幅!$B$11:$B$310),INDEX(条幅!$C$11:$C$310,635-COUNTA(半紙!$B$11:$B$310)),IF(635&lt;=COUNTA(半紙!$B$11:$B$310)+COUNTA(条幅!$B$11:$B$310)+COUNTA(条幅4分の1!$B$11:$B$310),INDEX(条幅4分の1!$C$11:$C$310,635-COUNTA(半紙!$B$11:$B$310)-COUNTA(条幅!$B$11:$B$310)),"")))=0,"",IF(635&lt;=COUNTA(半紙!$B$11:$B$310),INDEX(半紙!$C$11:$C$310,635),IF(635&lt;=COUNTA(半紙!$B$11:$B$310)+COUNTA(条幅!$B$11:$B$310),INDEX(条幅!$C$11:$C$310,635-COUNTA(半紙!$B$11:$B$310)),IF(635&lt;=COUNTA(半紙!$B$11:$B$310)+COUNTA(条幅!$B$11:$B$310)+COUNTA(条幅4分の1!$B$11:$B$310),INDEX(条幅4分の1!$C$11:$C$310,635-COUNTA(半紙!$B$11:$B$310)-COUNTA(条幅!$B$11:$B$310)),""))))</f>
        <v/>
      </c>
      <c r="D640" s="38" t="str">
        <f>IF(IF(635&lt;=COUNTA(半紙!$B$11:$B$310),INDEX(半紙!$D$11:$D$310,635),IF(635&lt;=COUNTA(半紙!$B$11:$B$310)+COUNTA(条幅!$B$11:$B$310),INDEX(条幅!$D$11:$D$310,635-COUNTA(半紙!$B$11:$B$310)),IF(635&lt;=COUNTA(半紙!$B$11:$B$310)+COUNTA(条幅!$B$11:$B$310)+COUNTA(条幅4分の1!$B$11:$B$310),INDEX(条幅4分の1!$D$11:$D$310,635-COUNTA(半紙!$B$11:$B$310)-COUNTA(条幅!$B$11:$B$310)),"")))=0,"",IF(635&lt;=COUNTA(半紙!$B$11:$B$310),INDEX(半紙!$D$11:$D$310,635),IF(635&lt;=COUNTA(半紙!$B$11:$B$310)+COUNTA(条幅!$B$11:$B$310),INDEX(条幅!$D$11:$D$310,635-COUNTA(半紙!$B$11:$B$310)),IF(635&lt;=COUNTA(半紙!$B$11:$B$310)+COUNTA(条幅!$B$11:$B$310)+COUNTA(条幅4分の1!$B$11:$B$310),INDEX(条幅4分の1!$D$11:$D$310,635-COUNTA(半紙!$B$11:$B$310)-COUNTA(条幅!$B$11:$B$310)),""))))</f>
        <v/>
      </c>
      <c r="E640" s="38" t="str">
        <f>IF(IF(635&lt;=COUNTA(半紙!$B$11:$B$310),INDEX(半紙!$E$11:$E$310,635),IF(635&lt;=COUNTA(半紙!$B$11:$B$310)+COUNTA(条幅!$B$11:$B$310),INDEX(条幅!$E$11:$E$310,635-COUNTA(半紙!$B$11:$B$310)),IF(635&lt;=COUNTA(半紙!$B$11:$B$310)+COUNTA(条幅!$B$11:$B$310)+COUNTA(条幅4分の1!$B$11:$B$310),INDEX(条幅4分の1!$E$11:$E$310,635-COUNTA(半紙!$B$11:$B$310)-COUNTA(条幅!$B$11:$B$310)),"")))=0,"",IF(635&lt;=COUNTA(半紙!$B$11:$B$310),INDEX(半紙!$E$11:$E$310,635),IF(635&lt;=COUNTA(半紙!$B$11:$B$310)+COUNTA(条幅!$B$11:$B$310),INDEX(条幅!$E$11:$E$310,635-COUNTA(半紙!$B$11:$B$310)),IF(635&lt;=COUNTA(半紙!$B$11:$B$310)+COUNTA(条幅!$B$11:$B$310)+COUNTA(条幅4分の1!$B$11:$B$310),INDEX(条幅4分の1!$E$11:$E$310,635-COUNTA(半紙!$B$11:$B$310)-COUNTA(条幅!$B$11:$B$310)),""))))</f>
        <v/>
      </c>
      <c r="F640" s="38" t="str">
        <f>IF(IF(635&lt;=COUNTA(半紙!$B$11:$B$310),INDEX(半紙!$F$11:$F$310,635),IF(635&lt;=COUNTA(半紙!$B$11:$B$310)+COUNTA(条幅!$B$11:$B$310),INDEX(条幅!$F$11:$F$310,635-COUNTA(半紙!$B$11:$B$310)),IF(635&lt;=COUNTA(半紙!$B$11:$B$310)+COUNTA(条幅!$B$11:$B$310)+COUNTA(条幅4分の1!$B$11:$B$310),INDEX(条幅4分の1!$F$11:$F$310,635-COUNTA(半紙!$B$11:$B$310)-COUNTA(条幅!$B$11:$B$310)),"")))=0,"",IF(635&lt;=COUNTA(半紙!$B$11:$B$310),INDEX(半紙!$F$11:$F$310,635),IF(635&lt;=COUNTA(半紙!$B$11:$B$310)+COUNTA(条幅!$B$11:$B$310),INDEX(条幅!$F$11:$F$310,635-COUNTA(半紙!$B$11:$B$310)),IF(635&lt;=COUNTA(半紙!$B$11:$B$310)+COUNTA(条幅!$B$11:$B$310)+COUNTA(条幅4分の1!$B$11:$B$310),INDEX(条幅4分の1!$F$11:$F$310,635-COUNTA(半紙!$B$11:$B$310)-COUNTA(条幅!$B$11:$B$310)),""))))</f>
        <v/>
      </c>
      <c r="G640" s="38" t="str">
        <f>IF(IF(635&lt;=COUNTA(半紙!$B$11:$B$310),INDEX(半紙!$G$11:$G$310,635),IF(635&lt;=COUNTA(半紙!$B$11:$B$310)+COUNTA(条幅!$B$11:$B$310),INDEX(条幅!$G$11:$G$310,635-COUNTA(半紙!$B$11:$B$310)),IF(635&lt;=COUNTA(半紙!$B$11:$B$310)+COUNTA(条幅!$B$11:$B$310)+COUNTA(条幅4分の1!$B$11:$B$310),INDEX(条幅4分の1!$G$11:$G$310,635-COUNTA(半紙!$B$11:$B$310)-COUNTA(条幅!$B$11:$B$310)),"")))=0,"",IF(635&lt;=COUNTA(半紙!$B$11:$B$310),INDEX(半紙!$G$11:$G$310,635),IF(635&lt;=COUNTA(半紙!$B$11:$B$310)+COUNTA(条幅!$B$11:$B$310),INDEX(条幅!$G$11:$G$310,635-COUNTA(半紙!$B$11:$B$310)),IF(635&lt;=COUNTA(半紙!$B$11:$B$310)+COUNTA(条幅!$B$11:$B$310)+COUNTA(条幅4分の1!$B$11:$B$310),INDEX(条幅4分の1!$G$11:$G$310,635-COUNTA(半紙!$B$11:$B$310)-COUNTA(条幅!$B$11:$B$310)),""))))</f>
        <v/>
      </c>
      <c r="H640" s="38" t="str">
        <f>IF(IF(635&lt;=COUNTA(半紙!$B$11:$B$310),INDEX(半紙!$H$11:$H$310,635),IF(635&lt;=COUNTA(半紙!$B$11:$B$310)+COUNTA(条幅!$B$11:$B$310),INDEX(条幅!$H$11:$H$310,635-COUNTA(半紙!$B$11:$B$310)),IF(635&lt;=COUNTA(半紙!$B$11:$B$310)+COUNTA(条幅!$B$11:$B$310)+COUNTA(条幅4分の1!$B$11:$B$310),INDEX(条幅4分の1!$H$11:$H$310,635-COUNTA(半紙!$B$11:$B$310)-COUNTA(条幅!$B$11:$B$310)),"")))=0,"",IF(635&lt;=COUNTA(半紙!$B$11:$B$310),INDEX(半紙!$H$11:$H$310,635),IF(635&lt;=COUNTA(半紙!$B$11:$B$310)+COUNTA(条幅!$B$11:$B$310),INDEX(条幅!$H$11:$H$310,635-COUNTA(半紙!$B$11:$B$310)),IF(635&lt;=COUNTA(半紙!$B$11:$B$310)+COUNTA(条幅!$B$11:$B$310)+COUNTA(条幅4分の1!$B$11:$B$310),INDEX(条幅4分の1!$H$11:$H$310,635-COUNTA(半紙!$B$11:$B$310)-COUNTA(条幅!$B$11:$B$310)),""))))</f>
        <v/>
      </c>
      <c r="I640" s="38" t="str">
        <f>IF(IF(635&lt;=COUNTA(半紙!$B$11:$B$310),INDEX(半紙!$I$11:$I$310,635),IF(635&lt;=COUNTA(半紙!$B$11:$B$310)+COUNTA(条幅!$B$11:$B$310),INDEX(条幅!$I$11:$I$310,635-COUNTA(半紙!$B$11:$B$310)),IF(635&lt;=COUNTA(半紙!$B$11:$B$310)+COUNTA(条幅!$B$11:$B$310)+COUNTA(条幅4分の1!$B$11:$B$310),INDEX(条幅4分の1!$I$11:$I$310,635-COUNTA(半紙!$B$11:$B$310)-COUNTA(条幅!$B$11:$B$310)),"")))=0,"",IF(635&lt;=COUNTA(半紙!$B$11:$B$310),INDEX(半紙!$I$11:$I$310,635),IF(635&lt;=COUNTA(半紙!$B$11:$B$310)+COUNTA(条幅!$B$11:$B$310),INDEX(条幅!$I$11:$I$310,635-COUNTA(半紙!$B$11:$B$310)),IF(635&lt;=COUNTA(半紙!$B$11:$B$310)+COUNTA(条幅!$B$11:$B$310)+COUNTA(条幅4分の1!$B$11:$B$310),INDEX(条幅4分の1!$I$11:$I$310,635-COUNTA(半紙!$B$11:$B$310)-COUNTA(条幅!$B$11:$B$310)),""))))</f>
        <v/>
      </c>
      <c r="J640" s="38" t="str">
        <f>IF(IF(635&lt;=COUNTA(半紙!$B$11:$B$310),INDEX(半紙!$J$11:$J$310,635),IF(635&lt;=COUNTA(半紙!$B$11:$B$310)+COUNTA(条幅!$B$11:$B$310),INDEX(条幅!$J$11:$J$310,635-COUNTA(半紙!$B$11:$B$310)),IF(635&lt;=COUNTA(半紙!$B$11:$B$310)+COUNTA(条幅!$B$11:$B$310)+COUNTA(条幅4分の1!$B$11:$B$310),INDEX(条幅4分の1!$J$11:$J$310,635-COUNTA(半紙!$B$11:$B$310)-COUNTA(条幅!$B$11:$B$310)),"")))=0,"",IF(635&lt;=COUNTA(半紙!$B$11:$B$310),INDEX(半紙!$J$11:$J$310,635),IF(635&lt;=COUNTA(半紙!$B$11:$B$310)+COUNTA(条幅!$B$11:$B$310),INDEX(条幅!$J$11:$J$310,635-COUNTA(半紙!$B$11:$B$310)),IF(635&lt;=COUNTA(半紙!$B$11:$B$310)+COUNTA(条幅!$B$11:$B$310)+COUNTA(条幅4分の1!$B$11:$B$310),INDEX(条幅4分の1!$J$11:$J$310,635-COUNTA(半紙!$B$11:$B$310)-COUNTA(条幅!$B$11:$B$310)),""))))</f>
        <v/>
      </c>
      <c r="K640" s="38" t="str">
        <f>IF(IF(635&lt;=COUNTA(半紙!$B$11:$B$310),INDEX(半紙!$K$11:$K$310,635),IF(635&lt;=COUNTA(半紙!$B$11:$B$310)+COUNTA(条幅!$B$11:$B$310),INDEX(条幅!$K$11:$K$310,635-COUNTA(半紙!$B$11:$B$310)),IF(635&lt;=COUNTA(半紙!$B$11:$B$310)+COUNTA(条幅!$B$11:$B$310)+COUNTA(条幅4分の1!$B$11:$B$310),INDEX(条幅4分の1!$K$11:$K$310,635-COUNTA(半紙!$B$11:$B$310)-COUNTA(条幅!$B$11:$B$310)),"")))=0,"",IF(635&lt;=COUNTA(半紙!$B$11:$B$310),INDEX(半紙!$K$11:$K$310,635),IF(635&lt;=COUNTA(半紙!$B$11:$B$310)+COUNTA(条幅!$B$11:$B$310),INDEX(条幅!$K$11:$K$310,635-COUNTA(半紙!$B$11:$B$310)),IF(635&lt;=COUNTA(半紙!$B$11:$B$310)+COUNTA(条幅!$B$11:$B$310)+COUNTA(条幅4分の1!$B$11:$B$310),INDEX(条幅4分の1!$K$11:$K$310,635-COUNTA(半紙!$B$11:$B$310)-COUNTA(条幅!$B$11:$B$310)),""))))</f>
        <v/>
      </c>
      <c r="L640" s="48" t="str">
        <f>IF($B640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635))</f>
        <v/>
      </c>
    </row>
    <row r="641" spans="1:12" ht="15" customHeight="1">
      <c r="A641" s="37" t="str">
        <f>IF(636&lt;=COUNTA(半紙!$B$11:$B$310),"半紙",IF(636&lt;=COUNTA(半紙!$B$11:$B$310)+COUNTA(条幅!$B$11:$B$310),"条幅(半切)",IF(636&lt;=COUNTA(半紙!$B$11:$B$310)+COUNTA(条幅!$B$11:$B$310)+COUNTA(条幅4分の1!$B$11:$B$310),"条幅(1/4)","")))</f>
        <v/>
      </c>
      <c r="B641" s="38" t="str">
        <f>IF(IF(636&lt;=COUNTA(半紙!$B$11:$B$310),INDEX(半紙!$B$11:$B$310,636),IF(636&lt;=COUNTA(半紙!$B$11:$B$310)+COUNTA(条幅!$B$11:$B$310),INDEX(条幅!$B$11:$B$310,636-COUNTA(半紙!$B$11:$B$310)),IF(636&lt;=COUNTA(半紙!$B$11:$B$310)+COUNTA(条幅!$B$11:$B$310)+COUNTA(条幅4分の1!$B$11:$B$310),INDEX(条幅4分の1!$B$11:$B$310,636-COUNTA(半紙!$B$11:$B$310)-COUNTA(条幅!$B$11:$B$310)),"")))=0,"",IF(636&lt;=COUNTA(半紙!$B$11:$B$310),INDEX(半紙!$B$11:$B$310,636),IF(636&lt;=COUNTA(半紙!$B$11:$B$310)+COUNTA(条幅!$B$11:$B$310),INDEX(条幅!$B$11:$B$310,636-COUNTA(半紙!$B$11:$B$310)),IF(636&lt;=COUNTA(半紙!$B$11:$B$310)+COUNTA(条幅!$B$11:$B$310)+COUNTA(条幅4分の1!$B$11:$B$310),INDEX(条幅4分の1!$B$11:$B$310,636-COUNTA(半紙!$B$11:$B$310)-COUNTA(条幅!$B$11:$B$310)),""))))</f>
        <v/>
      </c>
      <c r="C641" s="38" t="str">
        <f>IF(IF(636&lt;=COUNTA(半紙!$B$11:$B$310),INDEX(半紙!$C$11:$C$310,636),IF(636&lt;=COUNTA(半紙!$B$11:$B$310)+COUNTA(条幅!$B$11:$B$310),INDEX(条幅!$C$11:$C$310,636-COUNTA(半紙!$B$11:$B$310)),IF(636&lt;=COUNTA(半紙!$B$11:$B$310)+COUNTA(条幅!$B$11:$B$310)+COUNTA(条幅4分の1!$B$11:$B$310),INDEX(条幅4分の1!$C$11:$C$310,636-COUNTA(半紙!$B$11:$B$310)-COUNTA(条幅!$B$11:$B$310)),"")))=0,"",IF(636&lt;=COUNTA(半紙!$B$11:$B$310),INDEX(半紙!$C$11:$C$310,636),IF(636&lt;=COUNTA(半紙!$B$11:$B$310)+COUNTA(条幅!$B$11:$B$310),INDEX(条幅!$C$11:$C$310,636-COUNTA(半紙!$B$11:$B$310)),IF(636&lt;=COUNTA(半紙!$B$11:$B$310)+COUNTA(条幅!$B$11:$B$310)+COUNTA(条幅4分の1!$B$11:$B$310),INDEX(条幅4分の1!$C$11:$C$310,636-COUNTA(半紙!$B$11:$B$310)-COUNTA(条幅!$B$11:$B$310)),""))))</f>
        <v/>
      </c>
      <c r="D641" s="38" t="str">
        <f>IF(IF(636&lt;=COUNTA(半紙!$B$11:$B$310),INDEX(半紙!$D$11:$D$310,636),IF(636&lt;=COUNTA(半紙!$B$11:$B$310)+COUNTA(条幅!$B$11:$B$310),INDEX(条幅!$D$11:$D$310,636-COUNTA(半紙!$B$11:$B$310)),IF(636&lt;=COUNTA(半紙!$B$11:$B$310)+COUNTA(条幅!$B$11:$B$310)+COUNTA(条幅4分の1!$B$11:$B$310),INDEX(条幅4分の1!$D$11:$D$310,636-COUNTA(半紙!$B$11:$B$310)-COUNTA(条幅!$B$11:$B$310)),"")))=0,"",IF(636&lt;=COUNTA(半紙!$B$11:$B$310),INDEX(半紙!$D$11:$D$310,636),IF(636&lt;=COUNTA(半紙!$B$11:$B$310)+COUNTA(条幅!$B$11:$B$310),INDEX(条幅!$D$11:$D$310,636-COUNTA(半紙!$B$11:$B$310)),IF(636&lt;=COUNTA(半紙!$B$11:$B$310)+COUNTA(条幅!$B$11:$B$310)+COUNTA(条幅4分の1!$B$11:$B$310),INDEX(条幅4分の1!$D$11:$D$310,636-COUNTA(半紙!$B$11:$B$310)-COUNTA(条幅!$B$11:$B$310)),""))))</f>
        <v/>
      </c>
      <c r="E641" s="38" t="str">
        <f>IF(IF(636&lt;=COUNTA(半紙!$B$11:$B$310),INDEX(半紙!$E$11:$E$310,636),IF(636&lt;=COUNTA(半紙!$B$11:$B$310)+COUNTA(条幅!$B$11:$B$310),INDEX(条幅!$E$11:$E$310,636-COUNTA(半紙!$B$11:$B$310)),IF(636&lt;=COUNTA(半紙!$B$11:$B$310)+COUNTA(条幅!$B$11:$B$310)+COUNTA(条幅4分の1!$B$11:$B$310),INDEX(条幅4分の1!$E$11:$E$310,636-COUNTA(半紙!$B$11:$B$310)-COUNTA(条幅!$B$11:$B$310)),"")))=0,"",IF(636&lt;=COUNTA(半紙!$B$11:$B$310),INDEX(半紙!$E$11:$E$310,636),IF(636&lt;=COUNTA(半紙!$B$11:$B$310)+COUNTA(条幅!$B$11:$B$310),INDEX(条幅!$E$11:$E$310,636-COUNTA(半紙!$B$11:$B$310)),IF(636&lt;=COUNTA(半紙!$B$11:$B$310)+COUNTA(条幅!$B$11:$B$310)+COUNTA(条幅4分の1!$B$11:$B$310),INDEX(条幅4分の1!$E$11:$E$310,636-COUNTA(半紙!$B$11:$B$310)-COUNTA(条幅!$B$11:$B$310)),""))))</f>
        <v/>
      </c>
      <c r="F641" s="38" t="str">
        <f>IF(IF(636&lt;=COUNTA(半紙!$B$11:$B$310),INDEX(半紙!$F$11:$F$310,636),IF(636&lt;=COUNTA(半紙!$B$11:$B$310)+COUNTA(条幅!$B$11:$B$310),INDEX(条幅!$F$11:$F$310,636-COUNTA(半紙!$B$11:$B$310)),IF(636&lt;=COUNTA(半紙!$B$11:$B$310)+COUNTA(条幅!$B$11:$B$310)+COUNTA(条幅4分の1!$B$11:$B$310),INDEX(条幅4分の1!$F$11:$F$310,636-COUNTA(半紙!$B$11:$B$310)-COUNTA(条幅!$B$11:$B$310)),"")))=0,"",IF(636&lt;=COUNTA(半紙!$B$11:$B$310),INDEX(半紙!$F$11:$F$310,636),IF(636&lt;=COUNTA(半紙!$B$11:$B$310)+COUNTA(条幅!$B$11:$B$310),INDEX(条幅!$F$11:$F$310,636-COUNTA(半紙!$B$11:$B$310)),IF(636&lt;=COUNTA(半紙!$B$11:$B$310)+COUNTA(条幅!$B$11:$B$310)+COUNTA(条幅4分の1!$B$11:$B$310),INDEX(条幅4分の1!$F$11:$F$310,636-COUNTA(半紙!$B$11:$B$310)-COUNTA(条幅!$B$11:$B$310)),""))))</f>
        <v/>
      </c>
      <c r="G641" s="38" t="str">
        <f>IF(IF(636&lt;=COUNTA(半紙!$B$11:$B$310),INDEX(半紙!$G$11:$G$310,636),IF(636&lt;=COUNTA(半紙!$B$11:$B$310)+COUNTA(条幅!$B$11:$B$310),INDEX(条幅!$G$11:$G$310,636-COUNTA(半紙!$B$11:$B$310)),IF(636&lt;=COUNTA(半紙!$B$11:$B$310)+COUNTA(条幅!$B$11:$B$310)+COUNTA(条幅4分の1!$B$11:$B$310),INDEX(条幅4分の1!$G$11:$G$310,636-COUNTA(半紙!$B$11:$B$310)-COUNTA(条幅!$B$11:$B$310)),"")))=0,"",IF(636&lt;=COUNTA(半紙!$B$11:$B$310),INDEX(半紙!$G$11:$G$310,636),IF(636&lt;=COUNTA(半紙!$B$11:$B$310)+COUNTA(条幅!$B$11:$B$310),INDEX(条幅!$G$11:$G$310,636-COUNTA(半紙!$B$11:$B$310)),IF(636&lt;=COUNTA(半紙!$B$11:$B$310)+COUNTA(条幅!$B$11:$B$310)+COUNTA(条幅4分の1!$B$11:$B$310),INDEX(条幅4分の1!$G$11:$G$310,636-COUNTA(半紙!$B$11:$B$310)-COUNTA(条幅!$B$11:$B$310)),""))))</f>
        <v/>
      </c>
      <c r="H641" s="38" t="str">
        <f>IF(IF(636&lt;=COUNTA(半紙!$B$11:$B$310),INDEX(半紙!$H$11:$H$310,636),IF(636&lt;=COUNTA(半紙!$B$11:$B$310)+COUNTA(条幅!$B$11:$B$310),INDEX(条幅!$H$11:$H$310,636-COUNTA(半紙!$B$11:$B$310)),IF(636&lt;=COUNTA(半紙!$B$11:$B$310)+COUNTA(条幅!$B$11:$B$310)+COUNTA(条幅4分の1!$B$11:$B$310),INDEX(条幅4分の1!$H$11:$H$310,636-COUNTA(半紙!$B$11:$B$310)-COUNTA(条幅!$B$11:$B$310)),"")))=0,"",IF(636&lt;=COUNTA(半紙!$B$11:$B$310),INDEX(半紙!$H$11:$H$310,636),IF(636&lt;=COUNTA(半紙!$B$11:$B$310)+COUNTA(条幅!$B$11:$B$310),INDEX(条幅!$H$11:$H$310,636-COUNTA(半紙!$B$11:$B$310)),IF(636&lt;=COUNTA(半紙!$B$11:$B$310)+COUNTA(条幅!$B$11:$B$310)+COUNTA(条幅4分の1!$B$11:$B$310),INDEX(条幅4分の1!$H$11:$H$310,636-COUNTA(半紙!$B$11:$B$310)-COUNTA(条幅!$B$11:$B$310)),""))))</f>
        <v/>
      </c>
      <c r="I641" s="38" t="str">
        <f>IF(IF(636&lt;=COUNTA(半紙!$B$11:$B$310),INDEX(半紙!$I$11:$I$310,636),IF(636&lt;=COUNTA(半紙!$B$11:$B$310)+COUNTA(条幅!$B$11:$B$310),INDEX(条幅!$I$11:$I$310,636-COUNTA(半紙!$B$11:$B$310)),IF(636&lt;=COUNTA(半紙!$B$11:$B$310)+COUNTA(条幅!$B$11:$B$310)+COUNTA(条幅4分の1!$B$11:$B$310),INDEX(条幅4分の1!$I$11:$I$310,636-COUNTA(半紙!$B$11:$B$310)-COUNTA(条幅!$B$11:$B$310)),"")))=0,"",IF(636&lt;=COUNTA(半紙!$B$11:$B$310),INDEX(半紙!$I$11:$I$310,636),IF(636&lt;=COUNTA(半紙!$B$11:$B$310)+COUNTA(条幅!$B$11:$B$310),INDEX(条幅!$I$11:$I$310,636-COUNTA(半紙!$B$11:$B$310)),IF(636&lt;=COUNTA(半紙!$B$11:$B$310)+COUNTA(条幅!$B$11:$B$310)+COUNTA(条幅4分の1!$B$11:$B$310),INDEX(条幅4分の1!$I$11:$I$310,636-COUNTA(半紙!$B$11:$B$310)-COUNTA(条幅!$B$11:$B$310)),""))))</f>
        <v/>
      </c>
      <c r="J641" s="38" t="str">
        <f>IF(IF(636&lt;=COUNTA(半紙!$B$11:$B$310),INDEX(半紙!$J$11:$J$310,636),IF(636&lt;=COUNTA(半紙!$B$11:$B$310)+COUNTA(条幅!$B$11:$B$310),INDEX(条幅!$J$11:$J$310,636-COUNTA(半紙!$B$11:$B$310)),IF(636&lt;=COUNTA(半紙!$B$11:$B$310)+COUNTA(条幅!$B$11:$B$310)+COUNTA(条幅4分の1!$B$11:$B$310),INDEX(条幅4分の1!$J$11:$J$310,636-COUNTA(半紙!$B$11:$B$310)-COUNTA(条幅!$B$11:$B$310)),"")))=0,"",IF(636&lt;=COUNTA(半紙!$B$11:$B$310),INDEX(半紙!$J$11:$J$310,636),IF(636&lt;=COUNTA(半紙!$B$11:$B$310)+COUNTA(条幅!$B$11:$B$310),INDEX(条幅!$J$11:$J$310,636-COUNTA(半紙!$B$11:$B$310)),IF(636&lt;=COUNTA(半紙!$B$11:$B$310)+COUNTA(条幅!$B$11:$B$310)+COUNTA(条幅4分の1!$B$11:$B$310),INDEX(条幅4分の1!$J$11:$J$310,636-COUNTA(半紙!$B$11:$B$310)-COUNTA(条幅!$B$11:$B$310)),""))))</f>
        <v/>
      </c>
      <c r="K641" s="38" t="str">
        <f>IF(IF(636&lt;=COUNTA(半紙!$B$11:$B$310),INDEX(半紙!$K$11:$K$310,636),IF(636&lt;=COUNTA(半紙!$B$11:$B$310)+COUNTA(条幅!$B$11:$B$310),INDEX(条幅!$K$11:$K$310,636-COUNTA(半紙!$B$11:$B$310)),IF(636&lt;=COUNTA(半紙!$B$11:$B$310)+COUNTA(条幅!$B$11:$B$310)+COUNTA(条幅4分の1!$B$11:$B$310),INDEX(条幅4分の1!$K$11:$K$310,636-COUNTA(半紙!$B$11:$B$310)-COUNTA(条幅!$B$11:$B$310)),"")))=0,"",IF(636&lt;=COUNTA(半紙!$B$11:$B$310),INDEX(半紙!$K$11:$K$310,636),IF(636&lt;=COUNTA(半紙!$B$11:$B$310)+COUNTA(条幅!$B$11:$B$310),INDEX(条幅!$K$11:$K$310,636-COUNTA(半紙!$B$11:$B$310)),IF(636&lt;=COUNTA(半紙!$B$11:$B$310)+COUNTA(条幅!$B$11:$B$310)+COUNTA(条幅4分の1!$B$11:$B$310),INDEX(条幅4分の1!$K$11:$K$310,636-COUNTA(半紙!$B$11:$B$310)-COUNTA(条幅!$B$11:$B$310)),""))))</f>
        <v/>
      </c>
      <c r="L641" s="48" t="str">
        <f>IF($B641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636))</f>
        <v/>
      </c>
    </row>
    <row r="642" spans="1:12" ht="15" customHeight="1">
      <c r="A642" s="37" t="str">
        <f>IF(637&lt;=COUNTA(半紙!$B$11:$B$310),"半紙",IF(637&lt;=COUNTA(半紙!$B$11:$B$310)+COUNTA(条幅!$B$11:$B$310),"条幅(半切)",IF(637&lt;=COUNTA(半紙!$B$11:$B$310)+COUNTA(条幅!$B$11:$B$310)+COUNTA(条幅4分の1!$B$11:$B$310),"条幅(1/4)","")))</f>
        <v/>
      </c>
      <c r="B642" s="38" t="str">
        <f>IF(IF(637&lt;=COUNTA(半紙!$B$11:$B$310),INDEX(半紙!$B$11:$B$310,637),IF(637&lt;=COUNTA(半紙!$B$11:$B$310)+COUNTA(条幅!$B$11:$B$310),INDEX(条幅!$B$11:$B$310,637-COUNTA(半紙!$B$11:$B$310)),IF(637&lt;=COUNTA(半紙!$B$11:$B$310)+COUNTA(条幅!$B$11:$B$310)+COUNTA(条幅4分の1!$B$11:$B$310),INDEX(条幅4分の1!$B$11:$B$310,637-COUNTA(半紙!$B$11:$B$310)-COUNTA(条幅!$B$11:$B$310)),"")))=0,"",IF(637&lt;=COUNTA(半紙!$B$11:$B$310),INDEX(半紙!$B$11:$B$310,637),IF(637&lt;=COUNTA(半紙!$B$11:$B$310)+COUNTA(条幅!$B$11:$B$310),INDEX(条幅!$B$11:$B$310,637-COUNTA(半紙!$B$11:$B$310)),IF(637&lt;=COUNTA(半紙!$B$11:$B$310)+COUNTA(条幅!$B$11:$B$310)+COUNTA(条幅4分の1!$B$11:$B$310),INDEX(条幅4分の1!$B$11:$B$310,637-COUNTA(半紙!$B$11:$B$310)-COUNTA(条幅!$B$11:$B$310)),""))))</f>
        <v/>
      </c>
      <c r="C642" s="38" t="str">
        <f>IF(IF(637&lt;=COUNTA(半紙!$B$11:$B$310),INDEX(半紙!$C$11:$C$310,637),IF(637&lt;=COUNTA(半紙!$B$11:$B$310)+COUNTA(条幅!$B$11:$B$310),INDEX(条幅!$C$11:$C$310,637-COUNTA(半紙!$B$11:$B$310)),IF(637&lt;=COUNTA(半紙!$B$11:$B$310)+COUNTA(条幅!$B$11:$B$310)+COUNTA(条幅4分の1!$B$11:$B$310),INDEX(条幅4分の1!$C$11:$C$310,637-COUNTA(半紙!$B$11:$B$310)-COUNTA(条幅!$B$11:$B$310)),"")))=0,"",IF(637&lt;=COUNTA(半紙!$B$11:$B$310),INDEX(半紙!$C$11:$C$310,637),IF(637&lt;=COUNTA(半紙!$B$11:$B$310)+COUNTA(条幅!$B$11:$B$310),INDEX(条幅!$C$11:$C$310,637-COUNTA(半紙!$B$11:$B$310)),IF(637&lt;=COUNTA(半紙!$B$11:$B$310)+COUNTA(条幅!$B$11:$B$310)+COUNTA(条幅4分の1!$B$11:$B$310),INDEX(条幅4分の1!$C$11:$C$310,637-COUNTA(半紙!$B$11:$B$310)-COUNTA(条幅!$B$11:$B$310)),""))))</f>
        <v/>
      </c>
      <c r="D642" s="38" t="str">
        <f>IF(IF(637&lt;=COUNTA(半紙!$B$11:$B$310),INDEX(半紙!$D$11:$D$310,637),IF(637&lt;=COUNTA(半紙!$B$11:$B$310)+COUNTA(条幅!$B$11:$B$310),INDEX(条幅!$D$11:$D$310,637-COUNTA(半紙!$B$11:$B$310)),IF(637&lt;=COUNTA(半紙!$B$11:$B$310)+COUNTA(条幅!$B$11:$B$310)+COUNTA(条幅4分の1!$B$11:$B$310),INDEX(条幅4分の1!$D$11:$D$310,637-COUNTA(半紙!$B$11:$B$310)-COUNTA(条幅!$B$11:$B$310)),"")))=0,"",IF(637&lt;=COUNTA(半紙!$B$11:$B$310),INDEX(半紙!$D$11:$D$310,637),IF(637&lt;=COUNTA(半紙!$B$11:$B$310)+COUNTA(条幅!$B$11:$B$310),INDEX(条幅!$D$11:$D$310,637-COUNTA(半紙!$B$11:$B$310)),IF(637&lt;=COUNTA(半紙!$B$11:$B$310)+COUNTA(条幅!$B$11:$B$310)+COUNTA(条幅4分の1!$B$11:$B$310),INDEX(条幅4分の1!$D$11:$D$310,637-COUNTA(半紙!$B$11:$B$310)-COUNTA(条幅!$B$11:$B$310)),""))))</f>
        <v/>
      </c>
      <c r="E642" s="38" t="str">
        <f>IF(IF(637&lt;=COUNTA(半紙!$B$11:$B$310),INDEX(半紙!$E$11:$E$310,637),IF(637&lt;=COUNTA(半紙!$B$11:$B$310)+COUNTA(条幅!$B$11:$B$310),INDEX(条幅!$E$11:$E$310,637-COUNTA(半紙!$B$11:$B$310)),IF(637&lt;=COUNTA(半紙!$B$11:$B$310)+COUNTA(条幅!$B$11:$B$310)+COUNTA(条幅4分の1!$B$11:$B$310),INDEX(条幅4分の1!$E$11:$E$310,637-COUNTA(半紙!$B$11:$B$310)-COUNTA(条幅!$B$11:$B$310)),"")))=0,"",IF(637&lt;=COUNTA(半紙!$B$11:$B$310),INDEX(半紙!$E$11:$E$310,637),IF(637&lt;=COUNTA(半紙!$B$11:$B$310)+COUNTA(条幅!$B$11:$B$310),INDEX(条幅!$E$11:$E$310,637-COUNTA(半紙!$B$11:$B$310)),IF(637&lt;=COUNTA(半紙!$B$11:$B$310)+COUNTA(条幅!$B$11:$B$310)+COUNTA(条幅4分の1!$B$11:$B$310),INDEX(条幅4分の1!$E$11:$E$310,637-COUNTA(半紙!$B$11:$B$310)-COUNTA(条幅!$B$11:$B$310)),""))))</f>
        <v/>
      </c>
      <c r="F642" s="38" t="str">
        <f>IF(IF(637&lt;=COUNTA(半紙!$B$11:$B$310),INDEX(半紙!$F$11:$F$310,637),IF(637&lt;=COUNTA(半紙!$B$11:$B$310)+COUNTA(条幅!$B$11:$B$310),INDEX(条幅!$F$11:$F$310,637-COUNTA(半紙!$B$11:$B$310)),IF(637&lt;=COUNTA(半紙!$B$11:$B$310)+COUNTA(条幅!$B$11:$B$310)+COUNTA(条幅4分の1!$B$11:$B$310),INDEX(条幅4分の1!$F$11:$F$310,637-COUNTA(半紙!$B$11:$B$310)-COUNTA(条幅!$B$11:$B$310)),"")))=0,"",IF(637&lt;=COUNTA(半紙!$B$11:$B$310),INDEX(半紙!$F$11:$F$310,637),IF(637&lt;=COUNTA(半紙!$B$11:$B$310)+COUNTA(条幅!$B$11:$B$310),INDEX(条幅!$F$11:$F$310,637-COUNTA(半紙!$B$11:$B$310)),IF(637&lt;=COUNTA(半紙!$B$11:$B$310)+COUNTA(条幅!$B$11:$B$310)+COUNTA(条幅4分の1!$B$11:$B$310),INDEX(条幅4分の1!$F$11:$F$310,637-COUNTA(半紙!$B$11:$B$310)-COUNTA(条幅!$B$11:$B$310)),""))))</f>
        <v/>
      </c>
      <c r="G642" s="38" t="str">
        <f>IF(IF(637&lt;=COUNTA(半紙!$B$11:$B$310),INDEX(半紙!$G$11:$G$310,637),IF(637&lt;=COUNTA(半紙!$B$11:$B$310)+COUNTA(条幅!$B$11:$B$310),INDEX(条幅!$G$11:$G$310,637-COUNTA(半紙!$B$11:$B$310)),IF(637&lt;=COUNTA(半紙!$B$11:$B$310)+COUNTA(条幅!$B$11:$B$310)+COUNTA(条幅4分の1!$B$11:$B$310),INDEX(条幅4分の1!$G$11:$G$310,637-COUNTA(半紙!$B$11:$B$310)-COUNTA(条幅!$B$11:$B$310)),"")))=0,"",IF(637&lt;=COUNTA(半紙!$B$11:$B$310),INDEX(半紙!$G$11:$G$310,637),IF(637&lt;=COUNTA(半紙!$B$11:$B$310)+COUNTA(条幅!$B$11:$B$310),INDEX(条幅!$G$11:$G$310,637-COUNTA(半紙!$B$11:$B$310)),IF(637&lt;=COUNTA(半紙!$B$11:$B$310)+COUNTA(条幅!$B$11:$B$310)+COUNTA(条幅4分の1!$B$11:$B$310),INDEX(条幅4分の1!$G$11:$G$310,637-COUNTA(半紙!$B$11:$B$310)-COUNTA(条幅!$B$11:$B$310)),""))))</f>
        <v/>
      </c>
      <c r="H642" s="38" t="str">
        <f>IF(IF(637&lt;=COUNTA(半紙!$B$11:$B$310),INDEX(半紙!$H$11:$H$310,637),IF(637&lt;=COUNTA(半紙!$B$11:$B$310)+COUNTA(条幅!$B$11:$B$310),INDEX(条幅!$H$11:$H$310,637-COUNTA(半紙!$B$11:$B$310)),IF(637&lt;=COUNTA(半紙!$B$11:$B$310)+COUNTA(条幅!$B$11:$B$310)+COUNTA(条幅4分の1!$B$11:$B$310),INDEX(条幅4分の1!$H$11:$H$310,637-COUNTA(半紙!$B$11:$B$310)-COUNTA(条幅!$B$11:$B$310)),"")))=0,"",IF(637&lt;=COUNTA(半紙!$B$11:$B$310),INDEX(半紙!$H$11:$H$310,637),IF(637&lt;=COUNTA(半紙!$B$11:$B$310)+COUNTA(条幅!$B$11:$B$310),INDEX(条幅!$H$11:$H$310,637-COUNTA(半紙!$B$11:$B$310)),IF(637&lt;=COUNTA(半紙!$B$11:$B$310)+COUNTA(条幅!$B$11:$B$310)+COUNTA(条幅4分の1!$B$11:$B$310),INDEX(条幅4分の1!$H$11:$H$310,637-COUNTA(半紙!$B$11:$B$310)-COUNTA(条幅!$B$11:$B$310)),""))))</f>
        <v/>
      </c>
      <c r="I642" s="38" t="str">
        <f>IF(IF(637&lt;=COUNTA(半紙!$B$11:$B$310),INDEX(半紙!$I$11:$I$310,637),IF(637&lt;=COUNTA(半紙!$B$11:$B$310)+COUNTA(条幅!$B$11:$B$310),INDEX(条幅!$I$11:$I$310,637-COUNTA(半紙!$B$11:$B$310)),IF(637&lt;=COUNTA(半紙!$B$11:$B$310)+COUNTA(条幅!$B$11:$B$310)+COUNTA(条幅4分の1!$B$11:$B$310),INDEX(条幅4分の1!$I$11:$I$310,637-COUNTA(半紙!$B$11:$B$310)-COUNTA(条幅!$B$11:$B$310)),"")))=0,"",IF(637&lt;=COUNTA(半紙!$B$11:$B$310),INDEX(半紙!$I$11:$I$310,637),IF(637&lt;=COUNTA(半紙!$B$11:$B$310)+COUNTA(条幅!$B$11:$B$310),INDEX(条幅!$I$11:$I$310,637-COUNTA(半紙!$B$11:$B$310)),IF(637&lt;=COUNTA(半紙!$B$11:$B$310)+COUNTA(条幅!$B$11:$B$310)+COUNTA(条幅4分の1!$B$11:$B$310),INDEX(条幅4分の1!$I$11:$I$310,637-COUNTA(半紙!$B$11:$B$310)-COUNTA(条幅!$B$11:$B$310)),""))))</f>
        <v/>
      </c>
      <c r="J642" s="38" t="str">
        <f>IF(IF(637&lt;=COUNTA(半紙!$B$11:$B$310),INDEX(半紙!$J$11:$J$310,637),IF(637&lt;=COUNTA(半紙!$B$11:$B$310)+COUNTA(条幅!$B$11:$B$310),INDEX(条幅!$J$11:$J$310,637-COUNTA(半紙!$B$11:$B$310)),IF(637&lt;=COUNTA(半紙!$B$11:$B$310)+COUNTA(条幅!$B$11:$B$310)+COUNTA(条幅4分の1!$B$11:$B$310),INDEX(条幅4分の1!$J$11:$J$310,637-COUNTA(半紙!$B$11:$B$310)-COUNTA(条幅!$B$11:$B$310)),"")))=0,"",IF(637&lt;=COUNTA(半紙!$B$11:$B$310),INDEX(半紙!$J$11:$J$310,637),IF(637&lt;=COUNTA(半紙!$B$11:$B$310)+COUNTA(条幅!$B$11:$B$310),INDEX(条幅!$J$11:$J$310,637-COUNTA(半紙!$B$11:$B$310)),IF(637&lt;=COUNTA(半紙!$B$11:$B$310)+COUNTA(条幅!$B$11:$B$310)+COUNTA(条幅4分の1!$B$11:$B$310),INDEX(条幅4分の1!$J$11:$J$310,637-COUNTA(半紙!$B$11:$B$310)-COUNTA(条幅!$B$11:$B$310)),""))))</f>
        <v/>
      </c>
      <c r="K642" s="38" t="str">
        <f>IF(IF(637&lt;=COUNTA(半紙!$B$11:$B$310),INDEX(半紙!$K$11:$K$310,637),IF(637&lt;=COUNTA(半紙!$B$11:$B$310)+COUNTA(条幅!$B$11:$B$310),INDEX(条幅!$K$11:$K$310,637-COUNTA(半紙!$B$11:$B$310)),IF(637&lt;=COUNTA(半紙!$B$11:$B$310)+COUNTA(条幅!$B$11:$B$310)+COUNTA(条幅4分の1!$B$11:$B$310),INDEX(条幅4分の1!$K$11:$K$310,637-COUNTA(半紙!$B$11:$B$310)-COUNTA(条幅!$B$11:$B$310)),"")))=0,"",IF(637&lt;=COUNTA(半紙!$B$11:$B$310),INDEX(半紙!$K$11:$K$310,637),IF(637&lt;=COUNTA(半紙!$B$11:$B$310)+COUNTA(条幅!$B$11:$B$310),INDEX(条幅!$K$11:$K$310,637-COUNTA(半紙!$B$11:$B$310)),IF(637&lt;=COUNTA(半紙!$B$11:$B$310)+COUNTA(条幅!$B$11:$B$310)+COUNTA(条幅4分の1!$B$11:$B$310),INDEX(条幅4分の1!$K$11:$K$310,637-COUNTA(半紙!$B$11:$B$310)-COUNTA(条幅!$B$11:$B$310)),""))))</f>
        <v/>
      </c>
      <c r="L642" s="48" t="str">
        <f>IF($B642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637))</f>
        <v/>
      </c>
    </row>
    <row r="643" spans="1:12" ht="15" customHeight="1">
      <c r="A643" s="37" t="str">
        <f>IF(638&lt;=COUNTA(半紙!$B$11:$B$310),"半紙",IF(638&lt;=COUNTA(半紙!$B$11:$B$310)+COUNTA(条幅!$B$11:$B$310),"条幅(半切)",IF(638&lt;=COUNTA(半紙!$B$11:$B$310)+COUNTA(条幅!$B$11:$B$310)+COUNTA(条幅4分の1!$B$11:$B$310),"条幅(1/4)","")))</f>
        <v/>
      </c>
      <c r="B643" s="38" t="str">
        <f>IF(IF(638&lt;=COUNTA(半紙!$B$11:$B$310),INDEX(半紙!$B$11:$B$310,638),IF(638&lt;=COUNTA(半紙!$B$11:$B$310)+COUNTA(条幅!$B$11:$B$310),INDEX(条幅!$B$11:$B$310,638-COUNTA(半紙!$B$11:$B$310)),IF(638&lt;=COUNTA(半紙!$B$11:$B$310)+COUNTA(条幅!$B$11:$B$310)+COUNTA(条幅4分の1!$B$11:$B$310),INDEX(条幅4分の1!$B$11:$B$310,638-COUNTA(半紙!$B$11:$B$310)-COUNTA(条幅!$B$11:$B$310)),"")))=0,"",IF(638&lt;=COUNTA(半紙!$B$11:$B$310),INDEX(半紙!$B$11:$B$310,638),IF(638&lt;=COUNTA(半紙!$B$11:$B$310)+COUNTA(条幅!$B$11:$B$310),INDEX(条幅!$B$11:$B$310,638-COUNTA(半紙!$B$11:$B$310)),IF(638&lt;=COUNTA(半紙!$B$11:$B$310)+COUNTA(条幅!$B$11:$B$310)+COUNTA(条幅4分の1!$B$11:$B$310),INDEX(条幅4分の1!$B$11:$B$310,638-COUNTA(半紙!$B$11:$B$310)-COUNTA(条幅!$B$11:$B$310)),""))))</f>
        <v/>
      </c>
      <c r="C643" s="38" t="str">
        <f>IF(IF(638&lt;=COUNTA(半紙!$B$11:$B$310),INDEX(半紙!$C$11:$C$310,638),IF(638&lt;=COUNTA(半紙!$B$11:$B$310)+COUNTA(条幅!$B$11:$B$310),INDEX(条幅!$C$11:$C$310,638-COUNTA(半紙!$B$11:$B$310)),IF(638&lt;=COUNTA(半紙!$B$11:$B$310)+COUNTA(条幅!$B$11:$B$310)+COUNTA(条幅4分の1!$B$11:$B$310),INDEX(条幅4分の1!$C$11:$C$310,638-COUNTA(半紙!$B$11:$B$310)-COUNTA(条幅!$B$11:$B$310)),"")))=0,"",IF(638&lt;=COUNTA(半紙!$B$11:$B$310),INDEX(半紙!$C$11:$C$310,638),IF(638&lt;=COUNTA(半紙!$B$11:$B$310)+COUNTA(条幅!$B$11:$B$310),INDEX(条幅!$C$11:$C$310,638-COUNTA(半紙!$B$11:$B$310)),IF(638&lt;=COUNTA(半紙!$B$11:$B$310)+COUNTA(条幅!$B$11:$B$310)+COUNTA(条幅4分の1!$B$11:$B$310),INDEX(条幅4分の1!$C$11:$C$310,638-COUNTA(半紙!$B$11:$B$310)-COUNTA(条幅!$B$11:$B$310)),""))))</f>
        <v/>
      </c>
      <c r="D643" s="38" t="str">
        <f>IF(IF(638&lt;=COUNTA(半紙!$B$11:$B$310),INDEX(半紙!$D$11:$D$310,638),IF(638&lt;=COUNTA(半紙!$B$11:$B$310)+COUNTA(条幅!$B$11:$B$310),INDEX(条幅!$D$11:$D$310,638-COUNTA(半紙!$B$11:$B$310)),IF(638&lt;=COUNTA(半紙!$B$11:$B$310)+COUNTA(条幅!$B$11:$B$310)+COUNTA(条幅4分の1!$B$11:$B$310),INDEX(条幅4分の1!$D$11:$D$310,638-COUNTA(半紙!$B$11:$B$310)-COUNTA(条幅!$B$11:$B$310)),"")))=0,"",IF(638&lt;=COUNTA(半紙!$B$11:$B$310),INDEX(半紙!$D$11:$D$310,638),IF(638&lt;=COUNTA(半紙!$B$11:$B$310)+COUNTA(条幅!$B$11:$B$310),INDEX(条幅!$D$11:$D$310,638-COUNTA(半紙!$B$11:$B$310)),IF(638&lt;=COUNTA(半紙!$B$11:$B$310)+COUNTA(条幅!$B$11:$B$310)+COUNTA(条幅4分の1!$B$11:$B$310),INDEX(条幅4分の1!$D$11:$D$310,638-COUNTA(半紙!$B$11:$B$310)-COUNTA(条幅!$B$11:$B$310)),""))))</f>
        <v/>
      </c>
      <c r="E643" s="38" t="str">
        <f>IF(IF(638&lt;=COUNTA(半紙!$B$11:$B$310),INDEX(半紙!$E$11:$E$310,638),IF(638&lt;=COUNTA(半紙!$B$11:$B$310)+COUNTA(条幅!$B$11:$B$310),INDEX(条幅!$E$11:$E$310,638-COUNTA(半紙!$B$11:$B$310)),IF(638&lt;=COUNTA(半紙!$B$11:$B$310)+COUNTA(条幅!$B$11:$B$310)+COUNTA(条幅4分の1!$B$11:$B$310),INDEX(条幅4分の1!$E$11:$E$310,638-COUNTA(半紙!$B$11:$B$310)-COUNTA(条幅!$B$11:$B$310)),"")))=0,"",IF(638&lt;=COUNTA(半紙!$B$11:$B$310),INDEX(半紙!$E$11:$E$310,638),IF(638&lt;=COUNTA(半紙!$B$11:$B$310)+COUNTA(条幅!$B$11:$B$310),INDEX(条幅!$E$11:$E$310,638-COUNTA(半紙!$B$11:$B$310)),IF(638&lt;=COUNTA(半紙!$B$11:$B$310)+COUNTA(条幅!$B$11:$B$310)+COUNTA(条幅4分の1!$B$11:$B$310),INDEX(条幅4分の1!$E$11:$E$310,638-COUNTA(半紙!$B$11:$B$310)-COUNTA(条幅!$B$11:$B$310)),""))))</f>
        <v/>
      </c>
      <c r="F643" s="38" t="str">
        <f>IF(IF(638&lt;=COUNTA(半紙!$B$11:$B$310),INDEX(半紙!$F$11:$F$310,638),IF(638&lt;=COUNTA(半紙!$B$11:$B$310)+COUNTA(条幅!$B$11:$B$310),INDEX(条幅!$F$11:$F$310,638-COUNTA(半紙!$B$11:$B$310)),IF(638&lt;=COUNTA(半紙!$B$11:$B$310)+COUNTA(条幅!$B$11:$B$310)+COUNTA(条幅4分の1!$B$11:$B$310),INDEX(条幅4分の1!$F$11:$F$310,638-COUNTA(半紙!$B$11:$B$310)-COUNTA(条幅!$B$11:$B$310)),"")))=0,"",IF(638&lt;=COUNTA(半紙!$B$11:$B$310),INDEX(半紙!$F$11:$F$310,638),IF(638&lt;=COUNTA(半紙!$B$11:$B$310)+COUNTA(条幅!$B$11:$B$310),INDEX(条幅!$F$11:$F$310,638-COUNTA(半紙!$B$11:$B$310)),IF(638&lt;=COUNTA(半紙!$B$11:$B$310)+COUNTA(条幅!$B$11:$B$310)+COUNTA(条幅4分の1!$B$11:$B$310),INDEX(条幅4分の1!$F$11:$F$310,638-COUNTA(半紙!$B$11:$B$310)-COUNTA(条幅!$B$11:$B$310)),""))))</f>
        <v/>
      </c>
      <c r="G643" s="38" t="str">
        <f>IF(IF(638&lt;=COUNTA(半紙!$B$11:$B$310),INDEX(半紙!$G$11:$G$310,638),IF(638&lt;=COUNTA(半紙!$B$11:$B$310)+COUNTA(条幅!$B$11:$B$310),INDEX(条幅!$G$11:$G$310,638-COUNTA(半紙!$B$11:$B$310)),IF(638&lt;=COUNTA(半紙!$B$11:$B$310)+COUNTA(条幅!$B$11:$B$310)+COUNTA(条幅4分の1!$B$11:$B$310),INDEX(条幅4分の1!$G$11:$G$310,638-COUNTA(半紙!$B$11:$B$310)-COUNTA(条幅!$B$11:$B$310)),"")))=0,"",IF(638&lt;=COUNTA(半紙!$B$11:$B$310),INDEX(半紙!$G$11:$G$310,638),IF(638&lt;=COUNTA(半紙!$B$11:$B$310)+COUNTA(条幅!$B$11:$B$310),INDEX(条幅!$G$11:$G$310,638-COUNTA(半紙!$B$11:$B$310)),IF(638&lt;=COUNTA(半紙!$B$11:$B$310)+COUNTA(条幅!$B$11:$B$310)+COUNTA(条幅4分の1!$B$11:$B$310),INDEX(条幅4分の1!$G$11:$G$310,638-COUNTA(半紙!$B$11:$B$310)-COUNTA(条幅!$B$11:$B$310)),""))))</f>
        <v/>
      </c>
      <c r="H643" s="38" t="str">
        <f>IF(IF(638&lt;=COUNTA(半紙!$B$11:$B$310),INDEX(半紙!$H$11:$H$310,638),IF(638&lt;=COUNTA(半紙!$B$11:$B$310)+COUNTA(条幅!$B$11:$B$310),INDEX(条幅!$H$11:$H$310,638-COUNTA(半紙!$B$11:$B$310)),IF(638&lt;=COUNTA(半紙!$B$11:$B$310)+COUNTA(条幅!$B$11:$B$310)+COUNTA(条幅4分の1!$B$11:$B$310),INDEX(条幅4分の1!$H$11:$H$310,638-COUNTA(半紙!$B$11:$B$310)-COUNTA(条幅!$B$11:$B$310)),"")))=0,"",IF(638&lt;=COUNTA(半紙!$B$11:$B$310),INDEX(半紙!$H$11:$H$310,638),IF(638&lt;=COUNTA(半紙!$B$11:$B$310)+COUNTA(条幅!$B$11:$B$310),INDEX(条幅!$H$11:$H$310,638-COUNTA(半紙!$B$11:$B$310)),IF(638&lt;=COUNTA(半紙!$B$11:$B$310)+COUNTA(条幅!$B$11:$B$310)+COUNTA(条幅4分の1!$B$11:$B$310),INDEX(条幅4分の1!$H$11:$H$310,638-COUNTA(半紙!$B$11:$B$310)-COUNTA(条幅!$B$11:$B$310)),""))))</f>
        <v/>
      </c>
      <c r="I643" s="38" t="str">
        <f>IF(IF(638&lt;=COUNTA(半紙!$B$11:$B$310),INDEX(半紙!$I$11:$I$310,638),IF(638&lt;=COUNTA(半紙!$B$11:$B$310)+COUNTA(条幅!$B$11:$B$310),INDEX(条幅!$I$11:$I$310,638-COUNTA(半紙!$B$11:$B$310)),IF(638&lt;=COUNTA(半紙!$B$11:$B$310)+COUNTA(条幅!$B$11:$B$310)+COUNTA(条幅4分の1!$B$11:$B$310),INDEX(条幅4分の1!$I$11:$I$310,638-COUNTA(半紙!$B$11:$B$310)-COUNTA(条幅!$B$11:$B$310)),"")))=0,"",IF(638&lt;=COUNTA(半紙!$B$11:$B$310),INDEX(半紙!$I$11:$I$310,638),IF(638&lt;=COUNTA(半紙!$B$11:$B$310)+COUNTA(条幅!$B$11:$B$310),INDEX(条幅!$I$11:$I$310,638-COUNTA(半紙!$B$11:$B$310)),IF(638&lt;=COUNTA(半紙!$B$11:$B$310)+COUNTA(条幅!$B$11:$B$310)+COUNTA(条幅4分の1!$B$11:$B$310),INDEX(条幅4分の1!$I$11:$I$310,638-COUNTA(半紙!$B$11:$B$310)-COUNTA(条幅!$B$11:$B$310)),""))))</f>
        <v/>
      </c>
      <c r="J643" s="38" t="str">
        <f>IF(IF(638&lt;=COUNTA(半紙!$B$11:$B$310),INDEX(半紙!$J$11:$J$310,638),IF(638&lt;=COUNTA(半紙!$B$11:$B$310)+COUNTA(条幅!$B$11:$B$310),INDEX(条幅!$J$11:$J$310,638-COUNTA(半紙!$B$11:$B$310)),IF(638&lt;=COUNTA(半紙!$B$11:$B$310)+COUNTA(条幅!$B$11:$B$310)+COUNTA(条幅4分の1!$B$11:$B$310),INDEX(条幅4分の1!$J$11:$J$310,638-COUNTA(半紙!$B$11:$B$310)-COUNTA(条幅!$B$11:$B$310)),"")))=0,"",IF(638&lt;=COUNTA(半紙!$B$11:$B$310),INDEX(半紙!$J$11:$J$310,638),IF(638&lt;=COUNTA(半紙!$B$11:$B$310)+COUNTA(条幅!$B$11:$B$310),INDEX(条幅!$J$11:$J$310,638-COUNTA(半紙!$B$11:$B$310)),IF(638&lt;=COUNTA(半紙!$B$11:$B$310)+COUNTA(条幅!$B$11:$B$310)+COUNTA(条幅4分の1!$B$11:$B$310),INDEX(条幅4分の1!$J$11:$J$310,638-COUNTA(半紙!$B$11:$B$310)-COUNTA(条幅!$B$11:$B$310)),""))))</f>
        <v/>
      </c>
      <c r="K643" s="38" t="str">
        <f>IF(IF(638&lt;=COUNTA(半紙!$B$11:$B$310),INDEX(半紙!$K$11:$K$310,638),IF(638&lt;=COUNTA(半紙!$B$11:$B$310)+COUNTA(条幅!$B$11:$B$310),INDEX(条幅!$K$11:$K$310,638-COUNTA(半紙!$B$11:$B$310)),IF(638&lt;=COUNTA(半紙!$B$11:$B$310)+COUNTA(条幅!$B$11:$B$310)+COUNTA(条幅4分の1!$B$11:$B$310),INDEX(条幅4分の1!$K$11:$K$310,638-COUNTA(半紙!$B$11:$B$310)-COUNTA(条幅!$B$11:$B$310)),"")))=0,"",IF(638&lt;=COUNTA(半紙!$B$11:$B$310),INDEX(半紙!$K$11:$K$310,638),IF(638&lt;=COUNTA(半紙!$B$11:$B$310)+COUNTA(条幅!$B$11:$B$310),INDEX(条幅!$K$11:$K$310,638-COUNTA(半紙!$B$11:$B$310)),IF(638&lt;=COUNTA(半紙!$B$11:$B$310)+COUNTA(条幅!$B$11:$B$310)+COUNTA(条幅4分の1!$B$11:$B$310),INDEX(条幅4分の1!$K$11:$K$310,638-COUNTA(半紙!$B$11:$B$310)-COUNTA(条幅!$B$11:$B$310)),""))))</f>
        <v/>
      </c>
      <c r="L643" s="48" t="str">
        <f>IF($B643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638))</f>
        <v/>
      </c>
    </row>
    <row r="644" spans="1:12" ht="15" customHeight="1">
      <c r="A644" s="37" t="str">
        <f>IF(639&lt;=COUNTA(半紙!$B$11:$B$310),"半紙",IF(639&lt;=COUNTA(半紙!$B$11:$B$310)+COUNTA(条幅!$B$11:$B$310),"条幅(半切)",IF(639&lt;=COUNTA(半紙!$B$11:$B$310)+COUNTA(条幅!$B$11:$B$310)+COUNTA(条幅4分の1!$B$11:$B$310),"条幅(1/4)","")))</f>
        <v/>
      </c>
      <c r="B644" s="38" t="str">
        <f>IF(IF(639&lt;=COUNTA(半紙!$B$11:$B$310),INDEX(半紙!$B$11:$B$310,639),IF(639&lt;=COUNTA(半紙!$B$11:$B$310)+COUNTA(条幅!$B$11:$B$310),INDEX(条幅!$B$11:$B$310,639-COUNTA(半紙!$B$11:$B$310)),IF(639&lt;=COUNTA(半紙!$B$11:$B$310)+COUNTA(条幅!$B$11:$B$310)+COUNTA(条幅4分の1!$B$11:$B$310),INDEX(条幅4分の1!$B$11:$B$310,639-COUNTA(半紙!$B$11:$B$310)-COUNTA(条幅!$B$11:$B$310)),"")))=0,"",IF(639&lt;=COUNTA(半紙!$B$11:$B$310),INDEX(半紙!$B$11:$B$310,639),IF(639&lt;=COUNTA(半紙!$B$11:$B$310)+COUNTA(条幅!$B$11:$B$310),INDEX(条幅!$B$11:$B$310,639-COUNTA(半紙!$B$11:$B$310)),IF(639&lt;=COUNTA(半紙!$B$11:$B$310)+COUNTA(条幅!$B$11:$B$310)+COUNTA(条幅4分の1!$B$11:$B$310),INDEX(条幅4分の1!$B$11:$B$310,639-COUNTA(半紙!$B$11:$B$310)-COUNTA(条幅!$B$11:$B$310)),""))))</f>
        <v/>
      </c>
      <c r="C644" s="38" t="str">
        <f>IF(IF(639&lt;=COUNTA(半紙!$B$11:$B$310),INDEX(半紙!$C$11:$C$310,639),IF(639&lt;=COUNTA(半紙!$B$11:$B$310)+COUNTA(条幅!$B$11:$B$310),INDEX(条幅!$C$11:$C$310,639-COUNTA(半紙!$B$11:$B$310)),IF(639&lt;=COUNTA(半紙!$B$11:$B$310)+COUNTA(条幅!$B$11:$B$310)+COUNTA(条幅4分の1!$B$11:$B$310),INDEX(条幅4分の1!$C$11:$C$310,639-COUNTA(半紙!$B$11:$B$310)-COUNTA(条幅!$B$11:$B$310)),"")))=0,"",IF(639&lt;=COUNTA(半紙!$B$11:$B$310),INDEX(半紙!$C$11:$C$310,639),IF(639&lt;=COUNTA(半紙!$B$11:$B$310)+COUNTA(条幅!$B$11:$B$310),INDEX(条幅!$C$11:$C$310,639-COUNTA(半紙!$B$11:$B$310)),IF(639&lt;=COUNTA(半紙!$B$11:$B$310)+COUNTA(条幅!$B$11:$B$310)+COUNTA(条幅4分の1!$B$11:$B$310),INDEX(条幅4分の1!$C$11:$C$310,639-COUNTA(半紙!$B$11:$B$310)-COUNTA(条幅!$B$11:$B$310)),""))))</f>
        <v/>
      </c>
      <c r="D644" s="38" t="str">
        <f>IF(IF(639&lt;=COUNTA(半紙!$B$11:$B$310),INDEX(半紙!$D$11:$D$310,639),IF(639&lt;=COUNTA(半紙!$B$11:$B$310)+COUNTA(条幅!$B$11:$B$310),INDEX(条幅!$D$11:$D$310,639-COUNTA(半紙!$B$11:$B$310)),IF(639&lt;=COUNTA(半紙!$B$11:$B$310)+COUNTA(条幅!$B$11:$B$310)+COUNTA(条幅4分の1!$B$11:$B$310),INDEX(条幅4分の1!$D$11:$D$310,639-COUNTA(半紙!$B$11:$B$310)-COUNTA(条幅!$B$11:$B$310)),"")))=0,"",IF(639&lt;=COUNTA(半紙!$B$11:$B$310),INDEX(半紙!$D$11:$D$310,639),IF(639&lt;=COUNTA(半紙!$B$11:$B$310)+COUNTA(条幅!$B$11:$B$310),INDEX(条幅!$D$11:$D$310,639-COUNTA(半紙!$B$11:$B$310)),IF(639&lt;=COUNTA(半紙!$B$11:$B$310)+COUNTA(条幅!$B$11:$B$310)+COUNTA(条幅4分の1!$B$11:$B$310),INDEX(条幅4分の1!$D$11:$D$310,639-COUNTA(半紙!$B$11:$B$310)-COUNTA(条幅!$B$11:$B$310)),""))))</f>
        <v/>
      </c>
      <c r="E644" s="38" t="str">
        <f>IF(IF(639&lt;=COUNTA(半紙!$B$11:$B$310),INDEX(半紙!$E$11:$E$310,639),IF(639&lt;=COUNTA(半紙!$B$11:$B$310)+COUNTA(条幅!$B$11:$B$310),INDEX(条幅!$E$11:$E$310,639-COUNTA(半紙!$B$11:$B$310)),IF(639&lt;=COUNTA(半紙!$B$11:$B$310)+COUNTA(条幅!$B$11:$B$310)+COUNTA(条幅4分の1!$B$11:$B$310),INDEX(条幅4分の1!$E$11:$E$310,639-COUNTA(半紙!$B$11:$B$310)-COUNTA(条幅!$B$11:$B$310)),"")))=0,"",IF(639&lt;=COUNTA(半紙!$B$11:$B$310),INDEX(半紙!$E$11:$E$310,639),IF(639&lt;=COUNTA(半紙!$B$11:$B$310)+COUNTA(条幅!$B$11:$B$310),INDEX(条幅!$E$11:$E$310,639-COUNTA(半紙!$B$11:$B$310)),IF(639&lt;=COUNTA(半紙!$B$11:$B$310)+COUNTA(条幅!$B$11:$B$310)+COUNTA(条幅4分の1!$B$11:$B$310),INDEX(条幅4分の1!$E$11:$E$310,639-COUNTA(半紙!$B$11:$B$310)-COUNTA(条幅!$B$11:$B$310)),""))))</f>
        <v/>
      </c>
      <c r="F644" s="38" t="str">
        <f>IF(IF(639&lt;=COUNTA(半紙!$B$11:$B$310),INDEX(半紙!$F$11:$F$310,639),IF(639&lt;=COUNTA(半紙!$B$11:$B$310)+COUNTA(条幅!$B$11:$B$310),INDEX(条幅!$F$11:$F$310,639-COUNTA(半紙!$B$11:$B$310)),IF(639&lt;=COUNTA(半紙!$B$11:$B$310)+COUNTA(条幅!$B$11:$B$310)+COUNTA(条幅4分の1!$B$11:$B$310),INDEX(条幅4分の1!$F$11:$F$310,639-COUNTA(半紙!$B$11:$B$310)-COUNTA(条幅!$B$11:$B$310)),"")))=0,"",IF(639&lt;=COUNTA(半紙!$B$11:$B$310),INDEX(半紙!$F$11:$F$310,639),IF(639&lt;=COUNTA(半紙!$B$11:$B$310)+COUNTA(条幅!$B$11:$B$310),INDEX(条幅!$F$11:$F$310,639-COUNTA(半紙!$B$11:$B$310)),IF(639&lt;=COUNTA(半紙!$B$11:$B$310)+COUNTA(条幅!$B$11:$B$310)+COUNTA(条幅4分の1!$B$11:$B$310),INDEX(条幅4分の1!$F$11:$F$310,639-COUNTA(半紙!$B$11:$B$310)-COUNTA(条幅!$B$11:$B$310)),""))))</f>
        <v/>
      </c>
      <c r="G644" s="38" t="str">
        <f>IF(IF(639&lt;=COUNTA(半紙!$B$11:$B$310),INDEX(半紙!$G$11:$G$310,639),IF(639&lt;=COUNTA(半紙!$B$11:$B$310)+COUNTA(条幅!$B$11:$B$310),INDEX(条幅!$G$11:$G$310,639-COUNTA(半紙!$B$11:$B$310)),IF(639&lt;=COUNTA(半紙!$B$11:$B$310)+COUNTA(条幅!$B$11:$B$310)+COUNTA(条幅4分の1!$B$11:$B$310),INDEX(条幅4分の1!$G$11:$G$310,639-COUNTA(半紙!$B$11:$B$310)-COUNTA(条幅!$B$11:$B$310)),"")))=0,"",IF(639&lt;=COUNTA(半紙!$B$11:$B$310),INDEX(半紙!$G$11:$G$310,639),IF(639&lt;=COUNTA(半紙!$B$11:$B$310)+COUNTA(条幅!$B$11:$B$310),INDEX(条幅!$G$11:$G$310,639-COUNTA(半紙!$B$11:$B$310)),IF(639&lt;=COUNTA(半紙!$B$11:$B$310)+COUNTA(条幅!$B$11:$B$310)+COUNTA(条幅4分の1!$B$11:$B$310),INDEX(条幅4分の1!$G$11:$G$310,639-COUNTA(半紙!$B$11:$B$310)-COUNTA(条幅!$B$11:$B$310)),""))))</f>
        <v/>
      </c>
      <c r="H644" s="38" t="str">
        <f>IF(IF(639&lt;=COUNTA(半紙!$B$11:$B$310),INDEX(半紙!$H$11:$H$310,639),IF(639&lt;=COUNTA(半紙!$B$11:$B$310)+COUNTA(条幅!$B$11:$B$310),INDEX(条幅!$H$11:$H$310,639-COUNTA(半紙!$B$11:$B$310)),IF(639&lt;=COUNTA(半紙!$B$11:$B$310)+COUNTA(条幅!$B$11:$B$310)+COUNTA(条幅4分の1!$B$11:$B$310),INDEX(条幅4分の1!$H$11:$H$310,639-COUNTA(半紙!$B$11:$B$310)-COUNTA(条幅!$B$11:$B$310)),"")))=0,"",IF(639&lt;=COUNTA(半紙!$B$11:$B$310),INDEX(半紙!$H$11:$H$310,639),IF(639&lt;=COUNTA(半紙!$B$11:$B$310)+COUNTA(条幅!$B$11:$B$310),INDEX(条幅!$H$11:$H$310,639-COUNTA(半紙!$B$11:$B$310)),IF(639&lt;=COUNTA(半紙!$B$11:$B$310)+COUNTA(条幅!$B$11:$B$310)+COUNTA(条幅4分の1!$B$11:$B$310),INDEX(条幅4分の1!$H$11:$H$310,639-COUNTA(半紙!$B$11:$B$310)-COUNTA(条幅!$B$11:$B$310)),""))))</f>
        <v/>
      </c>
      <c r="I644" s="38" t="str">
        <f>IF(IF(639&lt;=COUNTA(半紙!$B$11:$B$310),INDEX(半紙!$I$11:$I$310,639),IF(639&lt;=COUNTA(半紙!$B$11:$B$310)+COUNTA(条幅!$B$11:$B$310),INDEX(条幅!$I$11:$I$310,639-COUNTA(半紙!$B$11:$B$310)),IF(639&lt;=COUNTA(半紙!$B$11:$B$310)+COUNTA(条幅!$B$11:$B$310)+COUNTA(条幅4分の1!$B$11:$B$310),INDEX(条幅4分の1!$I$11:$I$310,639-COUNTA(半紙!$B$11:$B$310)-COUNTA(条幅!$B$11:$B$310)),"")))=0,"",IF(639&lt;=COUNTA(半紙!$B$11:$B$310),INDEX(半紙!$I$11:$I$310,639),IF(639&lt;=COUNTA(半紙!$B$11:$B$310)+COUNTA(条幅!$B$11:$B$310),INDEX(条幅!$I$11:$I$310,639-COUNTA(半紙!$B$11:$B$310)),IF(639&lt;=COUNTA(半紙!$B$11:$B$310)+COUNTA(条幅!$B$11:$B$310)+COUNTA(条幅4分の1!$B$11:$B$310),INDEX(条幅4分の1!$I$11:$I$310,639-COUNTA(半紙!$B$11:$B$310)-COUNTA(条幅!$B$11:$B$310)),""))))</f>
        <v/>
      </c>
      <c r="J644" s="38" t="str">
        <f>IF(IF(639&lt;=COUNTA(半紙!$B$11:$B$310),INDEX(半紙!$J$11:$J$310,639),IF(639&lt;=COUNTA(半紙!$B$11:$B$310)+COUNTA(条幅!$B$11:$B$310),INDEX(条幅!$J$11:$J$310,639-COUNTA(半紙!$B$11:$B$310)),IF(639&lt;=COUNTA(半紙!$B$11:$B$310)+COUNTA(条幅!$B$11:$B$310)+COUNTA(条幅4分の1!$B$11:$B$310),INDEX(条幅4分の1!$J$11:$J$310,639-COUNTA(半紙!$B$11:$B$310)-COUNTA(条幅!$B$11:$B$310)),"")))=0,"",IF(639&lt;=COUNTA(半紙!$B$11:$B$310),INDEX(半紙!$J$11:$J$310,639),IF(639&lt;=COUNTA(半紙!$B$11:$B$310)+COUNTA(条幅!$B$11:$B$310),INDEX(条幅!$J$11:$J$310,639-COUNTA(半紙!$B$11:$B$310)),IF(639&lt;=COUNTA(半紙!$B$11:$B$310)+COUNTA(条幅!$B$11:$B$310)+COUNTA(条幅4分の1!$B$11:$B$310),INDEX(条幅4分の1!$J$11:$J$310,639-COUNTA(半紙!$B$11:$B$310)-COUNTA(条幅!$B$11:$B$310)),""))))</f>
        <v/>
      </c>
      <c r="K644" s="38" t="str">
        <f>IF(IF(639&lt;=COUNTA(半紙!$B$11:$B$310),INDEX(半紙!$K$11:$K$310,639),IF(639&lt;=COUNTA(半紙!$B$11:$B$310)+COUNTA(条幅!$B$11:$B$310),INDEX(条幅!$K$11:$K$310,639-COUNTA(半紙!$B$11:$B$310)),IF(639&lt;=COUNTA(半紙!$B$11:$B$310)+COUNTA(条幅!$B$11:$B$310)+COUNTA(条幅4分の1!$B$11:$B$310),INDEX(条幅4分の1!$K$11:$K$310,639-COUNTA(半紙!$B$11:$B$310)-COUNTA(条幅!$B$11:$B$310)),"")))=0,"",IF(639&lt;=COUNTA(半紙!$B$11:$B$310),INDEX(半紙!$K$11:$K$310,639),IF(639&lt;=COUNTA(半紙!$B$11:$B$310)+COUNTA(条幅!$B$11:$B$310),INDEX(条幅!$K$11:$K$310,639-COUNTA(半紙!$B$11:$B$310)),IF(639&lt;=COUNTA(半紙!$B$11:$B$310)+COUNTA(条幅!$B$11:$B$310)+COUNTA(条幅4分の1!$B$11:$B$310),INDEX(条幅4分の1!$K$11:$K$310,639-COUNTA(半紙!$B$11:$B$310)-COUNTA(条幅!$B$11:$B$310)),""))))</f>
        <v/>
      </c>
      <c r="L644" s="48" t="str">
        <f>IF($B644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639))</f>
        <v/>
      </c>
    </row>
    <row r="645" spans="1:12" ht="15" customHeight="1">
      <c r="A645" s="37" t="str">
        <f>IF(640&lt;=COUNTA(半紙!$B$11:$B$310),"半紙",IF(640&lt;=COUNTA(半紙!$B$11:$B$310)+COUNTA(条幅!$B$11:$B$310),"条幅(半切)",IF(640&lt;=COUNTA(半紙!$B$11:$B$310)+COUNTA(条幅!$B$11:$B$310)+COUNTA(条幅4分の1!$B$11:$B$310),"条幅(1/4)","")))</f>
        <v/>
      </c>
      <c r="B645" s="38" t="str">
        <f>IF(IF(640&lt;=COUNTA(半紙!$B$11:$B$310),INDEX(半紙!$B$11:$B$310,640),IF(640&lt;=COUNTA(半紙!$B$11:$B$310)+COUNTA(条幅!$B$11:$B$310),INDEX(条幅!$B$11:$B$310,640-COUNTA(半紙!$B$11:$B$310)),IF(640&lt;=COUNTA(半紙!$B$11:$B$310)+COUNTA(条幅!$B$11:$B$310)+COUNTA(条幅4分の1!$B$11:$B$310),INDEX(条幅4分の1!$B$11:$B$310,640-COUNTA(半紙!$B$11:$B$310)-COUNTA(条幅!$B$11:$B$310)),"")))=0,"",IF(640&lt;=COUNTA(半紙!$B$11:$B$310),INDEX(半紙!$B$11:$B$310,640),IF(640&lt;=COUNTA(半紙!$B$11:$B$310)+COUNTA(条幅!$B$11:$B$310),INDEX(条幅!$B$11:$B$310,640-COUNTA(半紙!$B$11:$B$310)),IF(640&lt;=COUNTA(半紙!$B$11:$B$310)+COUNTA(条幅!$B$11:$B$310)+COUNTA(条幅4分の1!$B$11:$B$310),INDEX(条幅4分の1!$B$11:$B$310,640-COUNTA(半紙!$B$11:$B$310)-COUNTA(条幅!$B$11:$B$310)),""))))</f>
        <v/>
      </c>
      <c r="C645" s="38" t="str">
        <f>IF(IF(640&lt;=COUNTA(半紙!$B$11:$B$310),INDEX(半紙!$C$11:$C$310,640),IF(640&lt;=COUNTA(半紙!$B$11:$B$310)+COUNTA(条幅!$B$11:$B$310),INDEX(条幅!$C$11:$C$310,640-COUNTA(半紙!$B$11:$B$310)),IF(640&lt;=COUNTA(半紙!$B$11:$B$310)+COUNTA(条幅!$B$11:$B$310)+COUNTA(条幅4分の1!$B$11:$B$310),INDEX(条幅4分の1!$C$11:$C$310,640-COUNTA(半紙!$B$11:$B$310)-COUNTA(条幅!$B$11:$B$310)),"")))=0,"",IF(640&lt;=COUNTA(半紙!$B$11:$B$310),INDEX(半紙!$C$11:$C$310,640),IF(640&lt;=COUNTA(半紙!$B$11:$B$310)+COUNTA(条幅!$B$11:$B$310),INDEX(条幅!$C$11:$C$310,640-COUNTA(半紙!$B$11:$B$310)),IF(640&lt;=COUNTA(半紙!$B$11:$B$310)+COUNTA(条幅!$B$11:$B$310)+COUNTA(条幅4分の1!$B$11:$B$310),INDEX(条幅4分の1!$C$11:$C$310,640-COUNTA(半紙!$B$11:$B$310)-COUNTA(条幅!$B$11:$B$310)),""))))</f>
        <v/>
      </c>
      <c r="D645" s="38" t="str">
        <f>IF(IF(640&lt;=COUNTA(半紙!$B$11:$B$310),INDEX(半紙!$D$11:$D$310,640),IF(640&lt;=COUNTA(半紙!$B$11:$B$310)+COUNTA(条幅!$B$11:$B$310),INDEX(条幅!$D$11:$D$310,640-COUNTA(半紙!$B$11:$B$310)),IF(640&lt;=COUNTA(半紙!$B$11:$B$310)+COUNTA(条幅!$B$11:$B$310)+COUNTA(条幅4分の1!$B$11:$B$310),INDEX(条幅4分の1!$D$11:$D$310,640-COUNTA(半紙!$B$11:$B$310)-COUNTA(条幅!$B$11:$B$310)),"")))=0,"",IF(640&lt;=COUNTA(半紙!$B$11:$B$310),INDEX(半紙!$D$11:$D$310,640),IF(640&lt;=COUNTA(半紙!$B$11:$B$310)+COUNTA(条幅!$B$11:$B$310),INDEX(条幅!$D$11:$D$310,640-COUNTA(半紙!$B$11:$B$310)),IF(640&lt;=COUNTA(半紙!$B$11:$B$310)+COUNTA(条幅!$B$11:$B$310)+COUNTA(条幅4分の1!$B$11:$B$310),INDEX(条幅4分の1!$D$11:$D$310,640-COUNTA(半紙!$B$11:$B$310)-COUNTA(条幅!$B$11:$B$310)),""))))</f>
        <v/>
      </c>
      <c r="E645" s="38" t="str">
        <f>IF(IF(640&lt;=COUNTA(半紙!$B$11:$B$310),INDEX(半紙!$E$11:$E$310,640),IF(640&lt;=COUNTA(半紙!$B$11:$B$310)+COUNTA(条幅!$B$11:$B$310),INDEX(条幅!$E$11:$E$310,640-COUNTA(半紙!$B$11:$B$310)),IF(640&lt;=COUNTA(半紙!$B$11:$B$310)+COUNTA(条幅!$B$11:$B$310)+COUNTA(条幅4分の1!$B$11:$B$310),INDEX(条幅4分の1!$E$11:$E$310,640-COUNTA(半紙!$B$11:$B$310)-COUNTA(条幅!$B$11:$B$310)),"")))=0,"",IF(640&lt;=COUNTA(半紙!$B$11:$B$310),INDEX(半紙!$E$11:$E$310,640),IF(640&lt;=COUNTA(半紙!$B$11:$B$310)+COUNTA(条幅!$B$11:$B$310),INDEX(条幅!$E$11:$E$310,640-COUNTA(半紙!$B$11:$B$310)),IF(640&lt;=COUNTA(半紙!$B$11:$B$310)+COUNTA(条幅!$B$11:$B$310)+COUNTA(条幅4分の1!$B$11:$B$310),INDEX(条幅4分の1!$E$11:$E$310,640-COUNTA(半紙!$B$11:$B$310)-COUNTA(条幅!$B$11:$B$310)),""))))</f>
        <v/>
      </c>
      <c r="F645" s="38" t="str">
        <f>IF(IF(640&lt;=COUNTA(半紙!$B$11:$B$310),INDEX(半紙!$F$11:$F$310,640),IF(640&lt;=COUNTA(半紙!$B$11:$B$310)+COUNTA(条幅!$B$11:$B$310),INDEX(条幅!$F$11:$F$310,640-COUNTA(半紙!$B$11:$B$310)),IF(640&lt;=COUNTA(半紙!$B$11:$B$310)+COUNTA(条幅!$B$11:$B$310)+COUNTA(条幅4分の1!$B$11:$B$310),INDEX(条幅4分の1!$F$11:$F$310,640-COUNTA(半紙!$B$11:$B$310)-COUNTA(条幅!$B$11:$B$310)),"")))=0,"",IF(640&lt;=COUNTA(半紙!$B$11:$B$310),INDEX(半紙!$F$11:$F$310,640),IF(640&lt;=COUNTA(半紙!$B$11:$B$310)+COUNTA(条幅!$B$11:$B$310),INDEX(条幅!$F$11:$F$310,640-COUNTA(半紙!$B$11:$B$310)),IF(640&lt;=COUNTA(半紙!$B$11:$B$310)+COUNTA(条幅!$B$11:$B$310)+COUNTA(条幅4分の1!$B$11:$B$310),INDEX(条幅4分の1!$F$11:$F$310,640-COUNTA(半紙!$B$11:$B$310)-COUNTA(条幅!$B$11:$B$310)),""))))</f>
        <v/>
      </c>
      <c r="G645" s="38" t="str">
        <f>IF(IF(640&lt;=COUNTA(半紙!$B$11:$B$310),INDEX(半紙!$G$11:$G$310,640),IF(640&lt;=COUNTA(半紙!$B$11:$B$310)+COUNTA(条幅!$B$11:$B$310),INDEX(条幅!$G$11:$G$310,640-COUNTA(半紙!$B$11:$B$310)),IF(640&lt;=COUNTA(半紙!$B$11:$B$310)+COUNTA(条幅!$B$11:$B$310)+COUNTA(条幅4分の1!$B$11:$B$310),INDEX(条幅4分の1!$G$11:$G$310,640-COUNTA(半紙!$B$11:$B$310)-COUNTA(条幅!$B$11:$B$310)),"")))=0,"",IF(640&lt;=COUNTA(半紙!$B$11:$B$310),INDEX(半紙!$G$11:$G$310,640),IF(640&lt;=COUNTA(半紙!$B$11:$B$310)+COUNTA(条幅!$B$11:$B$310),INDEX(条幅!$G$11:$G$310,640-COUNTA(半紙!$B$11:$B$310)),IF(640&lt;=COUNTA(半紙!$B$11:$B$310)+COUNTA(条幅!$B$11:$B$310)+COUNTA(条幅4分の1!$B$11:$B$310),INDEX(条幅4分の1!$G$11:$G$310,640-COUNTA(半紙!$B$11:$B$310)-COUNTA(条幅!$B$11:$B$310)),""))))</f>
        <v/>
      </c>
      <c r="H645" s="38" t="str">
        <f>IF(IF(640&lt;=COUNTA(半紙!$B$11:$B$310),INDEX(半紙!$H$11:$H$310,640),IF(640&lt;=COUNTA(半紙!$B$11:$B$310)+COUNTA(条幅!$B$11:$B$310),INDEX(条幅!$H$11:$H$310,640-COUNTA(半紙!$B$11:$B$310)),IF(640&lt;=COUNTA(半紙!$B$11:$B$310)+COUNTA(条幅!$B$11:$B$310)+COUNTA(条幅4分の1!$B$11:$B$310),INDEX(条幅4分の1!$H$11:$H$310,640-COUNTA(半紙!$B$11:$B$310)-COUNTA(条幅!$B$11:$B$310)),"")))=0,"",IF(640&lt;=COUNTA(半紙!$B$11:$B$310),INDEX(半紙!$H$11:$H$310,640),IF(640&lt;=COUNTA(半紙!$B$11:$B$310)+COUNTA(条幅!$B$11:$B$310),INDEX(条幅!$H$11:$H$310,640-COUNTA(半紙!$B$11:$B$310)),IF(640&lt;=COUNTA(半紙!$B$11:$B$310)+COUNTA(条幅!$B$11:$B$310)+COUNTA(条幅4分の1!$B$11:$B$310),INDEX(条幅4分の1!$H$11:$H$310,640-COUNTA(半紙!$B$11:$B$310)-COUNTA(条幅!$B$11:$B$310)),""))))</f>
        <v/>
      </c>
      <c r="I645" s="38" t="str">
        <f>IF(IF(640&lt;=COUNTA(半紙!$B$11:$B$310),INDEX(半紙!$I$11:$I$310,640),IF(640&lt;=COUNTA(半紙!$B$11:$B$310)+COUNTA(条幅!$B$11:$B$310),INDEX(条幅!$I$11:$I$310,640-COUNTA(半紙!$B$11:$B$310)),IF(640&lt;=COUNTA(半紙!$B$11:$B$310)+COUNTA(条幅!$B$11:$B$310)+COUNTA(条幅4分の1!$B$11:$B$310),INDEX(条幅4分の1!$I$11:$I$310,640-COUNTA(半紙!$B$11:$B$310)-COUNTA(条幅!$B$11:$B$310)),"")))=0,"",IF(640&lt;=COUNTA(半紙!$B$11:$B$310),INDEX(半紙!$I$11:$I$310,640),IF(640&lt;=COUNTA(半紙!$B$11:$B$310)+COUNTA(条幅!$B$11:$B$310),INDEX(条幅!$I$11:$I$310,640-COUNTA(半紙!$B$11:$B$310)),IF(640&lt;=COUNTA(半紙!$B$11:$B$310)+COUNTA(条幅!$B$11:$B$310)+COUNTA(条幅4分の1!$B$11:$B$310),INDEX(条幅4分の1!$I$11:$I$310,640-COUNTA(半紙!$B$11:$B$310)-COUNTA(条幅!$B$11:$B$310)),""))))</f>
        <v/>
      </c>
      <c r="J645" s="38" t="str">
        <f>IF(IF(640&lt;=COUNTA(半紙!$B$11:$B$310),INDEX(半紙!$J$11:$J$310,640),IF(640&lt;=COUNTA(半紙!$B$11:$B$310)+COUNTA(条幅!$B$11:$B$310),INDEX(条幅!$J$11:$J$310,640-COUNTA(半紙!$B$11:$B$310)),IF(640&lt;=COUNTA(半紙!$B$11:$B$310)+COUNTA(条幅!$B$11:$B$310)+COUNTA(条幅4分の1!$B$11:$B$310),INDEX(条幅4分の1!$J$11:$J$310,640-COUNTA(半紙!$B$11:$B$310)-COUNTA(条幅!$B$11:$B$310)),"")))=0,"",IF(640&lt;=COUNTA(半紙!$B$11:$B$310),INDEX(半紙!$J$11:$J$310,640),IF(640&lt;=COUNTA(半紙!$B$11:$B$310)+COUNTA(条幅!$B$11:$B$310),INDEX(条幅!$J$11:$J$310,640-COUNTA(半紙!$B$11:$B$310)),IF(640&lt;=COUNTA(半紙!$B$11:$B$310)+COUNTA(条幅!$B$11:$B$310)+COUNTA(条幅4分の1!$B$11:$B$310),INDEX(条幅4分の1!$J$11:$J$310,640-COUNTA(半紙!$B$11:$B$310)-COUNTA(条幅!$B$11:$B$310)),""))))</f>
        <v/>
      </c>
      <c r="K645" s="38" t="str">
        <f>IF(IF(640&lt;=COUNTA(半紙!$B$11:$B$310),INDEX(半紙!$K$11:$K$310,640),IF(640&lt;=COUNTA(半紙!$B$11:$B$310)+COUNTA(条幅!$B$11:$B$310),INDEX(条幅!$K$11:$K$310,640-COUNTA(半紙!$B$11:$B$310)),IF(640&lt;=COUNTA(半紙!$B$11:$B$310)+COUNTA(条幅!$B$11:$B$310)+COUNTA(条幅4分の1!$B$11:$B$310),INDEX(条幅4分の1!$K$11:$K$310,640-COUNTA(半紙!$B$11:$B$310)-COUNTA(条幅!$B$11:$B$310)),"")))=0,"",IF(640&lt;=COUNTA(半紙!$B$11:$B$310),INDEX(半紙!$K$11:$K$310,640),IF(640&lt;=COUNTA(半紙!$B$11:$B$310)+COUNTA(条幅!$B$11:$B$310),INDEX(条幅!$K$11:$K$310,640-COUNTA(半紙!$B$11:$B$310)),IF(640&lt;=COUNTA(半紙!$B$11:$B$310)+COUNTA(条幅!$B$11:$B$310)+COUNTA(条幅4分の1!$B$11:$B$310),INDEX(条幅4分の1!$K$11:$K$310,640-COUNTA(半紙!$B$11:$B$310)-COUNTA(条幅!$B$11:$B$310)),""))))</f>
        <v/>
      </c>
      <c r="L645" s="48" t="str">
        <f>IF($B645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640))</f>
        <v/>
      </c>
    </row>
    <row r="646" spans="1:12" ht="15" customHeight="1">
      <c r="A646" s="37" t="str">
        <f>IF(641&lt;=COUNTA(半紙!$B$11:$B$310),"半紙",IF(641&lt;=COUNTA(半紙!$B$11:$B$310)+COUNTA(条幅!$B$11:$B$310),"条幅(半切)",IF(641&lt;=COUNTA(半紙!$B$11:$B$310)+COUNTA(条幅!$B$11:$B$310)+COUNTA(条幅4分の1!$B$11:$B$310),"条幅(1/4)","")))</f>
        <v/>
      </c>
      <c r="B646" s="38" t="str">
        <f>IF(IF(641&lt;=COUNTA(半紙!$B$11:$B$310),INDEX(半紙!$B$11:$B$310,641),IF(641&lt;=COUNTA(半紙!$B$11:$B$310)+COUNTA(条幅!$B$11:$B$310),INDEX(条幅!$B$11:$B$310,641-COUNTA(半紙!$B$11:$B$310)),IF(641&lt;=COUNTA(半紙!$B$11:$B$310)+COUNTA(条幅!$B$11:$B$310)+COUNTA(条幅4分の1!$B$11:$B$310),INDEX(条幅4分の1!$B$11:$B$310,641-COUNTA(半紙!$B$11:$B$310)-COUNTA(条幅!$B$11:$B$310)),"")))=0,"",IF(641&lt;=COUNTA(半紙!$B$11:$B$310),INDEX(半紙!$B$11:$B$310,641),IF(641&lt;=COUNTA(半紙!$B$11:$B$310)+COUNTA(条幅!$B$11:$B$310),INDEX(条幅!$B$11:$B$310,641-COUNTA(半紙!$B$11:$B$310)),IF(641&lt;=COUNTA(半紙!$B$11:$B$310)+COUNTA(条幅!$B$11:$B$310)+COUNTA(条幅4分の1!$B$11:$B$310),INDEX(条幅4分の1!$B$11:$B$310,641-COUNTA(半紙!$B$11:$B$310)-COUNTA(条幅!$B$11:$B$310)),""))))</f>
        <v/>
      </c>
      <c r="C646" s="38" t="str">
        <f>IF(IF(641&lt;=COUNTA(半紙!$B$11:$B$310),INDEX(半紙!$C$11:$C$310,641),IF(641&lt;=COUNTA(半紙!$B$11:$B$310)+COUNTA(条幅!$B$11:$B$310),INDEX(条幅!$C$11:$C$310,641-COUNTA(半紙!$B$11:$B$310)),IF(641&lt;=COUNTA(半紙!$B$11:$B$310)+COUNTA(条幅!$B$11:$B$310)+COUNTA(条幅4分の1!$B$11:$B$310),INDEX(条幅4分の1!$C$11:$C$310,641-COUNTA(半紙!$B$11:$B$310)-COUNTA(条幅!$B$11:$B$310)),"")))=0,"",IF(641&lt;=COUNTA(半紙!$B$11:$B$310),INDEX(半紙!$C$11:$C$310,641),IF(641&lt;=COUNTA(半紙!$B$11:$B$310)+COUNTA(条幅!$B$11:$B$310),INDEX(条幅!$C$11:$C$310,641-COUNTA(半紙!$B$11:$B$310)),IF(641&lt;=COUNTA(半紙!$B$11:$B$310)+COUNTA(条幅!$B$11:$B$310)+COUNTA(条幅4分の1!$B$11:$B$310),INDEX(条幅4分の1!$C$11:$C$310,641-COUNTA(半紙!$B$11:$B$310)-COUNTA(条幅!$B$11:$B$310)),""))))</f>
        <v/>
      </c>
      <c r="D646" s="38" t="str">
        <f>IF(IF(641&lt;=COUNTA(半紙!$B$11:$B$310),INDEX(半紙!$D$11:$D$310,641),IF(641&lt;=COUNTA(半紙!$B$11:$B$310)+COUNTA(条幅!$B$11:$B$310),INDEX(条幅!$D$11:$D$310,641-COUNTA(半紙!$B$11:$B$310)),IF(641&lt;=COUNTA(半紙!$B$11:$B$310)+COUNTA(条幅!$B$11:$B$310)+COUNTA(条幅4分の1!$B$11:$B$310),INDEX(条幅4分の1!$D$11:$D$310,641-COUNTA(半紙!$B$11:$B$310)-COUNTA(条幅!$B$11:$B$310)),"")))=0,"",IF(641&lt;=COUNTA(半紙!$B$11:$B$310),INDEX(半紙!$D$11:$D$310,641),IF(641&lt;=COUNTA(半紙!$B$11:$B$310)+COUNTA(条幅!$B$11:$B$310),INDEX(条幅!$D$11:$D$310,641-COUNTA(半紙!$B$11:$B$310)),IF(641&lt;=COUNTA(半紙!$B$11:$B$310)+COUNTA(条幅!$B$11:$B$310)+COUNTA(条幅4分の1!$B$11:$B$310),INDEX(条幅4分の1!$D$11:$D$310,641-COUNTA(半紙!$B$11:$B$310)-COUNTA(条幅!$B$11:$B$310)),""))))</f>
        <v/>
      </c>
      <c r="E646" s="38" t="str">
        <f>IF(IF(641&lt;=COUNTA(半紙!$B$11:$B$310),INDEX(半紙!$E$11:$E$310,641),IF(641&lt;=COUNTA(半紙!$B$11:$B$310)+COUNTA(条幅!$B$11:$B$310),INDEX(条幅!$E$11:$E$310,641-COUNTA(半紙!$B$11:$B$310)),IF(641&lt;=COUNTA(半紙!$B$11:$B$310)+COUNTA(条幅!$B$11:$B$310)+COUNTA(条幅4分の1!$B$11:$B$310),INDEX(条幅4分の1!$E$11:$E$310,641-COUNTA(半紙!$B$11:$B$310)-COUNTA(条幅!$B$11:$B$310)),"")))=0,"",IF(641&lt;=COUNTA(半紙!$B$11:$B$310),INDEX(半紙!$E$11:$E$310,641),IF(641&lt;=COUNTA(半紙!$B$11:$B$310)+COUNTA(条幅!$B$11:$B$310),INDEX(条幅!$E$11:$E$310,641-COUNTA(半紙!$B$11:$B$310)),IF(641&lt;=COUNTA(半紙!$B$11:$B$310)+COUNTA(条幅!$B$11:$B$310)+COUNTA(条幅4分の1!$B$11:$B$310),INDEX(条幅4分の1!$E$11:$E$310,641-COUNTA(半紙!$B$11:$B$310)-COUNTA(条幅!$B$11:$B$310)),""))))</f>
        <v/>
      </c>
      <c r="F646" s="38" t="str">
        <f>IF(IF(641&lt;=COUNTA(半紙!$B$11:$B$310),INDEX(半紙!$F$11:$F$310,641),IF(641&lt;=COUNTA(半紙!$B$11:$B$310)+COUNTA(条幅!$B$11:$B$310),INDEX(条幅!$F$11:$F$310,641-COUNTA(半紙!$B$11:$B$310)),IF(641&lt;=COUNTA(半紙!$B$11:$B$310)+COUNTA(条幅!$B$11:$B$310)+COUNTA(条幅4分の1!$B$11:$B$310),INDEX(条幅4分の1!$F$11:$F$310,641-COUNTA(半紙!$B$11:$B$310)-COUNTA(条幅!$B$11:$B$310)),"")))=0,"",IF(641&lt;=COUNTA(半紙!$B$11:$B$310),INDEX(半紙!$F$11:$F$310,641),IF(641&lt;=COUNTA(半紙!$B$11:$B$310)+COUNTA(条幅!$B$11:$B$310),INDEX(条幅!$F$11:$F$310,641-COUNTA(半紙!$B$11:$B$310)),IF(641&lt;=COUNTA(半紙!$B$11:$B$310)+COUNTA(条幅!$B$11:$B$310)+COUNTA(条幅4分の1!$B$11:$B$310),INDEX(条幅4分の1!$F$11:$F$310,641-COUNTA(半紙!$B$11:$B$310)-COUNTA(条幅!$B$11:$B$310)),""))))</f>
        <v/>
      </c>
      <c r="G646" s="38" t="str">
        <f>IF(IF(641&lt;=COUNTA(半紙!$B$11:$B$310),INDEX(半紙!$G$11:$G$310,641),IF(641&lt;=COUNTA(半紙!$B$11:$B$310)+COUNTA(条幅!$B$11:$B$310),INDEX(条幅!$G$11:$G$310,641-COUNTA(半紙!$B$11:$B$310)),IF(641&lt;=COUNTA(半紙!$B$11:$B$310)+COUNTA(条幅!$B$11:$B$310)+COUNTA(条幅4分の1!$B$11:$B$310),INDEX(条幅4分の1!$G$11:$G$310,641-COUNTA(半紙!$B$11:$B$310)-COUNTA(条幅!$B$11:$B$310)),"")))=0,"",IF(641&lt;=COUNTA(半紙!$B$11:$B$310),INDEX(半紙!$G$11:$G$310,641),IF(641&lt;=COUNTA(半紙!$B$11:$B$310)+COUNTA(条幅!$B$11:$B$310),INDEX(条幅!$G$11:$G$310,641-COUNTA(半紙!$B$11:$B$310)),IF(641&lt;=COUNTA(半紙!$B$11:$B$310)+COUNTA(条幅!$B$11:$B$310)+COUNTA(条幅4分の1!$B$11:$B$310),INDEX(条幅4分の1!$G$11:$G$310,641-COUNTA(半紙!$B$11:$B$310)-COUNTA(条幅!$B$11:$B$310)),""))))</f>
        <v/>
      </c>
      <c r="H646" s="38" t="str">
        <f>IF(IF(641&lt;=COUNTA(半紙!$B$11:$B$310),INDEX(半紙!$H$11:$H$310,641),IF(641&lt;=COUNTA(半紙!$B$11:$B$310)+COUNTA(条幅!$B$11:$B$310),INDEX(条幅!$H$11:$H$310,641-COUNTA(半紙!$B$11:$B$310)),IF(641&lt;=COUNTA(半紙!$B$11:$B$310)+COUNTA(条幅!$B$11:$B$310)+COUNTA(条幅4分の1!$B$11:$B$310),INDEX(条幅4分の1!$H$11:$H$310,641-COUNTA(半紙!$B$11:$B$310)-COUNTA(条幅!$B$11:$B$310)),"")))=0,"",IF(641&lt;=COUNTA(半紙!$B$11:$B$310),INDEX(半紙!$H$11:$H$310,641),IF(641&lt;=COUNTA(半紙!$B$11:$B$310)+COUNTA(条幅!$B$11:$B$310),INDEX(条幅!$H$11:$H$310,641-COUNTA(半紙!$B$11:$B$310)),IF(641&lt;=COUNTA(半紙!$B$11:$B$310)+COUNTA(条幅!$B$11:$B$310)+COUNTA(条幅4分の1!$B$11:$B$310),INDEX(条幅4分の1!$H$11:$H$310,641-COUNTA(半紙!$B$11:$B$310)-COUNTA(条幅!$B$11:$B$310)),""))))</f>
        <v/>
      </c>
      <c r="I646" s="38" t="str">
        <f>IF(IF(641&lt;=COUNTA(半紙!$B$11:$B$310),INDEX(半紙!$I$11:$I$310,641),IF(641&lt;=COUNTA(半紙!$B$11:$B$310)+COUNTA(条幅!$B$11:$B$310),INDEX(条幅!$I$11:$I$310,641-COUNTA(半紙!$B$11:$B$310)),IF(641&lt;=COUNTA(半紙!$B$11:$B$310)+COUNTA(条幅!$B$11:$B$310)+COUNTA(条幅4分の1!$B$11:$B$310),INDEX(条幅4分の1!$I$11:$I$310,641-COUNTA(半紙!$B$11:$B$310)-COUNTA(条幅!$B$11:$B$310)),"")))=0,"",IF(641&lt;=COUNTA(半紙!$B$11:$B$310),INDEX(半紙!$I$11:$I$310,641),IF(641&lt;=COUNTA(半紙!$B$11:$B$310)+COUNTA(条幅!$B$11:$B$310),INDEX(条幅!$I$11:$I$310,641-COUNTA(半紙!$B$11:$B$310)),IF(641&lt;=COUNTA(半紙!$B$11:$B$310)+COUNTA(条幅!$B$11:$B$310)+COUNTA(条幅4分の1!$B$11:$B$310),INDEX(条幅4分の1!$I$11:$I$310,641-COUNTA(半紙!$B$11:$B$310)-COUNTA(条幅!$B$11:$B$310)),""))))</f>
        <v/>
      </c>
      <c r="J646" s="38" t="str">
        <f>IF(IF(641&lt;=COUNTA(半紙!$B$11:$B$310),INDEX(半紙!$J$11:$J$310,641),IF(641&lt;=COUNTA(半紙!$B$11:$B$310)+COUNTA(条幅!$B$11:$B$310),INDEX(条幅!$J$11:$J$310,641-COUNTA(半紙!$B$11:$B$310)),IF(641&lt;=COUNTA(半紙!$B$11:$B$310)+COUNTA(条幅!$B$11:$B$310)+COUNTA(条幅4分の1!$B$11:$B$310),INDEX(条幅4分の1!$J$11:$J$310,641-COUNTA(半紙!$B$11:$B$310)-COUNTA(条幅!$B$11:$B$310)),"")))=0,"",IF(641&lt;=COUNTA(半紙!$B$11:$B$310),INDEX(半紙!$J$11:$J$310,641),IF(641&lt;=COUNTA(半紙!$B$11:$B$310)+COUNTA(条幅!$B$11:$B$310),INDEX(条幅!$J$11:$J$310,641-COUNTA(半紙!$B$11:$B$310)),IF(641&lt;=COUNTA(半紙!$B$11:$B$310)+COUNTA(条幅!$B$11:$B$310)+COUNTA(条幅4分の1!$B$11:$B$310),INDEX(条幅4分の1!$J$11:$J$310,641-COUNTA(半紙!$B$11:$B$310)-COUNTA(条幅!$B$11:$B$310)),""))))</f>
        <v/>
      </c>
      <c r="K646" s="38" t="str">
        <f>IF(IF(641&lt;=COUNTA(半紙!$B$11:$B$310),INDEX(半紙!$K$11:$K$310,641),IF(641&lt;=COUNTA(半紙!$B$11:$B$310)+COUNTA(条幅!$B$11:$B$310),INDEX(条幅!$K$11:$K$310,641-COUNTA(半紙!$B$11:$B$310)),IF(641&lt;=COUNTA(半紙!$B$11:$B$310)+COUNTA(条幅!$B$11:$B$310)+COUNTA(条幅4分の1!$B$11:$B$310),INDEX(条幅4分の1!$K$11:$K$310,641-COUNTA(半紙!$B$11:$B$310)-COUNTA(条幅!$B$11:$B$310)),"")))=0,"",IF(641&lt;=COUNTA(半紙!$B$11:$B$310),INDEX(半紙!$K$11:$K$310,641),IF(641&lt;=COUNTA(半紙!$B$11:$B$310)+COUNTA(条幅!$B$11:$B$310),INDEX(条幅!$K$11:$K$310,641-COUNTA(半紙!$B$11:$B$310)),IF(641&lt;=COUNTA(半紙!$B$11:$B$310)+COUNTA(条幅!$B$11:$B$310)+COUNTA(条幅4分の1!$B$11:$B$310),INDEX(条幅4分の1!$K$11:$K$310,641-COUNTA(半紙!$B$11:$B$310)-COUNTA(条幅!$B$11:$B$310)),""))))</f>
        <v/>
      </c>
      <c r="L646" s="48" t="str">
        <f>IF($B646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641))</f>
        <v/>
      </c>
    </row>
    <row r="647" spans="1:12" ht="15" customHeight="1">
      <c r="A647" s="37" t="str">
        <f>IF(642&lt;=COUNTA(半紙!$B$11:$B$310),"半紙",IF(642&lt;=COUNTA(半紙!$B$11:$B$310)+COUNTA(条幅!$B$11:$B$310),"条幅(半切)",IF(642&lt;=COUNTA(半紙!$B$11:$B$310)+COUNTA(条幅!$B$11:$B$310)+COUNTA(条幅4分の1!$B$11:$B$310),"条幅(1/4)","")))</f>
        <v/>
      </c>
      <c r="B647" s="38" t="str">
        <f>IF(IF(642&lt;=COUNTA(半紙!$B$11:$B$310),INDEX(半紙!$B$11:$B$310,642),IF(642&lt;=COUNTA(半紙!$B$11:$B$310)+COUNTA(条幅!$B$11:$B$310),INDEX(条幅!$B$11:$B$310,642-COUNTA(半紙!$B$11:$B$310)),IF(642&lt;=COUNTA(半紙!$B$11:$B$310)+COUNTA(条幅!$B$11:$B$310)+COUNTA(条幅4分の1!$B$11:$B$310),INDEX(条幅4分の1!$B$11:$B$310,642-COUNTA(半紙!$B$11:$B$310)-COUNTA(条幅!$B$11:$B$310)),"")))=0,"",IF(642&lt;=COUNTA(半紙!$B$11:$B$310),INDEX(半紙!$B$11:$B$310,642),IF(642&lt;=COUNTA(半紙!$B$11:$B$310)+COUNTA(条幅!$B$11:$B$310),INDEX(条幅!$B$11:$B$310,642-COUNTA(半紙!$B$11:$B$310)),IF(642&lt;=COUNTA(半紙!$B$11:$B$310)+COUNTA(条幅!$B$11:$B$310)+COUNTA(条幅4分の1!$B$11:$B$310),INDEX(条幅4分の1!$B$11:$B$310,642-COUNTA(半紙!$B$11:$B$310)-COUNTA(条幅!$B$11:$B$310)),""))))</f>
        <v/>
      </c>
      <c r="C647" s="38" t="str">
        <f>IF(IF(642&lt;=COUNTA(半紙!$B$11:$B$310),INDEX(半紙!$C$11:$C$310,642),IF(642&lt;=COUNTA(半紙!$B$11:$B$310)+COUNTA(条幅!$B$11:$B$310),INDEX(条幅!$C$11:$C$310,642-COUNTA(半紙!$B$11:$B$310)),IF(642&lt;=COUNTA(半紙!$B$11:$B$310)+COUNTA(条幅!$B$11:$B$310)+COUNTA(条幅4分の1!$B$11:$B$310),INDEX(条幅4分の1!$C$11:$C$310,642-COUNTA(半紙!$B$11:$B$310)-COUNTA(条幅!$B$11:$B$310)),"")))=0,"",IF(642&lt;=COUNTA(半紙!$B$11:$B$310),INDEX(半紙!$C$11:$C$310,642),IF(642&lt;=COUNTA(半紙!$B$11:$B$310)+COUNTA(条幅!$B$11:$B$310),INDEX(条幅!$C$11:$C$310,642-COUNTA(半紙!$B$11:$B$310)),IF(642&lt;=COUNTA(半紙!$B$11:$B$310)+COUNTA(条幅!$B$11:$B$310)+COUNTA(条幅4分の1!$B$11:$B$310),INDEX(条幅4分の1!$C$11:$C$310,642-COUNTA(半紙!$B$11:$B$310)-COUNTA(条幅!$B$11:$B$310)),""))))</f>
        <v/>
      </c>
      <c r="D647" s="38" t="str">
        <f>IF(IF(642&lt;=COUNTA(半紙!$B$11:$B$310),INDEX(半紙!$D$11:$D$310,642),IF(642&lt;=COUNTA(半紙!$B$11:$B$310)+COUNTA(条幅!$B$11:$B$310),INDEX(条幅!$D$11:$D$310,642-COUNTA(半紙!$B$11:$B$310)),IF(642&lt;=COUNTA(半紙!$B$11:$B$310)+COUNTA(条幅!$B$11:$B$310)+COUNTA(条幅4分の1!$B$11:$B$310),INDEX(条幅4分の1!$D$11:$D$310,642-COUNTA(半紙!$B$11:$B$310)-COUNTA(条幅!$B$11:$B$310)),"")))=0,"",IF(642&lt;=COUNTA(半紙!$B$11:$B$310),INDEX(半紙!$D$11:$D$310,642),IF(642&lt;=COUNTA(半紙!$B$11:$B$310)+COUNTA(条幅!$B$11:$B$310),INDEX(条幅!$D$11:$D$310,642-COUNTA(半紙!$B$11:$B$310)),IF(642&lt;=COUNTA(半紙!$B$11:$B$310)+COUNTA(条幅!$B$11:$B$310)+COUNTA(条幅4分の1!$B$11:$B$310),INDEX(条幅4分の1!$D$11:$D$310,642-COUNTA(半紙!$B$11:$B$310)-COUNTA(条幅!$B$11:$B$310)),""))))</f>
        <v/>
      </c>
      <c r="E647" s="38" t="str">
        <f>IF(IF(642&lt;=COUNTA(半紙!$B$11:$B$310),INDEX(半紙!$E$11:$E$310,642),IF(642&lt;=COUNTA(半紙!$B$11:$B$310)+COUNTA(条幅!$B$11:$B$310),INDEX(条幅!$E$11:$E$310,642-COUNTA(半紙!$B$11:$B$310)),IF(642&lt;=COUNTA(半紙!$B$11:$B$310)+COUNTA(条幅!$B$11:$B$310)+COUNTA(条幅4分の1!$B$11:$B$310),INDEX(条幅4分の1!$E$11:$E$310,642-COUNTA(半紙!$B$11:$B$310)-COUNTA(条幅!$B$11:$B$310)),"")))=0,"",IF(642&lt;=COUNTA(半紙!$B$11:$B$310),INDEX(半紙!$E$11:$E$310,642),IF(642&lt;=COUNTA(半紙!$B$11:$B$310)+COUNTA(条幅!$B$11:$B$310),INDEX(条幅!$E$11:$E$310,642-COUNTA(半紙!$B$11:$B$310)),IF(642&lt;=COUNTA(半紙!$B$11:$B$310)+COUNTA(条幅!$B$11:$B$310)+COUNTA(条幅4分の1!$B$11:$B$310),INDEX(条幅4分の1!$E$11:$E$310,642-COUNTA(半紙!$B$11:$B$310)-COUNTA(条幅!$B$11:$B$310)),""))))</f>
        <v/>
      </c>
      <c r="F647" s="38" t="str">
        <f>IF(IF(642&lt;=COUNTA(半紙!$B$11:$B$310),INDEX(半紙!$F$11:$F$310,642),IF(642&lt;=COUNTA(半紙!$B$11:$B$310)+COUNTA(条幅!$B$11:$B$310),INDEX(条幅!$F$11:$F$310,642-COUNTA(半紙!$B$11:$B$310)),IF(642&lt;=COUNTA(半紙!$B$11:$B$310)+COUNTA(条幅!$B$11:$B$310)+COUNTA(条幅4分の1!$B$11:$B$310),INDEX(条幅4分の1!$F$11:$F$310,642-COUNTA(半紙!$B$11:$B$310)-COUNTA(条幅!$B$11:$B$310)),"")))=0,"",IF(642&lt;=COUNTA(半紙!$B$11:$B$310),INDEX(半紙!$F$11:$F$310,642),IF(642&lt;=COUNTA(半紙!$B$11:$B$310)+COUNTA(条幅!$B$11:$B$310),INDEX(条幅!$F$11:$F$310,642-COUNTA(半紙!$B$11:$B$310)),IF(642&lt;=COUNTA(半紙!$B$11:$B$310)+COUNTA(条幅!$B$11:$B$310)+COUNTA(条幅4分の1!$B$11:$B$310),INDEX(条幅4分の1!$F$11:$F$310,642-COUNTA(半紙!$B$11:$B$310)-COUNTA(条幅!$B$11:$B$310)),""))))</f>
        <v/>
      </c>
      <c r="G647" s="38" t="str">
        <f>IF(IF(642&lt;=COUNTA(半紙!$B$11:$B$310),INDEX(半紙!$G$11:$G$310,642),IF(642&lt;=COUNTA(半紙!$B$11:$B$310)+COUNTA(条幅!$B$11:$B$310),INDEX(条幅!$G$11:$G$310,642-COUNTA(半紙!$B$11:$B$310)),IF(642&lt;=COUNTA(半紙!$B$11:$B$310)+COUNTA(条幅!$B$11:$B$310)+COUNTA(条幅4分の1!$B$11:$B$310),INDEX(条幅4分の1!$G$11:$G$310,642-COUNTA(半紙!$B$11:$B$310)-COUNTA(条幅!$B$11:$B$310)),"")))=0,"",IF(642&lt;=COUNTA(半紙!$B$11:$B$310),INDEX(半紙!$G$11:$G$310,642),IF(642&lt;=COUNTA(半紙!$B$11:$B$310)+COUNTA(条幅!$B$11:$B$310),INDEX(条幅!$G$11:$G$310,642-COUNTA(半紙!$B$11:$B$310)),IF(642&lt;=COUNTA(半紙!$B$11:$B$310)+COUNTA(条幅!$B$11:$B$310)+COUNTA(条幅4分の1!$B$11:$B$310),INDEX(条幅4分の1!$G$11:$G$310,642-COUNTA(半紙!$B$11:$B$310)-COUNTA(条幅!$B$11:$B$310)),""))))</f>
        <v/>
      </c>
      <c r="H647" s="38" t="str">
        <f>IF(IF(642&lt;=COUNTA(半紙!$B$11:$B$310),INDEX(半紙!$H$11:$H$310,642),IF(642&lt;=COUNTA(半紙!$B$11:$B$310)+COUNTA(条幅!$B$11:$B$310),INDEX(条幅!$H$11:$H$310,642-COUNTA(半紙!$B$11:$B$310)),IF(642&lt;=COUNTA(半紙!$B$11:$B$310)+COUNTA(条幅!$B$11:$B$310)+COUNTA(条幅4分の1!$B$11:$B$310),INDEX(条幅4分の1!$H$11:$H$310,642-COUNTA(半紙!$B$11:$B$310)-COUNTA(条幅!$B$11:$B$310)),"")))=0,"",IF(642&lt;=COUNTA(半紙!$B$11:$B$310),INDEX(半紙!$H$11:$H$310,642),IF(642&lt;=COUNTA(半紙!$B$11:$B$310)+COUNTA(条幅!$B$11:$B$310),INDEX(条幅!$H$11:$H$310,642-COUNTA(半紙!$B$11:$B$310)),IF(642&lt;=COUNTA(半紙!$B$11:$B$310)+COUNTA(条幅!$B$11:$B$310)+COUNTA(条幅4分の1!$B$11:$B$310),INDEX(条幅4分の1!$H$11:$H$310,642-COUNTA(半紙!$B$11:$B$310)-COUNTA(条幅!$B$11:$B$310)),""))))</f>
        <v/>
      </c>
      <c r="I647" s="38" t="str">
        <f>IF(IF(642&lt;=COUNTA(半紙!$B$11:$B$310),INDEX(半紙!$I$11:$I$310,642),IF(642&lt;=COUNTA(半紙!$B$11:$B$310)+COUNTA(条幅!$B$11:$B$310),INDEX(条幅!$I$11:$I$310,642-COUNTA(半紙!$B$11:$B$310)),IF(642&lt;=COUNTA(半紙!$B$11:$B$310)+COUNTA(条幅!$B$11:$B$310)+COUNTA(条幅4分の1!$B$11:$B$310),INDEX(条幅4分の1!$I$11:$I$310,642-COUNTA(半紙!$B$11:$B$310)-COUNTA(条幅!$B$11:$B$310)),"")))=0,"",IF(642&lt;=COUNTA(半紙!$B$11:$B$310),INDEX(半紙!$I$11:$I$310,642),IF(642&lt;=COUNTA(半紙!$B$11:$B$310)+COUNTA(条幅!$B$11:$B$310),INDEX(条幅!$I$11:$I$310,642-COUNTA(半紙!$B$11:$B$310)),IF(642&lt;=COUNTA(半紙!$B$11:$B$310)+COUNTA(条幅!$B$11:$B$310)+COUNTA(条幅4分の1!$B$11:$B$310),INDEX(条幅4分の1!$I$11:$I$310,642-COUNTA(半紙!$B$11:$B$310)-COUNTA(条幅!$B$11:$B$310)),""))))</f>
        <v/>
      </c>
      <c r="J647" s="38" t="str">
        <f>IF(IF(642&lt;=COUNTA(半紙!$B$11:$B$310),INDEX(半紙!$J$11:$J$310,642),IF(642&lt;=COUNTA(半紙!$B$11:$B$310)+COUNTA(条幅!$B$11:$B$310),INDEX(条幅!$J$11:$J$310,642-COUNTA(半紙!$B$11:$B$310)),IF(642&lt;=COUNTA(半紙!$B$11:$B$310)+COUNTA(条幅!$B$11:$B$310)+COUNTA(条幅4分の1!$B$11:$B$310),INDEX(条幅4分の1!$J$11:$J$310,642-COUNTA(半紙!$B$11:$B$310)-COUNTA(条幅!$B$11:$B$310)),"")))=0,"",IF(642&lt;=COUNTA(半紙!$B$11:$B$310),INDEX(半紙!$J$11:$J$310,642),IF(642&lt;=COUNTA(半紙!$B$11:$B$310)+COUNTA(条幅!$B$11:$B$310),INDEX(条幅!$J$11:$J$310,642-COUNTA(半紙!$B$11:$B$310)),IF(642&lt;=COUNTA(半紙!$B$11:$B$310)+COUNTA(条幅!$B$11:$B$310)+COUNTA(条幅4分の1!$B$11:$B$310),INDEX(条幅4分の1!$J$11:$J$310,642-COUNTA(半紙!$B$11:$B$310)-COUNTA(条幅!$B$11:$B$310)),""))))</f>
        <v/>
      </c>
      <c r="K647" s="38" t="str">
        <f>IF(IF(642&lt;=COUNTA(半紙!$B$11:$B$310),INDEX(半紙!$K$11:$K$310,642),IF(642&lt;=COUNTA(半紙!$B$11:$B$310)+COUNTA(条幅!$B$11:$B$310),INDEX(条幅!$K$11:$K$310,642-COUNTA(半紙!$B$11:$B$310)),IF(642&lt;=COUNTA(半紙!$B$11:$B$310)+COUNTA(条幅!$B$11:$B$310)+COUNTA(条幅4分の1!$B$11:$B$310),INDEX(条幅4分の1!$K$11:$K$310,642-COUNTA(半紙!$B$11:$B$310)-COUNTA(条幅!$B$11:$B$310)),"")))=0,"",IF(642&lt;=COUNTA(半紙!$B$11:$B$310),INDEX(半紙!$K$11:$K$310,642),IF(642&lt;=COUNTA(半紙!$B$11:$B$310)+COUNTA(条幅!$B$11:$B$310),INDEX(条幅!$K$11:$K$310,642-COUNTA(半紙!$B$11:$B$310)),IF(642&lt;=COUNTA(半紙!$B$11:$B$310)+COUNTA(条幅!$B$11:$B$310)+COUNTA(条幅4分の1!$B$11:$B$310),INDEX(条幅4分の1!$K$11:$K$310,642-COUNTA(半紙!$B$11:$B$310)-COUNTA(条幅!$B$11:$B$310)),""))))</f>
        <v/>
      </c>
      <c r="L647" s="48" t="str">
        <f>IF($B647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642))</f>
        <v/>
      </c>
    </row>
    <row r="648" spans="1:12" ht="15" customHeight="1">
      <c r="A648" s="37" t="str">
        <f>IF(643&lt;=COUNTA(半紙!$B$11:$B$310),"半紙",IF(643&lt;=COUNTA(半紙!$B$11:$B$310)+COUNTA(条幅!$B$11:$B$310),"条幅(半切)",IF(643&lt;=COUNTA(半紙!$B$11:$B$310)+COUNTA(条幅!$B$11:$B$310)+COUNTA(条幅4分の1!$B$11:$B$310),"条幅(1/4)","")))</f>
        <v/>
      </c>
      <c r="B648" s="38" t="str">
        <f>IF(IF(643&lt;=COUNTA(半紙!$B$11:$B$310),INDEX(半紙!$B$11:$B$310,643),IF(643&lt;=COUNTA(半紙!$B$11:$B$310)+COUNTA(条幅!$B$11:$B$310),INDEX(条幅!$B$11:$B$310,643-COUNTA(半紙!$B$11:$B$310)),IF(643&lt;=COUNTA(半紙!$B$11:$B$310)+COUNTA(条幅!$B$11:$B$310)+COUNTA(条幅4分の1!$B$11:$B$310),INDEX(条幅4分の1!$B$11:$B$310,643-COUNTA(半紙!$B$11:$B$310)-COUNTA(条幅!$B$11:$B$310)),"")))=0,"",IF(643&lt;=COUNTA(半紙!$B$11:$B$310),INDEX(半紙!$B$11:$B$310,643),IF(643&lt;=COUNTA(半紙!$B$11:$B$310)+COUNTA(条幅!$B$11:$B$310),INDEX(条幅!$B$11:$B$310,643-COUNTA(半紙!$B$11:$B$310)),IF(643&lt;=COUNTA(半紙!$B$11:$B$310)+COUNTA(条幅!$B$11:$B$310)+COUNTA(条幅4分の1!$B$11:$B$310),INDEX(条幅4分の1!$B$11:$B$310,643-COUNTA(半紙!$B$11:$B$310)-COUNTA(条幅!$B$11:$B$310)),""))))</f>
        <v/>
      </c>
      <c r="C648" s="38" t="str">
        <f>IF(IF(643&lt;=COUNTA(半紙!$B$11:$B$310),INDEX(半紙!$C$11:$C$310,643),IF(643&lt;=COUNTA(半紙!$B$11:$B$310)+COUNTA(条幅!$B$11:$B$310),INDEX(条幅!$C$11:$C$310,643-COUNTA(半紙!$B$11:$B$310)),IF(643&lt;=COUNTA(半紙!$B$11:$B$310)+COUNTA(条幅!$B$11:$B$310)+COUNTA(条幅4分の1!$B$11:$B$310),INDEX(条幅4分の1!$C$11:$C$310,643-COUNTA(半紙!$B$11:$B$310)-COUNTA(条幅!$B$11:$B$310)),"")))=0,"",IF(643&lt;=COUNTA(半紙!$B$11:$B$310),INDEX(半紙!$C$11:$C$310,643),IF(643&lt;=COUNTA(半紙!$B$11:$B$310)+COUNTA(条幅!$B$11:$B$310),INDEX(条幅!$C$11:$C$310,643-COUNTA(半紙!$B$11:$B$310)),IF(643&lt;=COUNTA(半紙!$B$11:$B$310)+COUNTA(条幅!$B$11:$B$310)+COUNTA(条幅4分の1!$B$11:$B$310),INDEX(条幅4分の1!$C$11:$C$310,643-COUNTA(半紙!$B$11:$B$310)-COUNTA(条幅!$B$11:$B$310)),""))))</f>
        <v/>
      </c>
      <c r="D648" s="38" t="str">
        <f>IF(IF(643&lt;=COUNTA(半紙!$B$11:$B$310),INDEX(半紙!$D$11:$D$310,643),IF(643&lt;=COUNTA(半紙!$B$11:$B$310)+COUNTA(条幅!$B$11:$B$310),INDEX(条幅!$D$11:$D$310,643-COUNTA(半紙!$B$11:$B$310)),IF(643&lt;=COUNTA(半紙!$B$11:$B$310)+COUNTA(条幅!$B$11:$B$310)+COUNTA(条幅4分の1!$B$11:$B$310),INDEX(条幅4分の1!$D$11:$D$310,643-COUNTA(半紙!$B$11:$B$310)-COUNTA(条幅!$B$11:$B$310)),"")))=0,"",IF(643&lt;=COUNTA(半紙!$B$11:$B$310),INDEX(半紙!$D$11:$D$310,643),IF(643&lt;=COUNTA(半紙!$B$11:$B$310)+COUNTA(条幅!$B$11:$B$310),INDEX(条幅!$D$11:$D$310,643-COUNTA(半紙!$B$11:$B$310)),IF(643&lt;=COUNTA(半紙!$B$11:$B$310)+COUNTA(条幅!$B$11:$B$310)+COUNTA(条幅4分の1!$B$11:$B$310),INDEX(条幅4分の1!$D$11:$D$310,643-COUNTA(半紙!$B$11:$B$310)-COUNTA(条幅!$B$11:$B$310)),""))))</f>
        <v/>
      </c>
      <c r="E648" s="38" t="str">
        <f>IF(IF(643&lt;=COUNTA(半紙!$B$11:$B$310),INDEX(半紙!$E$11:$E$310,643),IF(643&lt;=COUNTA(半紙!$B$11:$B$310)+COUNTA(条幅!$B$11:$B$310),INDEX(条幅!$E$11:$E$310,643-COUNTA(半紙!$B$11:$B$310)),IF(643&lt;=COUNTA(半紙!$B$11:$B$310)+COUNTA(条幅!$B$11:$B$310)+COUNTA(条幅4分の1!$B$11:$B$310),INDEX(条幅4分の1!$E$11:$E$310,643-COUNTA(半紙!$B$11:$B$310)-COUNTA(条幅!$B$11:$B$310)),"")))=0,"",IF(643&lt;=COUNTA(半紙!$B$11:$B$310),INDEX(半紙!$E$11:$E$310,643),IF(643&lt;=COUNTA(半紙!$B$11:$B$310)+COUNTA(条幅!$B$11:$B$310),INDEX(条幅!$E$11:$E$310,643-COUNTA(半紙!$B$11:$B$310)),IF(643&lt;=COUNTA(半紙!$B$11:$B$310)+COUNTA(条幅!$B$11:$B$310)+COUNTA(条幅4分の1!$B$11:$B$310),INDEX(条幅4分の1!$E$11:$E$310,643-COUNTA(半紙!$B$11:$B$310)-COUNTA(条幅!$B$11:$B$310)),""))))</f>
        <v/>
      </c>
      <c r="F648" s="38" t="str">
        <f>IF(IF(643&lt;=COUNTA(半紙!$B$11:$B$310),INDEX(半紙!$F$11:$F$310,643),IF(643&lt;=COUNTA(半紙!$B$11:$B$310)+COUNTA(条幅!$B$11:$B$310),INDEX(条幅!$F$11:$F$310,643-COUNTA(半紙!$B$11:$B$310)),IF(643&lt;=COUNTA(半紙!$B$11:$B$310)+COUNTA(条幅!$B$11:$B$310)+COUNTA(条幅4分の1!$B$11:$B$310),INDEX(条幅4分の1!$F$11:$F$310,643-COUNTA(半紙!$B$11:$B$310)-COUNTA(条幅!$B$11:$B$310)),"")))=0,"",IF(643&lt;=COUNTA(半紙!$B$11:$B$310),INDEX(半紙!$F$11:$F$310,643),IF(643&lt;=COUNTA(半紙!$B$11:$B$310)+COUNTA(条幅!$B$11:$B$310),INDEX(条幅!$F$11:$F$310,643-COUNTA(半紙!$B$11:$B$310)),IF(643&lt;=COUNTA(半紙!$B$11:$B$310)+COUNTA(条幅!$B$11:$B$310)+COUNTA(条幅4分の1!$B$11:$B$310),INDEX(条幅4分の1!$F$11:$F$310,643-COUNTA(半紙!$B$11:$B$310)-COUNTA(条幅!$B$11:$B$310)),""))))</f>
        <v/>
      </c>
      <c r="G648" s="38" t="str">
        <f>IF(IF(643&lt;=COUNTA(半紙!$B$11:$B$310),INDEX(半紙!$G$11:$G$310,643),IF(643&lt;=COUNTA(半紙!$B$11:$B$310)+COUNTA(条幅!$B$11:$B$310),INDEX(条幅!$G$11:$G$310,643-COUNTA(半紙!$B$11:$B$310)),IF(643&lt;=COUNTA(半紙!$B$11:$B$310)+COUNTA(条幅!$B$11:$B$310)+COUNTA(条幅4分の1!$B$11:$B$310),INDEX(条幅4分の1!$G$11:$G$310,643-COUNTA(半紙!$B$11:$B$310)-COUNTA(条幅!$B$11:$B$310)),"")))=0,"",IF(643&lt;=COUNTA(半紙!$B$11:$B$310),INDEX(半紙!$G$11:$G$310,643),IF(643&lt;=COUNTA(半紙!$B$11:$B$310)+COUNTA(条幅!$B$11:$B$310),INDEX(条幅!$G$11:$G$310,643-COUNTA(半紙!$B$11:$B$310)),IF(643&lt;=COUNTA(半紙!$B$11:$B$310)+COUNTA(条幅!$B$11:$B$310)+COUNTA(条幅4分の1!$B$11:$B$310),INDEX(条幅4分の1!$G$11:$G$310,643-COUNTA(半紙!$B$11:$B$310)-COUNTA(条幅!$B$11:$B$310)),""))))</f>
        <v/>
      </c>
      <c r="H648" s="38" t="str">
        <f>IF(IF(643&lt;=COUNTA(半紙!$B$11:$B$310),INDEX(半紙!$H$11:$H$310,643),IF(643&lt;=COUNTA(半紙!$B$11:$B$310)+COUNTA(条幅!$B$11:$B$310),INDEX(条幅!$H$11:$H$310,643-COUNTA(半紙!$B$11:$B$310)),IF(643&lt;=COUNTA(半紙!$B$11:$B$310)+COUNTA(条幅!$B$11:$B$310)+COUNTA(条幅4分の1!$B$11:$B$310),INDEX(条幅4分の1!$H$11:$H$310,643-COUNTA(半紙!$B$11:$B$310)-COUNTA(条幅!$B$11:$B$310)),"")))=0,"",IF(643&lt;=COUNTA(半紙!$B$11:$B$310),INDEX(半紙!$H$11:$H$310,643),IF(643&lt;=COUNTA(半紙!$B$11:$B$310)+COUNTA(条幅!$B$11:$B$310),INDEX(条幅!$H$11:$H$310,643-COUNTA(半紙!$B$11:$B$310)),IF(643&lt;=COUNTA(半紙!$B$11:$B$310)+COUNTA(条幅!$B$11:$B$310)+COUNTA(条幅4分の1!$B$11:$B$310),INDEX(条幅4分の1!$H$11:$H$310,643-COUNTA(半紙!$B$11:$B$310)-COUNTA(条幅!$B$11:$B$310)),""))))</f>
        <v/>
      </c>
      <c r="I648" s="38" t="str">
        <f>IF(IF(643&lt;=COUNTA(半紙!$B$11:$B$310),INDEX(半紙!$I$11:$I$310,643),IF(643&lt;=COUNTA(半紙!$B$11:$B$310)+COUNTA(条幅!$B$11:$B$310),INDEX(条幅!$I$11:$I$310,643-COUNTA(半紙!$B$11:$B$310)),IF(643&lt;=COUNTA(半紙!$B$11:$B$310)+COUNTA(条幅!$B$11:$B$310)+COUNTA(条幅4分の1!$B$11:$B$310),INDEX(条幅4分の1!$I$11:$I$310,643-COUNTA(半紙!$B$11:$B$310)-COUNTA(条幅!$B$11:$B$310)),"")))=0,"",IF(643&lt;=COUNTA(半紙!$B$11:$B$310),INDEX(半紙!$I$11:$I$310,643),IF(643&lt;=COUNTA(半紙!$B$11:$B$310)+COUNTA(条幅!$B$11:$B$310),INDEX(条幅!$I$11:$I$310,643-COUNTA(半紙!$B$11:$B$310)),IF(643&lt;=COUNTA(半紙!$B$11:$B$310)+COUNTA(条幅!$B$11:$B$310)+COUNTA(条幅4分の1!$B$11:$B$310),INDEX(条幅4分の1!$I$11:$I$310,643-COUNTA(半紙!$B$11:$B$310)-COUNTA(条幅!$B$11:$B$310)),""))))</f>
        <v/>
      </c>
      <c r="J648" s="38" t="str">
        <f>IF(IF(643&lt;=COUNTA(半紙!$B$11:$B$310),INDEX(半紙!$J$11:$J$310,643),IF(643&lt;=COUNTA(半紙!$B$11:$B$310)+COUNTA(条幅!$B$11:$B$310),INDEX(条幅!$J$11:$J$310,643-COUNTA(半紙!$B$11:$B$310)),IF(643&lt;=COUNTA(半紙!$B$11:$B$310)+COUNTA(条幅!$B$11:$B$310)+COUNTA(条幅4分の1!$B$11:$B$310),INDEX(条幅4分の1!$J$11:$J$310,643-COUNTA(半紙!$B$11:$B$310)-COUNTA(条幅!$B$11:$B$310)),"")))=0,"",IF(643&lt;=COUNTA(半紙!$B$11:$B$310),INDEX(半紙!$J$11:$J$310,643),IF(643&lt;=COUNTA(半紙!$B$11:$B$310)+COUNTA(条幅!$B$11:$B$310),INDEX(条幅!$J$11:$J$310,643-COUNTA(半紙!$B$11:$B$310)),IF(643&lt;=COUNTA(半紙!$B$11:$B$310)+COUNTA(条幅!$B$11:$B$310)+COUNTA(条幅4分の1!$B$11:$B$310),INDEX(条幅4分の1!$J$11:$J$310,643-COUNTA(半紙!$B$11:$B$310)-COUNTA(条幅!$B$11:$B$310)),""))))</f>
        <v/>
      </c>
      <c r="K648" s="38" t="str">
        <f>IF(IF(643&lt;=COUNTA(半紙!$B$11:$B$310),INDEX(半紙!$K$11:$K$310,643),IF(643&lt;=COUNTA(半紙!$B$11:$B$310)+COUNTA(条幅!$B$11:$B$310),INDEX(条幅!$K$11:$K$310,643-COUNTA(半紙!$B$11:$B$310)),IF(643&lt;=COUNTA(半紙!$B$11:$B$310)+COUNTA(条幅!$B$11:$B$310)+COUNTA(条幅4分の1!$B$11:$B$310),INDEX(条幅4分の1!$K$11:$K$310,643-COUNTA(半紙!$B$11:$B$310)-COUNTA(条幅!$B$11:$B$310)),"")))=0,"",IF(643&lt;=COUNTA(半紙!$B$11:$B$310),INDEX(半紙!$K$11:$K$310,643),IF(643&lt;=COUNTA(半紙!$B$11:$B$310)+COUNTA(条幅!$B$11:$B$310),INDEX(条幅!$K$11:$K$310,643-COUNTA(半紙!$B$11:$B$310)),IF(643&lt;=COUNTA(半紙!$B$11:$B$310)+COUNTA(条幅!$B$11:$B$310)+COUNTA(条幅4分の1!$B$11:$B$310),INDEX(条幅4分の1!$K$11:$K$310,643-COUNTA(半紙!$B$11:$B$310)-COUNTA(条幅!$B$11:$B$310)),""))))</f>
        <v/>
      </c>
      <c r="L648" s="48" t="str">
        <f>IF($B648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643))</f>
        <v/>
      </c>
    </row>
    <row r="649" spans="1:12" ht="15" customHeight="1">
      <c r="A649" s="37" t="str">
        <f>IF(644&lt;=COUNTA(半紙!$B$11:$B$310),"半紙",IF(644&lt;=COUNTA(半紙!$B$11:$B$310)+COUNTA(条幅!$B$11:$B$310),"条幅(半切)",IF(644&lt;=COUNTA(半紙!$B$11:$B$310)+COUNTA(条幅!$B$11:$B$310)+COUNTA(条幅4分の1!$B$11:$B$310),"条幅(1/4)","")))</f>
        <v/>
      </c>
      <c r="B649" s="38" t="str">
        <f>IF(IF(644&lt;=COUNTA(半紙!$B$11:$B$310),INDEX(半紙!$B$11:$B$310,644),IF(644&lt;=COUNTA(半紙!$B$11:$B$310)+COUNTA(条幅!$B$11:$B$310),INDEX(条幅!$B$11:$B$310,644-COUNTA(半紙!$B$11:$B$310)),IF(644&lt;=COUNTA(半紙!$B$11:$B$310)+COUNTA(条幅!$B$11:$B$310)+COUNTA(条幅4分の1!$B$11:$B$310),INDEX(条幅4分の1!$B$11:$B$310,644-COUNTA(半紙!$B$11:$B$310)-COUNTA(条幅!$B$11:$B$310)),"")))=0,"",IF(644&lt;=COUNTA(半紙!$B$11:$B$310),INDEX(半紙!$B$11:$B$310,644),IF(644&lt;=COUNTA(半紙!$B$11:$B$310)+COUNTA(条幅!$B$11:$B$310),INDEX(条幅!$B$11:$B$310,644-COUNTA(半紙!$B$11:$B$310)),IF(644&lt;=COUNTA(半紙!$B$11:$B$310)+COUNTA(条幅!$B$11:$B$310)+COUNTA(条幅4分の1!$B$11:$B$310),INDEX(条幅4分の1!$B$11:$B$310,644-COUNTA(半紙!$B$11:$B$310)-COUNTA(条幅!$B$11:$B$310)),""))))</f>
        <v/>
      </c>
      <c r="C649" s="38" t="str">
        <f>IF(IF(644&lt;=COUNTA(半紙!$B$11:$B$310),INDEX(半紙!$C$11:$C$310,644),IF(644&lt;=COUNTA(半紙!$B$11:$B$310)+COUNTA(条幅!$B$11:$B$310),INDEX(条幅!$C$11:$C$310,644-COUNTA(半紙!$B$11:$B$310)),IF(644&lt;=COUNTA(半紙!$B$11:$B$310)+COUNTA(条幅!$B$11:$B$310)+COUNTA(条幅4分の1!$B$11:$B$310),INDEX(条幅4分の1!$C$11:$C$310,644-COUNTA(半紙!$B$11:$B$310)-COUNTA(条幅!$B$11:$B$310)),"")))=0,"",IF(644&lt;=COUNTA(半紙!$B$11:$B$310),INDEX(半紙!$C$11:$C$310,644),IF(644&lt;=COUNTA(半紙!$B$11:$B$310)+COUNTA(条幅!$B$11:$B$310),INDEX(条幅!$C$11:$C$310,644-COUNTA(半紙!$B$11:$B$310)),IF(644&lt;=COUNTA(半紙!$B$11:$B$310)+COUNTA(条幅!$B$11:$B$310)+COUNTA(条幅4分の1!$B$11:$B$310),INDEX(条幅4分の1!$C$11:$C$310,644-COUNTA(半紙!$B$11:$B$310)-COUNTA(条幅!$B$11:$B$310)),""))))</f>
        <v/>
      </c>
      <c r="D649" s="38" t="str">
        <f>IF(IF(644&lt;=COUNTA(半紙!$B$11:$B$310),INDEX(半紙!$D$11:$D$310,644),IF(644&lt;=COUNTA(半紙!$B$11:$B$310)+COUNTA(条幅!$B$11:$B$310),INDEX(条幅!$D$11:$D$310,644-COUNTA(半紙!$B$11:$B$310)),IF(644&lt;=COUNTA(半紙!$B$11:$B$310)+COUNTA(条幅!$B$11:$B$310)+COUNTA(条幅4分の1!$B$11:$B$310),INDEX(条幅4分の1!$D$11:$D$310,644-COUNTA(半紙!$B$11:$B$310)-COUNTA(条幅!$B$11:$B$310)),"")))=0,"",IF(644&lt;=COUNTA(半紙!$B$11:$B$310),INDEX(半紙!$D$11:$D$310,644),IF(644&lt;=COUNTA(半紙!$B$11:$B$310)+COUNTA(条幅!$B$11:$B$310),INDEX(条幅!$D$11:$D$310,644-COUNTA(半紙!$B$11:$B$310)),IF(644&lt;=COUNTA(半紙!$B$11:$B$310)+COUNTA(条幅!$B$11:$B$310)+COUNTA(条幅4分の1!$B$11:$B$310),INDEX(条幅4分の1!$D$11:$D$310,644-COUNTA(半紙!$B$11:$B$310)-COUNTA(条幅!$B$11:$B$310)),""))))</f>
        <v/>
      </c>
      <c r="E649" s="38" t="str">
        <f>IF(IF(644&lt;=COUNTA(半紙!$B$11:$B$310),INDEX(半紙!$E$11:$E$310,644),IF(644&lt;=COUNTA(半紙!$B$11:$B$310)+COUNTA(条幅!$B$11:$B$310),INDEX(条幅!$E$11:$E$310,644-COUNTA(半紙!$B$11:$B$310)),IF(644&lt;=COUNTA(半紙!$B$11:$B$310)+COUNTA(条幅!$B$11:$B$310)+COUNTA(条幅4分の1!$B$11:$B$310),INDEX(条幅4分の1!$E$11:$E$310,644-COUNTA(半紙!$B$11:$B$310)-COUNTA(条幅!$B$11:$B$310)),"")))=0,"",IF(644&lt;=COUNTA(半紙!$B$11:$B$310),INDEX(半紙!$E$11:$E$310,644),IF(644&lt;=COUNTA(半紙!$B$11:$B$310)+COUNTA(条幅!$B$11:$B$310),INDEX(条幅!$E$11:$E$310,644-COUNTA(半紙!$B$11:$B$310)),IF(644&lt;=COUNTA(半紙!$B$11:$B$310)+COUNTA(条幅!$B$11:$B$310)+COUNTA(条幅4分の1!$B$11:$B$310),INDEX(条幅4分の1!$E$11:$E$310,644-COUNTA(半紙!$B$11:$B$310)-COUNTA(条幅!$B$11:$B$310)),""))))</f>
        <v/>
      </c>
      <c r="F649" s="38" t="str">
        <f>IF(IF(644&lt;=COUNTA(半紙!$B$11:$B$310),INDEX(半紙!$F$11:$F$310,644),IF(644&lt;=COUNTA(半紙!$B$11:$B$310)+COUNTA(条幅!$B$11:$B$310),INDEX(条幅!$F$11:$F$310,644-COUNTA(半紙!$B$11:$B$310)),IF(644&lt;=COUNTA(半紙!$B$11:$B$310)+COUNTA(条幅!$B$11:$B$310)+COUNTA(条幅4分の1!$B$11:$B$310),INDEX(条幅4分の1!$F$11:$F$310,644-COUNTA(半紙!$B$11:$B$310)-COUNTA(条幅!$B$11:$B$310)),"")))=0,"",IF(644&lt;=COUNTA(半紙!$B$11:$B$310),INDEX(半紙!$F$11:$F$310,644),IF(644&lt;=COUNTA(半紙!$B$11:$B$310)+COUNTA(条幅!$B$11:$B$310),INDEX(条幅!$F$11:$F$310,644-COUNTA(半紙!$B$11:$B$310)),IF(644&lt;=COUNTA(半紙!$B$11:$B$310)+COUNTA(条幅!$B$11:$B$310)+COUNTA(条幅4分の1!$B$11:$B$310),INDEX(条幅4分の1!$F$11:$F$310,644-COUNTA(半紙!$B$11:$B$310)-COUNTA(条幅!$B$11:$B$310)),""))))</f>
        <v/>
      </c>
      <c r="G649" s="38" t="str">
        <f>IF(IF(644&lt;=COUNTA(半紙!$B$11:$B$310),INDEX(半紙!$G$11:$G$310,644),IF(644&lt;=COUNTA(半紙!$B$11:$B$310)+COUNTA(条幅!$B$11:$B$310),INDEX(条幅!$G$11:$G$310,644-COUNTA(半紙!$B$11:$B$310)),IF(644&lt;=COUNTA(半紙!$B$11:$B$310)+COUNTA(条幅!$B$11:$B$310)+COUNTA(条幅4分の1!$B$11:$B$310),INDEX(条幅4分の1!$G$11:$G$310,644-COUNTA(半紙!$B$11:$B$310)-COUNTA(条幅!$B$11:$B$310)),"")))=0,"",IF(644&lt;=COUNTA(半紙!$B$11:$B$310),INDEX(半紙!$G$11:$G$310,644),IF(644&lt;=COUNTA(半紙!$B$11:$B$310)+COUNTA(条幅!$B$11:$B$310),INDEX(条幅!$G$11:$G$310,644-COUNTA(半紙!$B$11:$B$310)),IF(644&lt;=COUNTA(半紙!$B$11:$B$310)+COUNTA(条幅!$B$11:$B$310)+COUNTA(条幅4分の1!$B$11:$B$310),INDEX(条幅4分の1!$G$11:$G$310,644-COUNTA(半紙!$B$11:$B$310)-COUNTA(条幅!$B$11:$B$310)),""))))</f>
        <v/>
      </c>
      <c r="H649" s="38" t="str">
        <f>IF(IF(644&lt;=COUNTA(半紙!$B$11:$B$310),INDEX(半紙!$H$11:$H$310,644),IF(644&lt;=COUNTA(半紙!$B$11:$B$310)+COUNTA(条幅!$B$11:$B$310),INDEX(条幅!$H$11:$H$310,644-COUNTA(半紙!$B$11:$B$310)),IF(644&lt;=COUNTA(半紙!$B$11:$B$310)+COUNTA(条幅!$B$11:$B$310)+COUNTA(条幅4分の1!$B$11:$B$310),INDEX(条幅4分の1!$H$11:$H$310,644-COUNTA(半紙!$B$11:$B$310)-COUNTA(条幅!$B$11:$B$310)),"")))=0,"",IF(644&lt;=COUNTA(半紙!$B$11:$B$310),INDEX(半紙!$H$11:$H$310,644),IF(644&lt;=COUNTA(半紙!$B$11:$B$310)+COUNTA(条幅!$B$11:$B$310),INDEX(条幅!$H$11:$H$310,644-COUNTA(半紙!$B$11:$B$310)),IF(644&lt;=COUNTA(半紙!$B$11:$B$310)+COUNTA(条幅!$B$11:$B$310)+COUNTA(条幅4分の1!$B$11:$B$310),INDEX(条幅4分の1!$H$11:$H$310,644-COUNTA(半紙!$B$11:$B$310)-COUNTA(条幅!$B$11:$B$310)),""))))</f>
        <v/>
      </c>
      <c r="I649" s="38" t="str">
        <f>IF(IF(644&lt;=COUNTA(半紙!$B$11:$B$310),INDEX(半紙!$I$11:$I$310,644),IF(644&lt;=COUNTA(半紙!$B$11:$B$310)+COUNTA(条幅!$B$11:$B$310),INDEX(条幅!$I$11:$I$310,644-COUNTA(半紙!$B$11:$B$310)),IF(644&lt;=COUNTA(半紙!$B$11:$B$310)+COUNTA(条幅!$B$11:$B$310)+COUNTA(条幅4分の1!$B$11:$B$310),INDEX(条幅4分の1!$I$11:$I$310,644-COUNTA(半紙!$B$11:$B$310)-COUNTA(条幅!$B$11:$B$310)),"")))=0,"",IF(644&lt;=COUNTA(半紙!$B$11:$B$310),INDEX(半紙!$I$11:$I$310,644),IF(644&lt;=COUNTA(半紙!$B$11:$B$310)+COUNTA(条幅!$B$11:$B$310),INDEX(条幅!$I$11:$I$310,644-COUNTA(半紙!$B$11:$B$310)),IF(644&lt;=COUNTA(半紙!$B$11:$B$310)+COUNTA(条幅!$B$11:$B$310)+COUNTA(条幅4分の1!$B$11:$B$310),INDEX(条幅4分の1!$I$11:$I$310,644-COUNTA(半紙!$B$11:$B$310)-COUNTA(条幅!$B$11:$B$310)),""))))</f>
        <v/>
      </c>
      <c r="J649" s="38" t="str">
        <f>IF(IF(644&lt;=COUNTA(半紙!$B$11:$B$310),INDEX(半紙!$J$11:$J$310,644),IF(644&lt;=COUNTA(半紙!$B$11:$B$310)+COUNTA(条幅!$B$11:$B$310),INDEX(条幅!$J$11:$J$310,644-COUNTA(半紙!$B$11:$B$310)),IF(644&lt;=COUNTA(半紙!$B$11:$B$310)+COUNTA(条幅!$B$11:$B$310)+COUNTA(条幅4分の1!$B$11:$B$310),INDEX(条幅4分の1!$J$11:$J$310,644-COUNTA(半紙!$B$11:$B$310)-COUNTA(条幅!$B$11:$B$310)),"")))=0,"",IF(644&lt;=COUNTA(半紙!$B$11:$B$310),INDEX(半紙!$J$11:$J$310,644),IF(644&lt;=COUNTA(半紙!$B$11:$B$310)+COUNTA(条幅!$B$11:$B$310),INDEX(条幅!$J$11:$J$310,644-COUNTA(半紙!$B$11:$B$310)),IF(644&lt;=COUNTA(半紙!$B$11:$B$310)+COUNTA(条幅!$B$11:$B$310)+COUNTA(条幅4分の1!$B$11:$B$310),INDEX(条幅4分の1!$J$11:$J$310,644-COUNTA(半紙!$B$11:$B$310)-COUNTA(条幅!$B$11:$B$310)),""))))</f>
        <v/>
      </c>
      <c r="K649" s="38" t="str">
        <f>IF(IF(644&lt;=COUNTA(半紙!$B$11:$B$310),INDEX(半紙!$K$11:$K$310,644),IF(644&lt;=COUNTA(半紙!$B$11:$B$310)+COUNTA(条幅!$B$11:$B$310),INDEX(条幅!$K$11:$K$310,644-COUNTA(半紙!$B$11:$B$310)),IF(644&lt;=COUNTA(半紙!$B$11:$B$310)+COUNTA(条幅!$B$11:$B$310)+COUNTA(条幅4分の1!$B$11:$B$310),INDEX(条幅4分の1!$K$11:$K$310,644-COUNTA(半紙!$B$11:$B$310)-COUNTA(条幅!$B$11:$B$310)),"")))=0,"",IF(644&lt;=COUNTA(半紙!$B$11:$B$310),INDEX(半紙!$K$11:$K$310,644),IF(644&lt;=COUNTA(半紙!$B$11:$B$310)+COUNTA(条幅!$B$11:$B$310),INDEX(条幅!$K$11:$K$310,644-COUNTA(半紙!$B$11:$B$310)),IF(644&lt;=COUNTA(半紙!$B$11:$B$310)+COUNTA(条幅!$B$11:$B$310)+COUNTA(条幅4分の1!$B$11:$B$310),INDEX(条幅4分の1!$K$11:$K$310,644-COUNTA(半紙!$B$11:$B$310)-COUNTA(条幅!$B$11:$B$310)),""))))</f>
        <v/>
      </c>
      <c r="L649" s="48" t="str">
        <f>IF($B649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644))</f>
        <v/>
      </c>
    </row>
    <row r="650" spans="1:12" ht="15" customHeight="1">
      <c r="A650" s="37" t="str">
        <f>IF(645&lt;=COUNTA(半紙!$B$11:$B$310),"半紙",IF(645&lt;=COUNTA(半紙!$B$11:$B$310)+COUNTA(条幅!$B$11:$B$310),"条幅(半切)",IF(645&lt;=COUNTA(半紙!$B$11:$B$310)+COUNTA(条幅!$B$11:$B$310)+COUNTA(条幅4分の1!$B$11:$B$310),"条幅(1/4)","")))</f>
        <v/>
      </c>
      <c r="B650" s="38" t="str">
        <f>IF(IF(645&lt;=COUNTA(半紙!$B$11:$B$310),INDEX(半紙!$B$11:$B$310,645),IF(645&lt;=COUNTA(半紙!$B$11:$B$310)+COUNTA(条幅!$B$11:$B$310),INDEX(条幅!$B$11:$B$310,645-COUNTA(半紙!$B$11:$B$310)),IF(645&lt;=COUNTA(半紙!$B$11:$B$310)+COUNTA(条幅!$B$11:$B$310)+COUNTA(条幅4分の1!$B$11:$B$310),INDEX(条幅4分の1!$B$11:$B$310,645-COUNTA(半紙!$B$11:$B$310)-COUNTA(条幅!$B$11:$B$310)),"")))=0,"",IF(645&lt;=COUNTA(半紙!$B$11:$B$310),INDEX(半紙!$B$11:$B$310,645),IF(645&lt;=COUNTA(半紙!$B$11:$B$310)+COUNTA(条幅!$B$11:$B$310),INDEX(条幅!$B$11:$B$310,645-COUNTA(半紙!$B$11:$B$310)),IF(645&lt;=COUNTA(半紙!$B$11:$B$310)+COUNTA(条幅!$B$11:$B$310)+COUNTA(条幅4分の1!$B$11:$B$310),INDEX(条幅4分の1!$B$11:$B$310,645-COUNTA(半紙!$B$11:$B$310)-COUNTA(条幅!$B$11:$B$310)),""))))</f>
        <v/>
      </c>
      <c r="C650" s="38" t="str">
        <f>IF(IF(645&lt;=COUNTA(半紙!$B$11:$B$310),INDEX(半紙!$C$11:$C$310,645),IF(645&lt;=COUNTA(半紙!$B$11:$B$310)+COUNTA(条幅!$B$11:$B$310),INDEX(条幅!$C$11:$C$310,645-COUNTA(半紙!$B$11:$B$310)),IF(645&lt;=COUNTA(半紙!$B$11:$B$310)+COUNTA(条幅!$B$11:$B$310)+COUNTA(条幅4分の1!$B$11:$B$310),INDEX(条幅4分の1!$C$11:$C$310,645-COUNTA(半紙!$B$11:$B$310)-COUNTA(条幅!$B$11:$B$310)),"")))=0,"",IF(645&lt;=COUNTA(半紙!$B$11:$B$310),INDEX(半紙!$C$11:$C$310,645),IF(645&lt;=COUNTA(半紙!$B$11:$B$310)+COUNTA(条幅!$B$11:$B$310),INDEX(条幅!$C$11:$C$310,645-COUNTA(半紙!$B$11:$B$310)),IF(645&lt;=COUNTA(半紙!$B$11:$B$310)+COUNTA(条幅!$B$11:$B$310)+COUNTA(条幅4分の1!$B$11:$B$310),INDEX(条幅4分の1!$C$11:$C$310,645-COUNTA(半紙!$B$11:$B$310)-COUNTA(条幅!$B$11:$B$310)),""))))</f>
        <v/>
      </c>
      <c r="D650" s="38" t="str">
        <f>IF(IF(645&lt;=COUNTA(半紙!$B$11:$B$310),INDEX(半紙!$D$11:$D$310,645),IF(645&lt;=COUNTA(半紙!$B$11:$B$310)+COUNTA(条幅!$B$11:$B$310),INDEX(条幅!$D$11:$D$310,645-COUNTA(半紙!$B$11:$B$310)),IF(645&lt;=COUNTA(半紙!$B$11:$B$310)+COUNTA(条幅!$B$11:$B$310)+COUNTA(条幅4分の1!$B$11:$B$310),INDEX(条幅4分の1!$D$11:$D$310,645-COUNTA(半紙!$B$11:$B$310)-COUNTA(条幅!$B$11:$B$310)),"")))=0,"",IF(645&lt;=COUNTA(半紙!$B$11:$B$310),INDEX(半紙!$D$11:$D$310,645),IF(645&lt;=COUNTA(半紙!$B$11:$B$310)+COUNTA(条幅!$B$11:$B$310),INDEX(条幅!$D$11:$D$310,645-COUNTA(半紙!$B$11:$B$310)),IF(645&lt;=COUNTA(半紙!$B$11:$B$310)+COUNTA(条幅!$B$11:$B$310)+COUNTA(条幅4分の1!$B$11:$B$310),INDEX(条幅4分の1!$D$11:$D$310,645-COUNTA(半紙!$B$11:$B$310)-COUNTA(条幅!$B$11:$B$310)),""))))</f>
        <v/>
      </c>
      <c r="E650" s="38" t="str">
        <f>IF(IF(645&lt;=COUNTA(半紙!$B$11:$B$310),INDEX(半紙!$E$11:$E$310,645),IF(645&lt;=COUNTA(半紙!$B$11:$B$310)+COUNTA(条幅!$B$11:$B$310),INDEX(条幅!$E$11:$E$310,645-COUNTA(半紙!$B$11:$B$310)),IF(645&lt;=COUNTA(半紙!$B$11:$B$310)+COUNTA(条幅!$B$11:$B$310)+COUNTA(条幅4分の1!$B$11:$B$310),INDEX(条幅4分の1!$E$11:$E$310,645-COUNTA(半紙!$B$11:$B$310)-COUNTA(条幅!$B$11:$B$310)),"")))=0,"",IF(645&lt;=COUNTA(半紙!$B$11:$B$310),INDEX(半紙!$E$11:$E$310,645),IF(645&lt;=COUNTA(半紙!$B$11:$B$310)+COUNTA(条幅!$B$11:$B$310),INDEX(条幅!$E$11:$E$310,645-COUNTA(半紙!$B$11:$B$310)),IF(645&lt;=COUNTA(半紙!$B$11:$B$310)+COUNTA(条幅!$B$11:$B$310)+COUNTA(条幅4分の1!$B$11:$B$310),INDEX(条幅4分の1!$E$11:$E$310,645-COUNTA(半紙!$B$11:$B$310)-COUNTA(条幅!$B$11:$B$310)),""))))</f>
        <v/>
      </c>
      <c r="F650" s="38" t="str">
        <f>IF(IF(645&lt;=COUNTA(半紙!$B$11:$B$310),INDEX(半紙!$F$11:$F$310,645),IF(645&lt;=COUNTA(半紙!$B$11:$B$310)+COUNTA(条幅!$B$11:$B$310),INDEX(条幅!$F$11:$F$310,645-COUNTA(半紙!$B$11:$B$310)),IF(645&lt;=COUNTA(半紙!$B$11:$B$310)+COUNTA(条幅!$B$11:$B$310)+COUNTA(条幅4分の1!$B$11:$B$310),INDEX(条幅4分の1!$F$11:$F$310,645-COUNTA(半紙!$B$11:$B$310)-COUNTA(条幅!$B$11:$B$310)),"")))=0,"",IF(645&lt;=COUNTA(半紙!$B$11:$B$310),INDEX(半紙!$F$11:$F$310,645),IF(645&lt;=COUNTA(半紙!$B$11:$B$310)+COUNTA(条幅!$B$11:$B$310),INDEX(条幅!$F$11:$F$310,645-COUNTA(半紙!$B$11:$B$310)),IF(645&lt;=COUNTA(半紙!$B$11:$B$310)+COUNTA(条幅!$B$11:$B$310)+COUNTA(条幅4分の1!$B$11:$B$310),INDEX(条幅4分の1!$F$11:$F$310,645-COUNTA(半紙!$B$11:$B$310)-COUNTA(条幅!$B$11:$B$310)),""))))</f>
        <v/>
      </c>
      <c r="G650" s="38" t="str">
        <f>IF(IF(645&lt;=COUNTA(半紙!$B$11:$B$310),INDEX(半紙!$G$11:$G$310,645),IF(645&lt;=COUNTA(半紙!$B$11:$B$310)+COUNTA(条幅!$B$11:$B$310),INDEX(条幅!$G$11:$G$310,645-COUNTA(半紙!$B$11:$B$310)),IF(645&lt;=COUNTA(半紙!$B$11:$B$310)+COUNTA(条幅!$B$11:$B$310)+COUNTA(条幅4分の1!$B$11:$B$310),INDEX(条幅4分の1!$G$11:$G$310,645-COUNTA(半紙!$B$11:$B$310)-COUNTA(条幅!$B$11:$B$310)),"")))=0,"",IF(645&lt;=COUNTA(半紙!$B$11:$B$310),INDEX(半紙!$G$11:$G$310,645),IF(645&lt;=COUNTA(半紙!$B$11:$B$310)+COUNTA(条幅!$B$11:$B$310),INDEX(条幅!$G$11:$G$310,645-COUNTA(半紙!$B$11:$B$310)),IF(645&lt;=COUNTA(半紙!$B$11:$B$310)+COUNTA(条幅!$B$11:$B$310)+COUNTA(条幅4分の1!$B$11:$B$310),INDEX(条幅4分の1!$G$11:$G$310,645-COUNTA(半紙!$B$11:$B$310)-COUNTA(条幅!$B$11:$B$310)),""))))</f>
        <v/>
      </c>
      <c r="H650" s="38" t="str">
        <f>IF(IF(645&lt;=COUNTA(半紙!$B$11:$B$310),INDEX(半紙!$H$11:$H$310,645),IF(645&lt;=COUNTA(半紙!$B$11:$B$310)+COUNTA(条幅!$B$11:$B$310),INDEX(条幅!$H$11:$H$310,645-COUNTA(半紙!$B$11:$B$310)),IF(645&lt;=COUNTA(半紙!$B$11:$B$310)+COUNTA(条幅!$B$11:$B$310)+COUNTA(条幅4分の1!$B$11:$B$310),INDEX(条幅4分の1!$H$11:$H$310,645-COUNTA(半紙!$B$11:$B$310)-COUNTA(条幅!$B$11:$B$310)),"")))=0,"",IF(645&lt;=COUNTA(半紙!$B$11:$B$310),INDEX(半紙!$H$11:$H$310,645),IF(645&lt;=COUNTA(半紙!$B$11:$B$310)+COUNTA(条幅!$B$11:$B$310),INDEX(条幅!$H$11:$H$310,645-COUNTA(半紙!$B$11:$B$310)),IF(645&lt;=COUNTA(半紙!$B$11:$B$310)+COUNTA(条幅!$B$11:$B$310)+COUNTA(条幅4分の1!$B$11:$B$310),INDEX(条幅4分の1!$H$11:$H$310,645-COUNTA(半紙!$B$11:$B$310)-COUNTA(条幅!$B$11:$B$310)),""))))</f>
        <v/>
      </c>
      <c r="I650" s="38" t="str">
        <f>IF(IF(645&lt;=COUNTA(半紙!$B$11:$B$310),INDEX(半紙!$I$11:$I$310,645),IF(645&lt;=COUNTA(半紙!$B$11:$B$310)+COUNTA(条幅!$B$11:$B$310),INDEX(条幅!$I$11:$I$310,645-COUNTA(半紙!$B$11:$B$310)),IF(645&lt;=COUNTA(半紙!$B$11:$B$310)+COUNTA(条幅!$B$11:$B$310)+COUNTA(条幅4分の1!$B$11:$B$310),INDEX(条幅4分の1!$I$11:$I$310,645-COUNTA(半紙!$B$11:$B$310)-COUNTA(条幅!$B$11:$B$310)),"")))=0,"",IF(645&lt;=COUNTA(半紙!$B$11:$B$310),INDEX(半紙!$I$11:$I$310,645),IF(645&lt;=COUNTA(半紙!$B$11:$B$310)+COUNTA(条幅!$B$11:$B$310),INDEX(条幅!$I$11:$I$310,645-COUNTA(半紙!$B$11:$B$310)),IF(645&lt;=COUNTA(半紙!$B$11:$B$310)+COUNTA(条幅!$B$11:$B$310)+COUNTA(条幅4分の1!$B$11:$B$310),INDEX(条幅4分の1!$I$11:$I$310,645-COUNTA(半紙!$B$11:$B$310)-COUNTA(条幅!$B$11:$B$310)),""))))</f>
        <v/>
      </c>
      <c r="J650" s="38" t="str">
        <f>IF(IF(645&lt;=COUNTA(半紙!$B$11:$B$310),INDEX(半紙!$J$11:$J$310,645),IF(645&lt;=COUNTA(半紙!$B$11:$B$310)+COUNTA(条幅!$B$11:$B$310),INDEX(条幅!$J$11:$J$310,645-COUNTA(半紙!$B$11:$B$310)),IF(645&lt;=COUNTA(半紙!$B$11:$B$310)+COUNTA(条幅!$B$11:$B$310)+COUNTA(条幅4分の1!$B$11:$B$310),INDEX(条幅4分の1!$J$11:$J$310,645-COUNTA(半紙!$B$11:$B$310)-COUNTA(条幅!$B$11:$B$310)),"")))=0,"",IF(645&lt;=COUNTA(半紙!$B$11:$B$310),INDEX(半紙!$J$11:$J$310,645),IF(645&lt;=COUNTA(半紙!$B$11:$B$310)+COUNTA(条幅!$B$11:$B$310),INDEX(条幅!$J$11:$J$310,645-COUNTA(半紙!$B$11:$B$310)),IF(645&lt;=COUNTA(半紙!$B$11:$B$310)+COUNTA(条幅!$B$11:$B$310)+COUNTA(条幅4分の1!$B$11:$B$310),INDEX(条幅4分の1!$J$11:$J$310,645-COUNTA(半紙!$B$11:$B$310)-COUNTA(条幅!$B$11:$B$310)),""))))</f>
        <v/>
      </c>
      <c r="K650" s="38" t="str">
        <f>IF(IF(645&lt;=COUNTA(半紙!$B$11:$B$310),INDEX(半紙!$K$11:$K$310,645),IF(645&lt;=COUNTA(半紙!$B$11:$B$310)+COUNTA(条幅!$B$11:$B$310),INDEX(条幅!$K$11:$K$310,645-COUNTA(半紙!$B$11:$B$310)),IF(645&lt;=COUNTA(半紙!$B$11:$B$310)+COUNTA(条幅!$B$11:$B$310)+COUNTA(条幅4分の1!$B$11:$B$310),INDEX(条幅4分の1!$K$11:$K$310,645-COUNTA(半紙!$B$11:$B$310)-COUNTA(条幅!$B$11:$B$310)),"")))=0,"",IF(645&lt;=COUNTA(半紙!$B$11:$B$310),INDEX(半紙!$K$11:$K$310,645),IF(645&lt;=COUNTA(半紙!$B$11:$B$310)+COUNTA(条幅!$B$11:$B$310),INDEX(条幅!$K$11:$K$310,645-COUNTA(半紙!$B$11:$B$310)),IF(645&lt;=COUNTA(半紙!$B$11:$B$310)+COUNTA(条幅!$B$11:$B$310)+COUNTA(条幅4分の1!$B$11:$B$310),INDEX(条幅4分の1!$K$11:$K$310,645-COUNTA(半紙!$B$11:$B$310)-COUNTA(条幅!$B$11:$B$310)),""))))</f>
        <v/>
      </c>
      <c r="L650" s="48" t="str">
        <f>IF($B650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645))</f>
        <v/>
      </c>
    </row>
    <row r="651" spans="1:12" ht="15" customHeight="1">
      <c r="A651" s="37" t="str">
        <f>IF(646&lt;=COUNTA(半紙!$B$11:$B$310),"半紙",IF(646&lt;=COUNTA(半紙!$B$11:$B$310)+COUNTA(条幅!$B$11:$B$310),"条幅(半切)",IF(646&lt;=COUNTA(半紙!$B$11:$B$310)+COUNTA(条幅!$B$11:$B$310)+COUNTA(条幅4分の1!$B$11:$B$310),"条幅(1/4)","")))</f>
        <v/>
      </c>
      <c r="B651" s="38" t="str">
        <f>IF(IF(646&lt;=COUNTA(半紙!$B$11:$B$310),INDEX(半紙!$B$11:$B$310,646),IF(646&lt;=COUNTA(半紙!$B$11:$B$310)+COUNTA(条幅!$B$11:$B$310),INDEX(条幅!$B$11:$B$310,646-COUNTA(半紙!$B$11:$B$310)),IF(646&lt;=COUNTA(半紙!$B$11:$B$310)+COUNTA(条幅!$B$11:$B$310)+COUNTA(条幅4分の1!$B$11:$B$310),INDEX(条幅4分の1!$B$11:$B$310,646-COUNTA(半紙!$B$11:$B$310)-COUNTA(条幅!$B$11:$B$310)),"")))=0,"",IF(646&lt;=COUNTA(半紙!$B$11:$B$310),INDEX(半紙!$B$11:$B$310,646),IF(646&lt;=COUNTA(半紙!$B$11:$B$310)+COUNTA(条幅!$B$11:$B$310),INDEX(条幅!$B$11:$B$310,646-COUNTA(半紙!$B$11:$B$310)),IF(646&lt;=COUNTA(半紙!$B$11:$B$310)+COUNTA(条幅!$B$11:$B$310)+COUNTA(条幅4分の1!$B$11:$B$310),INDEX(条幅4分の1!$B$11:$B$310,646-COUNTA(半紙!$B$11:$B$310)-COUNTA(条幅!$B$11:$B$310)),""))))</f>
        <v/>
      </c>
      <c r="C651" s="38" t="str">
        <f>IF(IF(646&lt;=COUNTA(半紙!$B$11:$B$310),INDEX(半紙!$C$11:$C$310,646),IF(646&lt;=COUNTA(半紙!$B$11:$B$310)+COUNTA(条幅!$B$11:$B$310),INDEX(条幅!$C$11:$C$310,646-COUNTA(半紙!$B$11:$B$310)),IF(646&lt;=COUNTA(半紙!$B$11:$B$310)+COUNTA(条幅!$B$11:$B$310)+COUNTA(条幅4分の1!$B$11:$B$310),INDEX(条幅4分の1!$C$11:$C$310,646-COUNTA(半紙!$B$11:$B$310)-COUNTA(条幅!$B$11:$B$310)),"")))=0,"",IF(646&lt;=COUNTA(半紙!$B$11:$B$310),INDEX(半紙!$C$11:$C$310,646),IF(646&lt;=COUNTA(半紙!$B$11:$B$310)+COUNTA(条幅!$B$11:$B$310),INDEX(条幅!$C$11:$C$310,646-COUNTA(半紙!$B$11:$B$310)),IF(646&lt;=COUNTA(半紙!$B$11:$B$310)+COUNTA(条幅!$B$11:$B$310)+COUNTA(条幅4分の1!$B$11:$B$310),INDEX(条幅4分の1!$C$11:$C$310,646-COUNTA(半紙!$B$11:$B$310)-COUNTA(条幅!$B$11:$B$310)),""))))</f>
        <v/>
      </c>
      <c r="D651" s="38" t="str">
        <f>IF(IF(646&lt;=COUNTA(半紙!$B$11:$B$310),INDEX(半紙!$D$11:$D$310,646),IF(646&lt;=COUNTA(半紙!$B$11:$B$310)+COUNTA(条幅!$B$11:$B$310),INDEX(条幅!$D$11:$D$310,646-COUNTA(半紙!$B$11:$B$310)),IF(646&lt;=COUNTA(半紙!$B$11:$B$310)+COUNTA(条幅!$B$11:$B$310)+COUNTA(条幅4分の1!$B$11:$B$310),INDEX(条幅4分の1!$D$11:$D$310,646-COUNTA(半紙!$B$11:$B$310)-COUNTA(条幅!$B$11:$B$310)),"")))=0,"",IF(646&lt;=COUNTA(半紙!$B$11:$B$310),INDEX(半紙!$D$11:$D$310,646),IF(646&lt;=COUNTA(半紙!$B$11:$B$310)+COUNTA(条幅!$B$11:$B$310),INDEX(条幅!$D$11:$D$310,646-COUNTA(半紙!$B$11:$B$310)),IF(646&lt;=COUNTA(半紙!$B$11:$B$310)+COUNTA(条幅!$B$11:$B$310)+COUNTA(条幅4分の1!$B$11:$B$310),INDEX(条幅4分の1!$D$11:$D$310,646-COUNTA(半紙!$B$11:$B$310)-COUNTA(条幅!$B$11:$B$310)),""))))</f>
        <v/>
      </c>
      <c r="E651" s="38" t="str">
        <f>IF(IF(646&lt;=COUNTA(半紙!$B$11:$B$310),INDEX(半紙!$E$11:$E$310,646),IF(646&lt;=COUNTA(半紙!$B$11:$B$310)+COUNTA(条幅!$B$11:$B$310),INDEX(条幅!$E$11:$E$310,646-COUNTA(半紙!$B$11:$B$310)),IF(646&lt;=COUNTA(半紙!$B$11:$B$310)+COUNTA(条幅!$B$11:$B$310)+COUNTA(条幅4分の1!$B$11:$B$310),INDEX(条幅4分の1!$E$11:$E$310,646-COUNTA(半紙!$B$11:$B$310)-COUNTA(条幅!$B$11:$B$310)),"")))=0,"",IF(646&lt;=COUNTA(半紙!$B$11:$B$310),INDEX(半紙!$E$11:$E$310,646),IF(646&lt;=COUNTA(半紙!$B$11:$B$310)+COUNTA(条幅!$B$11:$B$310),INDEX(条幅!$E$11:$E$310,646-COUNTA(半紙!$B$11:$B$310)),IF(646&lt;=COUNTA(半紙!$B$11:$B$310)+COUNTA(条幅!$B$11:$B$310)+COUNTA(条幅4分の1!$B$11:$B$310),INDEX(条幅4分の1!$E$11:$E$310,646-COUNTA(半紙!$B$11:$B$310)-COUNTA(条幅!$B$11:$B$310)),""))))</f>
        <v/>
      </c>
      <c r="F651" s="38" t="str">
        <f>IF(IF(646&lt;=COUNTA(半紙!$B$11:$B$310),INDEX(半紙!$F$11:$F$310,646),IF(646&lt;=COUNTA(半紙!$B$11:$B$310)+COUNTA(条幅!$B$11:$B$310),INDEX(条幅!$F$11:$F$310,646-COUNTA(半紙!$B$11:$B$310)),IF(646&lt;=COUNTA(半紙!$B$11:$B$310)+COUNTA(条幅!$B$11:$B$310)+COUNTA(条幅4分の1!$B$11:$B$310),INDEX(条幅4分の1!$F$11:$F$310,646-COUNTA(半紙!$B$11:$B$310)-COUNTA(条幅!$B$11:$B$310)),"")))=0,"",IF(646&lt;=COUNTA(半紙!$B$11:$B$310),INDEX(半紙!$F$11:$F$310,646),IF(646&lt;=COUNTA(半紙!$B$11:$B$310)+COUNTA(条幅!$B$11:$B$310),INDEX(条幅!$F$11:$F$310,646-COUNTA(半紙!$B$11:$B$310)),IF(646&lt;=COUNTA(半紙!$B$11:$B$310)+COUNTA(条幅!$B$11:$B$310)+COUNTA(条幅4分の1!$B$11:$B$310),INDEX(条幅4分の1!$F$11:$F$310,646-COUNTA(半紙!$B$11:$B$310)-COUNTA(条幅!$B$11:$B$310)),""))))</f>
        <v/>
      </c>
      <c r="G651" s="38" t="str">
        <f>IF(IF(646&lt;=COUNTA(半紙!$B$11:$B$310),INDEX(半紙!$G$11:$G$310,646),IF(646&lt;=COUNTA(半紙!$B$11:$B$310)+COUNTA(条幅!$B$11:$B$310),INDEX(条幅!$G$11:$G$310,646-COUNTA(半紙!$B$11:$B$310)),IF(646&lt;=COUNTA(半紙!$B$11:$B$310)+COUNTA(条幅!$B$11:$B$310)+COUNTA(条幅4分の1!$B$11:$B$310),INDEX(条幅4分の1!$G$11:$G$310,646-COUNTA(半紙!$B$11:$B$310)-COUNTA(条幅!$B$11:$B$310)),"")))=0,"",IF(646&lt;=COUNTA(半紙!$B$11:$B$310),INDEX(半紙!$G$11:$G$310,646),IF(646&lt;=COUNTA(半紙!$B$11:$B$310)+COUNTA(条幅!$B$11:$B$310),INDEX(条幅!$G$11:$G$310,646-COUNTA(半紙!$B$11:$B$310)),IF(646&lt;=COUNTA(半紙!$B$11:$B$310)+COUNTA(条幅!$B$11:$B$310)+COUNTA(条幅4分の1!$B$11:$B$310),INDEX(条幅4分の1!$G$11:$G$310,646-COUNTA(半紙!$B$11:$B$310)-COUNTA(条幅!$B$11:$B$310)),""))))</f>
        <v/>
      </c>
      <c r="H651" s="38" t="str">
        <f>IF(IF(646&lt;=COUNTA(半紙!$B$11:$B$310),INDEX(半紙!$H$11:$H$310,646),IF(646&lt;=COUNTA(半紙!$B$11:$B$310)+COUNTA(条幅!$B$11:$B$310),INDEX(条幅!$H$11:$H$310,646-COUNTA(半紙!$B$11:$B$310)),IF(646&lt;=COUNTA(半紙!$B$11:$B$310)+COUNTA(条幅!$B$11:$B$310)+COUNTA(条幅4分の1!$B$11:$B$310),INDEX(条幅4分の1!$H$11:$H$310,646-COUNTA(半紙!$B$11:$B$310)-COUNTA(条幅!$B$11:$B$310)),"")))=0,"",IF(646&lt;=COUNTA(半紙!$B$11:$B$310),INDEX(半紙!$H$11:$H$310,646),IF(646&lt;=COUNTA(半紙!$B$11:$B$310)+COUNTA(条幅!$B$11:$B$310),INDEX(条幅!$H$11:$H$310,646-COUNTA(半紙!$B$11:$B$310)),IF(646&lt;=COUNTA(半紙!$B$11:$B$310)+COUNTA(条幅!$B$11:$B$310)+COUNTA(条幅4分の1!$B$11:$B$310),INDEX(条幅4分の1!$H$11:$H$310,646-COUNTA(半紙!$B$11:$B$310)-COUNTA(条幅!$B$11:$B$310)),""))))</f>
        <v/>
      </c>
      <c r="I651" s="38" t="str">
        <f>IF(IF(646&lt;=COUNTA(半紙!$B$11:$B$310),INDEX(半紙!$I$11:$I$310,646),IF(646&lt;=COUNTA(半紙!$B$11:$B$310)+COUNTA(条幅!$B$11:$B$310),INDEX(条幅!$I$11:$I$310,646-COUNTA(半紙!$B$11:$B$310)),IF(646&lt;=COUNTA(半紙!$B$11:$B$310)+COUNTA(条幅!$B$11:$B$310)+COUNTA(条幅4分の1!$B$11:$B$310),INDEX(条幅4分の1!$I$11:$I$310,646-COUNTA(半紙!$B$11:$B$310)-COUNTA(条幅!$B$11:$B$310)),"")))=0,"",IF(646&lt;=COUNTA(半紙!$B$11:$B$310),INDEX(半紙!$I$11:$I$310,646),IF(646&lt;=COUNTA(半紙!$B$11:$B$310)+COUNTA(条幅!$B$11:$B$310),INDEX(条幅!$I$11:$I$310,646-COUNTA(半紙!$B$11:$B$310)),IF(646&lt;=COUNTA(半紙!$B$11:$B$310)+COUNTA(条幅!$B$11:$B$310)+COUNTA(条幅4分の1!$B$11:$B$310),INDEX(条幅4分の1!$I$11:$I$310,646-COUNTA(半紙!$B$11:$B$310)-COUNTA(条幅!$B$11:$B$310)),""))))</f>
        <v/>
      </c>
      <c r="J651" s="38" t="str">
        <f>IF(IF(646&lt;=COUNTA(半紙!$B$11:$B$310),INDEX(半紙!$J$11:$J$310,646),IF(646&lt;=COUNTA(半紙!$B$11:$B$310)+COUNTA(条幅!$B$11:$B$310),INDEX(条幅!$J$11:$J$310,646-COUNTA(半紙!$B$11:$B$310)),IF(646&lt;=COUNTA(半紙!$B$11:$B$310)+COUNTA(条幅!$B$11:$B$310)+COUNTA(条幅4分の1!$B$11:$B$310),INDEX(条幅4分の1!$J$11:$J$310,646-COUNTA(半紙!$B$11:$B$310)-COUNTA(条幅!$B$11:$B$310)),"")))=0,"",IF(646&lt;=COUNTA(半紙!$B$11:$B$310),INDEX(半紙!$J$11:$J$310,646),IF(646&lt;=COUNTA(半紙!$B$11:$B$310)+COUNTA(条幅!$B$11:$B$310),INDEX(条幅!$J$11:$J$310,646-COUNTA(半紙!$B$11:$B$310)),IF(646&lt;=COUNTA(半紙!$B$11:$B$310)+COUNTA(条幅!$B$11:$B$310)+COUNTA(条幅4分の1!$B$11:$B$310),INDEX(条幅4分の1!$J$11:$J$310,646-COUNTA(半紙!$B$11:$B$310)-COUNTA(条幅!$B$11:$B$310)),""))))</f>
        <v/>
      </c>
      <c r="K651" s="38" t="str">
        <f>IF(IF(646&lt;=COUNTA(半紙!$B$11:$B$310),INDEX(半紙!$K$11:$K$310,646),IF(646&lt;=COUNTA(半紙!$B$11:$B$310)+COUNTA(条幅!$B$11:$B$310),INDEX(条幅!$K$11:$K$310,646-COUNTA(半紙!$B$11:$B$310)),IF(646&lt;=COUNTA(半紙!$B$11:$B$310)+COUNTA(条幅!$B$11:$B$310)+COUNTA(条幅4分の1!$B$11:$B$310),INDEX(条幅4分の1!$K$11:$K$310,646-COUNTA(半紙!$B$11:$B$310)-COUNTA(条幅!$B$11:$B$310)),"")))=0,"",IF(646&lt;=COUNTA(半紙!$B$11:$B$310),INDEX(半紙!$K$11:$K$310,646),IF(646&lt;=COUNTA(半紙!$B$11:$B$310)+COUNTA(条幅!$B$11:$B$310),INDEX(条幅!$K$11:$K$310,646-COUNTA(半紙!$B$11:$B$310)),IF(646&lt;=COUNTA(半紙!$B$11:$B$310)+COUNTA(条幅!$B$11:$B$310)+COUNTA(条幅4分の1!$B$11:$B$310),INDEX(条幅4分の1!$K$11:$K$310,646-COUNTA(半紙!$B$11:$B$310)-COUNTA(条幅!$B$11:$B$310)),""))))</f>
        <v/>
      </c>
      <c r="L651" s="48" t="str">
        <f>IF($B651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646))</f>
        <v/>
      </c>
    </row>
    <row r="652" spans="1:12" ht="15" customHeight="1">
      <c r="A652" s="37" t="str">
        <f>IF(647&lt;=COUNTA(半紙!$B$11:$B$310),"半紙",IF(647&lt;=COUNTA(半紙!$B$11:$B$310)+COUNTA(条幅!$B$11:$B$310),"条幅(半切)",IF(647&lt;=COUNTA(半紙!$B$11:$B$310)+COUNTA(条幅!$B$11:$B$310)+COUNTA(条幅4分の1!$B$11:$B$310),"条幅(1/4)","")))</f>
        <v/>
      </c>
      <c r="B652" s="38" t="str">
        <f>IF(IF(647&lt;=COUNTA(半紙!$B$11:$B$310),INDEX(半紙!$B$11:$B$310,647),IF(647&lt;=COUNTA(半紙!$B$11:$B$310)+COUNTA(条幅!$B$11:$B$310),INDEX(条幅!$B$11:$B$310,647-COUNTA(半紙!$B$11:$B$310)),IF(647&lt;=COUNTA(半紙!$B$11:$B$310)+COUNTA(条幅!$B$11:$B$310)+COUNTA(条幅4分の1!$B$11:$B$310),INDEX(条幅4分の1!$B$11:$B$310,647-COUNTA(半紙!$B$11:$B$310)-COUNTA(条幅!$B$11:$B$310)),"")))=0,"",IF(647&lt;=COUNTA(半紙!$B$11:$B$310),INDEX(半紙!$B$11:$B$310,647),IF(647&lt;=COUNTA(半紙!$B$11:$B$310)+COUNTA(条幅!$B$11:$B$310),INDEX(条幅!$B$11:$B$310,647-COUNTA(半紙!$B$11:$B$310)),IF(647&lt;=COUNTA(半紙!$B$11:$B$310)+COUNTA(条幅!$B$11:$B$310)+COUNTA(条幅4分の1!$B$11:$B$310),INDEX(条幅4分の1!$B$11:$B$310,647-COUNTA(半紙!$B$11:$B$310)-COUNTA(条幅!$B$11:$B$310)),""))))</f>
        <v/>
      </c>
      <c r="C652" s="38" t="str">
        <f>IF(IF(647&lt;=COUNTA(半紙!$B$11:$B$310),INDEX(半紙!$C$11:$C$310,647),IF(647&lt;=COUNTA(半紙!$B$11:$B$310)+COUNTA(条幅!$B$11:$B$310),INDEX(条幅!$C$11:$C$310,647-COUNTA(半紙!$B$11:$B$310)),IF(647&lt;=COUNTA(半紙!$B$11:$B$310)+COUNTA(条幅!$B$11:$B$310)+COUNTA(条幅4分の1!$B$11:$B$310),INDEX(条幅4分の1!$C$11:$C$310,647-COUNTA(半紙!$B$11:$B$310)-COUNTA(条幅!$B$11:$B$310)),"")))=0,"",IF(647&lt;=COUNTA(半紙!$B$11:$B$310),INDEX(半紙!$C$11:$C$310,647),IF(647&lt;=COUNTA(半紙!$B$11:$B$310)+COUNTA(条幅!$B$11:$B$310),INDEX(条幅!$C$11:$C$310,647-COUNTA(半紙!$B$11:$B$310)),IF(647&lt;=COUNTA(半紙!$B$11:$B$310)+COUNTA(条幅!$B$11:$B$310)+COUNTA(条幅4分の1!$B$11:$B$310),INDEX(条幅4分の1!$C$11:$C$310,647-COUNTA(半紙!$B$11:$B$310)-COUNTA(条幅!$B$11:$B$310)),""))))</f>
        <v/>
      </c>
      <c r="D652" s="38" t="str">
        <f>IF(IF(647&lt;=COUNTA(半紙!$B$11:$B$310),INDEX(半紙!$D$11:$D$310,647),IF(647&lt;=COUNTA(半紙!$B$11:$B$310)+COUNTA(条幅!$B$11:$B$310),INDEX(条幅!$D$11:$D$310,647-COUNTA(半紙!$B$11:$B$310)),IF(647&lt;=COUNTA(半紙!$B$11:$B$310)+COUNTA(条幅!$B$11:$B$310)+COUNTA(条幅4分の1!$B$11:$B$310),INDEX(条幅4分の1!$D$11:$D$310,647-COUNTA(半紙!$B$11:$B$310)-COUNTA(条幅!$B$11:$B$310)),"")))=0,"",IF(647&lt;=COUNTA(半紙!$B$11:$B$310),INDEX(半紙!$D$11:$D$310,647),IF(647&lt;=COUNTA(半紙!$B$11:$B$310)+COUNTA(条幅!$B$11:$B$310),INDEX(条幅!$D$11:$D$310,647-COUNTA(半紙!$B$11:$B$310)),IF(647&lt;=COUNTA(半紙!$B$11:$B$310)+COUNTA(条幅!$B$11:$B$310)+COUNTA(条幅4分の1!$B$11:$B$310),INDEX(条幅4分の1!$D$11:$D$310,647-COUNTA(半紙!$B$11:$B$310)-COUNTA(条幅!$B$11:$B$310)),""))))</f>
        <v/>
      </c>
      <c r="E652" s="38" t="str">
        <f>IF(IF(647&lt;=COUNTA(半紙!$B$11:$B$310),INDEX(半紙!$E$11:$E$310,647),IF(647&lt;=COUNTA(半紙!$B$11:$B$310)+COUNTA(条幅!$B$11:$B$310),INDEX(条幅!$E$11:$E$310,647-COUNTA(半紙!$B$11:$B$310)),IF(647&lt;=COUNTA(半紙!$B$11:$B$310)+COUNTA(条幅!$B$11:$B$310)+COUNTA(条幅4分の1!$B$11:$B$310),INDEX(条幅4分の1!$E$11:$E$310,647-COUNTA(半紙!$B$11:$B$310)-COUNTA(条幅!$B$11:$B$310)),"")))=0,"",IF(647&lt;=COUNTA(半紙!$B$11:$B$310),INDEX(半紙!$E$11:$E$310,647),IF(647&lt;=COUNTA(半紙!$B$11:$B$310)+COUNTA(条幅!$B$11:$B$310),INDEX(条幅!$E$11:$E$310,647-COUNTA(半紙!$B$11:$B$310)),IF(647&lt;=COUNTA(半紙!$B$11:$B$310)+COUNTA(条幅!$B$11:$B$310)+COUNTA(条幅4分の1!$B$11:$B$310),INDEX(条幅4分の1!$E$11:$E$310,647-COUNTA(半紙!$B$11:$B$310)-COUNTA(条幅!$B$11:$B$310)),""))))</f>
        <v/>
      </c>
      <c r="F652" s="38" t="str">
        <f>IF(IF(647&lt;=COUNTA(半紙!$B$11:$B$310),INDEX(半紙!$F$11:$F$310,647),IF(647&lt;=COUNTA(半紙!$B$11:$B$310)+COUNTA(条幅!$B$11:$B$310),INDEX(条幅!$F$11:$F$310,647-COUNTA(半紙!$B$11:$B$310)),IF(647&lt;=COUNTA(半紙!$B$11:$B$310)+COUNTA(条幅!$B$11:$B$310)+COUNTA(条幅4分の1!$B$11:$B$310),INDEX(条幅4分の1!$F$11:$F$310,647-COUNTA(半紙!$B$11:$B$310)-COUNTA(条幅!$B$11:$B$310)),"")))=0,"",IF(647&lt;=COUNTA(半紙!$B$11:$B$310),INDEX(半紙!$F$11:$F$310,647),IF(647&lt;=COUNTA(半紙!$B$11:$B$310)+COUNTA(条幅!$B$11:$B$310),INDEX(条幅!$F$11:$F$310,647-COUNTA(半紙!$B$11:$B$310)),IF(647&lt;=COUNTA(半紙!$B$11:$B$310)+COUNTA(条幅!$B$11:$B$310)+COUNTA(条幅4分の1!$B$11:$B$310),INDEX(条幅4分の1!$F$11:$F$310,647-COUNTA(半紙!$B$11:$B$310)-COUNTA(条幅!$B$11:$B$310)),""))))</f>
        <v/>
      </c>
      <c r="G652" s="38" t="str">
        <f>IF(IF(647&lt;=COUNTA(半紙!$B$11:$B$310),INDEX(半紙!$G$11:$G$310,647),IF(647&lt;=COUNTA(半紙!$B$11:$B$310)+COUNTA(条幅!$B$11:$B$310),INDEX(条幅!$G$11:$G$310,647-COUNTA(半紙!$B$11:$B$310)),IF(647&lt;=COUNTA(半紙!$B$11:$B$310)+COUNTA(条幅!$B$11:$B$310)+COUNTA(条幅4分の1!$B$11:$B$310),INDEX(条幅4分の1!$G$11:$G$310,647-COUNTA(半紙!$B$11:$B$310)-COUNTA(条幅!$B$11:$B$310)),"")))=0,"",IF(647&lt;=COUNTA(半紙!$B$11:$B$310),INDEX(半紙!$G$11:$G$310,647),IF(647&lt;=COUNTA(半紙!$B$11:$B$310)+COUNTA(条幅!$B$11:$B$310),INDEX(条幅!$G$11:$G$310,647-COUNTA(半紙!$B$11:$B$310)),IF(647&lt;=COUNTA(半紙!$B$11:$B$310)+COUNTA(条幅!$B$11:$B$310)+COUNTA(条幅4分の1!$B$11:$B$310),INDEX(条幅4分の1!$G$11:$G$310,647-COUNTA(半紙!$B$11:$B$310)-COUNTA(条幅!$B$11:$B$310)),""))))</f>
        <v/>
      </c>
      <c r="H652" s="38" t="str">
        <f>IF(IF(647&lt;=COUNTA(半紙!$B$11:$B$310),INDEX(半紙!$H$11:$H$310,647),IF(647&lt;=COUNTA(半紙!$B$11:$B$310)+COUNTA(条幅!$B$11:$B$310),INDEX(条幅!$H$11:$H$310,647-COUNTA(半紙!$B$11:$B$310)),IF(647&lt;=COUNTA(半紙!$B$11:$B$310)+COUNTA(条幅!$B$11:$B$310)+COUNTA(条幅4分の1!$B$11:$B$310),INDEX(条幅4分の1!$H$11:$H$310,647-COUNTA(半紙!$B$11:$B$310)-COUNTA(条幅!$B$11:$B$310)),"")))=0,"",IF(647&lt;=COUNTA(半紙!$B$11:$B$310),INDEX(半紙!$H$11:$H$310,647),IF(647&lt;=COUNTA(半紙!$B$11:$B$310)+COUNTA(条幅!$B$11:$B$310),INDEX(条幅!$H$11:$H$310,647-COUNTA(半紙!$B$11:$B$310)),IF(647&lt;=COUNTA(半紙!$B$11:$B$310)+COUNTA(条幅!$B$11:$B$310)+COUNTA(条幅4分の1!$B$11:$B$310),INDEX(条幅4分の1!$H$11:$H$310,647-COUNTA(半紙!$B$11:$B$310)-COUNTA(条幅!$B$11:$B$310)),""))))</f>
        <v/>
      </c>
      <c r="I652" s="38" t="str">
        <f>IF(IF(647&lt;=COUNTA(半紙!$B$11:$B$310),INDEX(半紙!$I$11:$I$310,647),IF(647&lt;=COUNTA(半紙!$B$11:$B$310)+COUNTA(条幅!$B$11:$B$310),INDEX(条幅!$I$11:$I$310,647-COUNTA(半紙!$B$11:$B$310)),IF(647&lt;=COUNTA(半紙!$B$11:$B$310)+COUNTA(条幅!$B$11:$B$310)+COUNTA(条幅4分の1!$B$11:$B$310),INDEX(条幅4分の1!$I$11:$I$310,647-COUNTA(半紙!$B$11:$B$310)-COUNTA(条幅!$B$11:$B$310)),"")))=0,"",IF(647&lt;=COUNTA(半紙!$B$11:$B$310),INDEX(半紙!$I$11:$I$310,647),IF(647&lt;=COUNTA(半紙!$B$11:$B$310)+COUNTA(条幅!$B$11:$B$310),INDEX(条幅!$I$11:$I$310,647-COUNTA(半紙!$B$11:$B$310)),IF(647&lt;=COUNTA(半紙!$B$11:$B$310)+COUNTA(条幅!$B$11:$B$310)+COUNTA(条幅4分の1!$B$11:$B$310),INDEX(条幅4分の1!$I$11:$I$310,647-COUNTA(半紙!$B$11:$B$310)-COUNTA(条幅!$B$11:$B$310)),""))))</f>
        <v/>
      </c>
      <c r="J652" s="38" t="str">
        <f>IF(IF(647&lt;=COUNTA(半紙!$B$11:$B$310),INDEX(半紙!$J$11:$J$310,647),IF(647&lt;=COUNTA(半紙!$B$11:$B$310)+COUNTA(条幅!$B$11:$B$310),INDEX(条幅!$J$11:$J$310,647-COUNTA(半紙!$B$11:$B$310)),IF(647&lt;=COUNTA(半紙!$B$11:$B$310)+COUNTA(条幅!$B$11:$B$310)+COUNTA(条幅4分の1!$B$11:$B$310),INDEX(条幅4分の1!$J$11:$J$310,647-COUNTA(半紙!$B$11:$B$310)-COUNTA(条幅!$B$11:$B$310)),"")))=0,"",IF(647&lt;=COUNTA(半紙!$B$11:$B$310),INDEX(半紙!$J$11:$J$310,647),IF(647&lt;=COUNTA(半紙!$B$11:$B$310)+COUNTA(条幅!$B$11:$B$310),INDEX(条幅!$J$11:$J$310,647-COUNTA(半紙!$B$11:$B$310)),IF(647&lt;=COUNTA(半紙!$B$11:$B$310)+COUNTA(条幅!$B$11:$B$310)+COUNTA(条幅4分の1!$B$11:$B$310),INDEX(条幅4分の1!$J$11:$J$310,647-COUNTA(半紙!$B$11:$B$310)-COUNTA(条幅!$B$11:$B$310)),""))))</f>
        <v/>
      </c>
      <c r="K652" s="38" t="str">
        <f>IF(IF(647&lt;=COUNTA(半紙!$B$11:$B$310),INDEX(半紙!$K$11:$K$310,647),IF(647&lt;=COUNTA(半紙!$B$11:$B$310)+COUNTA(条幅!$B$11:$B$310),INDEX(条幅!$K$11:$K$310,647-COUNTA(半紙!$B$11:$B$310)),IF(647&lt;=COUNTA(半紙!$B$11:$B$310)+COUNTA(条幅!$B$11:$B$310)+COUNTA(条幅4分の1!$B$11:$B$310),INDEX(条幅4分の1!$K$11:$K$310,647-COUNTA(半紙!$B$11:$B$310)-COUNTA(条幅!$B$11:$B$310)),"")))=0,"",IF(647&lt;=COUNTA(半紙!$B$11:$B$310),INDEX(半紙!$K$11:$K$310,647),IF(647&lt;=COUNTA(半紙!$B$11:$B$310)+COUNTA(条幅!$B$11:$B$310),INDEX(条幅!$K$11:$K$310,647-COUNTA(半紙!$B$11:$B$310)),IF(647&lt;=COUNTA(半紙!$B$11:$B$310)+COUNTA(条幅!$B$11:$B$310)+COUNTA(条幅4分の1!$B$11:$B$310),INDEX(条幅4分の1!$K$11:$K$310,647-COUNTA(半紙!$B$11:$B$310)-COUNTA(条幅!$B$11:$B$310)),""))))</f>
        <v/>
      </c>
      <c r="L652" s="48" t="str">
        <f>IF($B652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647))</f>
        <v/>
      </c>
    </row>
    <row r="653" spans="1:12" ht="15" customHeight="1">
      <c r="A653" s="37" t="str">
        <f>IF(648&lt;=COUNTA(半紙!$B$11:$B$310),"半紙",IF(648&lt;=COUNTA(半紙!$B$11:$B$310)+COUNTA(条幅!$B$11:$B$310),"条幅(半切)",IF(648&lt;=COUNTA(半紙!$B$11:$B$310)+COUNTA(条幅!$B$11:$B$310)+COUNTA(条幅4分の1!$B$11:$B$310),"条幅(1/4)","")))</f>
        <v/>
      </c>
      <c r="B653" s="38" t="str">
        <f>IF(IF(648&lt;=COUNTA(半紙!$B$11:$B$310),INDEX(半紙!$B$11:$B$310,648),IF(648&lt;=COUNTA(半紙!$B$11:$B$310)+COUNTA(条幅!$B$11:$B$310),INDEX(条幅!$B$11:$B$310,648-COUNTA(半紙!$B$11:$B$310)),IF(648&lt;=COUNTA(半紙!$B$11:$B$310)+COUNTA(条幅!$B$11:$B$310)+COUNTA(条幅4分の1!$B$11:$B$310),INDEX(条幅4分の1!$B$11:$B$310,648-COUNTA(半紙!$B$11:$B$310)-COUNTA(条幅!$B$11:$B$310)),"")))=0,"",IF(648&lt;=COUNTA(半紙!$B$11:$B$310),INDEX(半紙!$B$11:$B$310,648),IF(648&lt;=COUNTA(半紙!$B$11:$B$310)+COUNTA(条幅!$B$11:$B$310),INDEX(条幅!$B$11:$B$310,648-COUNTA(半紙!$B$11:$B$310)),IF(648&lt;=COUNTA(半紙!$B$11:$B$310)+COUNTA(条幅!$B$11:$B$310)+COUNTA(条幅4分の1!$B$11:$B$310),INDEX(条幅4分の1!$B$11:$B$310,648-COUNTA(半紙!$B$11:$B$310)-COUNTA(条幅!$B$11:$B$310)),""))))</f>
        <v/>
      </c>
      <c r="C653" s="38" t="str">
        <f>IF(IF(648&lt;=COUNTA(半紙!$B$11:$B$310),INDEX(半紙!$C$11:$C$310,648),IF(648&lt;=COUNTA(半紙!$B$11:$B$310)+COUNTA(条幅!$B$11:$B$310),INDEX(条幅!$C$11:$C$310,648-COUNTA(半紙!$B$11:$B$310)),IF(648&lt;=COUNTA(半紙!$B$11:$B$310)+COUNTA(条幅!$B$11:$B$310)+COUNTA(条幅4分の1!$B$11:$B$310),INDEX(条幅4分の1!$C$11:$C$310,648-COUNTA(半紙!$B$11:$B$310)-COUNTA(条幅!$B$11:$B$310)),"")))=0,"",IF(648&lt;=COUNTA(半紙!$B$11:$B$310),INDEX(半紙!$C$11:$C$310,648),IF(648&lt;=COUNTA(半紙!$B$11:$B$310)+COUNTA(条幅!$B$11:$B$310),INDEX(条幅!$C$11:$C$310,648-COUNTA(半紙!$B$11:$B$310)),IF(648&lt;=COUNTA(半紙!$B$11:$B$310)+COUNTA(条幅!$B$11:$B$310)+COUNTA(条幅4分の1!$B$11:$B$310),INDEX(条幅4分の1!$C$11:$C$310,648-COUNTA(半紙!$B$11:$B$310)-COUNTA(条幅!$B$11:$B$310)),""))))</f>
        <v/>
      </c>
      <c r="D653" s="38" t="str">
        <f>IF(IF(648&lt;=COUNTA(半紙!$B$11:$B$310),INDEX(半紙!$D$11:$D$310,648),IF(648&lt;=COUNTA(半紙!$B$11:$B$310)+COUNTA(条幅!$B$11:$B$310),INDEX(条幅!$D$11:$D$310,648-COUNTA(半紙!$B$11:$B$310)),IF(648&lt;=COUNTA(半紙!$B$11:$B$310)+COUNTA(条幅!$B$11:$B$310)+COUNTA(条幅4分の1!$B$11:$B$310),INDEX(条幅4分の1!$D$11:$D$310,648-COUNTA(半紙!$B$11:$B$310)-COUNTA(条幅!$B$11:$B$310)),"")))=0,"",IF(648&lt;=COUNTA(半紙!$B$11:$B$310),INDEX(半紙!$D$11:$D$310,648),IF(648&lt;=COUNTA(半紙!$B$11:$B$310)+COUNTA(条幅!$B$11:$B$310),INDEX(条幅!$D$11:$D$310,648-COUNTA(半紙!$B$11:$B$310)),IF(648&lt;=COUNTA(半紙!$B$11:$B$310)+COUNTA(条幅!$B$11:$B$310)+COUNTA(条幅4分の1!$B$11:$B$310),INDEX(条幅4分の1!$D$11:$D$310,648-COUNTA(半紙!$B$11:$B$310)-COUNTA(条幅!$B$11:$B$310)),""))))</f>
        <v/>
      </c>
      <c r="E653" s="38" t="str">
        <f>IF(IF(648&lt;=COUNTA(半紙!$B$11:$B$310),INDEX(半紙!$E$11:$E$310,648),IF(648&lt;=COUNTA(半紙!$B$11:$B$310)+COUNTA(条幅!$B$11:$B$310),INDEX(条幅!$E$11:$E$310,648-COUNTA(半紙!$B$11:$B$310)),IF(648&lt;=COUNTA(半紙!$B$11:$B$310)+COUNTA(条幅!$B$11:$B$310)+COUNTA(条幅4分の1!$B$11:$B$310),INDEX(条幅4分の1!$E$11:$E$310,648-COUNTA(半紙!$B$11:$B$310)-COUNTA(条幅!$B$11:$B$310)),"")))=0,"",IF(648&lt;=COUNTA(半紙!$B$11:$B$310),INDEX(半紙!$E$11:$E$310,648),IF(648&lt;=COUNTA(半紙!$B$11:$B$310)+COUNTA(条幅!$B$11:$B$310),INDEX(条幅!$E$11:$E$310,648-COUNTA(半紙!$B$11:$B$310)),IF(648&lt;=COUNTA(半紙!$B$11:$B$310)+COUNTA(条幅!$B$11:$B$310)+COUNTA(条幅4分の1!$B$11:$B$310),INDEX(条幅4分の1!$E$11:$E$310,648-COUNTA(半紙!$B$11:$B$310)-COUNTA(条幅!$B$11:$B$310)),""))))</f>
        <v/>
      </c>
      <c r="F653" s="38" t="str">
        <f>IF(IF(648&lt;=COUNTA(半紙!$B$11:$B$310),INDEX(半紙!$F$11:$F$310,648),IF(648&lt;=COUNTA(半紙!$B$11:$B$310)+COUNTA(条幅!$B$11:$B$310),INDEX(条幅!$F$11:$F$310,648-COUNTA(半紙!$B$11:$B$310)),IF(648&lt;=COUNTA(半紙!$B$11:$B$310)+COUNTA(条幅!$B$11:$B$310)+COUNTA(条幅4分の1!$B$11:$B$310),INDEX(条幅4分の1!$F$11:$F$310,648-COUNTA(半紙!$B$11:$B$310)-COUNTA(条幅!$B$11:$B$310)),"")))=0,"",IF(648&lt;=COUNTA(半紙!$B$11:$B$310),INDEX(半紙!$F$11:$F$310,648),IF(648&lt;=COUNTA(半紙!$B$11:$B$310)+COUNTA(条幅!$B$11:$B$310),INDEX(条幅!$F$11:$F$310,648-COUNTA(半紙!$B$11:$B$310)),IF(648&lt;=COUNTA(半紙!$B$11:$B$310)+COUNTA(条幅!$B$11:$B$310)+COUNTA(条幅4分の1!$B$11:$B$310),INDEX(条幅4分の1!$F$11:$F$310,648-COUNTA(半紙!$B$11:$B$310)-COUNTA(条幅!$B$11:$B$310)),""))))</f>
        <v/>
      </c>
      <c r="G653" s="38" t="str">
        <f>IF(IF(648&lt;=COUNTA(半紙!$B$11:$B$310),INDEX(半紙!$G$11:$G$310,648),IF(648&lt;=COUNTA(半紙!$B$11:$B$310)+COUNTA(条幅!$B$11:$B$310),INDEX(条幅!$G$11:$G$310,648-COUNTA(半紙!$B$11:$B$310)),IF(648&lt;=COUNTA(半紙!$B$11:$B$310)+COUNTA(条幅!$B$11:$B$310)+COUNTA(条幅4分の1!$B$11:$B$310),INDEX(条幅4分の1!$G$11:$G$310,648-COUNTA(半紙!$B$11:$B$310)-COUNTA(条幅!$B$11:$B$310)),"")))=0,"",IF(648&lt;=COUNTA(半紙!$B$11:$B$310),INDEX(半紙!$G$11:$G$310,648),IF(648&lt;=COUNTA(半紙!$B$11:$B$310)+COUNTA(条幅!$B$11:$B$310),INDEX(条幅!$G$11:$G$310,648-COUNTA(半紙!$B$11:$B$310)),IF(648&lt;=COUNTA(半紙!$B$11:$B$310)+COUNTA(条幅!$B$11:$B$310)+COUNTA(条幅4分の1!$B$11:$B$310),INDEX(条幅4分の1!$G$11:$G$310,648-COUNTA(半紙!$B$11:$B$310)-COUNTA(条幅!$B$11:$B$310)),""))))</f>
        <v/>
      </c>
      <c r="H653" s="38" t="str">
        <f>IF(IF(648&lt;=COUNTA(半紙!$B$11:$B$310),INDEX(半紙!$H$11:$H$310,648),IF(648&lt;=COUNTA(半紙!$B$11:$B$310)+COUNTA(条幅!$B$11:$B$310),INDEX(条幅!$H$11:$H$310,648-COUNTA(半紙!$B$11:$B$310)),IF(648&lt;=COUNTA(半紙!$B$11:$B$310)+COUNTA(条幅!$B$11:$B$310)+COUNTA(条幅4分の1!$B$11:$B$310),INDEX(条幅4分の1!$H$11:$H$310,648-COUNTA(半紙!$B$11:$B$310)-COUNTA(条幅!$B$11:$B$310)),"")))=0,"",IF(648&lt;=COUNTA(半紙!$B$11:$B$310),INDEX(半紙!$H$11:$H$310,648),IF(648&lt;=COUNTA(半紙!$B$11:$B$310)+COUNTA(条幅!$B$11:$B$310),INDEX(条幅!$H$11:$H$310,648-COUNTA(半紙!$B$11:$B$310)),IF(648&lt;=COUNTA(半紙!$B$11:$B$310)+COUNTA(条幅!$B$11:$B$310)+COUNTA(条幅4分の1!$B$11:$B$310),INDEX(条幅4分の1!$H$11:$H$310,648-COUNTA(半紙!$B$11:$B$310)-COUNTA(条幅!$B$11:$B$310)),""))))</f>
        <v/>
      </c>
      <c r="I653" s="38" t="str">
        <f>IF(IF(648&lt;=COUNTA(半紙!$B$11:$B$310),INDEX(半紙!$I$11:$I$310,648),IF(648&lt;=COUNTA(半紙!$B$11:$B$310)+COUNTA(条幅!$B$11:$B$310),INDEX(条幅!$I$11:$I$310,648-COUNTA(半紙!$B$11:$B$310)),IF(648&lt;=COUNTA(半紙!$B$11:$B$310)+COUNTA(条幅!$B$11:$B$310)+COUNTA(条幅4分の1!$B$11:$B$310),INDEX(条幅4分の1!$I$11:$I$310,648-COUNTA(半紙!$B$11:$B$310)-COUNTA(条幅!$B$11:$B$310)),"")))=0,"",IF(648&lt;=COUNTA(半紙!$B$11:$B$310),INDEX(半紙!$I$11:$I$310,648),IF(648&lt;=COUNTA(半紙!$B$11:$B$310)+COUNTA(条幅!$B$11:$B$310),INDEX(条幅!$I$11:$I$310,648-COUNTA(半紙!$B$11:$B$310)),IF(648&lt;=COUNTA(半紙!$B$11:$B$310)+COUNTA(条幅!$B$11:$B$310)+COUNTA(条幅4分の1!$B$11:$B$310),INDEX(条幅4分の1!$I$11:$I$310,648-COUNTA(半紙!$B$11:$B$310)-COUNTA(条幅!$B$11:$B$310)),""))))</f>
        <v/>
      </c>
      <c r="J653" s="38" t="str">
        <f>IF(IF(648&lt;=COUNTA(半紙!$B$11:$B$310),INDEX(半紙!$J$11:$J$310,648),IF(648&lt;=COUNTA(半紙!$B$11:$B$310)+COUNTA(条幅!$B$11:$B$310),INDEX(条幅!$J$11:$J$310,648-COUNTA(半紙!$B$11:$B$310)),IF(648&lt;=COUNTA(半紙!$B$11:$B$310)+COUNTA(条幅!$B$11:$B$310)+COUNTA(条幅4分の1!$B$11:$B$310),INDEX(条幅4分の1!$J$11:$J$310,648-COUNTA(半紙!$B$11:$B$310)-COUNTA(条幅!$B$11:$B$310)),"")))=0,"",IF(648&lt;=COUNTA(半紙!$B$11:$B$310),INDEX(半紙!$J$11:$J$310,648),IF(648&lt;=COUNTA(半紙!$B$11:$B$310)+COUNTA(条幅!$B$11:$B$310),INDEX(条幅!$J$11:$J$310,648-COUNTA(半紙!$B$11:$B$310)),IF(648&lt;=COUNTA(半紙!$B$11:$B$310)+COUNTA(条幅!$B$11:$B$310)+COUNTA(条幅4分の1!$B$11:$B$310),INDEX(条幅4分の1!$J$11:$J$310,648-COUNTA(半紙!$B$11:$B$310)-COUNTA(条幅!$B$11:$B$310)),""))))</f>
        <v/>
      </c>
      <c r="K653" s="38" t="str">
        <f>IF(IF(648&lt;=COUNTA(半紙!$B$11:$B$310),INDEX(半紙!$K$11:$K$310,648),IF(648&lt;=COUNTA(半紙!$B$11:$B$310)+COUNTA(条幅!$B$11:$B$310),INDEX(条幅!$K$11:$K$310,648-COUNTA(半紙!$B$11:$B$310)),IF(648&lt;=COUNTA(半紙!$B$11:$B$310)+COUNTA(条幅!$B$11:$B$310)+COUNTA(条幅4分の1!$B$11:$B$310),INDEX(条幅4分の1!$K$11:$K$310,648-COUNTA(半紙!$B$11:$B$310)-COUNTA(条幅!$B$11:$B$310)),"")))=0,"",IF(648&lt;=COUNTA(半紙!$B$11:$B$310),INDEX(半紙!$K$11:$K$310,648),IF(648&lt;=COUNTA(半紙!$B$11:$B$310)+COUNTA(条幅!$B$11:$B$310),INDEX(条幅!$K$11:$K$310,648-COUNTA(半紙!$B$11:$B$310)),IF(648&lt;=COUNTA(半紙!$B$11:$B$310)+COUNTA(条幅!$B$11:$B$310)+COUNTA(条幅4分の1!$B$11:$B$310),INDEX(条幅4分の1!$K$11:$K$310,648-COUNTA(半紙!$B$11:$B$310)-COUNTA(条幅!$B$11:$B$310)),""))))</f>
        <v/>
      </c>
      <c r="L653" s="48" t="str">
        <f>IF($B653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648))</f>
        <v/>
      </c>
    </row>
    <row r="654" spans="1:12" ht="15" customHeight="1">
      <c r="A654" s="37" t="str">
        <f>IF(649&lt;=COUNTA(半紙!$B$11:$B$310),"半紙",IF(649&lt;=COUNTA(半紙!$B$11:$B$310)+COUNTA(条幅!$B$11:$B$310),"条幅(半切)",IF(649&lt;=COUNTA(半紙!$B$11:$B$310)+COUNTA(条幅!$B$11:$B$310)+COUNTA(条幅4分の1!$B$11:$B$310),"条幅(1/4)","")))</f>
        <v/>
      </c>
      <c r="B654" s="38" t="str">
        <f>IF(IF(649&lt;=COUNTA(半紙!$B$11:$B$310),INDEX(半紙!$B$11:$B$310,649),IF(649&lt;=COUNTA(半紙!$B$11:$B$310)+COUNTA(条幅!$B$11:$B$310),INDEX(条幅!$B$11:$B$310,649-COUNTA(半紙!$B$11:$B$310)),IF(649&lt;=COUNTA(半紙!$B$11:$B$310)+COUNTA(条幅!$B$11:$B$310)+COUNTA(条幅4分の1!$B$11:$B$310),INDEX(条幅4分の1!$B$11:$B$310,649-COUNTA(半紙!$B$11:$B$310)-COUNTA(条幅!$B$11:$B$310)),"")))=0,"",IF(649&lt;=COUNTA(半紙!$B$11:$B$310),INDEX(半紙!$B$11:$B$310,649),IF(649&lt;=COUNTA(半紙!$B$11:$B$310)+COUNTA(条幅!$B$11:$B$310),INDEX(条幅!$B$11:$B$310,649-COUNTA(半紙!$B$11:$B$310)),IF(649&lt;=COUNTA(半紙!$B$11:$B$310)+COUNTA(条幅!$B$11:$B$310)+COUNTA(条幅4分の1!$B$11:$B$310),INDEX(条幅4分の1!$B$11:$B$310,649-COUNTA(半紙!$B$11:$B$310)-COUNTA(条幅!$B$11:$B$310)),""))))</f>
        <v/>
      </c>
      <c r="C654" s="38" t="str">
        <f>IF(IF(649&lt;=COUNTA(半紙!$B$11:$B$310),INDEX(半紙!$C$11:$C$310,649),IF(649&lt;=COUNTA(半紙!$B$11:$B$310)+COUNTA(条幅!$B$11:$B$310),INDEX(条幅!$C$11:$C$310,649-COUNTA(半紙!$B$11:$B$310)),IF(649&lt;=COUNTA(半紙!$B$11:$B$310)+COUNTA(条幅!$B$11:$B$310)+COUNTA(条幅4分の1!$B$11:$B$310),INDEX(条幅4分の1!$C$11:$C$310,649-COUNTA(半紙!$B$11:$B$310)-COUNTA(条幅!$B$11:$B$310)),"")))=0,"",IF(649&lt;=COUNTA(半紙!$B$11:$B$310),INDEX(半紙!$C$11:$C$310,649),IF(649&lt;=COUNTA(半紙!$B$11:$B$310)+COUNTA(条幅!$B$11:$B$310),INDEX(条幅!$C$11:$C$310,649-COUNTA(半紙!$B$11:$B$310)),IF(649&lt;=COUNTA(半紙!$B$11:$B$310)+COUNTA(条幅!$B$11:$B$310)+COUNTA(条幅4分の1!$B$11:$B$310),INDEX(条幅4分の1!$C$11:$C$310,649-COUNTA(半紙!$B$11:$B$310)-COUNTA(条幅!$B$11:$B$310)),""))))</f>
        <v/>
      </c>
      <c r="D654" s="38" t="str">
        <f>IF(IF(649&lt;=COUNTA(半紙!$B$11:$B$310),INDEX(半紙!$D$11:$D$310,649),IF(649&lt;=COUNTA(半紙!$B$11:$B$310)+COUNTA(条幅!$B$11:$B$310),INDEX(条幅!$D$11:$D$310,649-COUNTA(半紙!$B$11:$B$310)),IF(649&lt;=COUNTA(半紙!$B$11:$B$310)+COUNTA(条幅!$B$11:$B$310)+COUNTA(条幅4分の1!$B$11:$B$310),INDEX(条幅4分の1!$D$11:$D$310,649-COUNTA(半紙!$B$11:$B$310)-COUNTA(条幅!$B$11:$B$310)),"")))=0,"",IF(649&lt;=COUNTA(半紙!$B$11:$B$310),INDEX(半紙!$D$11:$D$310,649),IF(649&lt;=COUNTA(半紙!$B$11:$B$310)+COUNTA(条幅!$B$11:$B$310),INDEX(条幅!$D$11:$D$310,649-COUNTA(半紙!$B$11:$B$310)),IF(649&lt;=COUNTA(半紙!$B$11:$B$310)+COUNTA(条幅!$B$11:$B$310)+COUNTA(条幅4分の1!$B$11:$B$310),INDEX(条幅4分の1!$D$11:$D$310,649-COUNTA(半紙!$B$11:$B$310)-COUNTA(条幅!$B$11:$B$310)),""))))</f>
        <v/>
      </c>
      <c r="E654" s="38" t="str">
        <f>IF(IF(649&lt;=COUNTA(半紙!$B$11:$B$310),INDEX(半紙!$E$11:$E$310,649),IF(649&lt;=COUNTA(半紙!$B$11:$B$310)+COUNTA(条幅!$B$11:$B$310),INDEX(条幅!$E$11:$E$310,649-COUNTA(半紙!$B$11:$B$310)),IF(649&lt;=COUNTA(半紙!$B$11:$B$310)+COUNTA(条幅!$B$11:$B$310)+COUNTA(条幅4分の1!$B$11:$B$310),INDEX(条幅4分の1!$E$11:$E$310,649-COUNTA(半紙!$B$11:$B$310)-COUNTA(条幅!$B$11:$B$310)),"")))=0,"",IF(649&lt;=COUNTA(半紙!$B$11:$B$310),INDEX(半紙!$E$11:$E$310,649),IF(649&lt;=COUNTA(半紙!$B$11:$B$310)+COUNTA(条幅!$B$11:$B$310),INDEX(条幅!$E$11:$E$310,649-COUNTA(半紙!$B$11:$B$310)),IF(649&lt;=COUNTA(半紙!$B$11:$B$310)+COUNTA(条幅!$B$11:$B$310)+COUNTA(条幅4分の1!$B$11:$B$310),INDEX(条幅4分の1!$E$11:$E$310,649-COUNTA(半紙!$B$11:$B$310)-COUNTA(条幅!$B$11:$B$310)),""))))</f>
        <v/>
      </c>
      <c r="F654" s="38" t="str">
        <f>IF(IF(649&lt;=COUNTA(半紙!$B$11:$B$310),INDEX(半紙!$F$11:$F$310,649),IF(649&lt;=COUNTA(半紙!$B$11:$B$310)+COUNTA(条幅!$B$11:$B$310),INDEX(条幅!$F$11:$F$310,649-COUNTA(半紙!$B$11:$B$310)),IF(649&lt;=COUNTA(半紙!$B$11:$B$310)+COUNTA(条幅!$B$11:$B$310)+COUNTA(条幅4分の1!$B$11:$B$310),INDEX(条幅4分の1!$F$11:$F$310,649-COUNTA(半紙!$B$11:$B$310)-COUNTA(条幅!$B$11:$B$310)),"")))=0,"",IF(649&lt;=COUNTA(半紙!$B$11:$B$310),INDEX(半紙!$F$11:$F$310,649),IF(649&lt;=COUNTA(半紙!$B$11:$B$310)+COUNTA(条幅!$B$11:$B$310),INDEX(条幅!$F$11:$F$310,649-COUNTA(半紙!$B$11:$B$310)),IF(649&lt;=COUNTA(半紙!$B$11:$B$310)+COUNTA(条幅!$B$11:$B$310)+COUNTA(条幅4分の1!$B$11:$B$310),INDEX(条幅4分の1!$F$11:$F$310,649-COUNTA(半紙!$B$11:$B$310)-COUNTA(条幅!$B$11:$B$310)),""))))</f>
        <v/>
      </c>
      <c r="G654" s="38" t="str">
        <f>IF(IF(649&lt;=COUNTA(半紙!$B$11:$B$310),INDEX(半紙!$G$11:$G$310,649),IF(649&lt;=COUNTA(半紙!$B$11:$B$310)+COUNTA(条幅!$B$11:$B$310),INDEX(条幅!$G$11:$G$310,649-COUNTA(半紙!$B$11:$B$310)),IF(649&lt;=COUNTA(半紙!$B$11:$B$310)+COUNTA(条幅!$B$11:$B$310)+COUNTA(条幅4分の1!$B$11:$B$310),INDEX(条幅4分の1!$G$11:$G$310,649-COUNTA(半紙!$B$11:$B$310)-COUNTA(条幅!$B$11:$B$310)),"")))=0,"",IF(649&lt;=COUNTA(半紙!$B$11:$B$310),INDEX(半紙!$G$11:$G$310,649),IF(649&lt;=COUNTA(半紙!$B$11:$B$310)+COUNTA(条幅!$B$11:$B$310),INDEX(条幅!$G$11:$G$310,649-COUNTA(半紙!$B$11:$B$310)),IF(649&lt;=COUNTA(半紙!$B$11:$B$310)+COUNTA(条幅!$B$11:$B$310)+COUNTA(条幅4分の1!$B$11:$B$310),INDEX(条幅4分の1!$G$11:$G$310,649-COUNTA(半紙!$B$11:$B$310)-COUNTA(条幅!$B$11:$B$310)),""))))</f>
        <v/>
      </c>
      <c r="H654" s="38" t="str">
        <f>IF(IF(649&lt;=COUNTA(半紙!$B$11:$B$310),INDEX(半紙!$H$11:$H$310,649),IF(649&lt;=COUNTA(半紙!$B$11:$B$310)+COUNTA(条幅!$B$11:$B$310),INDEX(条幅!$H$11:$H$310,649-COUNTA(半紙!$B$11:$B$310)),IF(649&lt;=COUNTA(半紙!$B$11:$B$310)+COUNTA(条幅!$B$11:$B$310)+COUNTA(条幅4分の1!$B$11:$B$310),INDEX(条幅4分の1!$H$11:$H$310,649-COUNTA(半紙!$B$11:$B$310)-COUNTA(条幅!$B$11:$B$310)),"")))=0,"",IF(649&lt;=COUNTA(半紙!$B$11:$B$310),INDEX(半紙!$H$11:$H$310,649),IF(649&lt;=COUNTA(半紙!$B$11:$B$310)+COUNTA(条幅!$B$11:$B$310),INDEX(条幅!$H$11:$H$310,649-COUNTA(半紙!$B$11:$B$310)),IF(649&lt;=COUNTA(半紙!$B$11:$B$310)+COUNTA(条幅!$B$11:$B$310)+COUNTA(条幅4分の1!$B$11:$B$310),INDEX(条幅4分の1!$H$11:$H$310,649-COUNTA(半紙!$B$11:$B$310)-COUNTA(条幅!$B$11:$B$310)),""))))</f>
        <v/>
      </c>
      <c r="I654" s="38" t="str">
        <f>IF(IF(649&lt;=COUNTA(半紙!$B$11:$B$310),INDEX(半紙!$I$11:$I$310,649),IF(649&lt;=COUNTA(半紙!$B$11:$B$310)+COUNTA(条幅!$B$11:$B$310),INDEX(条幅!$I$11:$I$310,649-COUNTA(半紙!$B$11:$B$310)),IF(649&lt;=COUNTA(半紙!$B$11:$B$310)+COUNTA(条幅!$B$11:$B$310)+COUNTA(条幅4分の1!$B$11:$B$310),INDEX(条幅4分の1!$I$11:$I$310,649-COUNTA(半紙!$B$11:$B$310)-COUNTA(条幅!$B$11:$B$310)),"")))=0,"",IF(649&lt;=COUNTA(半紙!$B$11:$B$310),INDEX(半紙!$I$11:$I$310,649),IF(649&lt;=COUNTA(半紙!$B$11:$B$310)+COUNTA(条幅!$B$11:$B$310),INDEX(条幅!$I$11:$I$310,649-COUNTA(半紙!$B$11:$B$310)),IF(649&lt;=COUNTA(半紙!$B$11:$B$310)+COUNTA(条幅!$B$11:$B$310)+COUNTA(条幅4分の1!$B$11:$B$310),INDEX(条幅4分の1!$I$11:$I$310,649-COUNTA(半紙!$B$11:$B$310)-COUNTA(条幅!$B$11:$B$310)),""))))</f>
        <v/>
      </c>
      <c r="J654" s="38" t="str">
        <f>IF(IF(649&lt;=COUNTA(半紙!$B$11:$B$310),INDEX(半紙!$J$11:$J$310,649),IF(649&lt;=COUNTA(半紙!$B$11:$B$310)+COUNTA(条幅!$B$11:$B$310),INDEX(条幅!$J$11:$J$310,649-COUNTA(半紙!$B$11:$B$310)),IF(649&lt;=COUNTA(半紙!$B$11:$B$310)+COUNTA(条幅!$B$11:$B$310)+COUNTA(条幅4分の1!$B$11:$B$310),INDEX(条幅4分の1!$J$11:$J$310,649-COUNTA(半紙!$B$11:$B$310)-COUNTA(条幅!$B$11:$B$310)),"")))=0,"",IF(649&lt;=COUNTA(半紙!$B$11:$B$310),INDEX(半紙!$J$11:$J$310,649),IF(649&lt;=COUNTA(半紙!$B$11:$B$310)+COUNTA(条幅!$B$11:$B$310),INDEX(条幅!$J$11:$J$310,649-COUNTA(半紙!$B$11:$B$310)),IF(649&lt;=COUNTA(半紙!$B$11:$B$310)+COUNTA(条幅!$B$11:$B$310)+COUNTA(条幅4分の1!$B$11:$B$310),INDEX(条幅4分の1!$J$11:$J$310,649-COUNTA(半紙!$B$11:$B$310)-COUNTA(条幅!$B$11:$B$310)),""))))</f>
        <v/>
      </c>
      <c r="K654" s="38" t="str">
        <f>IF(IF(649&lt;=COUNTA(半紙!$B$11:$B$310),INDEX(半紙!$K$11:$K$310,649),IF(649&lt;=COUNTA(半紙!$B$11:$B$310)+COUNTA(条幅!$B$11:$B$310),INDEX(条幅!$K$11:$K$310,649-COUNTA(半紙!$B$11:$B$310)),IF(649&lt;=COUNTA(半紙!$B$11:$B$310)+COUNTA(条幅!$B$11:$B$310)+COUNTA(条幅4分の1!$B$11:$B$310),INDEX(条幅4分の1!$K$11:$K$310,649-COUNTA(半紙!$B$11:$B$310)-COUNTA(条幅!$B$11:$B$310)),"")))=0,"",IF(649&lt;=COUNTA(半紙!$B$11:$B$310),INDEX(半紙!$K$11:$K$310,649),IF(649&lt;=COUNTA(半紙!$B$11:$B$310)+COUNTA(条幅!$B$11:$B$310),INDEX(条幅!$K$11:$K$310,649-COUNTA(半紙!$B$11:$B$310)),IF(649&lt;=COUNTA(半紙!$B$11:$B$310)+COUNTA(条幅!$B$11:$B$310)+COUNTA(条幅4分の1!$B$11:$B$310),INDEX(条幅4分の1!$K$11:$K$310,649-COUNTA(半紙!$B$11:$B$310)-COUNTA(条幅!$B$11:$B$310)),""))))</f>
        <v/>
      </c>
      <c r="L654" s="48" t="str">
        <f>IF($B654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649))</f>
        <v/>
      </c>
    </row>
    <row r="655" spans="1:12" ht="15" customHeight="1">
      <c r="A655" s="37" t="str">
        <f>IF(650&lt;=COUNTA(半紙!$B$11:$B$310),"半紙",IF(650&lt;=COUNTA(半紙!$B$11:$B$310)+COUNTA(条幅!$B$11:$B$310),"条幅(半切)",IF(650&lt;=COUNTA(半紙!$B$11:$B$310)+COUNTA(条幅!$B$11:$B$310)+COUNTA(条幅4分の1!$B$11:$B$310),"条幅(1/4)","")))</f>
        <v/>
      </c>
      <c r="B655" s="38" t="str">
        <f>IF(IF(650&lt;=COUNTA(半紙!$B$11:$B$310),INDEX(半紙!$B$11:$B$310,650),IF(650&lt;=COUNTA(半紙!$B$11:$B$310)+COUNTA(条幅!$B$11:$B$310),INDEX(条幅!$B$11:$B$310,650-COUNTA(半紙!$B$11:$B$310)),IF(650&lt;=COUNTA(半紙!$B$11:$B$310)+COUNTA(条幅!$B$11:$B$310)+COUNTA(条幅4分の1!$B$11:$B$310),INDEX(条幅4分の1!$B$11:$B$310,650-COUNTA(半紙!$B$11:$B$310)-COUNTA(条幅!$B$11:$B$310)),"")))=0,"",IF(650&lt;=COUNTA(半紙!$B$11:$B$310),INDEX(半紙!$B$11:$B$310,650),IF(650&lt;=COUNTA(半紙!$B$11:$B$310)+COUNTA(条幅!$B$11:$B$310),INDEX(条幅!$B$11:$B$310,650-COUNTA(半紙!$B$11:$B$310)),IF(650&lt;=COUNTA(半紙!$B$11:$B$310)+COUNTA(条幅!$B$11:$B$310)+COUNTA(条幅4分の1!$B$11:$B$310),INDEX(条幅4分の1!$B$11:$B$310,650-COUNTA(半紙!$B$11:$B$310)-COUNTA(条幅!$B$11:$B$310)),""))))</f>
        <v/>
      </c>
      <c r="C655" s="38" t="str">
        <f>IF(IF(650&lt;=COUNTA(半紙!$B$11:$B$310),INDEX(半紙!$C$11:$C$310,650),IF(650&lt;=COUNTA(半紙!$B$11:$B$310)+COUNTA(条幅!$B$11:$B$310),INDEX(条幅!$C$11:$C$310,650-COUNTA(半紙!$B$11:$B$310)),IF(650&lt;=COUNTA(半紙!$B$11:$B$310)+COUNTA(条幅!$B$11:$B$310)+COUNTA(条幅4分の1!$B$11:$B$310),INDEX(条幅4分の1!$C$11:$C$310,650-COUNTA(半紙!$B$11:$B$310)-COUNTA(条幅!$B$11:$B$310)),"")))=0,"",IF(650&lt;=COUNTA(半紙!$B$11:$B$310),INDEX(半紙!$C$11:$C$310,650),IF(650&lt;=COUNTA(半紙!$B$11:$B$310)+COUNTA(条幅!$B$11:$B$310),INDEX(条幅!$C$11:$C$310,650-COUNTA(半紙!$B$11:$B$310)),IF(650&lt;=COUNTA(半紙!$B$11:$B$310)+COUNTA(条幅!$B$11:$B$310)+COUNTA(条幅4分の1!$B$11:$B$310),INDEX(条幅4分の1!$C$11:$C$310,650-COUNTA(半紙!$B$11:$B$310)-COUNTA(条幅!$B$11:$B$310)),""))))</f>
        <v/>
      </c>
      <c r="D655" s="38" t="str">
        <f>IF(IF(650&lt;=COUNTA(半紙!$B$11:$B$310),INDEX(半紙!$D$11:$D$310,650),IF(650&lt;=COUNTA(半紙!$B$11:$B$310)+COUNTA(条幅!$B$11:$B$310),INDEX(条幅!$D$11:$D$310,650-COUNTA(半紙!$B$11:$B$310)),IF(650&lt;=COUNTA(半紙!$B$11:$B$310)+COUNTA(条幅!$B$11:$B$310)+COUNTA(条幅4分の1!$B$11:$B$310),INDEX(条幅4分の1!$D$11:$D$310,650-COUNTA(半紙!$B$11:$B$310)-COUNTA(条幅!$B$11:$B$310)),"")))=0,"",IF(650&lt;=COUNTA(半紙!$B$11:$B$310),INDEX(半紙!$D$11:$D$310,650),IF(650&lt;=COUNTA(半紙!$B$11:$B$310)+COUNTA(条幅!$B$11:$B$310),INDEX(条幅!$D$11:$D$310,650-COUNTA(半紙!$B$11:$B$310)),IF(650&lt;=COUNTA(半紙!$B$11:$B$310)+COUNTA(条幅!$B$11:$B$310)+COUNTA(条幅4分の1!$B$11:$B$310),INDEX(条幅4分の1!$D$11:$D$310,650-COUNTA(半紙!$B$11:$B$310)-COUNTA(条幅!$B$11:$B$310)),""))))</f>
        <v/>
      </c>
      <c r="E655" s="38" t="str">
        <f>IF(IF(650&lt;=COUNTA(半紙!$B$11:$B$310),INDEX(半紙!$E$11:$E$310,650),IF(650&lt;=COUNTA(半紙!$B$11:$B$310)+COUNTA(条幅!$B$11:$B$310),INDEX(条幅!$E$11:$E$310,650-COUNTA(半紙!$B$11:$B$310)),IF(650&lt;=COUNTA(半紙!$B$11:$B$310)+COUNTA(条幅!$B$11:$B$310)+COUNTA(条幅4分の1!$B$11:$B$310),INDEX(条幅4分の1!$E$11:$E$310,650-COUNTA(半紙!$B$11:$B$310)-COUNTA(条幅!$B$11:$B$310)),"")))=0,"",IF(650&lt;=COUNTA(半紙!$B$11:$B$310),INDEX(半紙!$E$11:$E$310,650),IF(650&lt;=COUNTA(半紙!$B$11:$B$310)+COUNTA(条幅!$B$11:$B$310),INDEX(条幅!$E$11:$E$310,650-COUNTA(半紙!$B$11:$B$310)),IF(650&lt;=COUNTA(半紙!$B$11:$B$310)+COUNTA(条幅!$B$11:$B$310)+COUNTA(条幅4分の1!$B$11:$B$310),INDEX(条幅4分の1!$E$11:$E$310,650-COUNTA(半紙!$B$11:$B$310)-COUNTA(条幅!$B$11:$B$310)),""))))</f>
        <v/>
      </c>
      <c r="F655" s="38" t="str">
        <f>IF(IF(650&lt;=COUNTA(半紙!$B$11:$B$310),INDEX(半紙!$F$11:$F$310,650),IF(650&lt;=COUNTA(半紙!$B$11:$B$310)+COUNTA(条幅!$B$11:$B$310),INDEX(条幅!$F$11:$F$310,650-COUNTA(半紙!$B$11:$B$310)),IF(650&lt;=COUNTA(半紙!$B$11:$B$310)+COUNTA(条幅!$B$11:$B$310)+COUNTA(条幅4分の1!$B$11:$B$310),INDEX(条幅4分の1!$F$11:$F$310,650-COUNTA(半紙!$B$11:$B$310)-COUNTA(条幅!$B$11:$B$310)),"")))=0,"",IF(650&lt;=COUNTA(半紙!$B$11:$B$310),INDEX(半紙!$F$11:$F$310,650),IF(650&lt;=COUNTA(半紙!$B$11:$B$310)+COUNTA(条幅!$B$11:$B$310),INDEX(条幅!$F$11:$F$310,650-COUNTA(半紙!$B$11:$B$310)),IF(650&lt;=COUNTA(半紙!$B$11:$B$310)+COUNTA(条幅!$B$11:$B$310)+COUNTA(条幅4分の1!$B$11:$B$310),INDEX(条幅4分の1!$F$11:$F$310,650-COUNTA(半紙!$B$11:$B$310)-COUNTA(条幅!$B$11:$B$310)),""))))</f>
        <v/>
      </c>
      <c r="G655" s="38" t="str">
        <f>IF(IF(650&lt;=COUNTA(半紙!$B$11:$B$310),INDEX(半紙!$G$11:$G$310,650),IF(650&lt;=COUNTA(半紙!$B$11:$B$310)+COUNTA(条幅!$B$11:$B$310),INDEX(条幅!$G$11:$G$310,650-COUNTA(半紙!$B$11:$B$310)),IF(650&lt;=COUNTA(半紙!$B$11:$B$310)+COUNTA(条幅!$B$11:$B$310)+COUNTA(条幅4分の1!$B$11:$B$310),INDEX(条幅4分の1!$G$11:$G$310,650-COUNTA(半紙!$B$11:$B$310)-COUNTA(条幅!$B$11:$B$310)),"")))=0,"",IF(650&lt;=COUNTA(半紙!$B$11:$B$310),INDEX(半紙!$G$11:$G$310,650),IF(650&lt;=COUNTA(半紙!$B$11:$B$310)+COUNTA(条幅!$B$11:$B$310),INDEX(条幅!$G$11:$G$310,650-COUNTA(半紙!$B$11:$B$310)),IF(650&lt;=COUNTA(半紙!$B$11:$B$310)+COUNTA(条幅!$B$11:$B$310)+COUNTA(条幅4分の1!$B$11:$B$310),INDEX(条幅4分の1!$G$11:$G$310,650-COUNTA(半紙!$B$11:$B$310)-COUNTA(条幅!$B$11:$B$310)),""))))</f>
        <v/>
      </c>
      <c r="H655" s="38" t="str">
        <f>IF(IF(650&lt;=COUNTA(半紙!$B$11:$B$310),INDEX(半紙!$H$11:$H$310,650),IF(650&lt;=COUNTA(半紙!$B$11:$B$310)+COUNTA(条幅!$B$11:$B$310),INDEX(条幅!$H$11:$H$310,650-COUNTA(半紙!$B$11:$B$310)),IF(650&lt;=COUNTA(半紙!$B$11:$B$310)+COUNTA(条幅!$B$11:$B$310)+COUNTA(条幅4分の1!$B$11:$B$310),INDEX(条幅4分の1!$H$11:$H$310,650-COUNTA(半紙!$B$11:$B$310)-COUNTA(条幅!$B$11:$B$310)),"")))=0,"",IF(650&lt;=COUNTA(半紙!$B$11:$B$310),INDEX(半紙!$H$11:$H$310,650),IF(650&lt;=COUNTA(半紙!$B$11:$B$310)+COUNTA(条幅!$B$11:$B$310),INDEX(条幅!$H$11:$H$310,650-COUNTA(半紙!$B$11:$B$310)),IF(650&lt;=COUNTA(半紙!$B$11:$B$310)+COUNTA(条幅!$B$11:$B$310)+COUNTA(条幅4分の1!$B$11:$B$310),INDEX(条幅4分の1!$H$11:$H$310,650-COUNTA(半紙!$B$11:$B$310)-COUNTA(条幅!$B$11:$B$310)),""))))</f>
        <v/>
      </c>
      <c r="I655" s="38" t="str">
        <f>IF(IF(650&lt;=COUNTA(半紙!$B$11:$B$310),INDEX(半紙!$I$11:$I$310,650),IF(650&lt;=COUNTA(半紙!$B$11:$B$310)+COUNTA(条幅!$B$11:$B$310),INDEX(条幅!$I$11:$I$310,650-COUNTA(半紙!$B$11:$B$310)),IF(650&lt;=COUNTA(半紙!$B$11:$B$310)+COUNTA(条幅!$B$11:$B$310)+COUNTA(条幅4分の1!$B$11:$B$310),INDEX(条幅4分の1!$I$11:$I$310,650-COUNTA(半紙!$B$11:$B$310)-COUNTA(条幅!$B$11:$B$310)),"")))=0,"",IF(650&lt;=COUNTA(半紙!$B$11:$B$310),INDEX(半紙!$I$11:$I$310,650),IF(650&lt;=COUNTA(半紙!$B$11:$B$310)+COUNTA(条幅!$B$11:$B$310),INDEX(条幅!$I$11:$I$310,650-COUNTA(半紙!$B$11:$B$310)),IF(650&lt;=COUNTA(半紙!$B$11:$B$310)+COUNTA(条幅!$B$11:$B$310)+COUNTA(条幅4分の1!$B$11:$B$310),INDEX(条幅4分の1!$I$11:$I$310,650-COUNTA(半紙!$B$11:$B$310)-COUNTA(条幅!$B$11:$B$310)),""))))</f>
        <v/>
      </c>
      <c r="J655" s="38" t="str">
        <f>IF(IF(650&lt;=COUNTA(半紙!$B$11:$B$310),INDEX(半紙!$J$11:$J$310,650),IF(650&lt;=COUNTA(半紙!$B$11:$B$310)+COUNTA(条幅!$B$11:$B$310),INDEX(条幅!$J$11:$J$310,650-COUNTA(半紙!$B$11:$B$310)),IF(650&lt;=COUNTA(半紙!$B$11:$B$310)+COUNTA(条幅!$B$11:$B$310)+COUNTA(条幅4分の1!$B$11:$B$310),INDEX(条幅4分の1!$J$11:$J$310,650-COUNTA(半紙!$B$11:$B$310)-COUNTA(条幅!$B$11:$B$310)),"")))=0,"",IF(650&lt;=COUNTA(半紙!$B$11:$B$310),INDEX(半紙!$J$11:$J$310,650),IF(650&lt;=COUNTA(半紙!$B$11:$B$310)+COUNTA(条幅!$B$11:$B$310),INDEX(条幅!$J$11:$J$310,650-COUNTA(半紙!$B$11:$B$310)),IF(650&lt;=COUNTA(半紙!$B$11:$B$310)+COUNTA(条幅!$B$11:$B$310)+COUNTA(条幅4分の1!$B$11:$B$310),INDEX(条幅4分の1!$J$11:$J$310,650-COUNTA(半紙!$B$11:$B$310)-COUNTA(条幅!$B$11:$B$310)),""))))</f>
        <v/>
      </c>
      <c r="K655" s="38" t="str">
        <f>IF(IF(650&lt;=COUNTA(半紙!$B$11:$B$310),INDEX(半紙!$K$11:$K$310,650),IF(650&lt;=COUNTA(半紙!$B$11:$B$310)+COUNTA(条幅!$B$11:$B$310),INDEX(条幅!$K$11:$K$310,650-COUNTA(半紙!$B$11:$B$310)),IF(650&lt;=COUNTA(半紙!$B$11:$B$310)+COUNTA(条幅!$B$11:$B$310)+COUNTA(条幅4分の1!$B$11:$B$310),INDEX(条幅4分の1!$K$11:$K$310,650-COUNTA(半紙!$B$11:$B$310)-COUNTA(条幅!$B$11:$B$310)),"")))=0,"",IF(650&lt;=COUNTA(半紙!$B$11:$B$310),INDEX(半紙!$K$11:$K$310,650),IF(650&lt;=COUNTA(半紙!$B$11:$B$310)+COUNTA(条幅!$B$11:$B$310),INDEX(条幅!$K$11:$K$310,650-COUNTA(半紙!$B$11:$B$310)),IF(650&lt;=COUNTA(半紙!$B$11:$B$310)+COUNTA(条幅!$B$11:$B$310)+COUNTA(条幅4分の1!$B$11:$B$310),INDEX(条幅4分の1!$K$11:$K$310,650-COUNTA(半紙!$B$11:$B$310)-COUNTA(条幅!$B$11:$B$310)),""))))</f>
        <v/>
      </c>
      <c r="L655" s="48" t="str">
        <f>IF($B655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650))</f>
        <v/>
      </c>
    </row>
    <row r="656" spans="1:12" ht="15" customHeight="1">
      <c r="A656" s="37" t="str">
        <f>IF(651&lt;=COUNTA(半紙!$B$11:$B$310),"半紙",IF(651&lt;=COUNTA(半紙!$B$11:$B$310)+COUNTA(条幅!$B$11:$B$310),"条幅(半切)",IF(651&lt;=COUNTA(半紙!$B$11:$B$310)+COUNTA(条幅!$B$11:$B$310)+COUNTA(条幅4分の1!$B$11:$B$310),"条幅(1/4)","")))</f>
        <v/>
      </c>
      <c r="B656" s="38" t="str">
        <f>IF(IF(651&lt;=COUNTA(半紙!$B$11:$B$310),INDEX(半紙!$B$11:$B$310,651),IF(651&lt;=COUNTA(半紙!$B$11:$B$310)+COUNTA(条幅!$B$11:$B$310),INDEX(条幅!$B$11:$B$310,651-COUNTA(半紙!$B$11:$B$310)),IF(651&lt;=COUNTA(半紙!$B$11:$B$310)+COUNTA(条幅!$B$11:$B$310)+COUNTA(条幅4分の1!$B$11:$B$310),INDEX(条幅4分の1!$B$11:$B$310,651-COUNTA(半紙!$B$11:$B$310)-COUNTA(条幅!$B$11:$B$310)),"")))=0,"",IF(651&lt;=COUNTA(半紙!$B$11:$B$310),INDEX(半紙!$B$11:$B$310,651),IF(651&lt;=COUNTA(半紙!$B$11:$B$310)+COUNTA(条幅!$B$11:$B$310),INDEX(条幅!$B$11:$B$310,651-COUNTA(半紙!$B$11:$B$310)),IF(651&lt;=COUNTA(半紙!$B$11:$B$310)+COUNTA(条幅!$B$11:$B$310)+COUNTA(条幅4分の1!$B$11:$B$310),INDEX(条幅4分の1!$B$11:$B$310,651-COUNTA(半紙!$B$11:$B$310)-COUNTA(条幅!$B$11:$B$310)),""))))</f>
        <v/>
      </c>
      <c r="C656" s="38" t="str">
        <f>IF(IF(651&lt;=COUNTA(半紙!$B$11:$B$310),INDEX(半紙!$C$11:$C$310,651),IF(651&lt;=COUNTA(半紙!$B$11:$B$310)+COUNTA(条幅!$B$11:$B$310),INDEX(条幅!$C$11:$C$310,651-COUNTA(半紙!$B$11:$B$310)),IF(651&lt;=COUNTA(半紙!$B$11:$B$310)+COUNTA(条幅!$B$11:$B$310)+COUNTA(条幅4分の1!$B$11:$B$310),INDEX(条幅4分の1!$C$11:$C$310,651-COUNTA(半紙!$B$11:$B$310)-COUNTA(条幅!$B$11:$B$310)),"")))=0,"",IF(651&lt;=COUNTA(半紙!$B$11:$B$310),INDEX(半紙!$C$11:$C$310,651),IF(651&lt;=COUNTA(半紙!$B$11:$B$310)+COUNTA(条幅!$B$11:$B$310),INDEX(条幅!$C$11:$C$310,651-COUNTA(半紙!$B$11:$B$310)),IF(651&lt;=COUNTA(半紙!$B$11:$B$310)+COUNTA(条幅!$B$11:$B$310)+COUNTA(条幅4分の1!$B$11:$B$310),INDEX(条幅4分の1!$C$11:$C$310,651-COUNTA(半紙!$B$11:$B$310)-COUNTA(条幅!$B$11:$B$310)),""))))</f>
        <v/>
      </c>
      <c r="D656" s="38" t="str">
        <f>IF(IF(651&lt;=COUNTA(半紙!$B$11:$B$310),INDEX(半紙!$D$11:$D$310,651),IF(651&lt;=COUNTA(半紙!$B$11:$B$310)+COUNTA(条幅!$B$11:$B$310),INDEX(条幅!$D$11:$D$310,651-COUNTA(半紙!$B$11:$B$310)),IF(651&lt;=COUNTA(半紙!$B$11:$B$310)+COUNTA(条幅!$B$11:$B$310)+COUNTA(条幅4分の1!$B$11:$B$310),INDEX(条幅4分の1!$D$11:$D$310,651-COUNTA(半紙!$B$11:$B$310)-COUNTA(条幅!$B$11:$B$310)),"")))=0,"",IF(651&lt;=COUNTA(半紙!$B$11:$B$310),INDEX(半紙!$D$11:$D$310,651),IF(651&lt;=COUNTA(半紙!$B$11:$B$310)+COUNTA(条幅!$B$11:$B$310),INDEX(条幅!$D$11:$D$310,651-COUNTA(半紙!$B$11:$B$310)),IF(651&lt;=COUNTA(半紙!$B$11:$B$310)+COUNTA(条幅!$B$11:$B$310)+COUNTA(条幅4分の1!$B$11:$B$310),INDEX(条幅4分の1!$D$11:$D$310,651-COUNTA(半紙!$B$11:$B$310)-COUNTA(条幅!$B$11:$B$310)),""))))</f>
        <v/>
      </c>
      <c r="E656" s="38" t="str">
        <f>IF(IF(651&lt;=COUNTA(半紙!$B$11:$B$310),INDEX(半紙!$E$11:$E$310,651),IF(651&lt;=COUNTA(半紙!$B$11:$B$310)+COUNTA(条幅!$B$11:$B$310),INDEX(条幅!$E$11:$E$310,651-COUNTA(半紙!$B$11:$B$310)),IF(651&lt;=COUNTA(半紙!$B$11:$B$310)+COUNTA(条幅!$B$11:$B$310)+COUNTA(条幅4分の1!$B$11:$B$310),INDEX(条幅4分の1!$E$11:$E$310,651-COUNTA(半紙!$B$11:$B$310)-COUNTA(条幅!$B$11:$B$310)),"")))=0,"",IF(651&lt;=COUNTA(半紙!$B$11:$B$310),INDEX(半紙!$E$11:$E$310,651),IF(651&lt;=COUNTA(半紙!$B$11:$B$310)+COUNTA(条幅!$B$11:$B$310),INDEX(条幅!$E$11:$E$310,651-COUNTA(半紙!$B$11:$B$310)),IF(651&lt;=COUNTA(半紙!$B$11:$B$310)+COUNTA(条幅!$B$11:$B$310)+COUNTA(条幅4分の1!$B$11:$B$310),INDEX(条幅4分の1!$E$11:$E$310,651-COUNTA(半紙!$B$11:$B$310)-COUNTA(条幅!$B$11:$B$310)),""))))</f>
        <v/>
      </c>
      <c r="F656" s="38" t="str">
        <f>IF(IF(651&lt;=COUNTA(半紙!$B$11:$B$310),INDEX(半紙!$F$11:$F$310,651),IF(651&lt;=COUNTA(半紙!$B$11:$B$310)+COUNTA(条幅!$B$11:$B$310),INDEX(条幅!$F$11:$F$310,651-COUNTA(半紙!$B$11:$B$310)),IF(651&lt;=COUNTA(半紙!$B$11:$B$310)+COUNTA(条幅!$B$11:$B$310)+COUNTA(条幅4分の1!$B$11:$B$310),INDEX(条幅4分の1!$F$11:$F$310,651-COUNTA(半紙!$B$11:$B$310)-COUNTA(条幅!$B$11:$B$310)),"")))=0,"",IF(651&lt;=COUNTA(半紙!$B$11:$B$310),INDEX(半紙!$F$11:$F$310,651),IF(651&lt;=COUNTA(半紙!$B$11:$B$310)+COUNTA(条幅!$B$11:$B$310),INDEX(条幅!$F$11:$F$310,651-COUNTA(半紙!$B$11:$B$310)),IF(651&lt;=COUNTA(半紙!$B$11:$B$310)+COUNTA(条幅!$B$11:$B$310)+COUNTA(条幅4分の1!$B$11:$B$310),INDEX(条幅4分の1!$F$11:$F$310,651-COUNTA(半紙!$B$11:$B$310)-COUNTA(条幅!$B$11:$B$310)),""))))</f>
        <v/>
      </c>
      <c r="G656" s="38" t="str">
        <f>IF(IF(651&lt;=COUNTA(半紙!$B$11:$B$310),INDEX(半紙!$G$11:$G$310,651),IF(651&lt;=COUNTA(半紙!$B$11:$B$310)+COUNTA(条幅!$B$11:$B$310),INDEX(条幅!$G$11:$G$310,651-COUNTA(半紙!$B$11:$B$310)),IF(651&lt;=COUNTA(半紙!$B$11:$B$310)+COUNTA(条幅!$B$11:$B$310)+COUNTA(条幅4分の1!$B$11:$B$310),INDEX(条幅4分の1!$G$11:$G$310,651-COUNTA(半紙!$B$11:$B$310)-COUNTA(条幅!$B$11:$B$310)),"")))=0,"",IF(651&lt;=COUNTA(半紙!$B$11:$B$310),INDEX(半紙!$G$11:$G$310,651),IF(651&lt;=COUNTA(半紙!$B$11:$B$310)+COUNTA(条幅!$B$11:$B$310),INDEX(条幅!$G$11:$G$310,651-COUNTA(半紙!$B$11:$B$310)),IF(651&lt;=COUNTA(半紙!$B$11:$B$310)+COUNTA(条幅!$B$11:$B$310)+COUNTA(条幅4分の1!$B$11:$B$310),INDEX(条幅4分の1!$G$11:$G$310,651-COUNTA(半紙!$B$11:$B$310)-COUNTA(条幅!$B$11:$B$310)),""))))</f>
        <v/>
      </c>
      <c r="H656" s="38" t="str">
        <f>IF(IF(651&lt;=COUNTA(半紙!$B$11:$B$310),INDEX(半紙!$H$11:$H$310,651),IF(651&lt;=COUNTA(半紙!$B$11:$B$310)+COUNTA(条幅!$B$11:$B$310),INDEX(条幅!$H$11:$H$310,651-COUNTA(半紙!$B$11:$B$310)),IF(651&lt;=COUNTA(半紙!$B$11:$B$310)+COUNTA(条幅!$B$11:$B$310)+COUNTA(条幅4分の1!$B$11:$B$310),INDEX(条幅4分の1!$H$11:$H$310,651-COUNTA(半紙!$B$11:$B$310)-COUNTA(条幅!$B$11:$B$310)),"")))=0,"",IF(651&lt;=COUNTA(半紙!$B$11:$B$310),INDEX(半紙!$H$11:$H$310,651),IF(651&lt;=COUNTA(半紙!$B$11:$B$310)+COUNTA(条幅!$B$11:$B$310),INDEX(条幅!$H$11:$H$310,651-COUNTA(半紙!$B$11:$B$310)),IF(651&lt;=COUNTA(半紙!$B$11:$B$310)+COUNTA(条幅!$B$11:$B$310)+COUNTA(条幅4分の1!$B$11:$B$310),INDEX(条幅4分の1!$H$11:$H$310,651-COUNTA(半紙!$B$11:$B$310)-COUNTA(条幅!$B$11:$B$310)),""))))</f>
        <v/>
      </c>
      <c r="I656" s="38" t="str">
        <f>IF(IF(651&lt;=COUNTA(半紙!$B$11:$B$310),INDEX(半紙!$I$11:$I$310,651),IF(651&lt;=COUNTA(半紙!$B$11:$B$310)+COUNTA(条幅!$B$11:$B$310),INDEX(条幅!$I$11:$I$310,651-COUNTA(半紙!$B$11:$B$310)),IF(651&lt;=COUNTA(半紙!$B$11:$B$310)+COUNTA(条幅!$B$11:$B$310)+COUNTA(条幅4分の1!$B$11:$B$310),INDEX(条幅4分の1!$I$11:$I$310,651-COUNTA(半紙!$B$11:$B$310)-COUNTA(条幅!$B$11:$B$310)),"")))=0,"",IF(651&lt;=COUNTA(半紙!$B$11:$B$310),INDEX(半紙!$I$11:$I$310,651),IF(651&lt;=COUNTA(半紙!$B$11:$B$310)+COUNTA(条幅!$B$11:$B$310),INDEX(条幅!$I$11:$I$310,651-COUNTA(半紙!$B$11:$B$310)),IF(651&lt;=COUNTA(半紙!$B$11:$B$310)+COUNTA(条幅!$B$11:$B$310)+COUNTA(条幅4分の1!$B$11:$B$310),INDEX(条幅4分の1!$I$11:$I$310,651-COUNTA(半紙!$B$11:$B$310)-COUNTA(条幅!$B$11:$B$310)),""))))</f>
        <v/>
      </c>
      <c r="J656" s="38" t="str">
        <f>IF(IF(651&lt;=COUNTA(半紙!$B$11:$B$310),INDEX(半紙!$J$11:$J$310,651),IF(651&lt;=COUNTA(半紙!$B$11:$B$310)+COUNTA(条幅!$B$11:$B$310),INDEX(条幅!$J$11:$J$310,651-COUNTA(半紙!$B$11:$B$310)),IF(651&lt;=COUNTA(半紙!$B$11:$B$310)+COUNTA(条幅!$B$11:$B$310)+COUNTA(条幅4分の1!$B$11:$B$310),INDEX(条幅4分の1!$J$11:$J$310,651-COUNTA(半紙!$B$11:$B$310)-COUNTA(条幅!$B$11:$B$310)),"")))=0,"",IF(651&lt;=COUNTA(半紙!$B$11:$B$310),INDEX(半紙!$J$11:$J$310,651),IF(651&lt;=COUNTA(半紙!$B$11:$B$310)+COUNTA(条幅!$B$11:$B$310),INDEX(条幅!$J$11:$J$310,651-COUNTA(半紙!$B$11:$B$310)),IF(651&lt;=COUNTA(半紙!$B$11:$B$310)+COUNTA(条幅!$B$11:$B$310)+COUNTA(条幅4分の1!$B$11:$B$310),INDEX(条幅4分の1!$J$11:$J$310,651-COUNTA(半紙!$B$11:$B$310)-COUNTA(条幅!$B$11:$B$310)),""))))</f>
        <v/>
      </c>
      <c r="K656" s="38" t="str">
        <f>IF(IF(651&lt;=COUNTA(半紙!$B$11:$B$310),INDEX(半紙!$K$11:$K$310,651),IF(651&lt;=COUNTA(半紙!$B$11:$B$310)+COUNTA(条幅!$B$11:$B$310),INDEX(条幅!$K$11:$K$310,651-COUNTA(半紙!$B$11:$B$310)),IF(651&lt;=COUNTA(半紙!$B$11:$B$310)+COUNTA(条幅!$B$11:$B$310)+COUNTA(条幅4分の1!$B$11:$B$310),INDEX(条幅4分の1!$K$11:$K$310,651-COUNTA(半紙!$B$11:$B$310)-COUNTA(条幅!$B$11:$B$310)),"")))=0,"",IF(651&lt;=COUNTA(半紙!$B$11:$B$310),INDEX(半紙!$K$11:$K$310,651),IF(651&lt;=COUNTA(半紙!$B$11:$B$310)+COUNTA(条幅!$B$11:$B$310),INDEX(条幅!$K$11:$K$310,651-COUNTA(半紙!$B$11:$B$310)),IF(651&lt;=COUNTA(半紙!$B$11:$B$310)+COUNTA(条幅!$B$11:$B$310)+COUNTA(条幅4分の1!$B$11:$B$310),INDEX(条幅4分の1!$K$11:$K$310,651-COUNTA(半紙!$B$11:$B$310)-COUNTA(条幅!$B$11:$B$310)),""))))</f>
        <v/>
      </c>
      <c r="L656" s="48" t="str">
        <f>IF($B656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651))</f>
        <v/>
      </c>
    </row>
    <row r="657" spans="1:12" ht="15" customHeight="1">
      <c r="A657" s="37" t="str">
        <f>IF(652&lt;=COUNTA(半紙!$B$11:$B$310),"半紙",IF(652&lt;=COUNTA(半紙!$B$11:$B$310)+COUNTA(条幅!$B$11:$B$310),"条幅(半切)",IF(652&lt;=COUNTA(半紙!$B$11:$B$310)+COUNTA(条幅!$B$11:$B$310)+COUNTA(条幅4分の1!$B$11:$B$310),"条幅(1/4)","")))</f>
        <v/>
      </c>
      <c r="B657" s="38" t="str">
        <f>IF(IF(652&lt;=COUNTA(半紙!$B$11:$B$310),INDEX(半紙!$B$11:$B$310,652),IF(652&lt;=COUNTA(半紙!$B$11:$B$310)+COUNTA(条幅!$B$11:$B$310),INDEX(条幅!$B$11:$B$310,652-COUNTA(半紙!$B$11:$B$310)),IF(652&lt;=COUNTA(半紙!$B$11:$B$310)+COUNTA(条幅!$B$11:$B$310)+COUNTA(条幅4分の1!$B$11:$B$310),INDEX(条幅4分の1!$B$11:$B$310,652-COUNTA(半紙!$B$11:$B$310)-COUNTA(条幅!$B$11:$B$310)),"")))=0,"",IF(652&lt;=COUNTA(半紙!$B$11:$B$310),INDEX(半紙!$B$11:$B$310,652),IF(652&lt;=COUNTA(半紙!$B$11:$B$310)+COUNTA(条幅!$B$11:$B$310),INDEX(条幅!$B$11:$B$310,652-COUNTA(半紙!$B$11:$B$310)),IF(652&lt;=COUNTA(半紙!$B$11:$B$310)+COUNTA(条幅!$B$11:$B$310)+COUNTA(条幅4分の1!$B$11:$B$310),INDEX(条幅4分の1!$B$11:$B$310,652-COUNTA(半紙!$B$11:$B$310)-COUNTA(条幅!$B$11:$B$310)),""))))</f>
        <v/>
      </c>
      <c r="C657" s="38" t="str">
        <f>IF(IF(652&lt;=COUNTA(半紙!$B$11:$B$310),INDEX(半紙!$C$11:$C$310,652),IF(652&lt;=COUNTA(半紙!$B$11:$B$310)+COUNTA(条幅!$B$11:$B$310),INDEX(条幅!$C$11:$C$310,652-COUNTA(半紙!$B$11:$B$310)),IF(652&lt;=COUNTA(半紙!$B$11:$B$310)+COUNTA(条幅!$B$11:$B$310)+COUNTA(条幅4分の1!$B$11:$B$310),INDEX(条幅4分の1!$C$11:$C$310,652-COUNTA(半紙!$B$11:$B$310)-COUNTA(条幅!$B$11:$B$310)),"")))=0,"",IF(652&lt;=COUNTA(半紙!$B$11:$B$310),INDEX(半紙!$C$11:$C$310,652),IF(652&lt;=COUNTA(半紙!$B$11:$B$310)+COUNTA(条幅!$B$11:$B$310),INDEX(条幅!$C$11:$C$310,652-COUNTA(半紙!$B$11:$B$310)),IF(652&lt;=COUNTA(半紙!$B$11:$B$310)+COUNTA(条幅!$B$11:$B$310)+COUNTA(条幅4分の1!$B$11:$B$310),INDEX(条幅4分の1!$C$11:$C$310,652-COUNTA(半紙!$B$11:$B$310)-COUNTA(条幅!$B$11:$B$310)),""))))</f>
        <v/>
      </c>
      <c r="D657" s="38" t="str">
        <f>IF(IF(652&lt;=COUNTA(半紙!$B$11:$B$310),INDEX(半紙!$D$11:$D$310,652),IF(652&lt;=COUNTA(半紙!$B$11:$B$310)+COUNTA(条幅!$B$11:$B$310),INDEX(条幅!$D$11:$D$310,652-COUNTA(半紙!$B$11:$B$310)),IF(652&lt;=COUNTA(半紙!$B$11:$B$310)+COUNTA(条幅!$B$11:$B$310)+COUNTA(条幅4分の1!$B$11:$B$310),INDEX(条幅4分の1!$D$11:$D$310,652-COUNTA(半紙!$B$11:$B$310)-COUNTA(条幅!$B$11:$B$310)),"")))=0,"",IF(652&lt;=COUNTA(半紙!$B$11:$B$310),INDEX(半紙!$D$11:$D$310,652),IF(652&lt;=COUNTA(半紙!$B$11:$B$310)+COUNTA(条幅!$B$11:$B$310),INDEX(条幅!$D$11:$D$310,652-COUNTA(半紙!$B$11:$B$310)),IF(652&lt;=COUNTA(半紙!$B$11:$B$310)+COUNTA(条幅!$B$11:$B$310)+COUNTA(条幅4分の1!$B$11:$B$310),INDEX(条幅4分の1!$D$11:$D$310,652-COUNTA(半紙!$B$11:$B$310)-COUNTA(条幅!$B$11:$B$310)),""))))</f>
        <v/>
      </c>
      <c r="E657" s="38" t="str">
        <f>IF(IF(652&lt;=COUNTA(半紙!$B$11:$B$310),INDEX(半紙!$E$11:$E$310,652),IF(652&lt;=COUNTA(半紙!$B$11:$B$310)+COUNTA(条幅!$B$11:$B$310),INDEX(条幅!$E$11:$E$310,652-COUNTA(半紙!$B$11:$B$310)),IF(652&lt;=COUNTA(半紙!$B$11:$B$310)+COUNTA(条幅!$B$11:$B$310)+COUNTA(条幅4分の1!$B$11:$B$310),INDEX(条幅4分の1!$E$11:$E$310,652-COUNTA(半紙!$B$11:$B$310)-COUNTA(条幅!$B$11:$B$310)),"")))=0,"",IF(652&lt;=COUNTA(半紙!$B$11:$B$310),INDEX(半紙!$E$11:$E$310,652),IF(652&lt;=COUNTA(半紙!$B$11:$B$310)+COUNTA(条幅!$B$11:$B$310),INDEX(条幅!$E$11:$E$310,652-COUNTA(半紙!$B$11:$B$310)),IF(652&lt;=COUNTA(半紙!$B$11:$B$310)+COUNTA(条幅!$B$11:$B$310)+COUNTA(条幅4分の1!$B$11:$B$310),INDEX(条幅4分の1!$E$11:$E$310,652-COUNTA(半紙!$B$11:$B$310)-COUNTA(条幅!$B$11:$B$310)),""))))</f>
        <v/>
      </c>
      <c r="F657" s="38" t="str">
        <f>IF(IF(652&lt;=COUNTA(半紙!$B$11:$B$310),INDEX(半紙!$F$11:$F$310,652),IF(652&lt;=COUNTA(半紙!$B$11:$B$310)+COUNTA(条幅!$B$11:$B$310),INDEX(条幅!$F$11:$F$310,652-COUNTA(半紙!$B$11:$B$310)),IF(652&lt;=COUNTA(半紙!$B$11:$B$310)+COUNTA(条幅!$B$11:$B$310)+COUNTA(条幅4分の1!$B$11:$B$310),INDEX(条幅4分の1!$F$11:$F$310,652-COUNTA(半紙!$B$11:$B$310)-COUNTA(条幅!$B$11:$B$310)),"")))=0,"",IF(652&lt;=COUNTA(半紙!$B$11:$B$310),INDEX(半紙!$F$11:$F$310,652),IF(652&lt;=COUNTA(半紙!$B$11:$B$310)+COUNTA(条幅!$B$11:$B$310),INDEX(条幅!$F$11:$F$310,652-COUNTA(半紙!$B$11:$B$310)),IF(652&lt;=COUNTA(半紙!$B$11:$B$310)+COUNTA(条幅!$B$11:$B$310)+COUNTA(条幅4分の1!$B$11:$B$310),INDEX(条幅4分の1!$F$11:$F$310,652-COUNTA(半紙!$B$11:$B$310)-COUNTA(条幅!$B$11:$B$310)),""))))</f>
        <v/>
      </c>
      <c r="G657" s="38" t="str">
        <f>IF(IF(652&lt;=COUNTA(半紙!$B$11:$B$310),INDEX(半紙!$G$11:$G$310,652),IF(652&lt;=COUNTA(半紙!$B$11:$B$310)+COUNTA(条幅!$B$11:$B$310),INDEX(条幅!$G$11:$G$310,652-COUNTA(半紙!$B$11:$B$310)),IF(652&lt;=COUNTA(半紙!$B$11:$B$310)+COUNTA(条幅!$B$11:$B$310)+COUNTA(条幅4分の1!$B$11:$B$310),INDEX(条幅4分の1!$G$11:$G$310,652-COUNTA(半紙!$B$11:$B$310)-COUNTA(条幅!$B$11:$B$310)),"")))=0,"",IF(652&lt;=COUNTA(半紙!$B$11:$B$310),INDEX(半紙!$G$11:$G$310,652),IF(652&lt;=COUNTA(半紙!$B$11:$B$310)+COUNTA(条幅!$B$11:$B$310),INDEX(条幅!$G$11:$G$310,652-COUNTA(半紙!$B$11:$B$310)),IF(652&lt;=COUNTA(半紙!$B$11:$B$310)+COUNTA(条幅!$B$11:$B$310)+COUNTA(条幅4分の1!$B$11:$B$310),INDEX(条幅4分の1!$G$11:$G$310,652-COUNTA(半紙!$B$11:$B$310)-COUNTA(条幅!$B$11:$B$310)),""))))</f>
        <v/>
      </c>
      <c r="H657" s="38" t="str">
        <f>IF(IF(652&lt;=COUNTA(半紙!$B$11:$B$310),INDEX(半紙!$H$11:$H$310,652),IF(652&lt;=COUNTA(半紙!$B$11:$B$310)+COUNTA(条幅!$B$11:$B$310),INDEX(条幅!$H$11:$H$310,652-COUNTA(半紙!$B$11:$B$310)),IF(652&lt;=COUNTA(半紙!$B$11:$B$310)+COUNTA(条幅!$B$11:$B$310)+COUNTA(条幅4分の1!$B$11:$B$310),INDEX(条幅4分の1!$H$11:$H$310,652-COUNTA(半紙!$B$11:$B$310)-COUNTA(条幅!$B$11:$B$310)),"")))=0,"",IF(652&lt;=COUNTA(半紙!$B$11:$B$310),INDEX(半紙!$H$11:$H$310,652),IF(652&lt;=COUNTA(半紙!$B$11:$B$310)+COUNTA(条幅!$B$11:$B$310),INDEX(条幅!$H$11:$H$310,652-COUNTA(半紙!$B$11:$B$310)),IF(652&lt;=COUNTA(半紙!$B$11:$B$310)+COUNTA(条幅!$B$11:$B$310)+COUNTA(条幅4分の1!$B$11:$B$310),INDEX(条幅4分の1!$H$11:$H$310,652-COUNTA(半紙!$B$11:$B$310)-COUNTA(条幅!$B$11:$B$310)),""))))</f>
        <v/>
      </c>
      <c r="I657" s="38" t="str">
        <f>IF(IF(652&lt;=COUNTA(半紙!$B$11:$B$310),INDEX(半紙!$I$11:$I$310,652),IF(652&lt;=COUNTA(半紙!$B$11:$B$310)+COUNTA(条幅!$B$11:$B$310),INDEX(条幅!$I$11:$I$310,652-COUNTA(半紙!$B$11:$B$310)),IF(652&lt;=COUNTA(半紙!$B$11:$B$310)+COUNTA(条幅!$B$11:$B$310)+COUNTA(条幅4分の1!$B$11:$B$310),INDEX(条幅4分の1!$I$11:$I$310,652-COUNTA(半紙!$B$11:$B$310)-COUNTA(条幅!$B$11:$B$310)),"")))=0,"",IF(652&lt;=COUNTA(半紙!$B$11:$B$310),INDEX(半紙!$I$11:$I$310,652),IF(652&lt;=COUNTA(半紙!$B$11:$B$310)+COUNTA(条幅!$B$11:$B$310),INDEX(条幅!$I$11:$I$310,652-COUNTA(半紙!$B$11:$B$310)),IF(652&lt;=COUNTA(半紙!$B$11:$B$310)+COUNTA(条幅!$B$11:$B$310)+COUNTA(条幅4分の1!$B$11:$B$310),INDEX(条幅4分の1!$I$11:$I$310,652-COUNTA(半紙!$B$11:$B$310)-COUNTA(条幅!$B$11:$B$310)),""))))</f>
        <v/>
      </c>
      <c r="J657" s="38" t="str">
        <f>IF(IF(652&lt;=COUNTA(半紙!$B$11:$B$310),INDEX(半紙!$J$11:$J$310,652),IF(652&lt;=COUNTA(半紙!$B$11:$B$310)+COUNTA(条幅!$B$11:$B$310),INDEX(条幅!$J$11:$J$310,652-COUNTA(半紙!$B$11:$B$310)),IF(652&lt;=COUNTA(半紙!$B$11:$B$310)+COUNTA(条幅!$B$11:$B$310)+COUNTA(条幅4分の1!$B$11:$B$310),INDEX(条幅4分の1!$J$11:$J$310,652-COUNTA(半紙!$B$11:$B$310)-COUNTA(条幅!$B$11:$B$310)),"")))=0,"",IF(652&lt;=COUNTA(半紙!$B$11:$B$310),INDEX(半紙!$J$11:$J$310,652),IF(652&lt;=COUNTA(半紙!$B$11:$B$310)+COUNTA(条幅!$B$11:$B$310),INDEX(条幅!$J$11:$J$310,652-COUNTA(半紙!$B$11:$B$310)),IF(652&lt;=COUNTA(半紙!$B$11:$B$310)+COUNTA(条幅!$B$11:$B$310)+COUNTA(条幅4分の1!$B$11:$B$310),INDEX(条幅4分の1!$J$11:$J$310,652-COUNTA(半紙!$B$11:$B$310)-COUNTA(条幅!$B$11:$B$310)),""))))</f>
        <v/>
      </c>
      <c r="K657" s="38" t="str">
        <f>IF(IF(652&lt;=COUNTA(半紙!$B$11:$B$310),INDEX(半紙!$K$11:$K$310,652),IF(652&lt;=COUNTA(半紙!$B$11:$B$310)+COUNTA(条幅!$B$11:$B$310),INDEX(条幅!$K$11:$K$310,652-COUNTA(半紙!$B$11:$B$310)),IF(652&lt;=COUNTA(半紙!$B$11:$B$310)+COUNTA(条幅!$B$11:$B$310)+COUNTA(条幅4分の1!$B$11:$B$310),INDEX(条幅4分の1!$K$11:$K$310,652-COUNTA(半紙!$B$11:$B$310)-COUNTA(条幅!$B$11:$B$310)),"")))=0,"",IF(652&lt;=COUNTA(半紙!$B$11:$B$310),INDEX(半紙!$K$11:$K$310,652),IF(652&lt;=COUNTA(半紙!$B$11:$B$310)+COUNTA(条幅!$B$11:$B$310),INDEX(条幅!$K$11:$K$310,652-COUNTA(半紙!$B$11:$B$310)),IF(652&lt;=COUNTA(半紙!$B$11:$B$310)+COUNTA(条幅!$B$11:$B$310)+COUNTA(条幅4分の1!$B$11:$B$310),INDEX(条幅4分の1!$K$11:$K$310,652-COUNTA(半紙!$B$11:$B$310)-COUNTA(条幅!$B$11:$B$310)),""))))</f>
        <v/>
      </c>
      <c r="L657" s="48" t="str">
        <f>IF($B657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652))</f>
        <v/>
      </c>
    </row>
    <row r="658" spans="1:12" ht="15" customHeight="1">
      <c r="A658" s="37" t="str">
        <f>IF(653&lt;=COUNTA(半紙!$B$11:$B$310),"半紙",IF(653&lt;=COUNTA(半紙!$B$11:$B$310)+COUNTA(条幅!$B$11:$B$310),"条幅(半切)",IF(653&lt;=COUNTA(半紙!$B$11:$B$310)+COUNTA(条幅!$B$11:$B$310)+COUNTA(条幅4分の1!$B$11:$B$310),"条幅(1/4)","")))</f>
        <v/>
      </c>
      <c r="B658" s="38" t="str">
        <f>IF(IF(653&lt;=COUNTA(半紙!$B$11:$B$310),INDEX(半紙!$B$11:$B$310,653),IF(653&lt;=COUNTA(半紙!$B$11:$B$310)+COUNTA(条幅!$B$11:$B$310),INDEX(条幅!$B$11:$B$310,653-COUNTA(半紙!$B$11:$B$310)),IF(653&lt;=COUNTA(半紙!$B$11:$B$310)+COUNTA(条幅!$B$11:$B$310)+COUNTA(条幅4分の1!$B$11:$B$310),INDEX(条幅4分の1!$B$11:$B$310,653-COUNTA(半紙!$B$11:$B$310)-COUNTA(条幅!$B$11:$B$310)),"")))=0,"",IF(653&lt;=COUNTA(半紙!$B$11:$B$310),INDEX(半紙!$B$11:$B$310,653),IF(653&lt;=COUNTA(半紙!$B$11:$B$310)+COUNTA(条幅!$B$11:$B$310),INDEX(条幅!$B$11:$B$310,653-COUNTA(半紙!$B$11:$B$310)),IF(653&lt;=COUNTA(半紙!$B$11:$B$310)+COUNTA(条幅!$B$11:$B$310)+COUNTA(条幅4分の1!$B$11:$B$310),INDEX(条幅4分の1!$B$11:$B$310,653-COUNTA(半紙!$B$11:$B$310)-COUNTA(条幅!$B$11:$B$310)),""))))</f>
        <v/>
      </c>
      <c r="C658" s="38" t="str">
        <f>IF(IF(653&lt;=COUNTA(半紙!$B$11:$B$310),INDEX(半紙!$C$11:$C$310,653),IF(653&lt;=COUNTA(半紙!$B$11:$B$310)+COUNTA(条幅!$B$11:$B$310),INDEX(条幅!$C$11:$C$310,653-COUNTA(半紙!$B$11:$B$310)),IF(653&lt;=COUNTA(半紙!$B$11:$B$310)+COUNTA(条幅!$B$11:$B$310)+COUNTA(条幅4分の1!$B$11:$B$310),INDEX(条幅4分の1!$C$11:$C$310,653-COUNTA(半紙!$B$11:$B$310)-COUNTA(条幅!$B$11:$B$310)),"")))=0,"",IF(653&lt;=COUNTA(半紙!$B$11:$B$310),INDEX(半紙!$C$11:$C$310,653),IF(653&lt;=COUNTA(半紙!$B$11:$B$310)+COUNTA(条幅!$B$11:$B$310),INDEX(条幅!$C$11:$C$310,653-COUNTA(半紙!$B$11:$B$310)),IF(653&lt;=COUNTA(半紙!$B$11:$B$310)+COUNTA(条幅!$B$11:$B$310)+COUNTA(条幅4分の1!$B$11:$B$310),INDEX(条幅4分の1!$C$11:$C$310,653-COUNTA(半紙!$B$11:$B$310)-COUNTA(条幅!$B$11:$B$310)),""))))</f>
        <v/>
      </c>
      <c r="D658" s="38" t="str">
        <f>IF(IF(653&lt;=COUNTA(半紙!$B$11:$B$310),INDEX(半紙!$D$11:$D$310,653),IF(653&lt;=COUNTA(半紙!$B$11:$B$310)+COUNTA(条幅!$B$11:$B$310),INDEX(条幅!$D$11:$D$310,653-COUNTA(半紙!$B$11:$B$310)),IF(653&lt;=COUNTA(半紙!$B$11:$B$310)+COUNTA(条幅!$B$11:$B$310)+COUNTA(条幅4分の1!$B$11:$B$310),INDEX(条幅4分の1!$D$11:$D$310,653-COUNTA(半紙!$B$11:$B$310)-COUNTA(条幅!$B$11:$B$310)),"")))=0,"",IF(653&lt;=COUNTA(半紙!$B$11:$B$310),INDEX(半紙!$D$11:$D$310,653),IF(653&lt;=COUNTA(半紙!$B$11:$B$310)+COUNTA(条幅!$B$11:$B$310),INDEX(条幅!$D$11:$D$310,653-COUNTA(半紙!$B$11:$B$310)),IF(653&lt;=COUNTA(半紙!$B$11:$B$310)+COUNTA(条幅!$B$11:$B$310)+COUNTA(条幅4分の1!$B$11:$B$310),INDEX(条幅4分の1!$D$11:$D$310,653-COUNTA(半紙!$B$11:$B$310)-COUNTA(条幅!$B$11:$B$310)),""))))</f>
        <v/>
      </c>
      <c r="E658" s="38" t="str">
        <f>IF(IF(653&lt;=COUNTA(半紙!$B$11:$B$310),INDEX(半紙!$E$11:$E$310,653),IF(653&lt;=COUNTA(半紙!$B$11:$B$310)+COUNTA(条幅!$B$11:$B$310),INDEX(条幅!$E$11:$E$310,653-COUNTA(半紙!$B$11:$B$310)),IF(653&lt;=COUNTA(半紙!$B$11:$B$310)+COUNTA(条幅!$B$11:$B$310)+COUNTA(条幅4分の1!$B$11:$B$310),INDEX(条幅4分の1!$E$11:$E$310,653-COUNTA(半紙!$B$11:$B$310)-COUNTA(条幅!$B$11:$B$310)),"")))=0,"",IF(653&lt;=COUNTA(半紙!$B$11:$B$310),INDEX(半紙!$E$11:$E$310,653),IF(653&lt;=COUNTA(半紙!$B$11:$B$310)+COUNTA(条幅!$B$11:$B$310),INDEX(条幅!$E$11:$E$310,653-COUNTA(半紙!$B$11:$B$310)),IF(653&lt;=COUNTA(半紙!$B$11:$B$310)+COUNTA(条幅!$B$11:$B$310)+COUNTA(条幅4分の1!$B$11:$B$310),INDEX(条幅4分の1!$E$11:$E$310,653-COUNTA(半紙!$B$11:$B$310)-COUNTA(条幅!$B$11:$B$310)),""))))</f>
        <v/>
      </c>
      <c r="F658" s="38" t="str">
        <f>IF(IF(653&lt;=COUNTA(半紙!$B$11:$B$310),INDEX(半紙!$F$11:$F$310,653),IF(653&lt;=COUNTA(半紙!$B$11:$B$310)+COUNTA(条幅!$B$11:$B$310),INDEX(条幅!$F$11:$F$310,653-COUNTA(半紙!$B$11:$B$310)),IF(653&lt;=COUNTA(半紙!$B$11:$B$310)+COUNTA(条幅!$B$11:$B$310)+COUNTA(条幅4分の1!$B$11:$B$310),INDEX(条幅4分の1!$F$11:$F$310,653-COUNTA(半紙!$B$11:$B$310)-COUNTA(条幅!$B$11:$B$310)),"")))=0,"",IF(653&lt;=COUNTA(半紙!$B$11:$B$310),INDEX(半紙!$F$11:$F$310,653),IF(653&lt;=COUNTA(半紙!$B$11:$B$310)+COUNTA(条幅!$B$11:$B$310),INDEX(条幅!$F$11:$F$310,653-COUNTA(半紙!$B$11:$B$310)),IF(653&lt;=COUNTA(半紙!$B$11:$B$310)+COUNTA(条幅!$B$11:$B$310)+COUNTA(条幅4分の1!$B$11:$B$310),INDEX(条幅4分の1!$F$11:$F$310,653-COUNTA(半紙!$B$11:$B$310)-COUNTA(条幅!$B$11:$B$310)),""))))</f>
        <v/>
      </c>
      <c r="G658" s="38" t="str">
        <f>IF(IF(653&lt;=COUNTA(半紙!$B$11:$B$310),INDEX(半紙!$G$11:$G$310,653),IF(653&lt;=COUNTA(半紙!$B$11:$B$310)+COUNTA(条幅!$B$11:$B$310),INDEX(条幅!$G$11:$G$310,653-COUNTA(半紙!$B$11:$B$310)),IF(653&lt;=COUNTA(半紙!$B$11:$B$310)+COUNTA(条幅!$B$11:$B$310)+COUNTA(条幅4分の1!$B$11:$B$310),INDEX(条幅4分の1!$G$11:$G$310,653-COUNTA(半紙!$B$11:$B$310)-COUNTA(条幅!$B$11:$B$310)),"")))=0,"",IF(653&lt;=COUNTA(半紙!$B$11:$B$310),INDEX(半紙!$G$11:$G$310,653),IF(653&lt;=COUNTA(半紙!$B$11:$B$310)+COUNTA(条幅!$B$11:$B$310),INDEX(条幅!$G$11:$G$310,653-COUNTA(半紙!$B$11:$B$310)),IF(653&lt;=COUNTA(半紙!$B$11:$B$310)+COUNTA(条幅!$B$11:$B$310)+COUNTA(条幅4分の1!$B$11:$B$310),INDEX(条幅4分の1!$G$11:$G$310,653-COUNTA(半紙!$B$11:$B$310)-COUNTA(条幅!$B$11:$B$310)),""))))</f>
        <v/>
      </c>
      <c r="H658" s="38" t="str">
        <f>IF(IF(653&lt;=COUNTA(半紙!$B$11:$B$310),INDEX(半紙!$H$11:$H$310,653),IF(653&lt;=COUNTA(半紙!$B$11:$B$310)+COUNTA(条幅!$B$11:$B$310),INDEX(条幅!$H$11:$H$310,653-COUNTA(半紙!$B$11:$B$310)),IF(653&lt;=COUNTA(半紙!$B$11:$B$310)+COUNTA(条幅!$B$11:$B$310)+COUNTA(条幅4分の1!$B$11:$B$310),INDEX(条幅4分の1!$H$11:$H$310,653-COUNTA(半紙!$B$11:$B$310)-COUNTA(条幅!$B$11:$B$310)),"")))=0,"",IF(653&lt;=COUNTA(半紙!$B$11:$B$310),INDEX(半紙!$H$11:$H$310,653),IF(653&lt;=COUNTA(半紙!$B$11:$B$310)+COUNTA(条幅!$B$11:$B$310),INDEX(条幅!$H$11:$H$310,653-COUNTA(半紙!$B$11:$B$310)),IF(653&lt;=COUNTA(半紙!$B$11:$B$310)+COUNTA(条幅!$B$11:$B$310)+COUNTA(条幅4分の1!$B$11:$B$310),INDEX(条幅4分の1!$H$11:$H$310,653-COUNTA(半紙!$B$11:$B$310)-COUNTA(条幅!$B$11:$B$310)),""))))</f>
        <v/>
      </c>
      <c r="I658" s="38" t="str">
        <f>IF(IF(653&lt;=COUNTA(半紙!$B$11:$B$310),INDEX(半紙!$I$11:$I$310,653),IF(653&lt;=COUNTA(半紙!$B$11:$B$310)+COUNTA(条幅!$B$11:$B$310),INDEX(条幅!$I$11:$I$310,653-COUNTA(半紙!$B$11:$B$310)),IF(653&lt;=COUNTA(半紙!$B$11:$B$310)+COUNTA(条幅!$B$11:$B$310)+COUNTA(条幅4分の1!$B$11:$B$310),INDEX(条幅4分の1!$I$11:$I$310,653-COUNTA(半紙!$B$11:$B$310)-COUNTA(条幅!$B$11:$B$310)),"")))=0,"",IF(653&lt;=COUNTA(半紙!$B$11:$B$310),INDEX(半紙!$I$11:$I$310,653),IF(653&lt;=COUNTA(半紙!$B$11:$B$310)+COUNTA(条幅!$B$11:$B$310),INDEX(条幅!$I$11:$I$310,653-COUNTA(半紙!$B$11:$B$310)),IF(653&lt;=COUNTA(半紙!$B$11:$B$310)+COUNTA(条幅!$B$11:$B$310)+COUNTA(条幅4分の1!$B$11:$B$310),INDEX(条幅4分の1!$I$11:$I$310,653-COUNTA(半紙!$B$11:$B$310)-COUNTA(条幅!$B$11:$B$310)),""))))</f>
        <v/>
      </c>
      <c r="J658" s="38" t="str">
        <f>IF(IF(653&lt;=COUNTA(半紙!$B$11:$B$310),INDEX(半紙!$J$11:$J$310,653),IF(653&lt;=COUNTA(半紙!$B$11:$B$310)+COUNTA(条幅!$B$11:$B$310),INDEX(条幅!$J$11:$J$310,653-COUNTA(半紙!$B$11:$B$310)),IF(653&lt;=COUNTA(半紙!$B$11:$B$310)+COUNTA(条幅!$B$11:$B$310)+COUNTA(条幅4分の1!$B$11:$B$310),INDEX(条幅4分の1!$J$11:$J$310,653-COUNTA(半紙!$B$11:$B$310)-COUNTA(条幅!$B$11:$B$310)),"")))=0,"",IF(653&lt;=COUNTA(半紙!$B$11:$B$310),INDEX(半紙!$J$11:$J$310,653),IF(653&lt;=COUNTA(半紙!$B$11:$B$310)+COUNTA(条幅!$B$11:$B$310),INDEX(条幅!$J$11:$J$310,653-COUNTA(半紙!$B$11:$B$310)),IF(653&lt;=COUNTA(半紙!$B$11:$B$310)+COUNTA(条幅!$B$11:$B$310)+COUNTA(条幅4分の1!$B$11:$B$310),INDEX(条幅4分の1!$J$11:$J$310,653-COUNTA(半紙!$B$11:$B$310)-COUNTA(条幅!$B$11:$B$310)),""))))</f>
        <v/>
      </c>
      <c r="K658" s="38" t="str">
        <f>IF(IF(653&lt;=COUNTA(半紙!$B$11:$B$310),INDEX(半紙!$K$11:$K$310,653),IF(653&lt;=COUNTA(半紙!$B$11:$B$310)+COUNTA(条幅!$B$11:$B$310),INDEX(条幅!$K$11:$K$310,653-COUNTA(半紙!$B$11:$B$310)),IF(653&lt;=COUNTA(半紙!$B$11:$B$310)+COUNTA(条幅!$B$11:$B$310)+COUNTA(条幅4分の1!$B$11:$B$310),INDEX(条幅4分の1!$K$11:$K$310,653-COUNTA(半紙!$B$11:$B$310)-COUNTA(条幅!$B$11:$B$310)),"")))=0,"",IF(653&lt;=COUNTA(半紙!$B$11:$B$310),INDEX(半紙!$K$11:$K$310,653),IF(653&lt;=COUNTA(半紙!$B$11:$B$310)+COUNTA(条幅!$B$11:$B$310),INDEX(条幅!$K$11:$K$310,653-COUNTA(半紙!$B$11:$B$310)),IF(653&lt;=COUNTA(半紙!$B$11:$B$310)+COUNTA(条幅!$B$11:$B$310)+COUNTA(条幅4分の1!$B$11:$B$310),INDEX(条幅4分の1!$K$11:$K$310,653-COUNTA(半紙!$B$11:$B$310)-COUNTA(条幅!$B$11:$B$310)),""))))</f>
        <v/>
      </c>
      <c r="L658" s="48" t="str">
        <f>IF($B658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653))</f>
        <v/>
      </c>
    </row>
    <row r="659" spans="1:12" ht="15" customHeight="1">
      <c r="A659" s="37" t="str">
        <f>IF(654&lt;=COUNTA(半紙!$B$11:$B$310),"半紙",IF(654&lt;=COUNTA(半紙!$B$11:$B$310)+COUNTA(条幅!$B$11:$B$310),"条幅(半切)",IF(654&lt;=COUNTA(半紙!$B$11:$B$310)+COUNTA(条幅!$B$11:$B$310)+COUNTA(条幅4分の1!$B$11:$B$310),"条幅(1/4)","")))</f>
        <v/>
      </c>
      <c r="B659" s="38" t="str">
        <f>IF(IF(654&lt;=COUNTA(半紙!$B$11:$B$310),INDEX(半紙!$B$11:$B$310,654),IF(654&lt;=COUNTA(半紙!$B$11:$B$310)+COUNTA(条幅!$B$11:$B$310),INDEX(条幅!$B$11:$B$310,654-COUNTA(半紙!$B$11:$B$310)),IF(654&lt;=COUNTA(半紙!$B$11:$B$310)+COUNTA(条幅!$B$11:$B$310)+COUNTA(条幅4分の1!$B$11:$B$310),INDEX(条幅4分の1!$B$11:$B$310,654-COUNTA(半紙!$B$11:$B$310)-COUNTA(条幅!$B$11:$B$310)),"")))=0,"",IF(654&lt;=COUNTA(半紙!$B$11:$B$310),INDEX(半紙!$B$11:$B$310,654),IF(654&lt;=COUNTA(半紙!$B$11:$B$310)+COUNTA(条幅!$B$11:$B$310),INDEX(条幅!$B$11:$B$310,654-COUNTA(半紙!$B$11:$B$310)),IF(654&lt;=COUNTA(半紙!$B$11:$B$310)+COUNTA(条幅!$B$11:$B$310)+COUNTA(条幅4分の1!$B$11:$B$310),INDEX(条幅4分の1!$B$11:$B$310,654-COUNTA(半紙!$B$11:$B$310)-COUNTA(条幅!$B$11:$B$310)),""))))</f>
        <v/>
      </c>
      <c r="C659" s="38" t="str">
        <f>IF(IF(654&lt;=COUNTA(半紙!$B$11:$B$310),INDEX(半紙!$C$11:$C$310,654),IF(654&lt;=COUNTA(半紙!$B$11:$B$310)+COUNTA(条幅!$B$11:$B$310),INDEX(条幅!$C$11:$C$310,654-COUNTA(半紙!$B$11:$B$310)),IF(654&lt;=COUNTA(半紙!$B$11:$B$310)+COUNTA(条幅!$B$11:$B$310)+COUNTA(条幅4分の1!$B$11:$B$310),INDEX(条幅4分の1!$C$11:$C$310,654-COUNTA(半紙!$B$11:$B$310)-COUNTA(条幅!$B$11:$B$310)),"")))=0,"",IF(654&lt;=COUNTA(半紙!$B$11:$B$310),INDEX(半紙!$C$11:$C$310,654),IF(654&lt;=COUNTA(半紙!$B$11:$B$310)+COUNTA(条幅!$B$11:$B$310),INDEX(条幅!$C$11:$C$310,654-COUNTA(半紙!$B$11:$B$310)),IF(654&lt;=COUNTA(半紙!$B$11:$B$310)+COUNTA(条幅!$B$11:$B$310)+COUNTA(条幅4分の1!$B$11:$B$310),INDEX(条幅4分の1!$C$11:$C$310,654-COUNTA(半紙!$B$11:$B$310)-COUNTA(条幅!$B$11:$B$310)),""))))</f>
        <v/>
      </c>
      <c r="D659" s="38" t="str">
        <f>IF(IF(654&lt;=COUNTA(半紙!$B$11:$B$310),INDEX(半紙!$D$11:$D$310,654),IF(654&lt;=COUNTA(半紙!$B$11:$B$310)+COUNTA(条幅!$B$11:$B$310),INDEX(条幅!$D$11:$D$310,654-COUNTA(半紙!$B$11:$B$310)),IF(654&lt;=COUNTA(半紙!$B$11:$B$310)+COUNTA(条幅!$B$11:$B$310)+COUNTA(条幅4分の1!$B$11:$B$310),INDEX(条幅4分の1!$D$11:$D$310,654-COUNTA(半紙!$B$11:$B$310)-COUNTA(条幅!$B$11:$B$310)),"")))=0,"",IF(654&lt;=COUNTA(半紙!$B$11:$B$310),INDEX(半紙!$D$11:$D$310,654),IF(654&lt;=COUNTA(半紙!$B$11:$B$310)+COUNTA(条幅!$B$11:$B$310),INDEX(条幅!$D$11:$D$310,654-COUNTA(半紙!$B$11:$B$310)),IF(654&lt;=COUNTA(半紙!$B$11:$B$310)+COUNTA(条幅!$B$11:$B$310)+COUNTA(条幅4分の1!$B$11:$B$310),INDEX(条幅4分の1!$D$11:$D$310,654-COUNTA(半紙!$B$11:$B$310)-COUNTA(条幅!$B$11:$B$310)),""))))</f>
        <v/>
      </c>
      <c r="E659" s="38" t="str">
        <f>IF(IF(654&lt;=COUNTA(半紙!$B$11:$B$310),INDEX(半紙!$E$11:$E$310,654),IF(654&lt;=COUNTA(半紙!$B$11:$B$310)+COUNTA(条幅!$B$11:$B$310),INDEX(条幅!$E$11:$E$310,654-COUNTA(半紙!$B$11:$B$310)),IF(654&lt;=COUNTA(半紙!$B$11:$B$310)+COUNTA(条幅!$B$11:$B$310)+COUNTA(条幅4分の1!$B$11:$B$310),INDEX(条幅4分の1!$E$11:$E$310,654-COUNTA(半紙!$B$11:$B$310)-COUNTA(条幅!$B$11:$B$310)),"")))=0,"",IF(654&lt;=COUNTA(半紙!$B$11:$B$310),INDEX(半紙!$E$11:$E$310,654),IF(654&lt;=COUNTA(半紙!$B$11:$B$310)+COUNTA(条幅!$B$11:$B$310),INDEX(条幅!$E$11:$E$310,654-COUNTA(半紙!$B$11:$B$310)),IF(654&lt;=COUNTA(半紙!$B$11:$B$310)+COUNTA(条幅!$B$11:$B$310)+COUNTA(条幅4分の1!$B$11:$B$310),INDEX(条幅4分の1!$E$11:$E$310,654-COUNTA(半紙!$B$11:$B$310)-COUNTA(条幅!$B$11:$B$310)),""))))</f>
        <v/>
      </c>
      <c r="F659" s="38" t="str">
        <f>IF(IF(654&lt;=COUNTA(半紙!$B$11:$B$310),INDEX(半紙!$F$11:$F$310,654),IF(654&lt;=COUNTA(半紙!$B$11:$B$310)+COUNTA(条幅!$B$11:$B$310),INDEX(条幅!$F$11:$F$310,654-COUNTA(半紙!$B$11:$B$310)),IF(654&lt;=COUNTA(半紙!$B$11:$B$310)+COUNTA(条幅!$B$11:$B$310)+COUNTA(条幅4分の1!$B$11:$B$310),INDEX(条幅4分の1!$F$11:$F$310,654-COUNTA(半紙!$B$11:$B$310)-COUNTA(条幅!$B$11:$B$310)),"")))=0,"",IF(654&lt;=COUNTA(半紙!$B$11:$B$310),INDEX(半紙!$F$11:$F$310,654),IF(654&lt;=COUNTA(半紙!$B$11:$B$310)+COUNTA(条幅!$B$11:$B$310),INDEX(条幅!$F$11:$F$310,654-COUNTA(半紙!$B$11:$B$310)),IF(654&lt;=COUNTA(半紙!$B$11:$B$310)+COUNTA(条幅!$B$11:$B$310)+COUNTA(条幅4分の1!$B$11:$B$310),INDEX(条幅4分の1!$F$11:$F$310,654-COUNTA(半紙!$B$11:$B$310)-COUNTA(条幅!$B$11:$B$310)),""))))</f>
        <v/>
      </c>
      <c r="G659" s="38" t="str">
        <f>IF(IF(654&lt;=COUNTA(半紙!$B$11:$B$310),INDEX(半紙!$G$11:$G$310,654),IF(654&lt;=COUNTA(半紙!$B$11:$B$310)+COUNTA(条幅!$B$11:$B$310),INDEX(条幅!$G$11:$G$310,654-COUNTA(半紙!$B$11:$B$310)),IF(654&lt;=COUNTA(半紙!$B$11:$B$310)+COUNTA(条幅!$B$11:$B$310)+COUNTA(条幅4分の1!$B$11:$B$310),INDEX(条幅4分の1!$G$11:$G$310,654-COUNTA(半紙!$B$11:$B$310)-COUNTA(条幅!$B$11:$B$310)),"")))=0,"",IF(654&lt;=COUNTA(半紙!$B$11:$B$310),INDEX(半紙!$G$11:$G$310,654),IF(654&lt;=COUNTA(半紙!$B$11:$B$310)+COUNTA(条幅!$B$11:$B$310),INDEX(条幅!$G$11:$G$310,654-COUNTA(半紙!$B$11:$B$310)),IF(654&lt;=COUNTA(半紙!$B$11:$B$310)+COUNTA(条幅!$B$11:$B$310)+COUNTA(条幅4分の1!$B$11:$B$310),INDEX(条幅4分の1!$G$11:$G$310,654-COUNTA(半紙!$B$11:$B$310)-COUNTA(条幅!$B$11:$B$310)),""))))</f>
        <v/>
      </c>
      <c r="H659" s="38" t="str">
        <f>IF(IF(654&lt;=COUNTA(半紙!$B$11:$B$310),INDEX(半紙!$H$11:$H$310,654),IF(654&lt;=COUNTA(半紙!$B$11:$B$310)+COUNTA(条幅!$B$11:$B$310),INDEX(条幅!$H$11:$H$310,654-COUNTA(半紙!$B$11:$B$310)),IF(654&lt;=COUNTA(半紙!$B$11:$B$310)+COUNTA(条幅!$B$11:$B$310)+COUNTA(条幅4分の1!$B$11:$B$310),INDEX(条幅4分の1!$H$11:$H$310,654-COUNTA(半紙!$B$11:$B$310)-COUNTA(条幅!$B$11:$B$310)),"")))=0,"",IF(654&lt;=COUNTA(半紙!$B$11:$B$310),INDEX(半紙!$H$11:$H$310,654),IF(654&lt;=COUNTA(半紙!$B$11:$B$310)+COUNTA(条幅!$B$11:$B$310),INDEX(条幅!$H$11:$H$310,654-COUNTA(半紙!$B$11:$B$310)),IF(654&lt;=COUNTA(半紙!$B$11:$B$310)+COUNTA(条幅!$B$11:$B$310)+COUNTA(条幅4分の1!$B$11:$B$310),INDEX(条幅4分の1!$H$11:$H$310,654-COUNTA(半紙!$B$11:$B$310)-COUNTA(条幅!$B$11:$B$310)),""))))</f>
        <v/>
      </c>
      <c r="I659" s="38" t="str">
        <f>IF(IF(654&lt;=COUNTA(半紙!$B$11:$B$310),INDEX(半紙!$I$11:$I$310,654),IF(654&lt;=COUNTA(半紙!$B$11:$B$310)+COUNTA(条幅!$B$11:$B$310),INDEX(条幅!$I$11:$I$310,654-COUNTA(半紙!$B$11:$B$310)),IF(654&lt;=COUNTA(半紙!$B$11:$B$310)+COUNTA(条幅!$B$11:$B$310)+COUNTA(条幅4分の1!$B$11:$B$310),INDEX(条幅4分の1!$I$11:$I$310,654-COUNTA(半紙!$B$11:$B$310)-COUNTA(条幅!$B$11:$B$310)),"")))=0,"",IF(654&lt;=COUNTA(半紙!$B$11:$B$310),INDEX(半紙!$I$11:$I$310,654),IF(654&lt;=COUNTA(半紙!$B$11:$B$310)+COUNTA(条幅!$B$11:$B$310),INDEX(条幅!$I$11:$I$310,654-COUNTA(半紙!$B$11:$B$310)),IF(654&lt;=COUNTA(半紙!$B$11:$B$310)+COUNTA(条幅!$B$11:$B$310)+COUNTA(条幅4分の1!$B$11:$B$310),INDEX(条幅4分の1!$I$11:$I$310,654-COUNTA(半紙!$B$11:$B$310)-COUNTA(条幅!$B$11:$B$310)),""))))</f>
        <v/>
      </c>
      <c r="J659" s="38" t="str">
        <f>IF(IF(654&lt;=COUNTA(半紙!$B$11:$B$310),INDEX(半紙!$J$11:$J$310,654),IF(654&lt;=COUNTA(半紙!$B$11:$B$310)+COUNTA(条幅!$B$11:$B$310),INDEX(条幅!$J$11:$J$310,654-COUNTA(半紙!$B$11:$B$310)),IF(654&lt;=COUNTA(半紙!$B$11:$B$310)+COUNTA(条幅!$B$11:$B$310)+COUNTA(条幅4分の1!$B$11:$B$310),INDEX(条幅4分の1!$J$11:$J$310,654-COUNTA(半紙!$B$11:$B$310)-COUNTA(条幅!$B$11:$B$310)),"")))=0,"",IF(654&lt;=COUNTA(半紙!$B$11:$B$310),INDEX(半紙!$J$11:$J$310,654),IF(654&lt;=COUNTA(半紙!$B$11:$B$310)+COUNTA(条幅!$B$11:$B$310),INDEX(条幅!$J$11:$J$310,654-COUNTA(半紙!$B$11:$B$310)),IF(654&lt;=COUNTA(半紙!$B$11:$B$310)+COUNTA(条幅!$B$11:$B$310)+COUNTA(条幅4分の1!$B$11:$B$310),INDEX(条幅4分の1!$J$11:$J$310,654-COUNTA(半紙!$B$11:$B$310)-COUNTA(条幅!$B$11:$B$310)),""))))</f>
        <v/>
      </c>
      <c r="K659" s="38" t="str">
        <f>IF(IF(654&lt;=COUNTA(半紙!$B$11:$B$310),INDEX(半紙!$K$11:$K$310,654),IF(654&lt;=COUNTA(半紙!$B$11:$B$310)+COUNTA(条幅!$B$11:$B$310),INDEX(条幅!$K$11:$K$310,654-COUNTA(半紙!$B$11:$B$310)),IF(654&lt;=COUNTA(半紙!$B$11:$B$310)+COUNTA(条幅!$B$11:$B$310)+COUNTA(条幅4分の1!$B$11:$B$310),INDEX(条幅4分の1!$K$11:$K$310,654-COUNTA(半紙!$B$11:$B$310)-COUNTA(条幅!$B$11:$B$310)),"")))=0,"",IF(654&lt;=COUNTA(半紙!$B$11:$B$310),INDEX(半紙!$K$11:$K$310,654),IF(654&lt;=COUNTA(半紙!$B$11:$B$310)+COUNTA(条幅!$B$11:$B$310),INDEX(条幅!$K$11:$K$310,654-COUNTA(半紙!$B$11:$B$310)),IF(654&lt;=COUNTA(半紙!$B$11:$B$310)+COUNTA(条幅!$B$11:$B$310)+COUNTA(条幅4分の1!$B$11:$B$310),INDEX(条幅4分の1!$K$11:$K$310,654-COUNTA(半紙!$B$11:$B$310)-COUNTA(条幅!$B$11:$B$310)),""))))</f>
        <v/>
      </c>
      <c r="L659" s="48" t="str">
        <f>IF($B659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654))</f>
        <v/>
      </c>
    </row>
    <row r="660" spans="1:12" ht="15" customHeight="1">
      <c r="A660" s="37" t="str">
        <f>IF(655&lt;=COUNTA(半紙!$B$11:$B$310),"半紙",IF(655&lt;=COUNTA(半紙!$B$11:$B$310)+COUNTA(条幅!$B$11:$B$310),"条幅(半切)",IF(655&lt;=COUNTA(半紙!$B$11:$B$310)+COUNTA(条幅!$B$11:$B$310)+COUNTA(条幅4分の1!$B$11:$B$310),"条幅(1/4)","")))</f>
        <v/>
      </c>
      <c r="B660" s="38" t="str">
        <f>IF(IF(655&lt;=COUNTA(半紙!$B$11:$B$310),INDEX(半紙!$B$11:$B$310,655),IF(655&lt;=COUNTA(半紙!$B$11:$B$310)+COUNTA(条幅!$B$11:$B$310),INDEX(条幅!$B$11:$B$310,655-COUNTA(半紙!$B$11:$B$310)),IF(655&lt;=COUNTA(半紙!$B$11:$B$310)+COUNTA(条幅!$B$11:$B$310)+COUNTA(条幅4分の1!$B$11:$B$310),INDEX(条幅4分の1!$B$11:$B$310,655-COUNTA(半紙!$B$11:$B$310)-COUNTA(条幅!$B$11:$B$310)),"")))=0,"",IF(655&lt;=COUNTA(半紙!$B$11:$B$310),INDEX(半紙!$B$11:$B$310,655),IF(655&lt;=COUNTA(半紙!$B$11:$B$310)+COUNTA(条幅!$B$11:$B$310),INDEX(条幅!$B$11:$B$310,655-COUNTA(半紙!$B$11:$B$310)),IF(655&lt;=COUNTA(半紙!$B$11:$B$310)+COUNTA(条幅!$B$11:$B$310)+COUNTA(条幅4分の1!$B$11:$B$310),INDEX(条幅4分の1!$B$11:$B$310,655-COUNTA(半紙!$B$11:$B$310)-COUNTA(条幅!$B$11:$B$310)),""))))</f>
        <v/>
      </c>
      <c r="C660" s="38" t="str">
        <f>IF(IF(655&lt;=COUNTA(半紙!$B$11:$B$310),INDEX(半紙!$C$11:$C$310,655),IF(655&lt;=COUNTA(半紙!$B$11:$B$310)+COUNTA(条幅!$B$11:$B$310),INDEX(条幅!$C$11:$C$310,655-COUNTA(半紙!$B$11:$B$310)),IF(655&lt;=COUNTA(半紙!$B$11:$B$310)+COUNTA(条幅!$B$11:$B$310)+COUNTA(条幅4分の1!$B$11:$B$310),INDEX(条幅4分の1!$C$11:$C$310,655-COUNTA(半紙!$B$11:$B$310)-COUNTA(条幅!$B$11:$B$310)),"")))=0,"",IF(655&lt;=COUNTA(半紙!$B$11:$B$310),INDEX(半紙!$C$11:$C$310,655),IF(655&lt;=COUNTA(半紙!$B$11:$B$310)+COUNTA(条幅!$B$11:$B$310),INDEX(条幅!$C$11:$C$310,655-COUNTA(半紙!$B$11:$B$310)),IF(655&lt;=COUNTA(半紙!$B$11:$B$310)+COUNTA(条幅!$B$11:$B$310)+COUNTA(条幅4分の1!$B$11:$B$310),INDEX(条幅4分の1!$C$11:$C$310,655-COUNTA(半紙!$B$11:$B$310)-COUNTA(条幅!$B$11:$B$310)),""))))</f>
        <v/>
      </c>
      <c r="D660" s="38" t="str">
        <f>IF(IF(655&lt;=COUNTA(半紙!$B$11:$B$310),INDEX(半紙!$D$11:$D$310,655),IF(655&lt;=COUNTA(半紙!$B$11:$B$310)+COUNTA(条幅!$B$11:$B$310),INDEX(条幅!$D$11:$D$310,655-COUNTA(半紙!$B$11:$B$310)),IF(655&lt;=COUNTA(半紙!$B$11:$B$310)+COUNTA(条幅!$B$11:$B$310)+COUNTA(条幅4分の1!$B$11:$B$310),INDEX(条幅4分の1!$D$11:$D$310,655-COUNTA(半紙!$B$11:$B$310)-COUNTA(条幅!$B$11:$B$310)),"")))=0,"",IF(655&lt;=COUNTA(半紙!$B$11:$B$310),INDEX(半紙!$D$11:$D$310,655),IF(655&lt;=COUNTA(半紙!$B$11:$B$310)+COUNTA(条幅!$B$11:$B$310),INDEX(条幅!$D$11:$D$310,655-COUNTA(半紙!$B$11:$B$310)),IF(655&lt;=COUNTA(半紙!$B$11:$B$310)+COUNTA(条幅!$B$11:$B$310)+COUNTA(条幅4分の1!$B$11:$B$310),INDEX(条幅4分の1!$D$11:$D$310,655-COUNTA(半紙!$B$11:$B$310)-COUNTA(条幅!$B$11:$B$310)),""))))</f>
        <v/>
      </c>
      <c r="E660" s="38" t="str">
        <f>IF(IF(655&lt;=COUNTA(半紙!$B$11:$B$310),INDEX(半紙!$E$11:$E$310,655),IF(655&lt;=COUNTA(半紙!$B$11:$B$310)+COUNTA(条幅!$B$11:$B$310),INDEX(条幅!$E$11:$E$310,655-COUNTA(半紙!$B$11:$B$310)),IF(655&lt;=COUNTA(半紙!$B$11:$B$310)+COUNTA(条幅!$B$11:$B$310)+COUNTA(条幅4分の1!$B$11:$B$310),INDEX(条幅4分の1!$E$11:$E$310,655-COUNTA(半紙!$B$11:$B$310)-COUNTA(条幅!$B$11:$B$310)),"")))=0,"",IF(655&lt;=COUNTA(半紙!$B$11:$B$310),INDEX(半紙!$E$11:$E$310,655),IF(655&lt;=COUNTA(半紙!$B$11:$B$310)+COUNTA(条幅!$B$11:$B$310),INDEX(条幅!$E$11:$E$310,655-COUNTA(半紙!$B$11:$B$310)),IF(655&lt;=COUNTA(半紙!$B$11:$B$310)+COUNTA(条幅!$B$11:$B$310)+COUNTA(条幅4分の1!$B$11:$B$310),INDEX(条幅4分の1!$E$11:$E$310,655-COUNTA(半紙!$B$11:$B$310)-COUNTA(条幅!$B$11:$B$310)),""))))</f>
        <v/>
      </c>
      <c r="F660" s="38" t="str">
        <f>IF(IF(655&lt;=COUNTA(半紙!$B$11:$B$310),INDEX(半紙!$F$11:$F$310,655),IF(655&lt;=COUNTA(半紙!$B$11:$B$310)+COUNTA(条幅!$B$11:$B$310),INDEX(条幅!$F$11:$F$310,655-COUNTA(半紙!$B$11:$B$310)),IF(655&lt;=COUNTA(半紙!$B$11:$B$310)+COUNTA(条幅!$B$11:$B$310)+COUNTA(条幅4分の1!$B$11:$B$310),INDEX(条幅4分の1!$F$11:$F$310,655-COUNTA(半紙!$B$11:$B$310)-COUNTA(条幅!$B$11:$B$310)),"")))=0,"",IF(655&lt;=COUNTA(半紙!$B$11:$B$310),INDEX(半紙!$F$11:$F$310,655),IF(655&lt;=COUNTA(半紙!$B$11:$B$310)+COUNTA(条幅!$B$11:$B$310),INDEX(条幅!$F$11:$F$310,655-COUNTA(半紙!$B$11:$B$310)),IF(655&lt;=COUNTA(半紙!$B$11:$B$310)+COUNTA(条幅!$B$11:$B$310)+COUNTA(条幅4分の1!$B$11:$B$310),INDEX(条幅4分の1!$F$11:$F$310,655-COUNTA(半紙!$B$11:$B$310)-COUNTA(条幅!$B$11:$B$310)),""))))</f>
        <v/>
      </c>
      <c r="G660" s="38" t="str">
        <f>IF(IF(655&lt;=COUNTA(半紙!$B$11:$B$310),INDEX(半紙!$G$11:$G$310,655),IF(655&lt;=COUNTA(半紙!$B$11:$B$310)+COUNTA(条幅!$B$11:$B$310),INDEX(条幅!$G$11:$G$310,655-COUNTA(半紙!$B$11:$B$310)),IF(655&lt;=COUNTA(半紙!$B$11:$B$310)+COUNTA(条幅!$B$11:$B$310)+COUNTA(条幅4分の1!$B$11:$B$310),INDEX(条幅4分の1!$G$11:$G$310,655-COUNTA(半紙!$B$11:$B$310)-COUNTA(条幅!$B$11:$B$310)),"")))=0,"",IF(655&lt;=COUNTA(半紙!$B$11:$B$310),INDEX(半紙!$G$11:$G$310,655),IF(655&lt;=COUNTA(半紙!$B$11:$B$310)+COUNTA(条幅!$B$11:$B$310),INDEX(条幅!$G$11:$G$310,655-COUNTA(半紙!$B$11:$B$310)),IF(655&lt;=COUNTA(半紙!$B$11:$B$310)+COUNTA(条幅!$B$11:$B$310)+COUNTA(条幅4分の1!$B$11:$B$310),INDEX(条幅4分の1!$G$11:$G$310,655-COUNTA(半紙!$B$11:$B$310)-COUNTA(条幅!$B$11:$B$310)),""))))</f>
        <v/>
      </c>
      <c r="H660" s="38" t="str">
        <f>IF(IF(655&lt;=COUNTA(半紙!$B$11:$B$310),INDEX(半紙!$H$11:$H$310,655),IF(655&lt;=COUNTA(半紙!$B$11:$B$310)+COUNTA(条幅!$B$11:$B$310),INDEX(条幅!$H$11:$H$310,655-COUNTA(半紙!$B$11:$B$310)),IF(655&lt;=COUNTA(半紙!$B$11:$B$310)+COUNTA(条幅!$B$11:$B$310)+COUNTA(条幅4分の1!$B$11:$B$310),INDEX(条幅4分の1!$H$11:$H$310,655-COUNTA(半紙!$B$11:$B$310)-COUNTA(条幅!$B$11:$B$310)),"")))=0,"",IF(655&lt;=COUNTA(半紙!$B$11:$B$310),INDEX(半紙!$H$11:$H$310,655),IF(655&lt;=COUNTA(半紙!$B$11:$B$310)+COUNTA(条幅!$B$11:$B$310),INDEX(条幅!$H$11:$H$310,655-COUNTA(半紙!$B$11:$B$310)),IF(655&lt;=COUNTA(半紙!$B$11:$B$310)+COUNTA(条幅!$B$11:$B$310)+COUNTA(条幅4分の1!$B$11:$B$310),INDEX(条幅4分の1!$H$11:$H$310,655-COUNTA(半紙!$B$11:$B$310)-COUNTA(条幅!$B$11:$B$310)),""))))</f>
        <v/>
      </c>
      <c r="I660" s="38" t="str">
        <f>IF(IF(655&lt;=COUNTA(半紙!$B$11:$B$310),INDEX(半紙!$I$11:$I$310,655),IF(655&lt;=COUNTA(半紙!$B$11:$B$310)+COUNTA(条幅!$B$11:$B$310),INDEX(条幅!$I$11:$I$310,655-COUNTA(半紙!$B$11:$B$310)),IF(655&lt;=COUNTA(半紙!$B$11:$B$310)+COUNTA(条幅!$B$11:$B$310)+COUNTA(条幅4分の1!$B$11:$B$310),INDEX(条幅4分の1!$I$11:$I$310,655-COUNTA(半紙!$B$11:$B$310)-COUNTA(条幅!$B$11:$B$310)),"")))=0,"",IF(655&lt;=COUNTA(半紙!$B$11:$B$310),INDEX(半紙!$I$11:$I$310,655),IF(655&lt;=COUNTA(半紙!$B$11:$B$310)+COUNTA(条幅!$B$11:$B$310),INDEX(条幅!$I$11:$I$310,655-COUNTA(半紙!$B$11:$B$310)),IF(655&lt;=COUNTA(半紙!$B$11:$B$310)+COUNTA(条幅!$B$11:$B$310)+COUNTA(条幅4分の1!$B$11:$B$310),INDEX(条幅4分の1!$I$11:$I$310,655-COUNTA(半紙!$B$11:$B$310)-COUNTA(条幅!$B$11:$B$310)),""))))</f>
        <v/>
      </c>
      <c r="J660" s="38" t="str">
        <f>IF(IF(655&lt;=COUNTA(半紙!$B$11:$B$310),INDEX(半紙!$J$11:$J$310,655),IF(655&lt;=COUNTA(半紙!$B$11:$B$310)+COUNTA(条幅!$B$11:$B$310),INDEX(条幅!$J$11:$J$310,655-COUNTA(半紙!$B$11:$B$310)),IF(655&lt;=COUNTA(半紙!$B$11:$B$310)+COUNTA(条幅!$B$11:$B$310)+COUNTA(条幅4分の1!$B$11:$B$310),INDEX(条幅4分の1!$J$11:$J$310,655-COUNTA(半紙!$B$11:$B$310)-COUNTA(条幅!$B$11:$B$310)),"")))=0,"",IF(655&lt;=COUNTA(半紙!$B$11:$B$310),INDEX(半紙!$J$11:$J$310,655),IF(655&lt;=COUNTA(半紙!$B$11:$B$310)+COUNTA(条幅!$B$11:$B$310),INDEX(条幅!$J$11:$J$310,655-COUNTA(半紙!$B$11:$B$310)),IF(655&lt;=COUNTA(半紙!$B$11:$B$310)+COUNTA(条幅!$B$11:$B$310)+COUNTA(条幅4分の1!$B$11:$B$310),INDEX(条幅4分の1!$J$11:$J$310,655-COUNTA(半紙!$B$11:$B$310)-COUNTA(条幅!$B$11:$B$310)),""))))</f>
        <v/>
      </c>
      <c r="K660" s="38" t="str">
        <f>IF(IF(655&lt;=COUNTA(半紙!$B$11:$B$310),INDEX(半紙!$K$11:$K$310,655),IF(655&lt;=COUNTA(半紙!$B$11:$B$310)+COUNTA(条幅!$B$11:$B$310),INDEX(条幅!$K$11:$K$310,655-COUNTA(半紙!$B$11:$B$310)),IF(655&lt;=COUNTA(半紙!$B$11:$B$310)+COUNTA(条幅!$B$11:$B$310)+COUNTA(条幅4分の1!$B$11:$B$310),INDEX(条幅4分の1!$K$11:$K$310,655-COUNTA(半紙!$B$11:$B$310)-COUNTA(条幅!$B$11:$B$310)),"")))=0,"",IF(655&lt;=COUNTA(半紙!$B$11:$B$310),INDEX(半紙!$K$11:$K$310,655),IF(655&lt;=COUNTA(半紙!$B$11:$B$310)+COUNTA(条幅!$B$11:$B$310),INDEX(条幅!$K$11:$K$310,655-COUNTA(半紙!$B$11:$B$310)),IF(655&lt;=COUNTA(半紙!$B$11:$B$310)+COUNTA(条幅!$B$11:$B$310)+COUNTA(条幅4分の1!$B$11:$B$310),INDEX(条幅4分の1!$K$11:$K$310,655-COUNTA(半紙!$B$11:$B$310)-COUNTA(条幅!$B$11:$B$310)),""))))</f>
        <v/>
      </c>
      <c r="L660" s="48" t="str">
        <f>IF($B660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655))</f>
        <v/>
      </c>
    </row>
    <row r="661" spans="1:12" ht="15" customHeight="1">
      <c r="A661" s="37" t="str">
        <f>IF(656&lt;=COUNTA(半紙!$B$11:$B$310),"半紙",IF(656&lt;=COUNTA(半紙!$B$11:$B$310)+COUNTA(条幅!$B$11:$B$310),"条幅(半切)",IF(656&lt;=COUNTA(半紙!$B$11:$B$310)+COUNTA(条幅!$B$11:$B$310)+COUNTA(条幅4分の1!$B$11:$B$310),"条幅(1/4)","")))</f>
        <v/>
      </c>
      <c r="B661" s="38" t="str">
        <f>IF(IF(656&lt;=COUNTA(半紙!$B$11:$B$310),INDEX(半紙!$B$11:$B$310,656),IF(656&lt;=COUNTA(半紙!$B$11:$B$310)+COUNTA(条幅!$B$11:$B$310),INDEX(条幅!$B$11:$B$310,656-COUNTA(半紙!$B$11:$B$310)),IF(656&lt;=COUNTA(半紙!$B$11:$B$310)+COUNTA(条幅!$B$11:$B$310)+COUNTA(条幅4分の1!$B$11:$B$310),INDEX(条幅4分の1!$B$11:$B$310,656-COUNTA(半紙!$B$11:$B$310)-COUNTA(条幅!$B$11:$B$310)),"")))=0,"",IF(656&lt;=COUNTA(半紙!$B$11:$B$310),INDEX(半紙!$B$11:$B$310,656),IF(656&lt;=COUNTA(半紙!$B$11:$B$310)+COUNTA(条幅!$B$11:$B$310),INDEX(条幅!$B$11:$B$310,656-COUNTA(半紙!$B$11:$B$310)),IF(656&lt;=COUNTA(半紙!$B$11:$B$310)+COUNTA(条幅!$B$11:$B$310)+COUNTA(条幅4分の1!$B$11:$B$310),INDEX(条幅4分の1!$B$11:$B$310,656-COUNTA(半紙!$B$11:$B$310)-COUNTA(条幅!$B$11:$B$310)),""))))</f>
        <v/>
      </c>
      <c r="C661" s="38" t="str">
        <f>IF(IF(656&lt;=COUNTA(半紙!$B$11:$B$310),INDEX(半紙!$C$11:$C$310,656),IF(656&lt;=COUNTA(半紙!$B$11:$B$310)+COUNTA(条幅!$B$11:$B$310),INDEX(条幅!$C$11:$C$310,656-COUNTA(半紙!$B$11:$B$310)),IF(656&lt;=COUNTA(半紙!$B$11:$B$310)+COUNTA(条幅!$B$11:$B$310)+COUNTA(条幅4分の1!$B$11:$B$310),INDEX(条幅4分の1!$C$11:$C$310,656-COUNTA(半紙!$B$11:$B$310)-COUNTA(条幅!$B$11:$B$310)),"")))=0,"",IF(656&lt;=COUNTA(半紙!$B$11:$B$310),INDEX(半紙!$C$11:$C$310,656),IF(656&lt;=COUNTA(半紙!$B$11:$B$310)+COUNTA(条幅!$B$11:$B$310),INDEX(条幅!$C$11:$C$310,656-COUNTA(半紙!$B$11:$B$310)),IF(656&lt;=COUNTA(半紙!$B$11:$B$310)+COUNTA(条幅!$B$11:$B$310)+COUNTA(条幅4分の1!$B$11:$B$310),INDEX(条幅4分の1!$C$11:$C$310,656-COUNTA(半紙!$B$11:$B$310)-COUNTA(条幅!$B$11:$B$310)),""))))</f>
        <v/>
      </c>
      <c r="D661" s="38" t="str">
        <f>IF(IF(656&lt;=COUNTA(半紙!$B$11:$B$310),INDEX(半紙!$D$11:$D$310,656),IF(656&lt;=COUNTA(半紙!$B$11:$B$310)+COUNTA(条幅!$B$11:$B$310),INDEX(条幅!$D$11:$D$310,656-COUNTA(半紙!$B$11:$B$310)),IF(656&lt;=COUNTA(半紙!$B$11:$B$310)+COUNTA(条幅!$B$11:$B$310)+COUNTA(条幅4分の1!$B$11:$B$310),INDEX(条幅4分の1!$D$11:$D$310,656-COUNTA(半紙!$B$11:$B$310)-COUNTA(条幅!$B$11:$B$310)),"")))=0,"",IF(656&lt;=COUNTA(半紙!$B$11:$B$310),INDEX(半紙!$D$11:$D$310,656),IF(656&lt;=COUNTA(半紙!$B$11:$B$310)+COUNTA(条幅!$B$11:$B$310),INDEX(条幅!$D$11:$D$310,656-COUNTA(半紙!$B$11:$B$310)),IF(656&lt;=COUNTA(半紙!$B$11:$B$310)+COUNTA(条幅!$B$11:$B$310)+COUNTA(条幅4分の1!$B$11:$B$310),INDEX(条幅4分の1!$D$11:$D$310,656-COUNTA(半紙!$B$11:$B$310)-COUNTA(条幅!$B$11:$B$310)),""))))</f>
        <v/>
      </c>
      <c r="E661" s="38" t="str">
        <f>IF(IF(656&lt;=COUNTA(半紙!$B$11:$B$310),INDEX(半紙!$E$11:$E$310,656),IF(656&lt;=COUNTA(半紙!$B$11:$B$310)+COUNTA(条幅!$B$11:$B$310),INDEX(条幅!$E$11:$E$310,656-COUNTA(半紙!$B$11:$B$310)),IF(656&lt;=COUNTA(半紙!$B$11:$B$310)+COUNTA(条幅!$B$11:$B$310)+COUNTA(条幅4分の1!$B$11:$B$310),INDEX(条幅4分の1!$E$11:$E$310,656-COUNTA(半紙!$B$11:$B$310)-COUNTA(条幅!$B$11:$B$310)),"")))=0,"",IF(656&lt;=COUNTA(半紙!$B$11:$B$310),INDEX(半紙!$E$11:$E$310,656),IF(656&lt;=COUNTA(半紙!$B$11:$B$310)+COUNTA(条幅!$B$11:$B$310),INDEX(条幅!$E$11:$E$310,656-COUNTA(半紙!$B$11:$B$310)),IF(656&lt;=COUNTA(半紙!$B$11:$B$310)+COUNTA(条幅!$B$11:$B$310)+COUNTA(条幅4分の1!$B$11:$B$310),INDEX(条幅4分の1!$E$11:$E$310,656-COUNTA(半紙!$B$11:$B$310)-COUNTA(条幅!$B$11:$B$310)),""))))</f>
        <v/>
      </c>
      <c r="F661" s="38" t="str">
        <f>IF(IF(656&lt;=COUNTA(半紙!$B$11:$B$310),INDEX(半紙!$F$11:$F$310,656),IF(656&lt;=COUNTA(半紙!$B$11:$B$310)+COUNTA(条幅!$B$11:$B$310),INDEX(条幅!$F$11:$F$310,656-COUNTA(半紙!$B$11:$B$310)),IF(656&lt;=COUNTA(半紙!$B$11:$B$310)+COUNTA(条幅!$B$11:$B$310)+COUNTA(条幅4分の1!$B$11:$B$310),INDEX(条幅4分の1!$F$11:$F$310,656-COUNTA(半紙!$B$11:$B$310)-COUNTA(条幅!$B$11:$B$310)),"")))=0,"",IF(656&lt;=COUNTA(半紙!$B$11:$B$310),INDEX(半紙!$F$11:$F$310,656),IF(656&lt;=COUNTA(半紙!$B$11:$B$310)+COUNTA(条幅!$B$11:$B$310),INDEX(条幅!$F$11:$F$310,656-COUNTA(半紙!$B$11:$B$310)),IF(656&lt;=COUNTA(半紙!$B$11:$B$310)+COUNTA(条幅!$B$11:$B$310)+COUNTA(条幅4分の1!$B$11:$B$310),INDEX(条幅4分の1!$F$11:$F$310,656-COUNTA(半紙!$B$11:$B$310)-COUNTA(条幅!$B$11:$B$310)),""))))</f>
        <v/>
      </c>
      <c r="G661" s="38" t="str">
        <f>IF(IF(656&lt;=COUNTA(半紙!$B$11:$B$310),INDEX(半紙!$G$11:$G$310,656),IF(656&lt;=COUNTA(半紙!$B$11:$B$310)+COUNTA(条幅!$B$11:$B$310),INDEX(条幅!$G$11:$G$310,656-COUNTA(半紙!$B$11:$B$310)),IF(656&lt;=COUNTA(半紙!$B$11:$B$310)+COUNTA(条幅!$B$11:$B$310)+COUNTA(条幅4分の1!$B$11:$B$310),INDEX(条幅4分の1!$G$11:$G$310,656-COUNTA(半紙!$B$11:$B$310)-COUNTA(条幅!$B$11:$B$310)),"")))=0,"",IF(656&lt;=COUNTA(半紙!$B$11:$B$310),INDEX(半紙!$G$11:$G$310,656),IF(656&lt;=COUNTA(半紙!$B$11:$B$310)+COUNTA(条幅!$B$11:$B$310),INDEX(条幅!$G$11:$G$310,656-COUNTA(半紙!$B$11:$B$310)),IF(656&lt;=COUNTA(半紙!$B$11:$B$310)+COUNTA(条幅!$B$11:$B$310)+COUNTA(条幅4分の1!$B$11:$B$310),INDEX(条幅4分の1!$G$11:$G$310,656-COUNTA(半紙!$B$11:$B$310)-COUNTA(条幅!$B$11:$B$310)),""))))</f>
        <v/>
      </c>
      <c r="H661" s="38" t="str">
        <f>IF(IF(656&lt;=COUNTA(半紙!$B$11:$B$310),INDEX(半紙!$H$11:$H$310,656),IF(656&lt;=COUNTA(半紙!$B$11:$B$310)+COUNTA(条幅!$B$11:$B$310),INDEX(条幅!$H$11:$H$310,656-COUNTA(半紙!$B$11:$B$310)),IF(656&lt;=COUNTA(半紙!$B$11:$B$310)+COUNTA(条幅!$B$11:$B$310)+COUNTA(条幅4分の1!$B$11:$B$310),INDEX(条幅4分の1!$H$11:$H$310,656-COUNTA(半紙!$B$11:$B$310)-COUNTA(条幅!$B$11:$B$310)),"")))=0,"",IF(656&lt;=COUNTA(半紙!$B$11:$B$310),INDEX(半紙!$H$11:$H$310,656),IF(656&lt;=COUNTA(半紙!$B$11:$B$310)+COUNTA(条幅!$B$11:$B$310),INDEX(条幅!$H$11:$H$310,656-COUNTA(半紙!$B$11:$B$310)),IF(656&lt;=COUNTA(半紙!$B$11:$B$310)+COUNTA(条幅!$B$11:$B$310)+COUNTA(条幅4分の1!$B$11:$B$310),INDEX(条幅4分の1!$H$11:$H$310,656-COUNTA(半紙!$B$11:$B$310)-COUNTA(条幅!$B$11:$B$310)),""))))</f>
        <v/>
      </c>
      <c r="I661" s="38" t="str">
        <f>IF(IF(656&lt;=COUNTA(半紙!$B$11:$B$310),INDEX(半紙!$I$11:$I$310,656),IF(656&lt;=COUNTA(半紙!$B$11:$B$310)+COUNTA(条幅!$B$11:$B$310),INDEX(条幅!$I$11:$I$310,656-COUNTA(半紙!$B$11:$B$310)),IF(656&lt;=COUNTA(半紙!$B$11:$B$310)+COUNTA(条幅!$B$11:$B$310)+COUNTA(条幅4分の1!$B$11:$B$310),INDEX(条幅4分の1!$I$11:$I$310,656-COUNTA(半紙!$B$11:$B$310)-COUNTA(条幅!$B$11:$B$310)),"")))=0,"",IF(656&lt;=COUNTA(半紙!$B$11:$B$310),INDEX(半紙!$I$11:$I$310,656),IF(656&lt;=COUNTA(半紙!$B$11:$B$310)+COUNTA(条幅!$B$11:$B$310),INDEX(条幅!$I$11:$I$310,656-COUNTA(半紙!$B$11:$B$310)),IF(656&lt;=COUNTA(半紙!$B$11:$B$310)+COUNTA(条幅!$B$11:$B$310)+COUNTA(条幅4分の1!$B$11:$B$310),INDEX(条幅4分の1!$I$11:$I$310,656-COUNTA(半紙!$B$11:$B$310)-COUNTA(条幅!$B$11:$B$310)),""))))</f>
        <v/>
      </c>
      <c r="J661" s="38" t="str">
        <f>IF(IF(656&lt;=COUNTA(半紙!$B$11:$B$310),INDEX(半紙!$J$11:$J$310,656),IF(656&lt;=COUNTA(半紙!$B$11:$B$310)+COUNTA(条幅!$B$11:$B$310),INDEX(条幅!$J$11:$J$310,656-COUNTA(半紙!$B$11:$B$310)),IF(656&lt;=COUNTA(半紙!$B$11:$B$310)+COUNTA(条幅!$B$11:$B$310)+COUNTA(条幅4分の1!$B$11:$B$310),INDEX(条幅4分の1!$J$11:$J$310,656-COUNTA(半紙!$B$11:$B$310)-COUNTA(条幅!$B$11:$B$310)),"")))=0,"",IF(656&lt;=COUNTA(半紙!$B$11:$B$310),INDEX(半紙!$J$11:$J$310,656),IF(656&lt;=COUNTA(半紙!$B$11:$B$310)+COUNTA(条幅!$B$11:$B$310),INDEX(条幅!$J$11:$J$310,656-COUNTA(半紙!$B$11:$B$310)),IF(656&lt;=COUNTA(半紙!$B$11:$B$310)+COUNTA(条幅!$B$11:$B$310)+COUNTA(条幅4分の1!$B$11:$B$310),INDEX(条幅4分の1!$J$11:$J$310,656-COUNTA(半紙!$B$11:$B$310)-COUNTA(条幅!$B$11:$B$310)),""))))</f>
        <v/>
      </c>
      <c r="K661" s="38" t="str">
        <f>IF(IF(656&lt;=COUNTA(半紙!$B$11:$B$310),INDEX(半紙!$K$11:$K$310,656),IF(656&lt;=COUNTA(半紙!$B$11:$B$310)+COUNTA(条幅!$B$11:$B$310),INDEX(条幅!$K$11:$K$310,656-COUNTA(半紙!$B$11:$B$310)),IF(656&lt;=COUNTA(半紙!$B$11:$B$310)+COUNTA(条幅!$B$11:$B$310)+COUNTA(条幅4分の1!$B$11:$B$310),INDEX(条幅4分の1!$K$11:$K$310,656-COUNTA(半紙!$B$11:$B$310)-COUNTA(条幅!$B$11:$B$310)),"")))=0,"",IF(656&lt;=COUNTA(半紙!$B$11:$B$310),INDEX(半紙!$K$11:$K$310,656),IF(656&lt;=COUNTA(半紙!$B$11:$B$310)+COUNTA(条幅!$B$11:$B$310),INDEX(条幅!$K$11:$K$310,656-COUNTA(半紙!$B$11:$B$310)),IF(656&lt;=COUNTA(半紙!$B$11:$B$310)+COUNTA(条幅!$B$11:$B$310)+COUNTA(条幅4分の1!$B$11:$B$310),INDEX(条幅4分の1!$K$11:$K$310,656-COUNTA(半紙!$B$11:$B$310)-COUNTA(条幅!$B$11:$B$310)),""))))</f>
        <v/>
      </c>
      <c r="L661" s="48" t="str">
        <f>IF($B661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656))</f>
        <v/>
      </c>
    </row>
    <row r="662" spans="1:12" ht="15" customHeight="1">
      <c r="A662" s="37" t="str">
        <f>IF(657&lt;=COUNTA(半紙!$B$11:$B$310),"半紙",IF(657&lt;=COUNTA(半紙!$B$11:$B$310)+COUNTA(条幅!$B$11:$B$310),"条幅(半切)",IF(657&lt;=COUNTA(半紙!$B$11:$B$310)+COUNTA(条幅!$B$11:$B$310)+COUNTA(条幅4分の1!$B$11:$B$310),"条幅(1/4)","")))</f>
        <v/>
      </c>
      <c r="B662" s="38" t="str">
        <f>IF(IF(657&lt;=COUNTA(半紙!$B$11:$B$310),INDEX(半紙!$B$11:$B$310,657),IF(657&lt;=COUNTA(半紙!$B$11:$B$310)+COUNTA(条幅!$B$11:$B$310),INDEX(条幅!$B$11:$B$310,657-COUNTA(半紙!$B$11:$B$310)),IF(657&lt;=COUNTA(半紙!$B$11:$B$310)+COUNTA(条幅!$B$11:$B$310)+COUNTA(条幅4分の1!$B$11:$B$310),INDEX(条幅4分の1!$B$11:$B$310,657-COUNTA(半紙!$B$11:$B$310)-COUNTA(条幅!$B$11:$B$310)),"")))=0,"",IF(657&lt;=COUNTA(半紙!$B$11:$B$310),INDEX(半紙!$B$11:$B$310,657),IF(657&lt;=COUNTA(半紙!$B$11:$B$310)+COUNTA(条幅!$B$11:$B$310),INDEX(条幅!$B$11:$B$310,657-COUNTA(半紙!$B$11:$B$310)),IF(657&lt;=COUNTA(半紙!$B$11:$B$310)+COUNTA(条幅!$B$11:$B$310)+COUNTA(条幅4分の1!$B$11:$B$310),INDEX(条幅4分の1!$B$11:$B$310,657-COUNTA(半紙!$B$11:$B$310)-COUNTA(条幅!$B$11:$B$310)),""))))</f>
        <v/>
      </c>
      <c r="C662" s="38" t="str">
        <f>IF(IF(657&lt;=COUNTA(半紙!$B$11:$B$310),INDEX(半紙!$C$11:$C$310,657),IF(657&lt;=COUNTA(半紙!$B$11:$B$310)+COUNTA(条幅!$B$11:$B$310),INDEX(条幅!$C$11:$C$310,657-COUNTA(半紙!$B$11:$B$310)),IF(657&lt;=COUNTA(半紙!$B$11:$B$310)+COUNTA(条幅!$B$11:$B$310)+COUNTA(条幅4分の1!$B$11:$B$310),INDEX(条幅4分の1!$C$11:$C$310,657-COUNTA(半紙!$B$11:$B$310)-COUNTA(条幅!$B$11:$B$310)),"")))=0,"",IF(657&lt;=COUNTA(半紙!$B$11:$B$310),INDEX(半紙!$C$11:$C$310,657),IF(657&lt;=COUNTA(半紙!$B$11:$B$310)+COUNTA(条幅!$B$11:$B$310),INDEX(条幅!$C$11:$C$310,657-COUNTA(半紙!$B$11:$B$310)),IF(657&lt;=COUNTA(半紙!$B$11:$B$310)+COUNTA(条幅!$B$11:$B$310)+COUNTA(条幅4分の1!$B$11:$B$310),INDEX(条幅4分の1!$C$11:$C$310,657-COUNTA(半紙!$B$11:$B$310)-COUNTA(条幅!$B$11:$B$310)),""))))</f>
        <v/>
      </c>
      <c r="D662" s="38" t="str">
        <f>IF(IF(657&lt;=COUNTA(半紙!$B$11:$B$310),INDEX(半紙!$D$11:$D$310,657),IF(657&lt;=COUNTA(半紙!$B$11:$B$310)+COUNTA(条幅!$B$11:$B$310),INDEX(条幅!$D$11:$D$310,657-COUNTA(半紙!$B$11:$B$310)),IF(657&lt;=COUNTA(半紙!$B$11:$B$310)+COUNTA(条幅!$B$11:$B$310)+COUNTA(条幅4分の1!$B$11:$B$310),INDEX(条幅4分の1!$D$11:$D$310,657-COUNTA(半紙!$B$11:$B$310)-COUNTA(条幅!$B$11:$B$310)),"")))=0,"",IF(657&lt;=COUNTA(半紙!$B$11:$B$310),INDEX(半紙!$D$11:$D$310,657),IF(657&lt;=COUNTA(半紙!$B$11:$B$310)+COUNTA(条幅!$B$11:$B$310),INDEX(条幅!$D$11:$D$310,657-COUNTA(半紙!$B$11:$B$310)),IF(657&lt;=COUNTA(半紙!$B$11:$B$310)+COUNTA(条幅!$B$11:$B$310)+COUNTA(条幅4分の1!$B$11:$B$310),INDEX(条幅4分の1!$D$11:$D$310,657-COUNTA(半紙!$B$11:$B$310)-COUNTA(条幅!$B$11:$B$310)),""))))</f>
        <v/>
      </c>
      <c r="E662" s="38" t="str">
        <f>IF(IF(657&lt;=COUNTA(半紙!$B$11:$B$310),INDEX(半紙!$E$11:$E$310,657),IF(657&lt;=COUNTA(半紙!$B$11:$B$310)+COUNTA(条幅!$B$11:$B$310),INDEX(条幅!$E$11:$E$310,657-COUNTA(半紙!$B$11:$B$310)),IF(657&lt;=COUNTA(半紙!$B$11:$B$310)+COUNTA(条幅!$B$11:$B$310)+COUNTA(条幅4分の1!$B$11:$B$310),INDEX(条幅4分の1!$E$11:$E$310,657-COUNTA(半紙!$B$11:$B$310)-COUNTA(条幅!$B$11:$B$310)),"")))=0,"",IF(657&lt;=COUNTA(半紙!$B$11:$B$310),INDEX(半紙!$E$11:$E$310,657),IF(657&lt;=COUNTA(半紙!$B$11:$B$310)+COUNTA(条幅!$B$11:$B$310),INDEX(条幅!$E$11:$E$310,657-COUNTA(半紙!$B$11:$B$310)),IF(657&lt;=COUNTA(半紙!$B$11:$B$310)+COUNTA(条幅!$B$11:$B$310)+COUNTA(条幅4分の1!$B$11:$B$310),INDEX(条幅4分の1!$E$11:$E$310,657-COUNTA(半紙!$B$11:$B$310)-COUNTA(条幅!$B$11:$B$310)),""))))</f>
        <v/>
      </c>
      <c r="F662" s="38" t="str">
        <f>IF(IF(657&lt;=COUNTA(半紙!$B$11:$B$310),INDEX(半紙!$F$11:$F$310,657),IF(657&lt;=COUNTA(半紙!$B$11:$B$310)+COUNTA(条幅!$B$11:$B$310),INDEX(条幅!$F$11:$F$310,657-COUNTA(半紙!$B$11:$B$310)),IF(657&lt;=COUNTA(半紙!$B$11:$B$310)+COUNTA(条幅!$B$11:$B$310)+COUNTA(条幅4分の1!$B$11:$B$310),INDEX(条幅4分の1!$F$11:$F$310,657-COUNTA(半紙!$B$11:$B$310)-COUNTA(条幅!$B$11:$B$310)),"")))=0,"",IF(657&lt;=COUNTA(半紙!$B$11:$B$310),INDEX(半紙!$F$11:$F$310,657),IF(657&lt;=COUNTA(半紙!$B$11:$B$310)+COUNTA(条幅!$B$11:$B$310),INDEX(条幅!$F$11:$F$310,657-COUNTA(半紙!$B$11:$B$310)),IF(657&lt;=COUNTA(半紙!$B$11:$B$310)+COUNTA(条幅!$B$11:$B$310)+COUNTA(条幅4分の1!$B$11:$B$310),INDEX(条幅4分の1!$F$11:$F$310,657-COUNTA(半紙!$B$11:$B$310)-COUNTA(条幅!$B$11:$B$310)),""))))</f>
        <v/>
      </c>
      <c r="G662" s="38" t="str">
        <f>IF(IF(657&lt;=COUNTA(半紙!$B$11:$B$310),INDEX(半紙!$G$11:$G$310,657),IF(657&lt;=COUNTA(半紙!$B$11:$B$310)+COUNTA(条幅!$B$11:$B$310),INDEX(条幅!$G$11:$G$310,657-COUNTA(半紙!$B$11:$B$310)),IF(657&lt;=COUNTA(半紙!$B$11:$B$310)+COUNTA(条幅!$B$11:$B$310)+COUNTA(条幅4分の1!$B$11:$B$310),INDEX(条幅4分の1!$G$11:$G$310,657-COUNTA(半紙!$B$11:$B$310)-COUNTA(条幅!$B$11:$B$310)),"")))=0,"",IF(657&lt;=COUNTA(半紙!$B$11:$B$310),INDEX(半紙!$G$11:$G$310,657),IF(657&lt;=COUNTA(半紙!$B$11:$B$310)+COUNTA(条幅!$B$11:$B$310),INDEX(条幅!$G$11:$G$310,657-COUNTA(半紙!$B$11:$B$310)),IF(657&lt;=COUNTA(半紙!$B$11:$B$310)+COUNTA(条幅!$B$11:$B$310)+COUNTA(条幅4分の1!$B$11:$B$310),INDEX(条幅4分の1!$G$11:$G$310,657-COUNTA(半紙!$B$11:$B$310)-COUNTA(条幅!$B$11:$B$310)),""))))</f>
        <v/>
      </c>
      <c r="H662" s="38" t="str">
        <f>IF(IF(657&lt;=COUNTA(半紙!$B$11:$B$310),INDEX(半紙!$H$11:$H$310,657),IF(657&lt;=COUNTA(半紙!$B$11:$B$310)+COUNTA(条幅!$B$11:$B$310),INDEX(条幅!$H$11:$H$310,657-COUNTA(半紙!$B$11:$B$310)),IF(657&lt;=COUNTA(半紙!$B$11:$B$310)+COUNTA(条幅!$B$11:$B$310)+COUNTA(条幅4分の1!$B$11:$B$310),INDEX(条幅4分の1!$H$11:$H$310,657-COUNTA(半紙!$B$11:$B$310)-COUNTA(条幅!$B$11:$B$310)),"")))=0,"",IF(657&lt;=COUNTA(半紙!$B$11:$B$310),INDEX(半紙!$H$11:$H$310,657),IF(657&lt;=COUNTA(半紙!$B$11:$B$310)+COUNTA(条幅!$B$11:$B$310),INDEX(条幅!$H$11:$H$310,657-COUNTA(半紙!$B$11:$B$310)),IF(657&lt;=COUNTA(半紙!$B$11:$B$310)+COUNTA(条幅!$B$11:$B$310)+COUNTA(条幅4分の1!$B$11:$B$310),INDEX(条幅4分の1!$H$11:$H$310,657-COUNTA(半紙!$B$11:$B$310)-COUNTA(条幅!$B$11:$B$310)),""))))</f>
        <v/>
      </c>
      <c r="I662" s="38" t="str">
        <f>IF(IF(657&lt;=COUNTA(半紙!$B$11:$B$310),INDEX(半紙!$I$11:$I$310,657),IF(657&lt;=COUNTA(半紙!$B$11:$B$310)+COUNTA(条幅!$B$11:$B$310),INDEX(条幅!$I$11:$I$310,657-COUNTA(半紙!$B$11:$B$310)),IF(657&lt;=COUNTA(半紙!$B$11:$B$310)+COUNTA(条幅!$B$11:$B$310)+COUNTA(条幅4分の1!$B$11:$B$310),INDEX(条幅4分の1!$I$11:$I$310,657-COUNTA(半紙!$B$11:$B$310)-COUNTA(条幅!$B$11:$B$310)),"")))=0,"",IF(657&lt;=COUNTA(半紙!$B$11:$B$310),INDEX(半紙!$I$11:$I$310,657),IF(657&lt;=COUNTA(半紙!$B$11:$B$310)+COUNTA(条幅!$B$11:$B$310),INDEX(条幅!$I$11:$I$310,657-COUNTA(半紙!$B$11:$B$310)),IF(657&lt;=COUNTA(半紙!$B$11:$B$310)+COUNTA(条幅!$B$11:$B$310)+COUNTA(条幅4分の1!$B$11:$B$310),INDEX(条幅4分の1!$I$11:$I$310,657-COUNTA(半紙!$B$11:$B$310)-COUNTA(条幅!$B$11:$B$310)),""))))</f>
        <v/>
      </c>
      <c r="J662" s="38" t="str">
        <f>IF(IF(657&lt;=COUNTA(半紙!$B$11:$B$310),INDEX(半紙!$J$11:$J$310,657),IF(657&lt;=COUNTA(半紙!$B$11:$B$310)+COUNTA(条幅!$B$11:$B$310),INDEX(条幅!$J$11:$J$310,657-COUNTA(半紙!$B$11:$B$310)),IF(657&lt;=COUNTA(半紙!$B$11:$B$310)+COUNTA(条幅!$B$11:$B$310)+COUNTA(条幅4分の1!$B$11:$B$310),INDEX(条幅4分の1!$J$11:$J$310,657-COUNTA(半紙!$B$11:$B$310)-COUNTA(条幅!$B$11:$B$310)),"")))=0,"",IF(657&lt;=COUNTA(半紙!$B$11:$B$310),INDEX(半紙!$J$11:$J$310,657),IF(657&lt;=COUNTA(半紙!$B$11:$B$310)+COUNTA(条幅!$B$11:$B$310),INDEX(条幅!$J$11:$J$310,657-COUNTA(半紙!$B$11:$B$310)),IF(657&lt;=COUNTA(半紙!$B$11:$B$310)+COUNTA(条幅!$B$11:$B$310)+COUNTA(条幅4分の1!$B$11:$B$310),INDEX(条幅4分の1!$J$11:$J$310,657-COUNTA(半紙!$B$11:$B$310)-COUNTA(条幅!$B$11:$B$310)),""))))</f>
        <v/>
      </c>
      <c r="K662" s="38" t="str">
        <f>IF(IF(657&lt;=COUNTA(半紙!$B$11:$B$310),INDEX(半紙!$K$11:$K$310,657),IF(657&lt;=COUNTA(半紙!$B$11:$B$310)+COUNTA(条幅!$B$11:$B$310),INDEX(条幅!$K$11:$K$310,657-COUNTA(半紙!$B$11:$B$310)),IF(657&lt;=COUNTA(半紙!$B$11:$B$310)+COUNTA(条幅!$B$11:$B$310)+COUNTA(条幅4分の1!$B$11:$B$310),INDEX(条幅4分の1!$K$11:$K$310,657-COUNTA(半紙!$B$11:$B$310)-COUNTA(条幅!$B$11:$B$310)),"")))=0,"",IF(657&lt;=COUNTA(半紙!$B$11:$B$310),INDEX(半紙!$K$11:$K$310,657),IF(657&lt;=COUNTA(半紙!$B$11:$B$310)+COUNTA(条幅!$B$11:$B$310),INDEX(条幅!$K$11:$K$310,657-COUNTA(半紙!$B$11:$B$310)),IF(657&lt;=COUNTA(半紙!$B$11:$B$310)+COUNTA(条幅!$B$11:$B$310)+COUNTA(条幅4分の1!$B$11:$B$310),INDEX(条幅4分の1!$K$11:$K$310,657-COUNTA(半紙!$B$11:$B$310)-COUNTA(条幅!$B$11:$B$310)),""))))</f>
        <v/>
      </c>
      <c r="L662" s="48" t="str">
        <f>IF($B662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657))</f>
        <v/>
      </c>
    </row>
    <row r="663" spans="1:12" ht="15" customHeight="1">
      <c r="A663" s="37" t="str">
        <f>IF(658&lt;=COUNTA(半紙!$B$11:$B$310),"半紙",IF(658&lt;=COUNTA(半紙!$B$11:$B$310)+COUNTA(条幅!$B$11:$B$310),"条幅(半切)",IF(658&lt;=COUNTA(半紙!$B$11:$B$310)+COUNTA(条幅!$B$11:$B$310)+COUNTA(条幅4分の1!$B$11:$B$310),"条幅(1/4)","")))</f>
        <v/>
      </c>
      <c r="B663" s="38" t="str">
        <f>IF(IF(658&lt;=COUNTA(半紙!$B$11:$B$310),INDEX(半紙!$B$11:$B$310,658),IF(658&lt;=COUNTA(半紙!$B$11:$B$310)+COUNTA(条幅!$B$11:$B$310),INDEX(条幅!$B$11:$B$310,658-COUNTA(半紙!$B$11:$B$310)),IF(658&lt;=COUNTA(半紙!$B$11:$B$310)+COUNTA(条幅!$B$11:$B$310)+COUNTA(条幅4分の1!$B$11:$B$310),INDEX(条幅4分の1!$B$11:$B$310,658-COUNTA(半紙!$B$11:$B$310)-COUNTA(条幅!$B$11:$B$310)),"")))=0,"",IF(658&lt;=COUNTA(半紙!$B$11:$B$310),INDEX(半紙!$B$11:$B$310,658),IF(658&lt;=COUNTA(半紙!$B$11:$B$310)+COUNTA(条幅!$B$11:$B$310),INDEX(条幅!$B$11:$B$310,658-COUNTA(半紙!$B$11:$B$310)),IF(658&lt;=COUNTA(半紙!$B$11:$B$310)+COUNTA(条幅!$B$11:$B$310)+COUNTA(条幅4分の1!$B$11:$B$310),INDEX(条幅4分の1!$B$11:$B$310,658-COUNTA(半紙!$B$11:$B$310)-COUNTA(条幅!$B$11:$B$310)),""))))</f>
        <v/>
      </c>
      <c r="C663" s="38" t="str">
        <f>IF(IF(658&lt;=COUNTA(半紙!$B$11:$B$310),INDEX(半紙!$C$11:$C$310,658),IF(658&lt;=COUNTA(半紙!$B$11:$B$310)+COUNTA(条幅!$B$11:$B$310),INDEX(条幅!$C$11:$C$310,658-COUNTA(半紙!$B$11:$B$310)),IF(658&lt;=COUNTA(半紙!$B$11:$B$310)+COUNTA(条幅!$B$11:$B$310)+COUNTA(条幅4分の1!$B$11:$B$310),INDEX(条幅4分の1!$C$11:$C$310,658-COUNTA(半紙!$B$11:$B$310)-COUNTA(条幅!$B$11:$B$310)),"")))=0,"",IF(658&lt;=COUNTA(半紙!$B$11:$B$310),INDEX(半紙!$C$11:$C$310,658),IF(658&lt;=COUNTA(半紙!$B$11:$B$310)+COUNTA(条幅!$B$11:$B$310),INDEX(条幅!$C$11:$C$310,658-COUNTA(半紙!$B$11:$B$310)),IF(658&lt;=COUNTA(半紙!$B$11:$B$310)+COUNTA(条幅!$B$11:$B$310)+COUNTA(条幅4分の1!$B$11:$B$310),INDEX(条幅4分の1!$C$11:$C$310,658-COUNTA(半紙!$B$11:$B$310)-COUNTA(条幅!$B$11:$B$310)),""))))</f>
        <v/>
      </c>
      <c r="D663" s="38" t="str">
        <f>IF(IF(658&lt;=COUNTA(半紙!$B$11:$B$310),INDEX(半紙!$D$11:$D$310,658),IF(658&lt;=COUNTA(半紙!$B$11:$B$310)+COUNTA(条幅!$B$11:$B$310),INDEX(条幅!$D$11:$D$310,658-COUNTA(半紙!$B$11:$B$310)),IF(658&lt;=COUNTA(半紙!$B$11:$B$310)+COUNTA(条幅!$B$11:$B$310)+COUNTA(条幅4分の1!$B$11:$B$310),INDEX(条幅4分の1!$D$11:$D$310,658-COUNTA(半紙!$B$11:$B$310)-COUNTA(条幅!$B$11:$B$310)),"")))=0,"",IF(658&lt;=COUNTA(半紙!$B$11:$B$310),INDEX(半紙!$D$11:$D$310,658),IF(658&lt;=COUNTA(半紙!$B$11:$B$310)+COUNTA(条幅!$B$11:$B$310),INDEX(条幅!$D$11:$D$310,658-COUNTA(半紙!$B$11:$B$310)),IF(658&lt;=COUNTA(半紙!$B$11:$B$310)+COUNTA(条幅!$B$11:$B$310)+COUNTA(条幅4分の1!$B$11:$B$310),INDEX(条幅4分の1!$D$11:$D$310,658-COUNTA(半紙!$B$11:$B$310)-COUNTA(条幅!$B$11:$B$310)),""))))</f>
        <v/>
      </c>
      <c r="E663" s="38" t="str">
        <f>IF(IF(658&lt;=COUNTA(半紙!$B$11:$B$310),INDEX(半紙!$E$11:$E$310,658),IF(658&lt;=COUNTA(半紙!$B$11:$B$310)+COUNTA(条幅!$B$11:$B$310),INDEX(条幅!$E$11:$E$310,658-COUNTA(半紙!$B$11:$B$310)),IF(658&lt;=COUNTA(半紙!$B$11:$B$310)+COUNTA(条幅!$B$11:$B$310)+COUNTA(条幅4分の1!$B$11:$B$310),INDEX(条幅4分の1!$E$11:$E$310,658-COUNTA(半紙!$B$11:$B$310)-COUNTA(条幅!$B$11:$B$310)),"")))=0,"",IF(658&lt;=COUNTA(半紙!$B$11:$B$310),INDEX(半紙!$E$11:$E$310,658),IF(658&lt;=COUNTA(半紙!$B$11:$B$310)+COUNTA(条幅!$B$11:$B$310),INDEX(条幅!$E$11:$E$310,658-COUNTA(半紙!$B$11:$B$310)),IF(658&lt;=COUNTA(半紙!$B$11:$B$310)+COUNTA(条幅!$B$11:$B$310)+COUNTA(条幅4分の1!$B$11:$B$310),INDEX(条幅4分の1!$E$11:$E$310,658-COUNTA(半紙!$B$11:$B$310)-COUNTA(条幅!$B$11:$B$310)),""))))</f>
        <v/>
      </c>
      <c r="F663" s="38" t="str">
        <f>IF(IF(658&lt;=COUNTA(半紙!$B$11:$B$310),INDEX(半紙!$F$11:$F$310,658),IF(658&lt;=COUNTA(半紙!$B$11:$B$310)+COUNTA(条幅!$B$11:$B$310),INDEX(条幅!$F$11:$F$310,658-COUNTA(半紙!$B$11:$B$310)),IF(658&lt;=COUNTA(半紙!$B$11:$B$310)+COUNTA(条幅!$B$11:$B$310)+COUNTA(条幅4分の1!$B$11:$B$310),INDEX(条幅4分の1!$F$11:$F$310,658-COUNTA(半紙!$B$11:$B$310)-COUNTA(条幅!$B$11:$B$310)),"")))=0,"",IF(658&lt;=COUNTA(半紙!$B$11:$B$310),INDEX(半紙!$F$11:$F$310,658),IF(658&lt;=COUNTA(半紙!$B$11:$B$310)+COUNTA(条幅!$B$11:$B$310),INDEX(条幅!$F$11:$F$310,658-COUNTA(半紙!$B$11:$B$310)),IF(658&lt;=COUNTA(半紙!$B$11:$B$310)+COUNTA(条幅!$B$11:$B$310)+COUNTA(条幅4分の1!$B$11:$B$310),INDEX(条幅4分の1!$F$11:$F$310,658-COUNTA(半紙!$B$11:$B$310)-COUNTA(条幅!$B$11:$B$310)),""))))</f>
        <v/>
      </c>
      <c r="G663" s="38" t="str">
        <f>IF(IF(658&lt;=COUNTA(半紙!$B$11:$B$310),INDEX(半紙!$G$11:$G$310,658),IF(658&lt;=COUNTA(半紙!$B$11:$B$310)+COUNTA(条幅!$B$11:$B$310),INDEX(条幅!$G$11:$G$310,658-COUNTA(半紙!$B$11:$B$310)),IF(658&lt;=COUNTA(半紙!$B$11:$B$310)+COUNTA(条幅!$B$11:$B$310)+COUNTA(条幅4分の1!$B$11:$B$310),INDEX(条幅4分の1!$G$11:$G$310,658-COUNTA(半紙!$B$11:$B$310)-COUNTA(条幅!$B$11:$B$310)),"")))=0,"",IF(658&lt;=COUNTA(半紙!$B$11:$B$310),INDEX(半紙!$G$11:$G$310,658),IF(658&lt;=COUNTA(半紙!$B$11:$B$310)+COUNTA(条幅!$B$11:$B$310),INDEX(条幅!$G$11:$G$310,658-COUNTA(半紙!$B$11:$B$310)),IF(658&lt;=COUNTA(半紙!$B$11:$B$310)+COUNTA(条幅!$B$11:$B$310)+COUNTA(条幅4分の1!$B$11:$B$310),INDEX(条幅4分の1!$G$11:$G$310,658-COUNTA(半紙!$B$11:$B$310)-COUNTA(条幅!$B$11:$B$310)),""))))</f>
        <v/>
      </c>
      <c r="H663" s="38" t="str">
        <f>IF(IF(658&lt;=COUNTA(半紙!$B$11:$B$310),INDEX(半紙!$H$11:$H$310,658),IF(658&lt;=COUNTA(半紙!$B$11:$B$310)+COUNTA(条幅!$B$11:$B$310),INDEX(条幅!$H$11:$H$310,658-COUNTA(半紙!$B$11:$B$310)),IF(658&lt;=COUNTA(半紙!$B$11:$B$310)+COUNTA(条幅!$B$11:$B$310)+COUNTA(条幅4分の1!$B$11:$B$310),INDEX(条幅4分の1!$H$11:$H$310,658-COUNTA(半紙!$B$11:$B$310)-COUNTA(条幅!$B$11:$B$310)),"")))=0,"",IF(658&lt;=COUNTA(半紙!$B$11:$B$310),INDEX(半紙!$H$11:$H$310,658),IF(658&lt;=COUNTA(半紙!$B$11:$B$310)+COUNTA(条幅!$B$11:$B$310),INDEX(条幅!$H$11:$H$310,658-COUNTA(半紙!$B$11:$B$310)),IF(658&lt;=COUNTA(半紙!$B$11:$B$310)+COUNTA(条幅!$B$11:$B$310)+COUNTA(条幅4分の1!$B$11:$B$310),INDEX(条幅4分の1!$H$11:$H$310,658-COUNTA(半紙!$B$11:$B$310)-COUNTA(条幅!$B$11:$B$310)),""))))</f>
        <v/>
      </c>
      <c r="I663" s="38" t="str">
        <f>IF(IF(658&lt;=COUNTA(半紙!$B$11:$B$310),INDEX(半紙!$I$11:$I$310,658),IF(658&lt;=COUNTA(半紙!$B$11:$B$310)+COUNTA(条幅!$B$11:$B$310),INDEX(条幅!$I$11:$I$310,658-COUNTA(半紙!$B$11:$B$310)),IF(658&lt;=COUNTA(半紙!$B$11:$B$310)+COUNTA(条幅!$B$11:$B$310)+COUNTA(条幅4分の1!$B$11:$B$310),INDEX(条幅4分の1!$I$11:$I$310,658-COUNTA(半紙!$B$11:$B$310)-COUNTA(条幅!$B$11:$B$310)),"")))=0,"",IF(658&lt;=COUNTA(半紙!$B$11:$B$310),INDEX(半紙!$I$11:$I$310,658),IF(658&lt;=COUNTA(半紙!$B$11:$B$310)+COUNTA(条幅!$B$11:$B$310),INDEX(条幅!$I$11:$I$310,658-COUNTA(半紙!$B$11:$B$310)),IF(658&lt;=COUNTA(半紙!$B$11:$B$310)+COUNTA(条幅!$B$11:$B$310)+COUNTA(条幅4分の1!$B$11:$B$310),INDEX(条幅4分の1!$I$11:$I$310,658-COUNTA(半紙!$B$11:$B$310)-COUNTA(条幅!$B$11:$B$310)),""))))</f>
        <v/>
      </c>
      <c r="J663" s="38" t="str">
        <f>IF(IF(658&lt;=COUNTA(半紙!$B$11:$B$310),INDEX(半紙!$J$11:$J$310,658),IF(658&lt;=COUNTA(半紙!$B$11:$B$310)+COUNTA(条幅!$B$11:$B$310),INDEX(条幅!$J$11:$J$310,658-COUNTA(半紙!$B$11:$B$310)),IF(658&lt;=COUNTA(半紙!$B$11:$B$310)+COUNTA(条幅!$B$11:$B$310)+COUNTA(条幅4分の1!$B$11:$B$310),INDEX(条幅4分の1!$J$11:$J$310,658-COUNTA(半紙!$B$11:$B$310)-COUNTA(条幅!$B$11:$B$310)),"")))=0,"",IF(658&lt;=COUNTA(半紙!$B$11:$B$310),INDEX(半紙!$J$11:$J$310,658),IF(658&lt;=COUNTA(半紙!$B$11:$B$310)+COUNTA(条幅!$B$11:$B$310),INDEX(条幅!$J$11:$J$310,658-COUNTA(半紙!$B$11:$B$310)),IF(658&lt;=COUNTA(半紙!$B$11:$B$310)+COUNTA(条幅!$B$11:$B$310)+COUNTA(条幅4分の1!$B$11:$B$310),INDEX(条幅4分の1!$J$11:$J$310,658-COUNTA(半紙!$B$11:$B$310)-COUNTA(条幅!$B$11:$B$310)),""))))</f>
        <v/>
      </c>
      <c r="K663" s="38" t="str">
        <f>IF(IF(658&lt;=COUNTA(半紙!$B$11:$B$310),INDEX(半紙!$K$11:$K$310,658),IF(658&lt;=COUNTA(半紙!$B$11:$B$310)+COUNTA(条幅!$B$11:$B$310),INDEX(条幅!$K$11:$K$310,658-COUNTA(半紙!$B$11:$B$310)),IF(658&lt;=COUNTA(半紙!$B$11:$B$310)+COUNTA(条幅!$B$11:$B$310)+COUNTA(条幅4分の1!$B$11:$B$310),INDEX(条幅4分の1!$K$11:$K$310,658-COUNTA(半紙!$B$11:$B$310)-COUNTA(条幅!$B$11:$B$310)),"")))=0,"",IF(658&lt;=COUNTA(半紙!$B$11:$B$310),INDEX(半紙!$K$11:$K$310,658),IF(658&lt;=COUNTA(半紙!$B$11:$B$310)+COUNTA(条幅!$B$11:$B$310),INDEX(条幅!$K$11:$K$310,658-COUNTA(半紙!$B$11:$B$310)),IF(658&lt;=COUNTA(半紙!$B$11:$B$310)+COUNTA(条幅!$B$11:$B$310)+COUNTA(条幅4分の1!$B$11:$B$310),INDEX(条幅4分の1!$K$11:$K$310,658-COUNTA(半紙!$B$11:$B$310)-COUNTA(条幅!$B$11:$B$310)),""))))</f>
        <v/>
      </c>
      <c r="L663" s="48" t="str">
        <f>IF($B663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658))</f>
        <v/>
      </c>
    </row>
    <row r="664" spans="1:12" ht="15" customHeight="1">
      <c r="A664" s="37" t="str">
        <f>IF(659&lt;=COUNTA(半紙!$B$11:$B$310),"半紙",IF(659&lt;=COUNTA(半紙!$B$11:$B$310)+COUNTA(条幅!$B$11:$B$310),"条幅(半切)",IF(659&lt;=COUNTA(半紙!$B$11:$B$310)+COUNTA(条幅!$B$11:$B$310)+COUNTA(条幅4分の1!$B$11:$B$310),"条幅(1/4)","")))</f>
        <v/>
      </c>
      <c r="B664" s="38" t="str">
        <f>IF(IF(659&lt;=COUNTA(半紙!$B$11:$B$310),INDEX(半紙!$B$11:$B$310,659),IF(659&lt;=COUNTA(半紙!$B$11:$B$310)+COUNTA(条幅!$B$11:$B$310),INDEX(条幅!$B$11:$B$310,659-COUNTA(半紙!$B$11:$B$310)),IF(659&lt;=COUNTA(半紙!$B$11:$B$310)+COUNTA(条幅!$B$11:$B$310)+COUNTA(条幅4分の1!$B$11:$B$310),INDEX(条幅4分の1!$B$11:$B$310,659-COUNTA(半紙!$B$11:$B$310)-COUNTA(条幅!$B$11:$B$310)),"")))=0,"",IF(659&lt;=COUNTA(半紙!$B$11:$B$310),INDEX(半紙!$B$11:$B$310,659),IF(659&lt;=COUNTA(半紙!$B$11:$B$310)+COUNTA(条幅!$B$11:$B$310),INDEX(条幅!$B$11:$B$310,659-COUNTA(半紙!$B$11:$B$310)),IF(659&lt;=COUNTA(半紙!$B$11:$B$310)+COUNTA(条幅!$B$11:$B$310)+COUNTA(条幅4分の1!$B$11:$B$310),INDEX(条幅4分の1!$B$11:$B$310,659-COUNTA(半紙!$B$11:$B$310)-COUNTA(条幅!$B$11:$B$310)),""))))</f>
        <v/>
      </c>
      <c r="C664" s="38" t="str">
        <f>IF(IF(659&lt;=COUNTA(半紙!$B$11:$B$310),INDEX(半紙!$C$11:$C$310,659),IF(659&lt;=COUNTA(半紙!$B$11:$B$310)+COUNTA(条幅!$B$11:$B$310),INDEX(条幅!$C$11:$C$310,659-COUNTA(半紙!$B$11:$B$310)),IF(659&lt;=COUNTA(半紙!$B$11:$B$310)+COUNTA(条幅!$B$11:$B$310)+COUNTA(条幅4分の1!$B$11:$B$310),INDEX(条幅4分の1!$C$11:$C$310,659-COUNTA(半紙!$B$11:$B$310)-COUNTA(条幅!$B$11:$B$310)),"")))=0,"",IF(659&lt;=COUNTA(半紙!$B$11:$B$310),INDEX(半紙!$C$11:$C$310,659),IF(659&lt;=COUNTA(半紙!$B$11:$B$310)+COUNTA(条幅!$B$11:$B$310),INDEX(条幅!$C$11:$C$310,659-COUNTA(半紙!$B$11:$B$310)),IF(659&lt;=COUNTA(半紙!$B$11:$B$310)+COUNTA(条幅!$B$11:$B$310)+COUNTA(条幅4分の1!$B$11:$B$310),INDEX(条幅4分の1!$C$11:$C$310,659-COUNTA(半紙!$B$11:$B$310)-COUNTA(条幅!$B$11:$B$310)),""))))</f>
        <v/>
      </c>
      <c r="D664" s="38" t="str">
        <f>IF(IF(659&lt;=COUNTA(半紙!$B$11:$B$310),INDEX(半紙!$D$11:$D$310,659),IF(659&lt;=COUNTA(半紙!$B$11:$B$310)+COUNTA(条幅!$B$11:$B$310),INDEX(条幅!$D$11:$D$310,659-COUNTA(半紙!$B$11:$B$310)),IF(659&lt;=COUNTA(半紙!$B$11:$B$310)+COUNTA(条幅!$B$11:$B$310)+COUNTA(条幅4分の1!$B$11:$B$310),INDEX(条幅4分の1!$D$11:$D$310,659-COUNTA(半紙!$B$11:$B$310)-COUNTA(条幅!$B$11:$B$310)),"")))=0,"",IF(659&lt;=COUNTA(半紙!$B$11:$B$310),INDEX(半紙!$D$11:$D$310,659),IF(659&lt;=COUNTA(半紙!$B$11:$B$310)+COUNTA(条幅!$B$11:$B$310),INDEX(条幅!$D$11:$D$310,659-COUNTA(半紙!$B$11:$B$310)),IF(659&lt;=COUNTA(半紙!$B$11:$B$310)+COUNTA(条幅!$B$11:$B$310)+COUNTA(条幅4分の1!$B$11:$B$310),INDEX(条幅4分の1!$D$11:$D$310,659-COUNTA(半紙!$B$11:$B$310)-COUNTA(条幅!$B$11:$B$310)),""))))</f>
        <v/>
      </c>
      <c r="E664" s="38" t="str">
        <f>IF(IF(659&lt;=COUNTA(半紙!$B$11:$B$310),INDEX(半紙!$E$11:$E$310,659),IF(659&lt;=COUNTA(半紙!$B$11:$B$310)+COUNTA(条幅!$B$11:$B$310),INDEX(条幅!$E$11:$E$310,659-COUNTA(半紙!$B$11:$B$310)),IF(659&lt;=COUNTA(半紙!$B$11:$B$310)+COUNTA(条幅!$B$11:$B$310)+COUNTA(条幅4分の1!$B$11:$B$310),INDEX(条幅4分の1!$E$11:$E$310,659-COUNTA(半紙!$B$11:$B$310)-COUNTA(条幅!$B$11:$B$310)),"")))=0,"",IF(659&lt;=COUNTA(半紙!$B$11:$B$310),INDEX(半紙!$E$11:$E$310,659),IF(659&lt;=COUNTA(半紙!$B$11:$B$310)+COUNTA(条幅!$B$11:$B$310),INDEX(条幅!$E$11:$E$310,659-COUNTA(半紙!$B$11:$B$310)),IF(659&lt;=COUNTA(半紙!$B$11:$B$310)+COUNTA(条幅!$B$11:$B$310)+COUNTA(条幅4分の1!$B$11:$B$310),INDEX(条幅4分の1!$E$11:$E$310,659-COUNTA(半紙!$B$11:$B$310)-COUNTA(条幅!$B$11:$B$310)),""))))</f>
        <v/>
      </c>
      <c r="F664" s="38" t="str">
        <f>IF(IF(659&lt;=COUNTA(半紙!$B$11:$B$310),INDEX(半紙!$F$11:$F$310,659),IF(659&lt;=COUNTA(半紙!$B$11:$B$310)+COUNTA(条幅!$B$11:$B$310),INDEX(条幅!$F$11:$F$310,659-COUNTA(半紙!$B$11:$B$310)),IF(659&lt;=COUNTA(半紙!$B$11:$B$310)+COUNTA(条幅!$B$11:$B$310)+COUNTA(条幅4分の1!$B$11:$B$310),INDEX(条幅4分の1!$F$11:$F$310,659-COUNTA(半紙!$B$11:$B$310)-COUNTA(条幅!$B$11:$B$310)),"")))=0,"",IF(659&lt;=COUNTA(半紙!$B$11:$B$310),INDEX(半紙!$F$11:$F$310,659),IF(659&lt;=COUNTA(半紙!$B$11:$B$310)+COUNTA(条幅!$B$11:$B$310),INDEX(条幅!$F$11:$F$310,659-COUNTA(半紙!$B$11:$B$310)),IF(659&lt;=COUNTA(半紙!$B$11:$B$310)+COUNTA(条幅!$B$11:$B$310)+COUNTA(条幅4分の1!$B$11:$B$310),INDEX(条幅4分の1!$F$11:$F$310,659-COUNTA(半紙!$B$11:$B$310)-COUNTA(条幅!$B$11:$B$310)),""))))</f>
        <v/>
      </c>
      <c r="G664" s="38" t="str">
        <f>IF(IF(659&lt;=COUNTA(半紙!$B$11:$B$310),INDEX(半紙!$G$11:$G$310,659),IF(659&lt;=COUNTA(半紙!$B$11:$B$310)+COUNTA(条幅!$B$11:$B$310),INDEX(条幅!$G$11:$G$310,659-COUNTA(半紙!$B$11:$B$310)),IF(659&lt;=COUNTA(半紙!$B$11:$B$310)+COUNTA(条幅!$B$11:$B$310)+COUNTA(条幅4分の1!$B$11:$B$310),INDEX(条幅4分の1!$G$11:$G$310,659-COUNTA(半紙!$B$11:$B$310)-COUNTA(条幅!$B$11:$B$310)),"")))=0,"",IF(659&lt;=COUNTA(半紙!$B$11:$B$310),INDEX(半紙!$G$11:$G$310,659),IF(659&lt;=COUNTA(半紙!$B$11:$B$310)+COUNTA(条幅!$B$11:$B$310),INDEX(条幅!$G$11:$G$310,659-COUNTA(半紙!$B$11:$B$310)),IF(659&lt;=COUNTA(半紙!$B$11:$B$310)+COUNTA(条幅!$B$11:$B$310)+COUNTA(条幅4分の1!$B$11:$B$310),INDEX(条幅4分の1!$G$11:$G$310,659-COUNTA(半紙!$B$11:$B$310)-COUNTA(条幅!$B$11:$B$310)),""))))</f>
        <v/>
      </c>
      <c r="H664" s="38" t="str">
        <f>IF(IF(659&lt;=COUNTA(半紙!$B$11:$B$310),INDEX(半紙!$H$11:$H$310,659),IF(659&lt;=COUNTA(半紙!$B$11:$B$310)+COUNTA(条幅!$B$11:$B$310),INDEX(条幅!$H$11:$H$310,659-COUNTA(半紙!$B$11:$B$310)),IF(659&lt;=COUNTA(半紙!$B$11:$B$310)+COUNTA(条幅!$B$11:$B$310)+COUNTA(条幅4分の1!$B$11:$B$310),INDEX(条幅4分の1!$H$11:$H$310,659-COUNTA(半紙!$B$11:$B$310)-COUNTA(条幅!$B$11:$B$310)),"")))=0,"",IF(659&lt;=COUNTA(半紙!$B$11:$B$310),INDEX(半紙!$H$11:$H$310,659),IF(659&lt;=COUNTA(半紙!$B$11:$B$310)+COUNTA(条幅!$B$11:$B$310),INDEX(条幅!$H$11:$H$310,659-COUNTA(半紙!$B$11:$B$310)),IF(659&lt;=COUNTA(半紙!$B$11:$B$310)+COUNTA(条幅!$B$11:$B$310)+COUNTA(条幅4分の1!$B$11:$B$310),INDEX(条幅4分の1!$H$11:$H$310,659-COUNTA(半紙!$B$11:$B$310)-COUNTA(条幅!$B$11:$B$310)),""))))</f>
        <v/>
      </c>
      <c r="I664" s="38" t="str">
        <f>IF(IF(659&lt;=COUNTA(半紙!$B$11:$B$310),INDEX(半紙!$I$11:$I$310,659),IF(659&lt;=COUNTA(半紙!$B$11:$B$310)+COUNTA(条幅!$B$11:$B$310),INDEX(条幅!$I$11:$I$310,659-COUNTA(半紙!$B$11:$B$310)),IF(659&lt;=COUNTA(半紙!$B$11:$B$310)+COUNTA(条幅!$B$11:$B$310)+COUNTA(条幅4分の1!$B$11:$B$310),INDEX(条幅4分の1!$I$11:$I$310,659-COUNTA(半紙!$B$11:$B$310)-COUNTA(条幅!$B$11:$B$310)),"")))=0,"",IF(659&lt;=COUNTA(半紙!$B$11:$B$310),INDEX(半紙!$I$11:$I$310,659),IF(659&lt;=COUNTA(半紙!$B$11:$B$310)+COUNTA(条幅!$B$11:$B$310),INDEX(条幅!$I$11:$I$310,659-COUNTA(半紙!$B$11:$B$310)),IF(659&lt;=COUNTA(半紙!$B$11:$B$310)+COUNTA(条幅!$B$11:$B$310)+COUNTA(条幅4分の1!$B$11:$B$310),INDEX(条幅4分の1!$I$11:$I$310,659-COUNTA(半紙!$B$11:$B$310)-COUNTA(条幅!$B$11:$B$310)),""))))</f>
        <v/>
      </c>
      <c r="J664" s="38" t="str">
        <f>IF(IF(659&lt;=COUNTA(半紙!$B$11:$B$310),INDEX(半紙!$J$11:$J$310,659),IF(659&lt;=COUNTA(半紙!$B$11:$B$310)+COUNTA(条幅!$B$11:$B$310),INDEX(条幅!$J$11:$J$310,659-COUNTA(半紙!$B$11:$B$310)),IF(659&lt;=COUNTA(半紙!$B$11:$B$310)+COUNTA(条幅!$B$11:$B$310)+COUNTA(条幅4分の1!$B$11:$B$310),INDEX(条幅4分の1!$J$11:$J$310,659-COUNTA(半紙!$B$11:$B$310)-COUNTA(条幅!$B$11:$B$310)),"")))=0,"",IF(659&lt;=COUNTA(半紙!$B$11:$B$310),INDEX(半紙!$J$11:$J$310,659),IF(659&lt;=COUNTA(半紙!$B$11:$B$310)+COUNTA(条幅!$B$11:$B$310),INDEX(条幅!$J$11:$J$310,659-COUNTA(半紙!$B$11:$B$310)),IF(659&lt;=COUNTA(半紙!$B$11:$B$310)+COUNTA(条幅!$B$11:$B$310)+COUNTA(条幅4分の1!$B$11:$B$310),INDEX(条幅4分の1!$J$11:$J$310,659-COUNTA(半紙!$B$11:$B$310)-COUNTA(条幅!$B$11:$B$310)),""))))</f>
        <v/>
      </c>
      <c r="K664" s="38" t="str">
        <f>IF(IF(659&lt;=COUNTA(半紙!$B$11:$B$310),INDEX(半紙!$K$11:$K$310,659),IF(659&lt;=COUNTA(半紙!$B$11:$B$310)+COUNTA(条幅!$B$11:$B$310),INDEX(条幅!$K$11:$K$310,659-COUNTA(半紙!$B$11:$B$310)),IF(659&lt;=COUNTA(半紙!$B$11:$B$310)+COUNTA(条幅!$B$11:$B$310)+COUNTA(条幅4分の1!$B$11:$B$310),INDEX(条幅4分の1!$K$11:$K$310,659-COUNTA(半紙!$B$11:$B$310)-COUNTA(条幅!$B$11:$B$310)),"")))=0,"",IF(659&lt;=COUNTA(半紙!$B$11:$B$310),INDEX(半紙!$K$11:$K$310,659),IF(659&lt;=COUNTA(半紙!$B$11:$B$310)+COUNTA(条幅!$B$11:$B$310),INDEX(条幅!$K$11:$K$310,659-COUNTA(半紙!$B$11:$B$310)),IF(659&lt;=COUNTA(半紙!$B$11:$B$310)+COUNTA(条幅!$B$11:$B$310)+COUNTA(条幅4分の1!$B$11:$B$310),INDEX(条幅4分の1!$K$11:$K$310,659-COUNTA(半紙!$B$11:$B$310)-COUNTA(条幅!$B$11:$B$310)),""))))</f>
        <v/>
      </c>
      <c r="L664" s="48" t="str">
        <f>IF($B664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659))</f>
        <v/>
      </c>
    </row>
    <row r="665" spans="1:12" ht="15" customHeight="1">
      <c r="A665" s="37" t="str">
        <f>IF(660&lt;=COUNTA(半紙!$B$11:$B$310),"半紙",IF(660&lt;=COUNTA(半紙!$B$11:$B$310)+COUNTA(条幅!$B$11:$B$310),"条幅(半切)",IF(660&lt;=COUNTA(半紙!$B$11:$B$310)+COUNTA(条幅!$B$11:$B$310)+COUNTA(条幅4分の1!$B$11:$B$310),"条幅(1/4)","")))</f>
        <v/>
      </c>
      <c r="B665" s="38" t="str">
        <f>IF(IF(660&lt;=COUNTA(半紙!$B$11:$B$310),INDEX(半紙!$B$11:$B$310,660),IF(660&lt;=COUNTA(半紙!$B$11:$B$310)+COUNTA(条幅!$B$11:$B$310),INDEX(条幅!$B$11:$B$310,660-COUNTA(半紙!$B$11:$B$310)),IF(660&lt;=COUNTA(半紙!$B$11:$B$310)+COUNTA(条幅!$B$11:$B$310)+COUNTA(条幅4分の1!$B$11:$B$310),INDEX(条幅4分の1!$B$11:$B$310,660-COUNTA(半紙!$B$11:$B$310)-COUNTA(条幅!$B$11:$B$310)),"")))=0,"",IF(660&lt;=COUNTA(半紙!$B$11:$B$310),INDEX(半紙!$B$11:$B$310,660),IF(660&lt;=COUNTA(半紙!$B$11:$B$310)+COUNTA(条幅!$B$11:$B$310),INDEX(条幅!$B$11:$B$310,660-COUNTA(半紙!$B$11:$B$310)),IF(660&lt;=COUNTA(半紙!$B$11:$B$310)+COUNTA(条幅!$B$11:$B$310)+COUNTA(条幅4分の1!$B$11:$B$310),INDEX(条幅4分の1!$B$11:$B$310,660-COUNTA(半紙!$B$11:$B$310)-COUNTA(条幅!$B$11:$B$310)),""))))</f>
        <v/>
      </c>
      <c r="C665" s="38" t="str">
        <f>IF(IF(660&lt;=COUNTA(半紙!$B$11:$B$310),INDEX(半紙!$C$11:$C$310,660),IF(660&lt;=COUNTA(半紙!$B$11:$B$310)+COUNTA(条幅!$B$11:$B$310),INDEX(条幅!$C$11:$C$310,660-COUNTA(半紙!$B$11:$B$310)),IF(660&lt;=COUNTA(半紙!$B$11:$B$310)+COUNTA(条幅!$B$11:$B$310)+COUNTA(条幅4分の1!$B$11:$B$310),INDEX(条幅4分の1!$C$11:$C$310,660-COUNTA(半紙!$B$11:$B$310)-COUNTA(条幅!$B$11:$B$310)),"")))=0,"",IF(660&lt;=COUNTA(半紙!$B$11:$B$310),INDEX(半紙!$C$11:$C$310,660),IF(660&lt;=COUNTA(半紙!$B$11:$B$310)+COUNTA(条幅!$B$11:$B$310),INDEX(条幅!$C$11:$C$310,660-COUNTA(半紙!$B$11:$B$310)),IF(660&lt;=COUNTA(半紙!$B$11:$B$310)+COUNTA(条幅!$B$11:$B$310)+COUNTA(条幅4分の1!$B$11:$B$310),INDEX(条幅4分の1!$C$11:$C$310,660-COUNTA(半紙!$B$11:$B$310)-COUNTA(条幅!$B$11:$B$310)),""))))</f>
        <v/>
      </c>
      <c r="D665" s="38" t="str">
        <f>IF(IF(660&lt;=COUNTA(半紙!$B$11:$B$310),INDEX(半紙!$D$11:$D$310,660),IF(660&lt;=COUNTA(半紙!$B$11:$B$310)+COUNTA(条幅!$B$11:$B$310),INDEX(条幅!$D$11:$D$310,660-COUNTA(半紙!$B$11:$B$310)),IF(660&lt;=COUNTA(半紙!$B$11:$B$310)+COUNTA(条幅!$B$11:$B$310)+COUNTA(条幅4分の1!$B$11:$B$310),INDEX(条幅4分の1!$D$11:$D$310,660-COUNTA(半紙!$B$11:$B$310)-COUNTA(条幅!$B$11:$B$310)),"")))=0,"",IF(660&lt;=COUNTA(半紙!$B$11:$B$310),INDEX(半紙!$D$11:$D$310,660),IF(660&lt;=COUNTA(半紙!$B$11:$B$310)+COUNTA(条幅!$B$11:$B$310),INDEX(条幅!$D$11:$D$310,660-COUNTA(半紙!$B$11:$B$310)),IF(660&lt;=COUNTA(半紙!$B$11:$B$310)+COUNTA(条幅!$B$11:$B$310)+COUNTA(条幅4分の1!$B$11:$B$310),INDEX(条幅4分の1!$D$11:$D$310,660-COUNTA(半紙!$B$11:$B$310)-COUNTA(条幅!$B$11:$B$310)),""))))</f>
        <v/>
      </c>
      <c r="E665" s="38" t="str">
        <f>IF(IF(660&lt;=COUNTA(半紙!$B$11:$B$310),INDEX(半紙!$E$11:$E$310,660),IF(660&lt;=COUNTA(半紙!$B$11:$B$310)+COUNTA(条幅!$B$11:$B$310),INDEX(条幅!$E$11:$E$310,660-COUNTA(半紙!$B$11:$B$310)),IF(660&lt;=COUNTA(半紙!$B$11:$B$310)+COUNTA(条幅!$B$11:$B$310)+COUNTA(条幅4分の1!$B$11:$B$310),INDEX(条幅4分の1!$E$11:$E$310,660-COUNTA(半紙!$B$11:$B$310)-COUNTA(条幅!$B$11:$B$310)),"")))=0,"",IF(660&lt;=COUNTA(半紙!$B$11:$B$310),INDEX(半紙!$E$11:$E$310,660),IF(660&lt;=COUNTA(半紙!$B$11:$B$310)+COUNTA(条幅!$B$11:$B$310),INDEX(条幅!$E$11:$E$310,660-COUNTA(半紙!$B$11:$B$310)),IF(660&lt;=COUNTA(半紙!$B$11:$B$310)+COUNTA(条幅!$B$11:$B$310)+COUNTA(条幅4分の1!$B$11:$B$310),INDEX(条幅4分の1!$E$11:$E$310,660-COUNTA(半紙!$B$11:$B$310)-COUNTA(条幅!$B$11:$B$310)),""))))</f>
        <v/>
      </c>
      <c r="F665" s="38" t="str">
        <f>IF(IF(660&lt;=COUNTA(半紙!$B$11:$B$310),INDEX(半紙!$F$11:$F$310,660),IF(660&lt;=COUNTA(半紙!$B$11:$B$310)+COUNTA(条幅!$B$11:$B$310),INDEX(条幅!$F$11:$F$310,660-COUNTA(半紙!$B$11:$B$310)),IF(660&lt;=COUNTA(半紙!$B$11:$B$310)+COUNTA(条幅!$B$11:$B$310)+COUNTA(条幅4分の1!$B$11:$B$310),INDEX(条幅4分の1!$F$11:$F$310,660-COUNTA(半紙!$B$11:$B$310)-COUNTA(条幅!$B$11:$B$310)),"")))=0,"",IF(660&lt;=COUNTA(半紙!$B$11:$B$310),INDEX(半紙!$F$11:$F$310,660),IF(660&lt;=COUNTA(半紙!$B$11:$B$310)+COUNTA(条幅!$B$11:$B$310),INDEX(条幅!$F$11:$F$310,660-COUNTA(半紙!$B$11:$B$310)),IF(660&lt;=COUNTA(半紙!$B$11:$B$310)+COUNTA(条幅!$B$11:$B$310)+COUNTA(条幅4分の1!$B$11:$B$310),INDEX(条幅4分の1!$F$11:$F$310,660-COUNTA(半紙!$B$11:$B$310)-COUNTA(条幅!$B$11:$B$310)),""))))</f>
        <v/>
      </c>
      <c r="G665" s="38" t="str">
        <f>IF(IF(660&lt;=COUNTA(半紙!$B$11:$B$310),INDEX(半紙!$G$11:$G$310,660),IF(660&lt;=COUNTA(半紙!$B$11:$B$310)+COUNTA(条幅!$B$11:$B$310),INDEX(条幅!$G$11:$G$310,660-COUNTA(半紙!$B$11:$B$310)),IF(660&lt;=COUNTA(半紙!$B$11:$B$310)+COUNTA(条幅!$B$11:$B$310)+COUNTA(条幅4分の1!$B$11:$B$310),INDEX(条幅4分の1!$G$11:$G$310,660-COUNTA(半紙!$B$11:$B$310)-COUNTA(条幅!$B$11:$B$310)),"")))=0,"",IF(660&lt;=COUNTA(半紙!$B$11:$B$310),INDEX(半紙!$G$11:$G$310,660),IF(660&lt;=COUNTA(半紙!$B$11:$B$310)+COUNTA(条幅!$B$11:$B$310),INDEX(条幅!$G$11:$G$310,660-COUNTA(半紙!$B$11:$B$310)),IF(660&lt;=COUNTA(半紙!$B$11:$B$310)+COUNTA(条幅!$B$11:$B$310)+COUNTA(条幅4分の1!$B$11:$B$310),INDEX(条幅4分の1!$G$11:$G$310,660-COUNTA(半紙!$B$11:$B$310)-COUNTA(条幅!$B$11:$B$310)),""))))</f>
        <v/>
      </c>
      <c r="H665" s="38" t="str">
        <f>IF(IF(660&lt;=COUNTA(半紙!$B$11:$B$310),INDEX(半紙!$H$11:$H$310,660),IF(660&lt;=COUNTA(半紙!$B$11:$B$310)+COUNTA(条幅!$B$11:$B$310),INDEX(条幅!$H$11:$H$310,660-COUNTA(半紙!$B$11:$B$310)),IF(660&lt;=COUNTA(半紙!$B$11:$B$310)+COUNTA(条幅!$B$11:$B$310)+COUNTA(条幅4分の1!$B$11:$B$310),INDEX(条幅4分の1!$H$11:$H$310,660-COUNTA(半紙!$B$11:$B$310)-COUNTA(条幅!$B$11:$B$310)),"")))=0,"",IF(660&lt;=COUNTA(半紙!$B$11:$B$310),INDEX(半紙!$H$11:$H$310,660),IF(660&lt;=COUNTA(半紙!$B$11:$B$310)+COUNTA(条幅!$B$11:$B$310),INDEX(条幅!$H$11:$H$310,660-COUNTA(半紙!$B$11:$B$310)),IF(660&lt;=COUNTA(半紙!$B$11:$B$310)+COUNTA(条幅!$B$11:$B$310)+COUNTA(条幅4分の1!$B$11:$B$310),INDEX(条幅4分の1!$H$11:$H$310,660-COUNTA(半紙!$B$11:$B$310)-COUNTA(条幅!$B$11:$B$310)),""))))</f>
        <v/>
      </c>
      <c r="I665" s="38" t="str">
        <f>IF(IF(660&lt;=COUNTA(半紙!$B$11:$B$310),INDEX(半紙!$I$11:$I$310,660),IF(660&lt;=COUNTA(半紙!$B$11:$B$310)+COUNTA(条幅!$B$11:$B$310),INDEX(条幅!$I$11:$I$310,660-COUNTA(半紙!$B$11:$B$310)),IF(660&lt;=COUNTA(半紙!$B$11:$B$310)+COUNTA(条幅!$B$11:$B$310)+COUNTA(条幅4分の1!$B$11:$B$310),INDEX(条幅4分の1!$I$11:$I$310,660-COUNTA(半紙!$B$11:$B$310)-COUNTA(条幅!$B$11:$B$310)),"")))=0,"",IF(660&lt;=COUNTA(半紙!$B$11:$B$310),INDEX(半紙!$I$11:$I$310,660),IF(660&lt;=COUNTA(半紙!$B$11:$B$310)+COUNTA(条幅!$B$11:$B$310),INDEX(条幅!$I$11:$I$310,660-COUNTA(半紙!$B$11:$B$310)),IF(660&lt;=COUNTA(半紙!$B$11:$B$310)+COUNTA(条幅!$B$11:$B$310)+COUNTA(条幅4分の1!$B$11:$B$310),INDEX(条幅4分の1!$I$11:$I$310,660-COUNTA(半紙!$B$11:$B$310)-COUNTA(条幅!$B$11:$B$310)),""))))</f>
        <v/>
      </c>
      <c r="J665" s="38" t="str">
        <f>IF(IF(660&lt;=COUNTA(半紙!$B$11:$B$310),INDEX(半紙!$J$11:$J$310,660),IF(660&lt;=COUNTA(半紙!$B$11:$B$310)+COUNTA(条幅!$B$11:$B$310),INDEX(条幅!$J$11:$J$310,660-COUNTA(半紙!$B$11:$B$310)),IF(660&lt;=COUNTA(半紙!$B$11:$B$310)+COUNTA(条幅!$B$11:$B$310)+COUNTA(条幅4分の1!$B$11:$B$310),INDEX(条幅4分の1!$J$11:$J$310,660-COUNTA(半紙!$B$11:$B$310)-COUNTA(条幅!$B$11:$B$310)),"")))=0,"",IF(660&lt;=COUNTA(半紙!$B$11:$B$310),INDEX(半紙!$J$11:$J$310,660),IF(660&lt;=COUNTA(半紙!$B$11:$B$310)+COUNTA(条幅!$B$11:$B$310),INDEX(条幅!$J$11:$J$310,660-COUNTA(半紙!$B$11:$B$310)),IF(660&lt;=COUNTA(半紙!$B$11:$B$310)+COUNTA(条幅!$B$11:$B$310)+COUNTA(条幅4分の1!$B$11:$B$310),INDEX(条幅4分の1!$J$11:$J$310,660-COUNTA(半紙!$B$11:$B$310)-COUNTA(条幅!$B$11:$B$310)),""))))</f>
        <v/>
      </c>
      <c r="K665" s="38" t="str">
        <f>IF(IF(660&lt;=COUNTA(半紙!$B$11:$B$310),INDEX(半紙!$K$11:$K$310,660),IF(660&lt;=COUNTA(半紙!$B$11:$B$310)+COUNTA(条幅!$B$11:$B$310),INDEX(条幅!$K$11:$K$310,660-COUNTA(半紙!$B$11:$B$310)),IF(660&lt;=COUNTA(半紙!$B$11:$B$310)+COUNTA(条幅!$B$11:$B$310)+COUNTA(条幅4分の1!$B$11:$B$310),INDEX(条幅4分の1!$K$11:$K$310,660-COUNTA(半紙!$B$11:$B$310)-COUNTA(条幅!$B$11:$B$310)),"")))=0,"",IF(660&lt;=COUNTA(半紙!$B$11:$B$310),INDEX(半紙!$K$11:$K$310,660),IF(660&lt;=COUNTA(半紙!$B$11:$B$310)+COUNTA(条幅!$B$11:$B$310),INDEX(条幅!$K$11:$K$310,660-COUNTA(半紙!$B$11:$B$310)),IF(660&lt;=COUNTA(半紙!$B$11:$B$310)+COUNTA(条幅!$B$11:$B$310)+COUNTA(条幅4分の1!$B$11:$B$310),INDEX(条幅4分の1!$K$11:$K$310,660-COUNTA(半紙!$B$11:$B$310)-COUNTA(条幅!$B$11:$B$310)),""))))</f>
        <v/>
      </c>
      <c r="L665" s="48" t="str">
        <f>IF($B665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660))</f>
        <v/>
      </c>
    </row>
    <row r="666" spans="1:12" ht="15" customHeight="1">
      <c r="A666" s="37" t="str">
        <f>IF(661&lt;=COUNTA(半紙!$B$11:$B$310),"半紙",IF(661&lt;=COUNTA(半紙!$B$11:$B$310)+COUNTA(条幅!$B$11:$B$310),"条幅(半切)",IF(661&lt;=COUNTA(半紙!$B$11:$B$310)+COUNTA(条幅!$B$11:$B$310)+COUNTA(条幅4分の1!$B$11:$B$310),"条幅(1/4)","")))</f>
        <v/>
      </c>
      <c r="B666" s="38" t="str">
        <f>IF(IF(661&lt;=COUNTA(半紙!$B$11:$B$310),INDEX(半紙!$B$11:$B$310,661),IF(661&lt;=COUNTA(半紙!$B$11:$B$310)+COUNTA(条幅!$B$11:$B$310),INDEX(条幅!$B$11:$B$310,661-COUNTA(半紙!$B$11:$B$310)),IF(661&lt;=COUNTA(半紙!$B$11:$B$310)+COUNTA(条幅!$B$11:$B$310)+COUNTA(条幅4分の1!$B$11:$B$310),INDEX(条幅4分の1!$B$11:$B$310,661-COUNTA(半紙!$B$11:$B$310)-COUNTA(条幅!$B$11:$B$310)),"")))=0,"",IF(661&lt;=COUNTA(半紙!$B$11:$B$310),INDEX(半紙!$B$11:$B$310,661),IF(661&lt;=COUNTA(半紙!$B$11:$B$310)+COUNTA(条幅!$B$11:$B$310),INDEX(条幅!$B$11:$B$310,661-COUNTA(半紙!$B$11:$B$310)),IF(661&lt;=COUNTA(半紙!$B$11:$B$310)+COUNTA(条幅!$B$11:$B$310)+COUNTA(条幅4分の1!$B$11:$B$310),INDEX(条幅4分の1!$B$11:$B$310,661-COUNTA(半紙!$B$11:$B$310)-COUNTA(条幅!$B$11:$B$310)),""))))</f>
        <v/>
      </c>
      <c r="C666" s="38" t="str">
        <f>IF(IF(661&lt;=COUNTA(半紙!$B$11:$B$310),INDEX(半紙!$C$11:$C$310,661),IF(661&lt;=COUNTA(半紙!$B$11:$B$310)+COUNTA(条幅!$B$11:$B$310),INDEX(条幅!$C$11:$C$310,661-COUNTA(半紙!$B$11:$B$310)),IF(661&lt;=COUNTA(半紙!$B$11:$B$310)+COUNTA(条幅!$B$11:$B$310)+COUNTA(条幅4分の1!$B$11:$B$310),INDEX(条幅4分の1!$C$11:$C$310,661-COUNTA(半紙!$B$11:$B$310)-COUNTA(条幅!$B$11:$B$310)),"")))=0,"",IF(661&lt;=COUNTA(半紙!$B$11:$B$310),INDEX(半紙!$C$11:$C$310,661),IF(661&lt;=COUNTA(半紙!$B$11:$B$310)+COUNTA(条幅!$B$11:$B$310),INDEX(条幅!$C$11:$C$310,661-COUNTA(半紙!$B$11:$B$310)),IF(661&lt;=COUNTA(半紙!$B$11:$B$310)+COUNTA(条幅!$B$11:$B$310)+COUNTA(条幅4分の1!$B$11:$B$310),INDEX(条幅4分の1!$C$11:$C$310,661-COUNTA(半紙!$B$11:$B$310)-COUNTA(条幅!$B$11:$B$310)),""))))</f>
        <v/>
      </c>
      <c r="D666" s="38" t="str">
        <f>IF(IF(661&lt;=COUNTA(半紙!$B$11:$B$310),INDEX(半紙!$D$11:$D$310,661),IF(661&lt;=COUNTA(半紙!$B$11:$B$310)+COUNTA(条幅!$B$11:$B$310),INDEX(条幅!$D$11:$D$310,661-COUNTA(半紙!$B$11:$B$310)),IF(661&lt;=COUNTA(半紙!$B$11:$B$310)+COUNTA(条幅!$B$11:$B$310)+COUNTA(条幅4分の1!$B$11:$B$310),INDEX(条幅4分の1!$D$11:$D$310,661-COUNTA(半紙!$B$11:$B$310)-COUNTA(条幅!$B$11:$B$310)),"")))=0,"",IF(661&lt;=COUNTA(半紙!$B$11:$B$310),INDEX(半紙!$D$11:$D$310,661),IF(661&lt;=COUNTA(半紙!$B$11:$B$310)+COUNTA(条幅!$B$11:$B$310),INDEX(条幅!$D$11:$D$310,661-COUNTA(半紙!$B$11:$B$310)),IF(661&lt;=COUNTA(半紙!$B$11:$B$310)+COUNTA(条幅!$B$11:$B$310)+COUNTA(条幅4分の1!$B$11:$B$310),INDEX(条幅4分の1!$D$11:$D$310,661-COUNTA(半紙!$B$11:$B$310)-COUNTA(条幅!$B$11:$B$310)),""))))</f>
        <v/>
      </c>
      <c r="E666" s="38" t="str">
        <f>IF(IF(661&lt;=COUNTA(半紙!$B$11:$B$310),INDEX(半紙!$E$11:$E$310,661),IF(661&lt;=COUNTA(半紙!$B$11:$B$310)+COUNTA(条幅!$B$11:$B$310),INDEX(条幅!$E$11:$E$310,661-COUNTA(半紙!$B$11:$B$310)),IF(661&lt;=COUNTA(半紙!$B$11:$B$310)+COUNTA(条幅!$B$11:$B$310)+COUNTA(条幅4分の1!$B$11:$B$310),INDEX(条幅4分の1!$E$11:$E$310,661-COUNTA(半紙!$B$11:$B$310)-COUNTA(条幅!$B$11:$B$310)),"")))=0,"",IF(661&lt;=COUNTA(半紙!$B$11:$B$310),INDEX(半紙!$E$11:$E$310,661),IF(661&lt;=COUNTA(半紙!$B$11:$B$310)+COUNTA(条幅!$B$11:$B$310),INDEX(条幅!$E$11:$E$310,661-COUNTA(半紙!$B$11:$B$310)),IF(661&lt;=COUNTA(半紙!$B$11:$B$310)+COUNTA(条幅!$B$11:$B$310)+COUNTA(条幅4分の1!$B$11:$B$310),INDEX(条幅4分の1!$E$11:$E$310,661-COUNTA(半紙!$B$11:$B$310)-COUNTA(条幅!$B$11:$B$310)),""))))</f>
        <v/>
      </c>
      <c r="F666" s="38" t="str">
        <f>IF(IF(661&lt;=COUNTA(半紙!$B$11:$B$310),INDEX(半紙!$F$11:$F$310,661),IF(661&lt;=COUNTA(半紙!$B$11:$B$310)+COUNTA(条幅!$B$11:$B$310),INDEX(条幅!$F$11:$F$310,661-COUNTA(半紙!$B$11:$B$310)),IF(661&lt;=COUNTA(半紙!$B$11:$B$310)+COUNTA(条幅!$B$11:$B$310)+COUNTA(条幅4分の1!$B$11:$B$310),INDEX(条幅4分の1!$F$11:$F$310,661-COUNTA(半紙!$B$11:$B$310)-COUNTA(条幅!$B$11:$B$310)),"")))=0,"",IF(661&lt;=COUNTA(半紙!$B$11:$B$310),INDEX(半紙!$F$11:$F$310,661),IF(661&lt;=COUNTA(半紙!$B$11:$B$310)+COUNTA(条幅!$B$11:$B$310),INDEX(条幅!$F$11:$F$310,661-COUNTA(半紙!$B$11:$B$310)),IF(661&lt;=COUNTA(半紙!$B$11:$B$310)+COUNTA(条幅!$B$11:$B$310)+COUNTA(条幅4分の1!$B$11:$B$310),INDEX(条幅4分の1!$F$11:$F$310,661-COUNTA(半紙!$B$11:$B$310)-COUNTA(条幅!$B$11:$B$310)),""))))</f>
        <v/>
      </c>
      <c r="G666" s="38" t="str">
        <f>IF(IF(661&lt;=COUNTA(半紙!$B$11:$B$310),INDEX(半紙!$G$11:$G$310,661),IF(661&lt;=COUNTA(半紙!$B$11:$B$310)+COUNTA(条幅!$B$11:$B$310),INDEX(条幅!$G$11:$G$310,661-COUNTA(半紙!$B$11:$B$310)),IF(661&lt;=COUNTA(半紙!$B$11:$B$310)+COUNTA(条幅!$B$11:$B$310)+COUNTA(条幅4分の1!$B$11:$B$310),INDEX(条幅4分の1!$G$11:$G$310,661-COUNTA(半紙!$B$11:$B$310)-COUNTA(条幅!$B$11:$B$310)),"")))=0,"",IF(661&lt;=COUNTA(半紙!$B$11:$B$310),INDEX(半紙!$G$11:$G$310,661),IF(661&lt;=COUNTA(半紙!$B$11:$B$310)+COUNTA(条幅!$B$11:$B$310),INDEX(条幅!$G$11:$G$310,661-COUNTA(半紙!$B$11:$B$310)),IF(661&lt;=COUNTA(半紙!$B$11:$B$310)+COUNTA(条幅!$B$11:$B$310)+COUNTA(条幅4分の1!$B$11:$B$310),INDEX(条幅4分の1!$G$11:$G$310,661-COUNTA(半紙!$B$11:$B$310)-COUNTA(条幅!$B$11:$B$310)),""))))</f>
        <v/>
      </c>
      <c r="H666" s="38" t="str">
        <f>IF(IF(661&lt;=COUNTA(半紙!$B$11:$B$310),INDEX(半紙!$H$11:$H$310,661),IF(661&lt;=COUNTA(半紙!$B$11:$B$310)+COUNTA(条幅!$B$11:$B$310),INDEX(条幅!$H$11:$H$310,661-COUNTA(半紙!$B$11:$B$310)),IF(661&lt;=COUNTA(半紙!$B$11:$B$310)+COUNTA(条幅!$B$11:$B$310)+COUNTA(条幅4分の1!$B$11:$B$310),INDEX(条幅4分の1!$H$11:$H$310,661-COUNTA(半紙!$B$11:$B$310)-COUNTA(条幅!$B$11:$B$310)),"")))=0,"",IF(661&lt;=COUNTA(半紙!$B$11:$B$310),INDEX(半紙!$H$11:$H$310,661),IF(661&lt;=COUNTA(半紙!$B$11:$B$310)+COUNTA(条幅!$B$11:$B$310),INDEX(条幅!$H$11:$H$310,661-COUNTA(半紙!$B$11:$B$310)),IF(661&lt;=COUNTA(半紙!$B$11:$B$310)+COUNTA(条幅!$B$11:$B$310)+COUNTA(条幅4分の1!$B$11:$B$310),INDEX(条幅4分の1!$H$11:$H$310,661-COUNTA(半紙!$B$11:$B$310)-COUNTA(条幅!$B$11:$B$310)),""))))</f>
        <v/>
      </c>
      <c r="I666" s="38" t="str">
        <f>IF(IF(661&lt;=COUNTA(半紙!$B$11:$B$310),INDEX(半紙!$I$11:$I$310,661),IF(661&lt;=COUNTA(半紙!$B$11:$B$310)+COUNTA(条幅!$B$11:$B$310),INDEX(条幅!$I$11:$I$310,661-COUNTA(半紙!$B$11:$B$310)),IF(661&lt;=COUNTA(半紙!$B$11:$B$310)+COUNTA(条幅!$B$11:$B$310)+COUNTA(条幅4分の1!$B$11:$B$310),INDEX(条幅4分の1!$I$11:$I$310,661-COUNTA(半紙!$B$11:$B$310)-COUNTA(条幅!$B$11:$B$310)),"")))=0,"",IF(661&lt;=COUNTA(半紙!$B$11:$B$310),INDEX(半紙!$I$11:$I$310,661),IF(661&lt;=COUNTA(半紙!$B$11:$B$310)+COUNTA(条幅!$B$11:$B$310),INDEX(条幅!$I$11:$I$310,661-COUNTA(半紙!$B$11:$B$310)),IF(661&lt;=COUNTA(半紙!$B$11:$B$310)+COUNTA(条幅!$B$11:$B$310)+COUNTA(条幅4分の1!$B$11:$B$310),INDEX(条幅4分の1!$I$11:$I$310,661-COUNTA(半紙!$B$11:$B$310)-COUNTA(条幅!$B$11:$B$310)),""))))</f>
        <v/>
      </c>
      <c r="J666" s="38" t="str">
        <f>IF(IF(661&lt;=COUNTA(半紙!$B$11:$B$310),INDEX(半紙!$J$11:$J$310,661),IF(661&lt;=COUNTA(半紙!$B$11:$B$310)+COUNTA(条幅!$B$11:$B$310),INDEX(条幅!$J$11:$J$310,661-COUNTA(半紙!$B$11:$B$310)),IF(661&lt;=COUNTA(半紙!$B$11:$B$310)+COUNTA(条幅!$B$11:$B$310)+COUNTA(条幅4分の1!$B$11:$B$310),INDEX(条幅4分の1!$J$11:$J$310,661-COUNTA(半紙!$B$11:$B$310)-COUNTA(条幅!$B$11:$B$310)),"")))=0,"",IF(661&lt;=COUNTA(半紙!$B$11:$B$310),INDEX(半紙!$J$11:$J$310,661),IF(661&lt;=COUNTA(半紙!$B$11:$B$310)+COUNTA(条幅!$B$11:$B$310),INDEX(条幅!$J$11:$J$310,661-COUNTA(半紙!$B$11:$B$310)),IF(661&lt;=COUNTA(半紙!$B$11:$B$310)+COUNTA(条幅!$B$11:$B$310)+COUNTA(条幅4分の1!$B$11:$B$310),INDEX(条幅4分の1!$J$11:$J$310,661-COUNTA(半紙!$B$11:$B$310)-COUNTA(条幅!$B$11:$B$310)),""))))</f>
        <v/>
      </c>
      <c r="K666" s="38" t="str">
        <f>IF(IF(661&lt;=COUNTA(半紙!$B$11:$B$310),INDEX(半紙!$K$11:$K$310,661),IF(661&lt;=COUNTA(半紙!$B$11:$B$310)+COUNTA(条幅!$B$11:$B$310),INDEX(条幅!$K$11:$K$310,661-COUNTA(半紙!$B$11:$B$310)),IF(661&lt;=COUNTA(半紙!$B$11:$B$310)+COUNTA(条幅!$B$11:$B$310)+COUNTA(条幅4分の1!$B$11:$B$310),INDEX(条幅4分の1!$K$11:$K$310,661-COUNTA(半紙!$B$11:$B$310)-COUNTA(条幅!$B$11:$B$310)),"")))=0,"",IF(661&lt;=COUNTA(半紙!$B$11:$B$310),INDEX(半紙!$K$11:$K$310,661),IF(661&lt;=COUNTA(半紙!$B$11:$B$310)+COUNTA(条幅!$B$11:$B$310),INDEX(条幅!$K$11:$K$310,661-COUNTA(半紙!$B$11:$B$310)),IF(661&lt;=COUNTA(半紙!$B$11:$B$310)+COUNTA(条幅!$B$11:$B$310)+COUNTA(条幅4分の1!$B$11:$B$310),INDEX(条幅4分の1!$K$11:$K$310,661-COUNTA(半紙!$B$11:$B$310)-COUNTA(条幅!$B$11:$B$310)),""))))</f>
        <v/>
      </c>
      <c r="L666" s="48" t="str">
        <f>IF($B666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661))</f>
        <v/>
      </c>
    </row>
    <row r="667" spans="1:12" ht="15" customHeight="1">
      <c r="A667" s="37" t="str">
        <f>IF(662&lt;=COUNTA(半紙!$B$11:$B$310),"半紙",IF(662&lt;=COUNTA(半紙!$B$11:$B$310)+COUNTA(条幅!$B$11:$B$310),"条幅(半切)",IF(662&lt;=COUNTA(半紙!$B$11:$B$310)+COUNTA(条幅!$B$11:$B$310)+COUNTA(条幅4分の1!$B$11:$B$310),"条幅(1/4)","")))</f>
        <v/>
      </c>
      <c r="B667" s="38" t="str">
        <f>IF(IF(662&lt;=COUNTA(半紙!$B$11:$B$310),INDEX(半紙!$B$11:$B$310,662),IF(662&lt;=COUNTA(半紙!$B$11:$B$310)+COUNTA(条幅!$B$11:$B$310),INDEX(条幅!$B$11:$B$310,662-COUNTA(半紙!$B$11:$B$310)),IF(662&lt;=COUNTA(半紙!$B$11:$B$310)+COUNTA(条幅!$B$11:$B$310)+COUNTA(条幅4分の1!$B$11:$B$310),INDEX(条幅4分の1!$B$11:$B$310,662-COUNTA(半紙!$B$11:$B$310)-COUNTA(条幅!$B$11:$B$310)),"")))=0,"",IF(662&lt;=COUNTA(半紙!$B$11:$B$310),INDEX(半紙!$B$11:$B$310,662),IF(662&lt;=COUNTA(半紙!$B$11:$B$310)+COUNTA(条幅!$B$11:$B$310),INDEX(条幅!$B$11:$B$310,662-COUNTA(半紙!$B$11:$B$310)),IF(662&lt;=COUNTA(半紙!$B$11:$B$310)+COUNTA(条幅!$B$11:$B$310)+COUNTA(条幅4分の1!$B$11:$B$310),INDEX(条幅4分の1!$B$11:$B$310,662-COUNTA(半紙!$B$11:$B$310)-COUNTA(条幅!$B$11:$B$310)),""))))</f>
        <v/>
      </c>
      <c r="C667" s="38" t="str">
        <f>IF(IF(662&lt;=COUNTA(半紙!$B$11:$B$310),INDEX(半紙!$C$11:$C$310,662),IF(662&lt;=COUNTA(半紙!$B$11:$B$310)+COUNTA(条幅!$B$11:$B$310),INDEX(条幅!$C$11:$C$310,662-COUNTA(半紙!$B$11:$B$310)),IF(662&lt;=COUNTA(半紙!$B$11:$B$310)+COUNTA(条幅!$B$11:$B$310)+COUNTA(条幅4分の1!$B$11:$B$310),INDEX(条幅4分の1!$C$11:$C$310,662-COUNTA(半紙!$B$11:$B$310)-COUNTA(条幅!$B$11:$B$310)),"")))=0,"",IF(662&lt;=COUNTA(半紙!$B$11:$B$310),INDEX(半紙!$C$11:$C$310,662),IF(662&lt;=COUNTA(半紙!$B$11:$B$310)+COUNTA(条幅!$B$11:$B$310),INDEX(条幅!$C$11:$C$310,662-COUNTA(半紙!$B$11:$B$310)),IF(662&lt;=COUNTA(半紙!$B$11:$B$310)+COUNTA(条幅!$B$11:$B$310)+COUNTA(条幅4分の1!$B$11:$B$310),INDEX(条幅4分の1!$C$11:$C$310,662-COUNTA(半紙!$B$11:$B$310)-COUNTA(条幅!$B$11:$B$310)),""))))</f>
        <v/>
      </c>
      <c r="D667" s="38" t="str">
        <f>IF(IF(662&lt;=COUNTA(半紙!$B$11:$B$310),INDEX(半紙!$D$11:$D$310,662),IF(662&lt;=COUNTA(半紙!$B$11:$B$310)+COUNTA(条幅!$B$11:$B$310),INDEX(条幅!$D$11:$D$310,662-COUNTA(半紙!$B$11:$B$310)),IF(662&lt;=COUNTA(半紙!$B$11:$B$310)+COUNTA(条幅!$B$11:$B$310)+COUNTA(条幅4分の1!$B$11:$B$310),INDEX(条幅4分の1!$D$11:$D$310,662-COUNTA(半紙!$B$11:$B$310)-COUNTA(条幅!$B$11:$B$310)),"")))=0,"",IF(662&lt;=COUNTA(半紙!$B$11:$B$310),INDEX(半紙!$D$11:$D$310,662),IF(662&lt;=COUNTA(半紙!$B$11:$B$310)+COUNTA(条幅!$B$11:$B$310),INDEX(条幅!$D$11:$D$310,662-COUNTA(半紙!$B$11:$B$310)),IF(662&lt;=COUNTA(半紙!$B$11:$B$310)+COUNTA(条幅!$B$11:$B$310)+COUNTA(条幅4分の1!$B$11:$B$310),INDEX(条幅4分の1!$D$11:$D$310,662-COUNTA(半紙!$B$11:$B$310)-COUNTA(条幅!$B$11:$B$310)),""))))</f>
        <v/>
      </c>
      <c r="E667" s="38" t="str">
        <f>IF(IF(662&lt;=COUNTA(半紙!$B$11:$B$310),INDEX(半紙!$E$11:$E$310,662),IF(662&lt;=COUNTA(半紙!$B$11:$B$310)+COUNTA(条幅!$B$11:$B$310),INDEX(条幅!$E$11:$E$310,662-COUNTA(半紙!$B$11:$B$310)),IF(662&lt;=COUNTA(半紙!$B$11:$B$310)+COUNTA(条幅!$B$11:$B$310)+COUNTA(条幅4分の1!$B$11:$B$310),INDEX(条幅4分の1!$E$11:$E$310,662-COUNTA(半紙!$B$11:$B$310)-COUNTA(条幅!$B$11:$B$310)),"")))=0,"",IF(662&lt;=COUNTA(半紙!$B$11:$B$310),INDEX(半紙!$E$11:$E$310,662),IF(662&lt;=COUNTA(半紙!$B$11:$B$310)+COUNTA(条幅!$B$11:$B$310),INDEX(条幅!$E$11:$E$310,662-COUNTA(半紙!$B$11:$B$310)),IF(662&lt;=COUNTA(半紙!$B$11:$B$310)+COUNTA(条幅!$B$11:$B$310)+COUNTA(条幅4分の1!$B$11:$B$310),INDEX(条幅4分の1!$E$11:$E$310,662-COUNTA(半紙!$B$11:$B$310)-COUNTA(条幅!$B$11:$B$310)),""))))</f>
        <v/>
      </c>
      <c r="F667" s="38" t="str">
        <f>IF(IF(662&lt;=COUNTA(半紙!$B$11:$B$310),INDEX(半紙!$F$11:$F$310,662),IF(662&lt;=COUNTA(半紙!$B$11:$B$310)+COUNTA(条幅!$B$11:$B$310),INDEX(条幅!$F$11:$F$310,662-COUNTA(半紙!$B$11:$B$310)),IF(662&lt;=COUNTA(半紙!$B$11:$B$310)+COUNTA(条幅!$B$11:$B$310)+COUNTA(条幅4分の1!$B$11:$B$310),INDEX(条幅4分の1!$F$11:$F$310,662-COUNTA(半紙!$B$11:$B$310)-COUNTA(条幅!$B$11:$B$310)),"")))=0,"",IF(662&lt;=COUNTA(半紙!$B$11:$B$310),INDEX(半紙!$F$11:$F$310,662),IF(662&lt;=COUNTA(半紙!$B$11:$B$310)+COUNTA(条幅!$B$11:$B$310),INDEX(条幅!$F$11:$F$310,662-COUNTA(半紙!$B$11:$B$310)),IF(662&lt;=COUNTA(半紙!$B$11:$B$310)+COUNTA(条幅!$B$11:$B$310)+COUNTA(条幅4分の1!$B$11:$B$310),INDEX(条幅4分の1!$F$11:$F$310,662-COUNTA(半紙!$B$11:$B$310)-COUNTA(条幅!$B$11:$B$310)),""))))</f>
        <v/>
      </c>
      <c r="G667" s="38" t="str">
        <f>IF(IF(662&lt;=COUNTA(半紙!$B$11:$B$310),INDEX(半紙!$G$11:$G$310,662),IF(662&lt;=COUNTA(半紙!$B$11:$B$310)+COUNTA(条幅!$B$11:$B$310),INDEX(条幅!$G$11:$G$310,662-COUNTA(半紙!$B$11:$B$310)),IF(662&lt;=COUNTA(半紙!$B$11:$B$310)+COUNTA(条幅!$B$11:$B$310)+COUNTA(条幅4分の1!$B$11:$B$310),INDEX(条幅4分の1!$G$11:$G$310,662-COUNTA(半紙!$B$11:$B$310)-COUNTA(条幅!$B$11:$B$310)),"")))=0,"",IF(662&lt;=COUNTA(半紙!$B$11:$B$310),INDEX(半紙!$G$11:$G$310,662),IF(662&lt;=COUNTA(半紙!$B$11:$B$310)+COUNTA(条幅!$B$11:$B$310),INDEX(条幅!$G$11:$G$310,662-COUNTA(半紙!$B$11:$B$310)),IF(662&lt;=COUNTA(半紙!$B$11:$B$310)+COUNTA(条幅!$B$11:$B$310)+COUNTA(条幅4分の1!$B$11:$B$310),INDEX(条幅4分の1!$G$11:$G$310,662-COUNTA(半紙!$B$11:$B$310)-COUNTA(条幅!$B$11:$B$310)),""))))</f>
        <v/>
      </c>
      <c r="H667" s="38" t="str">
        <f>IF(IF(662&lt;=COUNTA(半紙!$B$11:$B$310),INDEX(半紙!$H$11:$H$310,662),IF(662&lt;=COUNTA(半紙!$B$11:$B$310)+COUNTA(条幅!$B$11:$B$310),INDEX(条幅!$H$11:$H$310,662-COUNTA(半紙!$B$11:$B$310)),IF(662&lt;=COUNTA(半紙!$B$11:$B$310)+COUNTA(条幅!$B$11:$B$310)+COUNTA(条幅4分の1!$B$11:$B$310),INDEX(条幅4分の1!$H$11:$H$310,662-COUNTA(半紙!$B$11:$B$310)-COUNTA(条幅!$B$11:$B$310)),"")))=0,"",IF(662&lt;=COUNTA(半紙!$B$11:$B$310),INDEX(半紙!$H$11:$H$310,662),IF(662&lt;=COUNTA(半紙!$B$11:$B$310)+COUNTA(条幅!$B$11:$B$310),INDEX(条幅!$H$11:$H$310,662-COUNTA(半紙!$B$11:$B$310)),IF(662&lt;=COUNTA(半紙!$B$11:$B$310)+COUNTA(条幅!$B$11:$B$310)+COUNTA(条幅4分の1!$B$11:$B$310),INDEX(条幅4分の1!$H$11:$H$310,662-COUNTA(半紙!$B$11:$B$310)-COUNTA(条幅!$B$11:$B$310)),""))))</f>
        <v/>
      </c>
      <c r="I667" s="38" t="str">
        <f>IF(IF(662&lt;=COUNTA(半紙!$B$11:$B$310),INDEX(半紙!$I$11:$I$310,662),IF(662&lt;=COUNTA(半紙!$B$11:$B$310)+COUNTA(条幅!$B$11:$B$310),INDEX(条幅!$I$11:$I$310,662-COUNTA(半紙!$B$11:$B$310)),IF(662&lt;=COUNTA(半紙!$B$11:$B$310)+COUNTA(条幅!$B$11:$B$310)+COUNTA(条幅4分の1!$B$11:$B$310),INDEX(条幅4分の1!$I$11:$I$310,662-COUNTA(半紙!$B$11:$B$310)-COUNTA(条幅!$B$11:$B$310)),"")))=0,"",IF(662&lt;=COUNTA(半紙!$B$11:$B$310),INDEX(半紙!$I$11:$I$310,662),IF(662&lt;=COUNTA(半紙!$B$11:$B$310)+COUNTA(条幅!$B$11:$B$310),INDEX(条幅!$I$11:$I$310,662-COUNTA(半紙!$B$11:$B$310)),IF(662&lt;=COUNTA(半紙!$B$11:$B$310)+COUNTA(条幅!$B$11:$B$310)+COUNTA(条幅4分の1!$B$11:$B$310),INDEX(条幅4分の1!$I$11:$I$310,662-COUNTA(半紙!$B$11:$B$310)-COUNTA(条幅!$B$11:$B$310)),""))))</f>
        <v/>
      </c>
      <c r="J667" s="38" t="str">
        <f>IF(IF(662&lt;=COUNTA(半紙!$B$11:$B$310),INDEX(半紙!$J$11:$J$310,662),IF(662&lt;=COUNTA(半紙!$B$11:$B$310)+COUNTA(条幅!$B$11:$B$310),INDEX(条幅!$J$11:$J$310,662-COUNTA(半紙!$B$11:$B$310)),IF(662&lt;=COUNTA(半紙!$B$11:$B$310)+COUNTA(条幅!$B$11:$B$310)+COUNTA(条幅4分の1!$B$11:$B$310),INDEX(条幅4分の1!$J$11:$J$310,662-COUNTA(半紙!$B$11:$B$310)-COUNTA(条幅!$B$11:$B$310)),"")))=0,"",IF(662&lt;=COUNTA(半紙!$B$11:$B$310),INDEX(半紙!$J$11:$J$310,662),IF(662&lt;=COUNTA(半紙!$B$11:$B$310)+COUNTA(条幅!$B$11:$B$310),INDEX(条幅!$J$11:$J$310,662-COUNTA(半紙!$B$11:$B$310)),IF(662&lt;=COUNTA(半紙!$B$11:$B$310)+COUNTA(条幅!$B$11:$B$310)+COUNTA(条幅4分の1!$B$11:$B$310),INDEX(条幅4分の1!$J$11:$J$310,662-COUNTA(半紙!$B$11:$B$310)-COUNTA(条幅!$B$11:$B$310)),""))))</f>
        <v/>
      </c>
      <c r="K667" s="38" t="str">
        <f>IF(IF(662&lt;=COUNTA(半紙!$B$11:$B$310),INDEX(半紙!$K$11:$K$310,662),IF(662&lt;=COUNTA(半紙!$B$11:$B$310)+COUNTA(条幅!$B$11:$B$310),INDEX(条幅!$K$11:$K$310,662-COUNTA(半紙!$B$11:$B$310)),IF(662&lt;=COUNTA(半紙!$B$11:$B$310)+COUNTA(条幅!$B$11:$B$310)+COUNTA(条幅4分の1!$B$11:$B$310),INDEX(条幅4分の1!$K$11:$K$310,662-COUNTA(半紙!$B$11:$B$310)-COUNTA(条幅!$B$11:$B$310)),"")))=0,"",IF(662&lt;=COUNTA(半紙!$B$11:$B$310),INDEX(半紙!$K$11:$K$310,662),IF(662&lt;=COUNTA(半紙!$B$11:$B$310)+COUNTA(条幅!$B$11:$B$310),INDEX(条幅!$K$11:$K$310,662-COUNTA(半紙!$B$11:$B$310)),IF(662&lt;=COUNTA(半紙!$B$11:$B$310)+COUNTA(条幅!$B$11:$B$310)+COUNTA(条幅4分の1!$B$11:$B$310),INDEX(条幅4分の1!$K$11:$K$310,662-COUNTA(半紙!$B$11:$B$310)-COUNTA(条幅!$B$11:$B$310)),""))))</f>
        <v/>
      </c>
      <c r="L667" s="48" t="str">
        <f>IF($B667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662))</f>
        <v/>
      </c>
    </row>
    <row r="668" spans="1:12" ht="15" customHeight="1">
      <c r="A668" s="37" t="str">
        <f>IF(663&lt;=COUNTA(半紙!$B$11:$B$310),"半紙",IF(663&lt;=COUNTA(半紙!$B$11:$B$310)+COUNTA(条幅!$B$11:$B$310),"条幅(半切)",IF(663&lt;=COUNTA(半紙!$B$11:$B$310)+COUNTA(条幅!$B$11:$B$310)+COUNTA(条幅4分の1!$B$11:$B$310),"条幅(1/4)","")))</f>
        <v/>
      </c>
      <c r="B668" s="38" t="str">
        <f>IF(IF(663&lt;=COUNTA(半紙!$B$11:$B$310),INDEX(半紙!$B$11:$B$310,663),IF(663&lt;=COUNTA(半紙!$B$11:$B$310)+COUNTA(条幅!$B$11:$B$310),INDEX(条幅!$B$11:$B$310,663-COUNTA(半紙!$B$11:$B$310)),IF(663&lt;=COUNTA(半紙!$B$11:$B$310)+COUNTA(条幅!$B$11:$B$310)+COUNTA(条幅4分の1!$B$11:$B$310),INDEX(条幅4分の1!$B$11:$B$310,663-COUNTA(半紙!$B$11:$B$310)-COUNTA(条幅!$B$11:$B$310)),"")))=0,"",IF(663&lt;=COUNTA(半紙!$B$11:$B$310),INDEX(半紙!$B$11:$B$310,663),IF(663&lt;=COUNTA(半紙!$B$11:$B$310)+COUNTA(条幅!$B$11:$B$310),INDEX(条幅!$B$11:$B$310,663-COUNTA(半紙!$B$11:$B$310)),IF(663&lt;=COUNTA(半紙!$B$11:$B$310)+COUNTA(条幅!$B$11:$B$310)+COUNTA(条幅4分の1!$B$11:$B$310),INDEX(条幅4分の1!$B$11:$B$310,663-COUNTA(半紙!$B$11:$B$310)-COUNTA(条幅!$B$11:$B$310)),""))))</f>
        <v/>
      </c>
      <c r="C668" s="38" t="str">
        <f>IF(IF(663&lt;=COUNTA(半紙!$B$11:$B$310),INDEX(半紙!$C$11:$C$310,663),IF(663&lt;=COUNTA(半紙!$B$11:$B$310)+COUNTA(条幅!$B$11:$B$310),INDEX(条幅!$C$11:$C$310,663-COUNTA(半紙!$B$11:$B$310)),IF(663&lt;=COUNTA(半紙!$B$11:$B$310)+COUNTA(条幅!$B$11:$B$310)+COUNTA(条幅4分の1!$B$11:$B$310),INDEX(条幅4分の1!$C$11:$C$310,663-COUNTA(半紙!$B$11:$B$310)-COUNTA(条幅!$B$11:$B$310)),"")))=0,"",IF(663&lt;=COUNTA(半紙!$B$11:$B$310),INDEX(半紙!$C$11:$C$310,663),IF(663&lt;=COUNTA(半紙!$B$11:$B$310)+COUNTA(条幅!$B$11:$B$310),INDEX(条幅!$C$11:$C$310,663-COUNTA(半紙!$B$11:$B$310)),IF(663&lt;=COUNTA(半紙!$B$11:$B$310)+COUNTA(条幅!$B$11:$B$310)+COUNTA(条幅4分の1!$B$11:$B$310),INDEX(条幅4分の1!$C$11:$C$310,663-COUNTA(半紙!$B$11:$B$310)-COUNTA(条幅!$B$11:$B$310)),""))))</f>
        <v/>
      </c>
      <c r="D668" s="38" t="str">
        <f>IF(IF(663&lt;=COUNTA(半紙!$B$11:$B$310),INDEX(半紙!$D$11:$D$310,663),IF(663&lt;=COUNTA(半紙!$B$11:$B$310)+COUNTA(条幅!$B$11:$B$310),INDEX(条幅!$D$11:$D$310,663-COUNTA(半紙!$B$11:$B$310)),IF(663&lt;=COUNTA(半紙!$B$11:$B$310)+COUNTA(条幅!$B$11:$B$310)+COUNTA(条幅4分の1!$B$11:$B$310),INDEX(条幅4分の1!$D$11:$D$310,663-COUNTA(半紙!$B$11:$B$310)-COUNTA(条幅!$B$11:$B$310)),"")))=0,"",IF(663&lt;=COUNTA(半紙!$B$11:$B$310),INDEX(半紙!$D$11:$D$310,663),IF(663&lt;=COUNTA(半紙!$B$11:$B$310)+COUNTA(条幅!$B$11:$B$310),INDEX(条幅!$D$11:$D$310,663-COUNTA(半紙!$B$11:$B$310)),IF(663&lt;=COUNTA(半紙!$B$11:$B$310)+COUNTA(条幅!$B$11:$B$310)+COUNTA(条幅4分の1!$B$11:$B$310),INDEX(条幅4分の1!$D$11:$D$310,663-COUNTA(半紙!$B$11:$B$310)-COUNTA(条幅!$B$11:$B$310)),""))))</f>
        <v/>
      </c>
      <c r="E668" s="38" t="str">
        <f>IF(IF(663&lt;=COUNTA(半紙!$B$11:$B$310),INDEX(半紙!$E$11:$E$310,663),IF(663&lt;=COUNTA(半紙!$B$11:$B$310)+COUNTA(条幅!$B$11:$B$310),INDEX(条幅!$E$11:$E$310,663-COUNTA(半紙!$B$11:$B$310)),IF(663&lt;=COUNTA(半紙!$B$11:$B$310)+COUNTA(条幅!$B$11:$B$310)+COUNTA(条幅4分の1!$B$11:$B$310),INDEX(条幅4分の1!$E$11:$E$310,663-COUNTA(半紙!$B$11:$B$310)-COUNTA(条幅!$B$11:$B$310)),"")))=0,"",IF(663&lt;=COUNTA(半紙!$B$11:$B$310),INDEX(半紙!$E$11:$E$310,663),IF(663&lt;=COUNTA(半紙!$B$11:$B$310)+COUNTA(条幅!$B$11:$B$310),INDEX(条幅!$E$11:$E$310,663-COUNTA(半紙!$B$11:$B$310)),IF(663&lt;=COUNTA(半紙!$B$11:$B$310)+COUNTA(条幅!$B$11:$B$310)+COUNTA(条幅4分の1!$B$11:$B$310),INDEX(条幅4分の1!$E$11:$E$310,663-COUNTA(半紙!$B$11:$B$310)-COUNTA(条幅!$B$11:$B$310)),""))))</f>
        <v/>
      </c>
      <c r="F668" s="38" t="str">
        <f>IF(IF(663&lt;=COUNTA(半紙!$B$11:$B$310),INDEX(半紙!$F$11:$F$310,663),IF(663&lt;=COUNTA(半紙!$B$11:$B$310)+COUNTA(条幅!$B$11:$B$310),INDEX(条幅!$F$11:$F$310,663-COUNTA(半紙!$B$11:$B$310)),IF(663&lt;=COUNTA(半紙!$B$11:$B$310)+COUNTA(条幅!$B$11:$B$310)+COUNTA(条幅4分の1!$B$11:$B$310),INDEX(条幅4分の1!$F$11:$F$310,663-COUNTA(半紙!$B$11:$B$310)-COUNTA(条幅!$B$11:$B$310)),"")))=0,"",IF(663&lt;=COUNTA(半紙!$B$11:$B$310),INDEX(半紙!$F$11:$F$310,663),IF(663&lt;=COUNTA(半紙!$B$11:$B$310)+COUNTA(条幅!$B$11:$B$310),INDEX(条幅!$F$11:$F$310,663-COUNTA(半紙!$B$11:$B$310)),IF(663&lt;=COUNTA(半紙!$B$11:$B$310)+COUNTA(条幅!$B$11:$B$310)+COUNTA(条幅4分の1!$B$11:$B$310),INDEX(条幅4分の1!$F$11:$F$310,663-COUNTA(半紙!$B$11:$B$310)-COUNTA(条幅!$B$11:$B$310)),""))))</f>
        <v/>
      </c>
      <c r="G668" s="38" t="str">
        <f>IF(IF(663&lt;=COUNTA(半紙!$B$11:$B$310),INDEX(半紙!$G$11:$G$310,663),IF(663&lt;=COUNTA(半紙!$B$11:$B$310)+COUNTA(条幅!$B$11:$B$310),INDEX(条幅!$G$11:$G$310,663-COUNTA(半紙!$B$11:$B$310)),IF(663&lt;=COUNTA(半紙!$B$11:$B$310)+COUNTA(条幅!$B$11:$B$310)+COUNTA(条幅4分の1!$B$11:$B$310),INDEX(条幅4分の1!$G$11:$G$310,663-COUNTA(半紙!$B$11:$B$310)-COUNTA(条幅!$B$11:$B$310)),"")))=0,"",IF(663&lt;=COUNTA(半紙!$B$11:$B$310),INDEX(半紙!$G$11:$G$310,663),IF(663&lt;=COUNTA(半紙!$B$11:$B$310)+COUNTA(条幅!$B$11:$B$310),INDEX(条幅!$G$11:$G$310,663-COUNTA(半紙!$B$11:$B$310)),IF(663&lt;=COUNTA(半紙!$B$11:$B$310)+COUNTA(条幅!$B$11:$B$310)+COUNTA(条幅4分の1!$B$11:$B$310),INDEX(条幅4分の1!$G$11:$G$310,663-COUNTA(半紙!$B$11:$B$310)-COUNTA(条幅!$B$11:$B$310)),""))))</f>
        <v/>
      </c>
      <c r="H668" s="38" t="str">
        <f>IF(IF(663&lt;=COUNTA(半紙!$B$11:$B$310),INDEX(半紙!$H$11:$H$310,663),IF(663&lt;=COUNTA(半紙!$B$11:$B$310)+COUNTA(条幅!$B$11:$B$310),INDEX(条幅!$H$11:$H$310,663-COUNTA(半紙!$B$11:$B$310)),IF(663&lt;=COUNTA(半紙!$B$11:$B$310)+COUNTA(条幅!$B$11:$B$310)+COUNTA(条幅4分の1!$B$11:$B$310),INDEX(条幅4分の1!$H$11:$H$310,663-COUNTA(半紙!$B$11:$B$310)-COUNTA(条幅!$B$11:$B$310)),"")))=0,"",IF(663&lt;=COUNTA(半紙!$B$11:$B$310),INDEX(半紙!$H$11:$H$310,663),IF(663&lt;=COUNTA(半紙!$B$11:$B$310)+COUNTA(条幅!$B$11:$B$310),INDEX(条幅!$H$11:$H$310,663-COUNTA(半紙!$B$11:$B$310)),IF(663&lt;=COUNTA(半紙!$B$11:$B$310)+COUNTA(条幅!$B$11:$B$310)+COUNTA(条幅4分の1!$B$11:$B$310),INDEX(条幅4分の1!$H$11:$H$310,663-COUNTA(半紙!$B$11:$B$310)-COUNTA(条幅!$B$11:$B$310)),""))))</f>
        <v/>
      </c>
      <c r="I668" s="38" t="str">
        <f>IF(IF(663&lt;=COUNTA(半紙!$B$11:$B$310),INDEX(半紙!$I$11:$I$310,663),IF(663&lt;=COUNTA(半紙!$B$11:$B$310)+COUNTA(条幅!$B$11:$B$310),INDEX(条幅!$I$11:$I$310,663-COUNTA(半紙!$B$11:$B$310)),IF(663&lt;=COUNTA(半紙!$B$11:$B$310)+COUNTA(条幅!$B$11:$B$310)+COUNTA(条幅4分の1!$B$11:$B$310),INDEX(条幅4分の1!$I$11:$I$310,663-COUNTA(半紙!$B$11:$B$310)-COUNTA(条幅!$B$11:$B$310)),"")))=0,"",IF(663&lt;=COUNTA(半紙!$B$11:$B$310),INDEX(半紙!$I$11:$I$310,663),IF(663&lt;=COUNTA(半紙!$B$11:$B$310)+COUNTA(条幅!$B$11:$B$310),INDEX(条幅!$I$11:$I$310,663-COUNTA(半紙!$B$11:$B$310)),IF(663&lt;=COUNTA(半紙!$B$11:$B$310)+COUNTA(条幅!$B$11:$B$310)+COUNTA(条幅4分の1!$B$11:$B$310),INDEX(条幅4分の1!$I$11:$I$310,663-COUNTA(半紙!$B$11:$B$310)-COUNTA(条幅!$B$11:$B$310)),""))))</f>
        <v/>
      </c>
      <c r="J668" s="38" t="str">
        <f>IF(IF(663&lt;=COUNTA(半紙!$B$11:$B$310),INDEX(半紙!$J$11:$J$310,663),IF(663&lt;=COUNTA(半紙!$B$11:$B$310)+COUNTA(条幅!$B$11:$B$310),INDEX(条幅!$J$11:$J$310,663-COUNTA(半紙!$B$11:$B$310)),IF(663&lt;=COUNTA(半紙!$B$11:$B$310)+COUNTA(条幅!$B$11:$B$310)+COUNTA(条幅4分の1!$B$11:$B$310),INDEX(条幅4分の1!$J$11:$J$310,663-COUNTA(半紙!$B$11:$B$310)-COUNTA(条幅!$B$11:$B$310)),"")))=0,"",IF(663&lt;=COUNTA(半紙!$B$11:$B$310),INDEX(半紙!$J$11:$J$310,663),IF(663&lt;=COUNTA(半紙!$B$11:$B$310)+COUNTA(条幅!$B$11:$B$310),INDEX(条幅!$J$11:$J$310,663-COUNTA(半紙!$B$11:$B$310)),IF(663&lt;=COUNTA(半紙!$B$11:$B$310)+COUNTA(条幅!$B$11:$B$310)+COUNTA(条幅4分の1!$B$11:$B$310),INDEX(条幅4分の1!$J$11:$J$310,663-COUNTA(半紙!$B$11:$B$310)-COUNTA(条幅!$B$11:$B$310)),""))))</f>
        <v/>
      </c>
      <c r="K668" s="38" t="str">
        <f>IF(IF(663&lt;=COUNTA(半紙!$B$11:$B$310),INDEX(半紙!$K$11:$K$310,663),IF(663&lt;=COUNTA(半紙!$B$11:$B$310)+COUNTA(条幅!$B$11:$B$310),INDEX(条幅!$K$11:$K$310,663-COUNTA(半紙!$B$11:$B$310)),IF(663&lt;=COUNTA(半紙!$B$11:$B$310)+COUNTA(条幅!$B$11:$B$310)+COUNTA(条幅4分の1!$B$11:$B$310),INDEX(条幅4分の1!$K$11:$K$310,663-COUNTA(半紙!$B$11:$B$310)-COUNTA(条幅!$B$11:$B$310)),"")))=0,"",IF(663&lt;=COUNTA(半紙!$B$11:$B$310),INDEX(半紙!$K$11:$K$310,663),IF(663&lt;=COUNTA(半紙!$B$11:$B$310)+COUNTA(条幅!$B$11:$B$310),INDEX(条幅!$K$11:$K$310,663-COUNTA(半紙!$B$11:$B$310)),IF(663&lt;=COUNTA(半紙!$B$11:$B$310)+COUNTA(条幅!$B$11:$B$310)+COUNTA(条幅4分の1!$B$11:$B$310),INDEX(条幅4分の1!$K$11:$K$310,663-COUNTA(半紙!$B$11:$B$310)-COUNTA(条幅!$B$11:$B$310)),""))))</f>
        <v/>
      </c>
      <c r="L668" s="48" t="str">
        <f>IF($B668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663))</f>
        <v/>
      </c>
    </row>
    <row r="669" spans="1:12" ht="15" customHeight="1">
      <c r="A669" s="37" t="str">
        <f>IF(664&lt;=COUNTA(半紙!$B$11:$B$310),"半紙",IF(664&lt;=COUNTA(半紙!$B$11:$B$310)+COUNTA(条幅!$B$11:$B$310),"条幅(半切)",IF(664&lt;=COUNTA(半紙!$B$11:$B$310)+COUNTA(条幅!$B$11:$B$310)+COUNTA(条幅4分の1!$B$11:$B$310),"条幅(1/4)","")))</f>
        <v/>
      </c>
      <c r="B669" s="38" t="str">
        <f>IF(IF(664&lt;=COUNTA(半紙!$B$11:$B$310),INDEX(半紙!$B$11:$B$310,664),IF(664&lt;=COUNTA(半紙!$B$11:$B$310)+COUNTA(条幅!$B$11:$B$310),INDEX(条幅!$B$11:$B$310,664-COUNTA(半紙!$B$11:$B$310)),IF(664&lt;=COUNTA(半紙!$B$11:$B$310)+COUNTA(条幅!$B$11:$B$310)+COUNTA(条幅4分の1!$B$11:$B$310),INDEX(条幅4分の1!$B$11:$B$310,664-COUNTA(半紙!$B$11:$B$310)-COUNTA(条幅!$B$11:$B$310)),"")))=0,"",IF(664&lt;=COUNTA(半紙!$B$11:$B$310),INDEX(半紙!$B$11:$B$310,664),IF(664&lt;=COUNTA(半紙!$B$11:$B$310)+COUNTA(条幅!$B$11:$B$310),INDEX(条幅!$B$11:$B$310,664-COUNTA(半紙!$B$11:$B$310)),IF(664&lt;=COUNTA(半紙!$B$11:$B$310)+COUNTA(条幅!$B$11:$B$310)+COUNTA(条幅4分の1!$B$11:$B$310),INDEX(条幅4分の1!$B$11:$B$310,664-COUNTA(半紙!$B$11:$B$310)-COUNTA(条幅!$B$11:$B$310)),""))))</f>
        <v/>
      </c>
      <c r="C669" s="38" t="str">
        <f>IF(IF(664&lt;=COUNTA(半紙!$B$11:$B$310),INDEX(半紙!$C$11:$C$310,664),IF(664&lt;=COUNTA(半紙!$B$11:$B$310)+COUNTA(条幅!$B$11:$B$310),INDEX(条幅!$C$11:$C$310,664-COUNTA(半紙!$B$11:$B$310)),IF(664&lt;=COUNTA(半紙!$B$11:$B$310)+COUNTA(条幅!$B$11:$B$310)+COUNTA(条幅4分の1!$B$11:$B$310),INDEX(条幅4分の1!$C$11:$C$310,664-COUNTA(半紙!$B$11:$B$310)-COUNTA(条幅!$B$11:$B$310)),"")))=0,"",IF(664&lt;=COUNTA(半紙!$B$11:$B$310),INDEX(半紙!$C$11:$C$310,664),IF(664&lt;=COUNTA(半紙!$B$11:$B$310)+COUNTA(条幅!$B$11:$B$310),INDEX(条幅!$C$11:$C$310,664-COUNTA(半紙!$B$11:$B$310)),IF(664&lt;=COUNTA(半紙!$B$11:$B$310)+COUNTA(条幅!$B$11:$B$310)+COUNTA(条幅4分の1!$B$11:$B$310),INDEX(条幅4分の1!$C$11:$C$310,664-COUNTA(半紙!$B$11:$B$310)-COUNTA(条幅!$B$11:$B$310)),""))))</f>
        <v/>
      </c>
      <c r="D669" s="38" t="str">
        <f>IF(IF(664&lt;=COUNTA(半紙!$B$11:$B$310),INDEX(半紙!$D$11:$D$310,664),IF(664&lt;=COUNTA(半紙!$B$11:$B$310)+COUNTA(条幅!$B$11:$B$310),INDEX(条幅!$D$11:$D$310,664-COUNTA(半紙!$B$11:$B$310)),IF(664&lt;=COUNTA(半紙!$B$11:$B$310)+COUNTA(条幅!$B$11:$B$310)+COUNTA(条幅4分の1!$B$11:$B$310),INDEX(条幅4分の1!$D$11:$D$310,664-COUNTA(半紙!$B$11:$B$310)-COUNTA(条幅!$B$11:$B$310)),"")))=0,"",IF(664&lt;=COUNTA(半紙!$B$11:$B$310),INDEX(半紙!$D$11:$D$310,664),IF(664&lt;=COUNTA(半紙!$B$11:$B$310)+COUNTA(条幅!$B$11:$B$310),INDEX(条幅!$D$11:$D$310,664-COUNTA(半紙!$B$11:$B$310)),IF(664&lt;=COUNTA(半紙!$B$11:$B$310)+COUNTA(条幅!$B$11:$B$310)+COUNTA(条幅4分の1!$B$11:$B$310),INDEX(条幅4分の1!$D$11:$D$310,664-COUNTA(半紙!$B$11:$B$310)-COUNTA(条幅!$B$11:$B$310)),""))))</f>
        <v/>
      </c>
      <c r="E669" s="38" t="str">
        <f>IF(IF(664&lt;=COUNTA(半紙!$B$11:$B$310),INDEX(半紙!$E$11:$E$310,664),IF(664&lt;=COUNTA(半紙!$B$11:$B$310)+COUNTA(条幅!$B$11:$B$310),INDEX(条幅!$E$11:$E$310,664-COUNTA(半紙!$B$11:$B$310)),IF(664&lt;=COUNTA(半紙!$B$11:$B$310)+COUNTA(条幅!$B$11:$B$310)+COUNTA(条幅4分の1!$B$11:$B$310),INDEX(条幅4分の1!$E$11:$E$310,664-COUNTA(半紙!$B$11:$B$310)-COUNTA(条幅!$B$11:$B$310)),"")))=0,"",IF(664&lt;=COUNTA(半紙!$B$11:$B$310),INDEX(半紙!$E$11:$E$310,664),IF(664&lt;=COUNTA(半紙!$B$11:$B$310)+COUNTA(条幅!$B$11:$B$310),INDEX(条幅!$E$11:$E$310,664-COUNTA(半紙!$B$11:$B$310)),IF(664&lt;=COUNTA(半紙!$B$11:$B$310)+COUNTA(条幅!$B$11:$B$310)+COUNTA(条幅4分の1!$B$11:$B$310),INDEX(条幅4分の1!$E$11:$E$310,664-COUNTA(半紙!$B$11:$B$310)-COUNTA(条幅!$B$11:$B$310)),""))))</f>
        <v/>
      </c>
      <c r="F669" s="38" t="str">
        <f>IF(IF(664&lt;=COUNTA(半紙!$B$11:$B$310),INDEX(半紙!$F$11:$F$310,664),IF(664&lt;=COUNTA(半紙!$B$11:$B$310)+COUNTA(条幅!$B$11:$B$310),INDEX(条幅!$F$11:$F$310,664-COUNTA(半紙!$B$11:$B$310)),IF(664&lt;=COUNTA(半紙!$B$11:$B$310)+COUNTA(条幅!$B$11:$B$310)+COUNTA(条幅4分の1!$B$11:$B$310),INDEX(条幅4分の1!$F$11:$F$310,664-COUNTA(半紙!$B$11:$B$310)-COUNTA(条幅!$B$11:$B$310)),"")))=0,"",IF(664&lt;=COUNTA(半紙!$B$11:$B$310),INDEX(半紙!$F$11:$F$310,664),IF(664&lt;=COUNTA(半紙!$B$11:$B$310)+COUNTA(条幅!$B$11:$B$310),INDEX(条幅!$F$11:$F$310,664-COUNTA(半紙!$B$11:$B$310)),IF(664&lt;=COUNTA(半紙!$B$11:$B$310)+COUNTA(条幅!$B$11:$B$310)+COUNTA(条幅4分の1!$B$11:$B$310),INDEX(条幅4分の1!$F$11:$F$310,664-COUNTA(半紙!$B$11:$B$310)-COUNTA(条幅!$B$11:$B$310)),""))))</f>
        <v/>
      </c>
      <c r="G669" s="38" t="str">
        <f>IF(IF(664&lt;=COUNTA(半紙!$B$11:$B$310),INDEX(半紙!$G$11:$G$310,664),IF(664&lt;=COUNTA(半紙!$B$11:$B$310)+COUNTA(条幅!$B$11:$B$310),INDEX(条幅!$G$11:$G$310,664-COUNTA(半紙!$B$11:$B$310)),IF(664&lt;=COUNTA(半紙!$B$11:$B$310)+COUNTA(条幅!$B$11:$B$310)+COUNTA(条幅4分の1!$B$11:$B$310),INDEX(条幅4分の1!$G$11:$G$310,664-COUNTA(半紙!$B$11:$B$310)-COUNTA(条幅!$B$11:$B$310)),"")))=0,"",IF(664&lt;=COUNTA(半紙!$B$11:$B$310),INDEX(半紙!$G$11:$G$310,664),IF(664&lt;=COUNTA(半紙!$B$11:$B$310)+COUNTA(条幅!$B$11:$B$310),INDEX(条幅!$G$11:$G$310,664-COUNTA(半紙!$B$11:$B$310)),IF(664&lt;=COUNTA(半紙!$B$11:$B$310)+COUNTA(条幅!$B$11:$B$310)+COUNTA(条幅4分の1!$B$11:$B$310),INDEX(条幅4分の1!$G$11:$G$310,664-COUNTA(半紙!$B$11:$B$310)-COUNTA(条幅!$B$11:$B$310)),""))))</f>
        <v/>
      </c>
      <c r="H669" s="38" t="str">
        <f>IF(IF(664&lt;=COUNTA(半紙!$B$11:$B$310),INDEX(半紙!$H$11:$H$310,664),IF(664&lt;=COUNTA(半紙!$B$11:$B$310)+COUNTA(条幅!$B$11:$B$310),INDEX(条幅!$H$11:$H$310,664-COUNTA(半紙!$B$11:$B$310)),IF(664&lt;=COUNTA(半紙!$B$11:$B$310)+COUNTA(条幅!$B$11:$B$310)+COUNTA(条幅4分の1!$B$11:$B$310),INDEX(条幅4分の1!$H$11:$H$310,664-COUNTA(半紙!$B$11:$B$310)-COUNTA(条幅!$B$11:$B$310)),"")))=0,"",IF(664&lt;=COUNTA(半紙!$B$11:$B$310),INDEX(半紙!$H$11:$H$310,664),IF(664&lt;=COUNTA(半紙!$B$11:$B$310)+COUNTA(条幅!$B$11:$B$310),INDEX(条幅!$H$11:$H$310,664-COUNTA(半紙!$B$11:$B$310)),IF(664&lt;=COUNTA(半紙!$B$11:$B$310)+COUNTA(条幅!$B$11:$B$310)+COUNTA(条幅4分の1!$B$11:$B$310),INDEX(条幅4分の1!$H$11:$H$310,664-COUNTA(半紙!$B$11:$B$310)-COUNTA(条幅!$B$11:$B$310)),""))))</f>
        <v/>
      </c>
      <c r="I669" s="38" t="str">
        <f>IF(IF(664&lt;=COUNTA(半紙!$B$11:$B$310),INDEX(半紙!$I$11:$I$310,664),IF(664&lt;=COUNTA(半紙!$B$11:$B$310)+COUNTA(条幅!$B$11:$B$310),INDEX(条幅!$I$11:$I$310,664-COUNTA(半紙!$B$11:$B$310)),IF(664&lt;=COUNTA(半紙!$B$11:$B$310)+COUNTA(条幅!$B$11:$B$310)+COUNTA(条幅4分の1!$B$11:$B$310),INDEX(条幅4分の1!$I$11:$I$310,664-COUNTA(半紙!$B$11:$B$310)-COUNTA(条幅!$B$11:$B$310)),"")))=0,"",IF(664&lt;=COUNTA(半紙!$B$11:$B$310),INDEX(半紙!$I$11:$I$310,664),IF(664&lt;=COUNTA(半紙!$B$11:$B$310)+COUNTA(条幅!$B$11:$B$310),INDEX(条幅!$I$11:$I$310,664-COUNTA(半紙!$B$11:$B$310)),IF(664&lt;=COUNTA(半紙!$B$11:$B$310)+COUNTA(条幅!$B$11:$B$310)+COUNTA(条幅4分の1!$B$11:$B$310),INDEX(条幅4分の1!$I$11:$I$310,664-COUNTA(半紙!$B$11:$B$310)-COUNTA(条幅!$B$11:$B$310)),""))))</f>
        <v/>
      </c>
      <c r="J669" s="38" t="str">
        <f>IF(IF(664&lt;=COUNTA(半紙!$B$11:$B$310),INDEX(半紙!$J$11:$J$310,664),IF(664&lt;=COUNTA(半紙!$B$11:$B$310)+COUNTA(条幅!$B$11:$B$310),INDEX(条幅!$J$11:$J$310,664-COUNTA(半紙!$B$11:$B$310)),IF(664&lt;=COUNTA(半紙!$B$11:$B$310)+COUNTA(条幅!$B$11:$B$310)+COUNTA(条幅4分の1!$B$11:$B$310),INDEX(条幅4分の1!$J$11:$J$310,664-COUNTA(半紙!$B$11:$B$310)-COUNTA(条幅!$B$11:$B$310)),"")))=0,"",IF(664&lt;=COUNTA(半紙!$B$11:$B$310),INDEX(半紙!$J$11:$J$310,664),IF(664&lt;=COUNTA(半紙!$B$11:$B$310)+COUNTA(条幅!$B$11:$B$310),INDEX(条幅!$J$11:$J$310,664-COUNTA(半紙!$B$11:$B$310)),IF(664&lt;=COUNTA(半紙!$B$11:$B$310)+COUNTA(条幅!$B$11:$B$310)+COUNTA(条幅4分の1!$B$11:$B$310),INDEX(条幅4分の1!$J$11:$J$310,664-COUNTA(半紙!$B$11:$B$310)-COUNTA(条幅!$B$11:$B$310)),""))))</f>
        <v/>
      </c>
      <c r="K669" s="38" t="str">
        <f>IF(IF(664&lt;=COUNTA(半紙!$B$11:$B$310),INDEX(半紙!$K$11:$K$310,664),IF(664&lt;=COUNTA(半紙!$B$11:$B$310)+COUNTA(条幅!$B$11:$B$310),INDEX(条幅!$K$11:$K$310,664-COUNTA(半紙!$B$11:$B$310)),IF(664&lt;=COUNTA(半紙!$B$11:$B$310)+COUNTA(条幅!$B$11:$B$310)+COUNTA(条幅4分の1!$B$11:$B$310),INDEX(条幅4分の1!$K$11:$K$310,664-COUNTA(半紙!$B$11:$B$310)-COUNTA(条幅!$B$11:$B$310)),"")))=0,"",IF(664&lt;=COUNTA(半紙!$B$11:$B$310),INDEX(半紙!$K$11:$K$310,664),IF(664&lt;=COUNTA(半紙!$B$11:$B$310)+COUNTA(条幅!$B$11:$B$310),INDEX(条幅!$K$11:$K$310,664-COUNTA(半紙!$B$11:$B$310)),IF(664&lt;=COUNTA(半紙!$B$11:$B$310)+COUNTA(条幅!$B$11:$B$310)+COUNTA(条幅4分の1!$B$11:$B$310),INDEX(条幅4分の1!$K$11:$K$310,664-COUNTA(半紙!$B$11:$B$310)-COUNTA(条幅!$B$11:$B$310)),""))))</f>
        <v/>
      </c>
      <c r="L669" s="48" t="str">
        <f>IF($B669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664))</f>
        <v/>
      </c>
    </row>
    <row r="670" spans="1:12" ht="15" customHeight="1">
      <c r="A670" s="37" t="str">
        <f>IF(665&lt;=COUNTA(半紙!$B$11:$B$310),"半紙",IF(665&lt;=COUNTA(半紙!$B$11:$B$310)+COUNTA(条幅!$B$11:$B$310),"条幅(半切)",IF(665&lt;=COUNTA(半紙!$B$11:$B$310)+COUNTA(条幅!$B$11:$B$310)+COUNTA(条幅4分の1!$B$11:$B$310),"条幅(1/4)","")))</f>
        <v/>
      </c>
      <c r="B670" s="38" t="str">
        <f>IF(IF(665&lt;=COUNTA(半紙!$B$11:$B$310),INDEX(半紙!$B$11:$B$310,665),IF(665&lt;=COUNTA(半紙!$B$11:$B$310)+COUNTA(条幅!$B$11:$B$310),INDEX(条幅!$B$11:$B$310,665-COUNTA(半紙!$B$11:$B$310)),IF(665&lt;=COUNTA(半紙!$B$11:$B$310)+COUNTA(条幅!$B$11:$B$310)+COUNTA(条幅4分の1!$B$11:$B$310),INDEX(条幅4分の1!$B$11:$B$310,665-COUNTA(半紙!$B$11:$B$310)-COUNTA(条幅!$B$11:$B$310)),"")))=0,"",IF(665&lt;=COUNTA(半紙!$B$11:$B$310),INDEX(半紙!$B$11:$B$310,665),IF(665&lt;=COUNTA(半紙!$B$11:$B$310)+COUNTA(条幅!$B$11:$B$310),INDEX(条幅!$B$11:$B$310,665-COUNTA(半紙!$B$11:$B$310)),IF(665&lt;=COUNTA(半紙!$B$11:$B$310)+COUNTA(条幅!$B$11:$B$310)+COUNTA(条幅4分の1!$B$11:$B$310),INDEX(条幅4分の1!$B$11:$B$310,665-COUNTA(半紙!$B$11:$B$310)-COUNTA(条幅!$B$11:$B$310)),""))))</f>
        <v/>
      </c>
      <c r="C670" s="38" t="str">
        <f>IF(IF(665&lt;=COUNTA(半紙!$B$11:$B$310),INDEX(半紙!$C$11:$C$310,665),IF(665&lt;=COUNTA(半紙!$B$11:$B$310)+COUNTA(条幅!$B$11:$B$310),INDEX(条幅!$C$11:$C$310,665-COUNTA(半紙!$B$11:$B$310)),IF(665&lt;=COUNTA(半紙!$B$11:$B$310)+COUNTA(条幅!$B$11:$B$310)+COUNTA(条幅4分の1!$B$11:$B$310),INDEX(条幅4分の1!$C$11:$C$310,665-COUNTA(半紙!$B$11:$B$310)-COUNTA(条幅!$B$11:$B$310)),"")))=0,"",IF(665&lt;=COUNTA(半紙!$B$11:$B$310),INDEX(半紙!$C$11:$C$310,665),IF(665&lt;=COUNTA(半紙!$B$11:$B$310)+COUNTA(条幅!$B$11:$B$310),INDEX(条幅!$C$11:$C$310,665-COUNTA(半紙!$B$11:$B$310)),IF(665&lt;=COUNTA(半紙!$B$11:$B$310)+COUNTA(条幅!$B$11:$B$310)+COUNTA(条幅4分の1!$B$11:$B$310),INDEX(条幅4分の1!$C$11:$C$310,665-COUNTA(半紙!$B$11:$B$310)-COUNTA(条幅!$B$11:$B$310)),""))))</f>
        <v/>
      </c>
      <c r="D670" s="38" t="str">
        <f>IF(IF(665&lt;=COUNTA(半紙!$B$11:$B$310),INDEX(半紙!$D$11:$D$310,665),IF(665&lt;=COUNTA(半紙!$B$11:$B$310)+COUNTA(条幅!$B$11:$B$310),INDEX(条幅!$D$11:$D$310,665-COUNTA(半紙!$B$11:$B$310)),IF(665&lt;=COUNTA(半紙!$B$11:$B$310)+COUNTA(条幅!$B$11:$B$310)+COUNTA(条幅4分の1!$B$11:$B$310),INDEX(条幅4分の1!$D$11:$D$310,665-COUNTA(半紙!$B$11:$B$310)-COUNTA(条幅!$B$11:$B$310)),"")))=0,"",IF(665&lt;=COUNTA(半紙!$B$11:$B$310),INDEX(半紙!$D$11:$D$310,665),IF(665&lt;=COUNTA(半紙!$B$11:$B$310)+COUNTA(条幅!$B$11:$B$310),INDEX(条幅!$D$11:$D$310,665-COUNTA(半紙!$B$11:$B$310)),IF(665&lt;=COUNTA(半紙!$B$11:$B$310)+COUNTA(条幅!$B$11:$B$310)+COUNTA(条幅4分の1!$B$11:$B$310),INDEX(条幅4分の1!$D$11:$D$310,665-COUNTA(半紙!$B$11:$B$310)-COUNTA(条幅!$B$11:$B$310)),""))))</f>
        <v/>
      </c>
      <c r="E670" s="38" t="str">
        <f>IF(IF(665&lt;=COUNTA(半紙!$B$11:$B$310),INDEX(半紙!$E$11:$E$310,665),IF(665&lt;=COUNTA(半紙!$B$11:$B$310)+COUNTA(条幅!$B$11:$B$310),INDEX(条幅!$E$11:$E$310,665-COUNTA(半紙!$B$11:$B$310)),IF(665&lt;=COUNTA(半紙!$B$11:$B$310)+COUNTA(条幅!$B$11:$B$310)+COUNTA(条幅4分の1!$B$11:$B$310),INDEX(条幅4分の1!$E$11:$E$310,665-COUNTA(半紙!$B$11:$B$310)-COUNTA(条幅!$B$11:$B$310)),"")))=0,"",IF(665&lt;=COUNTA(半紙!$B$11:$B$310),INDEX(半紙!$E$11:$E$310,665),IF(665&lt;=COUNTA(半紙!$B$11:$B$310)+COUNTA(条幅!$B$11:$B$310),INDEX(条幅!$E$11:$E$310,665-COUNTA(半紙!$B$11:$B$310)),IF(665&lt;=COUNTA(半紙!$B$11:$B$310)+COUNTA(条幅!$B$11:$B$310)+COUNTA(条幅4分の1!$B$11:$B$310),INDEX(条幅4分の1!$E$11:$E$310,665-COUNTA(半紙!$B$11:$B$310)-COUNTA(条幅!$B$11:$B$310)),""))))</f>
        <v/>
      </c>
      <c r="F670" s="38" t="str">
        <f>IF(IF(665&lt;=COUNTA(半紙!$B$11:$B$310),INDEX(半紙!$F$11:$F$310,665),IF(665&lt;=COUNTA(半紙!$B$11:$B$310)+COUNTA(条幅!$B$11:$B$310),INDEX(条幅!$F$11:$F$310,665-COUNTA(半紙!$B$11:$B$310)),IF(665&lt;=COUNTA(半紙!$B$11:$B$310)+COUNTA(条幅!$B$11:$B$310)+COUNTA(条幅4分の1!$B$11:$B$310),INDEX(条幅4分の1!$F$11:$F$310,665-COUNTA(半紙!$B$11:$B$310)-COUNTA(条幅!$B$11:$B$310)),"")))=0,"",IF(665&lt;=COUNTA(半紙!$B$11:$B$310),INDEX(半紙!$F$11:$F$310,665),IF(665&lt;=COUNTA(半紙!$B$11:$B$310)+COUNTA(条幅!$B$11:$B$310),INDEX(条幅!$F$11:$F$310,665-COUNTA(半紙!$B$11:$B$310)),IF(665&lt;=COUNTA(半紙!$B$11:$B$310)+COUNTA(条幅!$B$11:$B$310)+COUNTA(条幅4分の1!$B$11:$B$310),INDEX(条幅4分の1!$F$11:$F$310,665-COUNTA(半紙!$B$11:$B$310)-COUNTA(条幅!$B$11:$B$310)),""))))</f>
        <v/>
      </c>
      <c r="G670" s="38" t="str">
        <f>IF(IF(665&lt;=COUNTA(半紙!$B$11:$B$310),INDEX(半紙!$G$11:$G$310,665),IF(665&lt;=COUNTA(半紙!$B$11:$B$310)+COUNTA(条幅!$B$11:$B$310),INDEX(条幅!$G$11:$G$310,665-COUNTA(半紙!$B$11:$B$310)),IF(665&lt;=COUNTA(半紙!$B$11:$B$310)+COUNTA(条幅!$B$11:$B$310)+COUNTA(条幅4分の1!$B$11:$B$310),INDEX(条幅4分の1!$G$11:$G$310,665-COUNTA(半紙!$B$11:$B$310)-COUNTA(条幅!$B$11:$B$310)),"")))=0,"",IF(665&lt;=COUNTA(半紙!$B$11:$B$310),INDEX(半紙!$G$11:$G$310,665),IF(665&lt;=COUNTA(半紙!$B$11:$B$310)+COUNTA(条幅!$B$11:$B$310),INDEX(条幅!$G$11:$G$310,665-COUNTA(半紙!$B$11:$B$310)),IF(665&lt;=COUNTA(半紙!$B$11:$B$310)+COUNTA(条幅!$B$11:$B$310)+COUNTA(条幅4分の1!$B$11:$B$310),INDEX(条幅4分の1!$G$11:$G$310,665-COUNTA(半紙!$B$11:$B$310)-COUNTA(条幅!$B$11:$B$310)),""))))</f>
        <v/>
      </c>
      <c r="H670" s="38" t="str">
        <f>IF(IF(665&lt;=COUNTA(半紙!$B$11:$B$310),INDEX(半紙!$H$11:$H$310,665),IF(665&lt;=COUNTA(半紙!$B$11:$B$310)+COUNTA(条幅!$B$11:$B$310),INDEX(条幅!$H$11:$H$310,665-COUNTA(半紙!$B$11:$B$310)),IF(665&lt;=COUNTA(半紙!$B$11:$B$310)+COUNTA(条幅!$B$11:$B$310)+COUNTA(条幅4分の1!$B$11:$B$310),INDEX(条幅4分の1!$H$11:$H$310,665-COUNTA(半紙!$B$11:$B$310)-COUNTA(条幅!$B$11:$B$310)),"")))=0,"",IF(665&lt;=COUNTA(半紙!$B$11:$B$310),INDEX(半紙!$H$11:$H$310,665),IF(665&lt;=COUNTA(半紙!$B$11:$B$310)+COUNTA(条幅!$B$11:$B$310),INDEX(条幅!$H$11:$H$310,665-COUNTA(半紙!$B$11:$B$310)),IF(665&lt;=COUNTA(半紙!$B$11:$B$310)+COUNTA(条幅!$B$11:$B$310)+COUNTA(条幅4分の1!$B$11:$B$310),INDEX(条幅4分の1!$H$11:$H$310,665-COUNTA(半紙!$B$11:$B$310)-COUNTA(条幅!$B$11:$B$310)),""))))</f>
        <v/>
      </c>
      <c r="I670" s="38" t="str">
        <f>IF(IF(665&lt;=COUNTA(半紙!$B$11:$B$310),INDEX(半紙!$I$11:$I$310,665),IF(665&lt;=COUNTA(半紙!$B$11:$B$310)+COUNTA(条幅!$B$11:$B$310),INDEX(条幅!$I$11:$I$310,665-COUNTA(半紙!$B$11:$B$310)),IF(665&lt;=COUNTA(半紙!$B$11:$B$310)+COUNTA(条幅!$B$11:$B$310)+COUNTA(条幅4分の1!$B$11:$B$310),INDEX(条幅4分の1!$I$11:$I$310,665-COUNTA(半紙!$B$11:$B$310)-COUNTA(条幅!$B$11:$B$310)),"")))=0,"",IF(665&lt;=COUNTA(半紙!$B$11:$B$310),INDEX(半紙!$I$11:$I$310,665),IF(665&lt;=COUNTA(半紙!$B$11:$B$310)+COUNTA(条幅!$B$11:$B$310),INDEX(条幅!$I$11:$I$310,665-COUNTA(半紙!$B$11:$B$310)),IF(665&lt;=COUNTA(半紙!$B$11:$B$310)+COUNTA(条幅!$B$11:$B$310)+COUNTA(条幅4分の1!$B$11:$B$310),INDEX(条幅4分の1!$I$11:$I$310,665-COUNTA(半紙!$B$11:$B$310)-COUNTA(条幅!$B$11:$B$310)),""))))</f>
        <v/>
      </c>
      <c r="J670" s="38" t="str">
        <f>IF(IF(665&lt;=COUNTA(半紙!$B$11:$B$310),INDEX(半紙!$J$11:$J$310,665),IF(665&lt;=COUNTA(半紙!$B$11:$B$310)+COUNTA(条幅!$B$11:$B$310),INDEX(条幅!$J$11:$J$310,665-COUNTA(半紙!$B$11:$B$310)),IF(665&lt;=COUNTA(半紙!$B$11:$B$310)+COUNTA(条幅!$B$11:$B$310)+COUNTA(条幅4分の1!$B$11:$B$310),INDEX(条幅4分の1!$J$11:$J$310,665-COUNTA(半紙!$B$11:$B$310)-COUNTA(条幅!$B$11:$B$310)),"")))=0,"",IF(665&lt;=COUNTA(半紙!$B$11:$B$310),INDEX(半紙!$J$11:$J$310,665),IF(665&lt;=COUNTA(半紙!$B$11:$B$310)+COUNTA(条幅!$B$11:$B$310),INDEX(条幅!$J$11:$J$310,665-COUNTA(半紙!$B$11:$B$310)),IF(665&lt;=COUNTA(半紙!$B$11:$B$310)+COUNTA(条幅!$B$11:$B$310)+COUNTA(条幅4分の1!$B$11:$B$310),INDEX(条幅4分の1!$J$11:$J$310,665-COUNTA(半紙!$B$11:$B$310)-COUNTA(条幅!$B$11:$B$310)),""))))</f>
        <v/>
      </c>
      <c r="K670" s="38" t="str">
        <f>IF(IF(665&lt;=COUNTA(半紙!$B$11:$B$310),INDEX(半紙!$K$11:$K$310,665),IF(665&lt;=COUNTA(半紙!$B$11:$B$310)+COUNTA(条幅!$B$11:$B$310),INDEX(条幅!$K$11:$K$310,665-COUNTA(半紙!$B$11:$B$310)),IF(665&lt;=COUNTA(半紙!$B$11:$B$310)+COUNTA(条幅!$B$11:$B$310)+COUNTA(条幅4分の1!$B$11:$B$310),INDEX(条幅4分の1!$K$11:$K$310,665-COUNTA(半紙!$B$11:$B$310)-COUNTA(条幅!$B$11:$B$310)),"")))=0,"",IF(665&lt;=COUNTA(半紙!$B$11:$B$310),INDEX(半紙!$K$11:$K$310,665),IF(665&lt;=COUNTA(半紙!$B$11:$B$310)+COUNTA(条幅!$B$11:$B$310),INDEX(条幅!$K$11:$K$310,665-COUNTA(半紙!$B$11:$B$310)),IF(665&lt;=COUNTA(半紙!$B$11:$B$310)+COUNTA(条幅!$B$11:$B$310)+COUNTA(条幅4分の1!$B$11:$B$310),INDEX(条幅4分の1!$K$11:$K$310,665-COUNTA(半紙!$B$11:$B$310)-COUNTA(条幅!$B$11:$B$310)),""))))</f>
        <v/>
      </c>
      <c r="L670" s="48" t="str">
        <f>IF($B670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665))</f>
        <v/>
      </c>
    </row>
    <row r="671" spans="1:12" ht="15" customHeight="1">
      <c r="A671" s="37" t="str">
        <f>IF(666&lt;=COUNTA(半紙!$B$11:$B$310),"半紙",IF(666&lt;=COUNTA(半紙!$B$11:$B$310)+COUNTA(条幅!$B$11:$B$310),"条幅(半切)",IF(666&lt;=COUNTA(半紙!$B$11:$B$310)+COUNTA(条幅!$B$11:$B$310)+COUNTA(条幅4分の1!$B$11:$B$310),"条幅(1/4)","")))</f>
        <v/>
      </c>
      <c r="B671" s="38" t="str">
        <f>IF(IF(666&lt;=COUNTA(半紙!$B$11:$B$310),INDEX(半紙!$B$11:$B$310,666),IF(666&lt;=COUNTA(半紙!$B$11:$B$310)+COUNTA(条幅!$B$11:$B$310),INDEX(条幅!$B$11:$B$310,666-COUNTA(半紙!$B$11:$B$310)),IF(666&lt;=COUNTA(半紙!$B$11:$B$310)+COUNTA(条幅!$B$11:$B$310)+COUNTA(条幅4分の1!$B$11:$B$310),INDEX(条幅4分の1!$B$11:$B$310,666-COUNTA(半紙!$B$11:$B$310)-COUNTA(条幅!$B$11:$B$310)),"")))=0,"",IF(666&lt;=COUNTA(半紙!$B$11:$B$310),INDEX(半紙!$B$11:$B$310,666),IF(666&lt;=COUNTA(半紙!$B$11:$B$310)+COUNTA(条幅!$B$11:$B$310),INDEX(条幅!$B$11:$B$310,666-COUNTA(半紙!$B$11:$B$310)),IF(666&lt;=COUNTA(半紙!$B$11:$B$310)+COUNTA(条幅!$B$11:$B$310)+COUNTA(条幅4分の1!$B$11:$B$310),INDEX(条幅4分の1!$B$11:$B$310,666-COUNTA(半紙!$B$11:$B$310)-COUNTA(条幅!$B$11:$B$310)),""))))</f>
        <v/>
      </c>
      <c r="C671" s="38" t="str">
        <f>IF(IF(666&lt;=COUNTA(半紙!$B$11:$B$310),INDEX(半紙!$C$11:$C$310,666),IF(666&lt;=COUNTA(半紙!$B$11:$B$310)+COUNTA(条幅!$B$11:$B$310),INDEX(条幅!$C$11:$C$310,666-COUNTA(半紙!$B$11:$B$310)),IF(666&lt;=COUNTA(半紙!$B$11:$B$310)+COUNTA(条幅!$B$11:$B$310)+COUNTA(条幅4分の1!$B$11:$B$310),INDEX(条幅4分の1!$C$11:$C$310,666-COUNTA(半紙!$B$11:$B$310)-COUNTA(条幅!$B$11:$B$310)),"")))=0,"",IF(666&lt;=COUNTA(半紙!$B$11:$B$310),INDEX(半紙!$C$11:$C$310,666),IF(666&lt;=COUNTA(半紙!$B$11:$B$310)+COUNTA(条幅!$B$11:$B$310),INDEX(条幅!$C$11:$C$310,666-COUNTA(半紙!$B$11:$B$310)),IF(666&lt;=COUNTA(半紙!$B$11:$B$310)+COUNTA(条幅!$B$11:$B$310)+COUNTA(条幅4分の1!$B$11:$B$310),INDEX(条幅4分の1!$C$11:$C$310,666-COUNTA(半紙!$B$11:$B$310)-COUNTA(条幅!$B$11:$B$310)),""))))</f>
        <v/>
      </c>
      <c r="D671" s="38" t="str">
        <f>IF(IF(666&lt;=COUNTA(半紙!$B$11:$B$310),INDEX(半紙!$D$11:$D$310,666),IF(666&lt;=COUNTA(半紙!$B$11:$B$310)+COUNTA(条幅!$B$11:$B$310),INDEX(条幅!$D$11:$D$310,666-COUNTA(半紙!$B$11:$B$310)),IF(666&lt;=COUNTA(半紙!$B$11:$B$310)+COUNTA(条幅!$B$11:$B$310)+COUNTA(条幅4分の1!$B$11:$B$310),INDEX(条幅4分の1!$D$11:$D$310,666-COUNTA(半紙!$B$11:$B$310)-COUNTA(条幅!$B$11:$B$310)),"")))=0,"",IF(666&lt;=COUNTA(半紙!$B$11:$B$310),INDEX(半紙!$D$11:$D$310,666),IF(666&lt;=COUNTA(半紙!$B$11:$B$310)+COUNTA(条幅!$B$11:$B$310),INDEX(条幅!$D$11:$D$310,666-COUNTA(半紙!$B$11:$B$310)),IF(666&lt;=COUNTA(半紙!$B$11:$B$310)+COUNTA(条幅!$B$11:$B$310)+COUNTA(条幅4分の1!$B$11:$B$310),INDEX(条幅4分の1!$D$11:$D$310,666-COUNTA(半紙!$B$11:$B$310)-COUNTA(条幅!$B$11:$B$310)),""))))</f>
        <v/>
      </c>
      <c r="E671" s="38" t="str">
        <f>IF(IF(666&lt;=COUNTA(半紙!$B$11:$B$310),INDEX(半紙!$E$11:$E$310,666),IF(666&lt;=COUNTA(半紙!$B$11:$B$310)+COUNTA(条幅!$B$11:$B$310),INDEX(条幅!$E$11:$E$310,666-COUNTA(半紙!$B$11:$B$310)),IF(666&lt;=COUNTA(半紙!$B$11:$B$310)+COUNTA(条幅!$B$11:$B$310)+COUNTA(条幅4分の1!$B$11:$B$310),INDEX(条幅4分の1!$E$11:$E$310,666-COUNTA(半紙!$B$11:$B$310)-COUNTA(条幅!$B$11:$B$310)),"")))=0,"",IF(666&lt;=COUNTA(半紙!$B$11:$B$310),INDEX(半紙!$E$11:$E$310,666),IF(666&lt;=COUNTA(半紙!$B$11:$B$310)+COUNTA(条幅!$B$11:$B$310),INDEX(条幅!$E$11:$E$310,666-COUNTA(半紙!$B$11:$B$310)),IF(666&lt;=COUNTA(半紙!$B$11:$B$310)+COUNTA(条幅!$B$11:$B$310)+COUNTA(条幅4分の1!$B$11:$B$310),INDEX(条幅4分の1!$E$11:$E$310,666-COUNTA(半紙!$B$11:$B$310)-COUNTA(条幅!$B$11:$B$310)),""))))</f>
        <v/>
      </c>
      <c r="F671" s="38" t="str">
        <f>IF(IF(666&lt;=COUNTA(半紙!$B$11:$B$310),INDEX(半紙!$F$11:$F$310,666),IF(666&lt;=COUNTA(半紙!$B$11:$B$310)+COUNTA(条幅!$B$11:$B$310),INDEX(条幅!$F$11:$F$310,666-COUNTA(半紙!$B$11:$B$310)),IF(666&lt;=COUNTA(半紙!$B$11:$B$310)+COUNTA(条幅!$B$11:$B$310)+COUNTA(条幅4分の1!$B$11:$B$310),INDEX(条幅4分の1!$F$11:$F$310,666-COUNTA(半紙!$B$11:$B$310)-COUNTA(条幅!$B$11:$B$310)),"")))=0,"",IF(666&lt;=COUNTA(半紙!$B$11:$B$310),INDEX(半紙!$F$11:$F$310,666),IF(666&lt;=COUNTA(半紙!$B$11:$B$310)+COUNTA(条幅!$B$11:$B$310),INDEX(条幅!$F$11:$F$310,666-COUNTA(半紙!$B$11:$B$310)),IF(666&lt;=COUNTA(半紙!$B$11:$B$310)+COUNTA(条幅!$B$11:$B$310)+COUNTA(条幅4分の1!$B$11:$B$310),INDEX(条幅4分の1!$F$11:$F$310,666-COUNTA(半紙!$B$11:$B$310)-COUNTA(条幅!$B$11:$B$310)),""))))</f>
        <v/>
      </c>
      <c r="G671" s="38" t="str">
        <f>IF(IF(666&lt;=COUNTA(半紙!$B$11:$B$310),INDEX(半紙!$G$11:$G$310,666),IF(666&lt;=COUNTA(半紙!$B$11:$B$310)+COUNTA(条幅!$B$11:$B$310),INDEX(条幅!$G$11:$G$310,666-COUNTA(半紙!$B$11:$B$310)),IF(666&lt;=COUNTA(半紙!$B$11:$B$310)+COUNTA(条幅!$B$11:$B$310)+COUNTA(条幅4分の1!$B$11:$B$310),INDEX(条幅4分の1!$G$11:$G$310,666-COUNTA(半紙!$B$11:$B$310)-COUNTA(条幅!$B$11:$B$310)),"")))=0,"",IF(666&lt;=COUNTA(半紙!$B$11:$B$310),INDEX(半紙!$G$11:$G$310,666),IF(666&lt;=COUNTA(半紙!$B$11:$B$310)+COUNTA(条幅!$B$11:$B$310),INDEX(条幅!$G$11:$G$310,666-COUNTA(半紙!$B$11:$B$310)),IF(666&lt;=COUNTA(半紙!$B$11:$B$310)+COUNTA(条幅!$B$11:$B$310)+COUNTA(条幅4分の1!$B$11:$B$310),INDEX(条幅4分の1!$G$11:$G$310,666-COUNTA(半紙!$B$11:$B$310)-COUNTA(条幅!$B$11:$B$310)),""))))</f>
        <v/>
      </c>
      <c r="H671" s="38" t="str">
        <f>IF(IF(666&lt;=COUNTA(半紙!$B$11:$B$310),INDEX(半紙!$H$11:$H$310,666),IF(666&lt;=COUNTA(半紙!$B$11:$B$310)+COUNTA(条幅!$B$11:$B$310),INDEX(条幅!$H$11:$H$310,666-COUNTA(半紙!$B$11:$B$310)),IF(666&lt;=COUNTA(半紙!$B$11:$B$310)+COUNTA(条幅!$B$11:$B$310)+COUNTA(条幅4分の1!$B$11:$B$310),INDEX(条幅4分の1!$H$11:$H$310,666-COUNTA(半紙!$B$11:$B$310)-COUNTA(条幅!$B$11:$B$310)),"")))=0,"",IF(666&lt;=COUNTA(半紙!$B$11:$B$310),INDEX(半紙!$H$11:$H$310,666),IF(666&lt;=COUNTA(半紙!$B$11:$B$310)+COUNTA(条幅!$B$11:$B$310),INDEX(条幅!$H$11:$H$310,666-COUNTA(半紙!$B$11:$B$310)),IF(666&lt;=COUNTA(半紙!$B$11:$B$310)+COUNTA(条幅!$B$11:$B$310)+COUNTA(条幅4分の1!$B$11:$B$310),INDEX(条幅4分の1!$H$11:$H$310,666-COUNTA(半紙!$B$11:$B$310)-COUNTA(条幅!$B$11:$B$310)),""))))</f>
        <v/>
      </c>
      <c r="I671" s="38" t="str">
        <f>IF(IF(666&lt;=COUNTA(半紙!$B$11:$B$310),INDEX(半紙!$I$11:$I$310,666),IF(666&lt;=COUNTA(半紙!$B$11:$B$310)+COUNTA(条幅!$B$11:$B$310),INDEX(条幅!$I$11:$I$310,666-COUNTA(半紙!$B$11:$B$310)),IF(666&lt;=COUNTA(半紙!$B$11:$B$310)+COUNTA(条幅!$B$11:$B$310)+COUNTA(条幅4分の1!$B$11:$B$310),INDEX(条幅4分の1!$I$11:$I$310,666-COUNTA(半紙!$B$11:$B$310)-COUNTA(条幅!$B$11:$B$310)),"")))=0,"",IF(666&lt;=COUNTA(半紙!$B$11:$B$310),INDEX(半紙!$I$11:$I$310,666),IF(666&lt;=COUNTA(半紙!$B$11:$B$310)+COUNTA(条幅!$B$11:$B$310),INDEX(条幅!$I$11:$I$310,666-COUNTA(半紙!$B$11:$B$310)),IF(666&lt;=COUNTA(半紙!$B$11:$B$310)+COUNTA(条幅!$B$11:$B$310)+COUNTA(条幅4分の1!$B$11:$B$310),INDEX(条幅4分の1!$I$11:$I$310,666-COUNTA(半紙!$B$11:$B$310)-COUNTA(条幅!$B$11:$B$310)),""))))</f>
        <v/>
      </c>
      <c r="J671" s="38" t="str">
        <f>IF(IF(666&lt;=COUNTA(半紙!$B$11:$B$310),INDEX(半紙!$J$11:$J$310,666),IF(666&lt;=COUNTA(半紙!$B$11:$B$310)+COUNTA(条幅!$B$11:$B$310),INDEX(条幅!$J$11:$J$310,666-COUNTA(半紙!$B$11:$B$310)),IF(666&lt;=COUNTA(半紙!$B$11:$B$310)+COUNTA(条幅!$B$11:$B$310)+COUNTA(条幅4分の1!$B$11:$B$310),INDEX(条幅4分の1!$J$11:$J$310,666-COUNTA(半紙!$B$11:$B$310)-COUNTA(条幅!$B$11:$B$310)),"")))=0,"",IF(666&lt;=COUNTA(半紙!$B$11:$B$310),INDEX(半紙!$J$11:$J$310,666),IF(666&lt;=COUNTA(半紙!$B$11:$B$310)+COUNTA(条幅!$B$11:$B$310),INDEX(条幅!$J$11:$J$310,666-COUNTA(半紙!$B$11:$B$310)),IF(666&lt;=COUNTA(半紙!$B$11:$B$310)+COUNTA(条幅!$B$11:$B$310)+COUNTA(条幅4分の1!$B$11:$B$310),INDEX(条幅4分の1!$J$11:$J$310,666-COUNTA(半紙!$B$11:$B$310)-COUNTA(条幅!$B$11:$B$310)),""))))</f>
        <v/>
      </c>
      <c r="K671" s="38" t="str">
        <f>IF(IF(666&lt;=COUNTA(半紙!$B$11:$B$310),INDEX(半紙!$K$11:$K$310,666),IF(666&lt;=COUNTA(半紙!$B$11:$B$310)+COUNTA(条幅!$B$11:$B$310),INDEX(条幅!$K$11:$K$310,666-COUNTA(半紙!$B$11:$B$310)),IF(666&lt;=COUNTA(半紙!$B$11:$B$310)+COUNTA(条幅!$B$11:$B$310)+COUNTA(条幅4分の1!$B$11:$B$310),INDEX(条幅4分の1!$K$11:$K$310,666-COUNTA(半紙!$B$11:$B$310)-COUNTA(条幅!$B$11:$B$310)),"")))=0,"",IF(666&lt;=COUNTA(半紙!$B$11:$B$310),INDEX(半紙!$K$11:$K$310,666),IF(666&lt;=COUNTA(半紙!$B$11:$B$310)+COUNTA(条幅!$B$11:$B$310),INDEX(条幅!$K$11:$K$310,666-COUNTA(半紙!$B$11:$B$310)),IF(666&lt;=COUNTA(半紙!$B$11:$B$310)+COUNTA(条幅!$B$11:$B$310)+COUNTA(条幅4分の1!$B$11:$B$310),INDEX(条幅4分の1!$K$11:$K$310,666-COUNTA(半紙!$B$11:$B$310)-COUNTA(条幅!$B$11:$B$310)),""))))</f>
        <v/>
      </c>
      <c r="L671" s="48" t="str">
        <f>IF($B671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666))</f>
        <v/>
      </c>
    </row>
    <row r="672" spans="1:12" ht="15" customHeight="1">
      <c r="A672" s="37" t="str">
        <f>IF(667&lt;=COUNTA(半紙!$B$11:$B$310),"半紙",IF(667&lt;=COUNTA(半紙!$B$11:$B$310)+COUNTA(条幅!$B$11:$B$310),"条幅(半切)",IF(667&lt;=COUNTA(半紙!$B$11:$B$310)+COUNTA(条幅!$B$11:$B$310)+COUNTA(条幅4分の1!$B$11:$B$310),"条幅(1/4)","")))</f>
        <v/>
      </c>
      <c r="B672" s="38" t="str">
        <f>IF(IF(667&lt;=COUNTA(半紙!$B$11:$B$310),INDEX(半紙!$B$11:$B$310,667),IF(667&lt;=COUNTA(半紙!$B$11:$B$310)+COUNTA(条幅!$B$11:$B$310),INDEX(条幅!$B$11:$B$310,667-COUNTA(半紙!$B$11:$B$310)),IF(667&lt;=COUNTA(半紙!$B$11:$B$310)+COUNTA(条幅!$B$11:$B$310)+COUNTA(条幅4分の1!$B$11:$B$310),INDEX(条幅4分の1!$B$11:$B$310,667-COUNTA(半紙!$B$11:$B$310)-COUNTA(条幅!$B$11:$B$310)),"")))=0,"",IF(667&lt;=COUNTA(半紙!$B$11:$B$310),INDEX(半紙!$B$11:$B$310,667),IF(667&lt;=COUNTA(半紙!$B$11:$B$310)+COUNTA(条幅!$B$11:$B$310),INDEX(条幅!$B$11:$B$310,667-COUNTA(半紙!$B$11:$B$310)),IF(667&lt;=COUNTA(半紙!$B$11:$B$310)+COUNTA(条幅!$B$11:$B$310)+COUNTA(条幅4分の1!$B$11:$B$310),INDEX(条幅4分の1!$B$11:$B$310,667-COUNTA(半紙!$B$11:$B$310)-COUNTA(条幅!$B$11:$B$310)),""))))</f>
        <v/>
      </c>
      <c r="C672" s="38" t="str">
        <f>IF(IF(667&lt;=COUNTA(半紙!$B$11:$B$310),INDEX(半紙!$C$11:$C$310,667),IF(667&lt;=COUNTA(半紙!$B$11:$B$310)+COUNTA(条幅!$B$11:$B$310),INDEX(条幅!$C$11:$C$310,667-COUNTA(半紙!$B$11:$B$310)),IF(667&lt;=COUNTA(半紙!$B$11:$B$310)+COUNTA(条幅!$B$11:$B$310)+COUNTA(条幅4分の1!$B$11:$B$310),INDEX(条幅4分の1!$C$11:$C$310,667-COUNTA(半紙!$B$11:$B$310)-COUNTA(条幅!$B$11:$B$310)),"")))=0,"",IF(667&lt;=COUNTA(半紙!$B$11:$B$310),INDEX(半紙!$C$11:$C$310,667),IF(667&lt;=COUNTA(半紙!$B$11:$B$310)+COUNTA(条幅!$B$11:$B$310),INDEX(条幅!$C$11:$C$310,667-COUNTA(半紙!$B$11:$B$310)),IF(667&lt;=COUNTA(半紙!$B$11:$B$310)+COUNTA(条幅!$B$11:$B$310)+COUNTA(条幅4分の1!$B$11:$B$310),INDEX(条幅4分の1!$C$11:$C$310,667-COUNTA(半紙!$B$11:$B$310)-COUNTA(条幅!$B$11:$B$310)),""))))</f>
        <v/>
      </c>
      <c r="D672" s="38" t="str">
        <f>IF(IF(667&lt;=COUNTA(半紙!$B$11:$B$310),INDEX(半紙!$D$11:$D$310,667),IF(667&lt;=COUNTA(半紙!$B$11:$B$310)+COUNTA(条幅!$B$11:$B$310),INDEX(条幅!$D$11:$D$310,667-COUNTA(半紙!$B$11:$B$310)),IF(667&lt;=COUNTA(半紙!$B$11:$B$310)+COUNTA(条幅!$B$11:$B$310)+COUNTA(条幅4分の1!$B$11:$B$310),INDEX(条幅4分の1!$D$11:$D$310,667-COUNTA(半紙!$B$11:$B$310)-COUNTA(条幅!$B$11:$B$310)),"")))=0,"",IF(667&lt;=COUNTA(半紙!$B$11:$B$310),INDEX(半紙!$D$11:$D$310,667),IF(667&lt;=COUNTA(半紙!$B$11:$B$310)+COUNTA(条幅!$B$11:$B$310),INDEX(条幅!$D$11:$D$310,667-COUNTA(半紙!$B$11:$B$310)),IF(667&lt;=COUNTA(半紙!$B$11:$B$310)+COUNTA(条幅!$B$11:$B$310)+COUNTA(条幅4分の1!$B$11:$B$310),INDEX(条幅4分の1!$D$11:$D$310,667-COUNTA(半紙!$B$11:$B$310)-COUNTA(条幅!$B$11:$B$310)),""))))</f>
        <v/>
      </c>
      <c r="E672" s="38" t="str">
        <f>IF(IF(667&lt;=COUNTA(半紙!$B$11:$B$310),INDEX(半紙!$E$11:$E$310,667),IF(667&lt;=COUNTA(半紙!$B$11:$B$310)+COUNTA(条幅!$B$11:$B$310),INDEX(条幅!$E$11:$E$310,667-COUNTA(半紙!$B$11:$B$310)),IF(667&lt;=COUNTA(半紙!$B$11:$B$310)+COUNTA(条幅!$B$11:$B$310)+COUNTA(条幅4分の1!$B$11:$B$310),INDEX(条幅4分の1!$E$11:$E$310,667-COUNTA(半紙!$B$11:$B$310)-COUNTA(条幅!$B$11:$B$310)),"")))=0,"",IF(667&lt;=COUNTA(半紙!$B$11:$B$310),INDEX(半紙!$E$11:$E$310,667),IF(667&lt;=COUNTA(半紙!$B$11:$B$310)+COUNTA(条幅!$B$11:$B$310),INDEX(条幅!$E$11:$E$310,667-COUNTA(半紙!$B$11:$B$310)),IF(667&lt;=COUNTA(半紙!$B$11:$B$310)+COUNTA(条幅!$B$11:$B$310)+COUNTA(条幅4分の1!$B$11:$B$310),INDEX(条幅4分の1!$E$11:$E$310,667-COUNTA(半紙!$B$11:$B$310)-COUNTA(条幅!$B$11:$B$310)),""))))</f>
        <v/>
      </c>
      <c r="F672" s="38" t="str">
        <f>IF(IF(667&lt;=COUNTA(半紙!$B$11:$B$310),INDEX(半紙!$F$11:$F$310,667),IF(667&lt;=COUNTA(半紙!$B$11:$B$310)+COUNTA(条幅!$B$11:$B$310),INDEX(条幅!$F$11:$F$310,667-COUNTA(半紙!$B$11:$B$310)),IF(667&lt;=COUNTA(半紙!$B$11:$B$310)+COUNTA(条幅!$B$11:$B$310)+COUNTA(条幅4分の1!$B$11:$B$310),INDEX(条幅4分の1!$F$11:$F$310,667-COUNTA(半紙!$B$11:$B$310)-COUNTA(条幅!$B$11:$B$310)),"")))=0,"",IF(667&lt;=COUNTA(半紙!$B$11:$B$310),INDEX(半紙!$F$11:$F$310,667),IF(667&lt;=COUNTA(半紙!$B$11:$B$310)+COUNTA(条幅!$B$11:$B$310),INDEX(条幅!$F$11:$F$310,667-COUNTA(半紙!$B$11:$B$310)),IF(667&lt;=COUNTA(半紙!$B$11:$B$310)+COUNTA(条幅!$B$11:$B$310)+COUNTA(条幅4分の1!$B$11:$B$310),INDEX(条幅4分の1!$F$11:$F$310,667-COUNTA(半紙!$B$11:$B$310)-COUNTA(条幅!$B$11:$B$310)),""))))</f>
        <v/>
      </c>
      <c r="G672" s="38" t="str">
        <f>IF(IF(667&lt;=COUNTA(半紙!$B$11:$B$310),INDEX(半紙!$G$11:$G$310,667),IF(667&lt;=COUNTA(半紙!$B$11:$B$310)+COUNTA(条幅!$B$11:$B$310),INDEX(条幅!$G$11:$G$310,667-COUNTA(半紙!$B$11:$B$310)),IF(667&lt;=COUNTA(半紙!$B$11:$B$310)+COUNTA(条幅!$B$11:$B$310)+COUNTA(条幅4分の1!$B$11:$B$310),INDEX(条幅4分の1!$G$11:$G$310,667-COUNTA(半紙!$B$11:$B$310)-COUNTA(条幅!$B$11:$B$310)),"")))=0,"",IF(667&lt;=COUNTA(半紙!$B$11:$B$310),INDEX(半紙!$G$11:$G$310,667),IF(667&lt;=COUNTA(半紙!$B$11:$B$310)+COUNTA(条幅!$B$11:$B$310),INDEX(条幅!$G$11:$G$310,667-COUNTA(半紙!$B$11:$B$310)),IF(667&lt;=COUNTA(半紙!$B$11:$B$310)+COUNTA(条幅!$B$11:$B$310)+COUNTA(条幅4分の1!$B$11:$B$310),INDEX(条幅4分の1!$G$11:$G$310,667-COUNTA(半紙!$B$11:$B$310)-COUNTA(条幅!$B$11:$B$310)),""))))</f>
        <v/>
      </c>
      <c r="H672" s="38" t="str">
        <f>IF(IF(667&lt;=COUNTA(半紙!$B$11:$B$310),INDEX(半紙!$H$11:$H$310,667),IF(667&lt;=COUNTA(半紙!$B$11:$B$310)+COUNTA(条幅!$B$11:$B$310),INDEX(条幅!$H$11:$H$310,667-COUNTA(半紙!$B$11:$B$310)),IF(667&lt;=COUNTA(半紙!$B$11:$B$310)+COUNTA(条幅!$B$11:$B$310)+COUNTA(条幅4分の1!$B$11:$B$310),INDEX(条幅4分の1!$H$11:$H$310,667-COUNTA(半紙!$B$11:$B$310)-COUNTA(条幅!$B$11:$B$310)),"")))=0,"",IF(667&lt;=COUNTA(半紙!$B$11:$B$310),INDEX(半紙!$H$11:$H$310,667),IF(667&lt;=COUNTA(半紙!$B$11:$B$310)+COUNTA(条幅!$B$11:$B$310),INDEX(条幅!$H$11:$H$310,667-COUNTA(半紙!$B$11:$B$310)),IF(667&lt;=COUNTA(半紙!$B$11:$B$310)+COUNTA(条幅!$B$11:$B$310)+COUNTA(条幅4分の1!$B$11:$B$310),INDEX(条幅4分の1!$H$11:$H$310,667-COUNTA(半紙!$B$11:$B$310)-COUNTA(条幅!$B$11:$B$310)),""))))</f>
        <v/>
      </c>
      <c r="I672" s="38" t="str">
        <f>IF(IF(667&lt;=COUNTA(半紙!$B$11:$B$310),INDEX(半紙!$I$11:$I$310,667),IF(667&lt;=COUNTA(半紙!$B$11:$B$310)+COUNTA(条幅!$B$11:$B$310),INDEX(条幅!$I$11:$I$310,667-COUNTA(半紙!$B$11:$B$310)),IF(667&lt;=COUNTA(半紙!$B$11:$B$310)+COUNTA(条幅!$B$11:$B$310)+COUNTA(条幅4分の1!$B$11:$B$310),INDEX(条幅4分の1!$I$11:$I$310,667-COUNTA(半紙!$B$11:$B$310)-COUNTA(条幅!$B$11:$B$310)),"")))=0,"",IF(667&lt;=COUNTA(半紙!$B$11:$B$310),INDEX(半紙!$I$11:$I$310,667),IF(667&lt;=COUNTA(半紙!$B$11:$B$310)+COUNTA(条幅!$B$11:$B$310),INDEX(条幅!$I$11:$I$310,667-COUNTA(半紙!$B$11:$B$310)),IF(667&lt;=COUNTA(半紙!$B$11:$B$310)+COUNTA(条幅!$B$11:$B$310)+COUNTA(条幅4分の1!$B$11:$B$310),INDEX(条幅4分の1!$I$11:$I$310,667-COUNTA(半紙!$B$11:$B$310)-COUNTA(条幅!$B$11:$B$310)),""))))</f>
        <v/>
      </c>
      <c r="J672" s="38" t="str">
        <f>IF(IF(667&lt;=COUNTA(半紙!$B$11:$B$310),INDEX(半紙!$J$11:$J$310,667),IF(667&lt;=COUNTA(半紙!$B$11:$B$310)+COUNTA(条幅!$B$11:$B$310),INDEX(条幅!$J$11:$J$310,667-COUNTA(半紙!$B$11:$B$310)),IF(667&lt;=COUNTA(半紙!$B$11:$B$310)+COUNTA(条幅!$B$11:$B$310)+COUNTA(条幅4分の1!$B$11:$B$310),INDEX(条幅4分の1!$J$11:$J$310,667-COUNTA(半紙!$B$11:$B$310)-COUNTA(条幅!$B$11:$B$310)),"")))=0,"",IF(667&lt;=COUNTA(半紙!$B$11:$B$310),INDEX(半紙!$J$11:$J$310,667),IF(667&lt;=COUNTA(半紙!$B$11:$B$310)+COUNTA(条幅!$B$11:$B$310),INDEX(条幅!$J$11:$J$310,667-COUNTA(半紙!$B$11:$B$310)),IF(667&lt;=COUNTA(半紙!$B$11:$B$310)+COUNTA(条幅!$B$11:$B$310)+COUNTA(条幅4分の1!$B$11:$B$310),INDEX(条幅4分の1!$J$11:$J$310,667-COUNTA(半紙!$B$11:$B$310)-COUNTA(条幅!$B$11:$B$310)),""))))</f>
        <v/>
      </c>
      <c r="K672" s="38" t="str">
        <f>IF(IF(667&lt;=COUNTA(半紙!$B$11:$B$310),INDEX(半紙!$K$11:$K$310,667),IF(667&lt;=COUNTA(半紙!$B$11:$B$310)+COUNTA(条幅!$B$11:$B$310),INDEX(条幅!$K$11:$K$310,667-COUNTA(半紙!$B$11:$B$310)),IF(667&lt;=COUNTA(半紙!$B$11:$B$310)+COUNTA(条幅!$B$11:$B$310)+COUNTA(条幅4分の1!$B$11:$B$310),INDEX(条幅4分の1!$K$11:$K$310,667-COUNTA(半紙!$B$11:$B$310)-COUNTA(条幅!$B$11:$B$310)),"")))=0,"",IF(667&lt;=COUNTA(半紙!$B$11:$B$310),INDEX(半紙!$K$11:$K$310,667),IF(667&lt;=COUNTA(半紙!$B$11:$B$310)+COUNTA(条幅!$B$11:$B$310),INDEX(条幅!$K$11:$K$310,667-COUNTA(半紙!$B$11:$B$310)),IF(667&lt;=COUNTA(半紙!$B$11:$B$310)+COUNTA(条幅!$B$11:$B$310)+COUNTA(条幅4分の1!$B$11:$B$310),INDEX(条幅4分の1!$K$11:$K$310,667-COUNTA(半紙!$B$11:$B$310)-COUNTA(条幅!$B$11:$B$310)),""))))</f>
        <v/>
      </c>
      <c r="L672" s="48" t="str">
        <f>IF($B672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667))</f>
        <v/>
      </c>
    </row>
    <row r="673" spans="1:12" ht="15" customHeight="1">
      <c r="A673" s="37" t="str">
        <f>IF(668&lt;=COUNTA(半紙!$B$11:$B$310),"半紙",IF(668&lt;=COUNTA(半紙!$B$11:$B$310)+COUNTA(条幅!$B$11:$B$310),"条幅(半切)",IF(668&lt;=COUNTA(半紙!$B$11:$B$310)+COUNTA(条幅!$B$11:$B$310)+COUNTA(条幅4分の1!$B$11:$B$310),"条幅(1/4)","")))</f>
        <v/>
      </c>
      <c r="B673" s="38" t="str">
        <f>IF(IF(668&lt;=COUNTA(半紙!$B$11:$B$310),INDEX(半紙!$B$11:$B$310,668),IF(668&lt;=COUNTA(半紙!$B$11:$B$310)+COUNTA(条幅!$B$11:$B$310),INDEX(条幅!$B$11:$B$310,668-COUNTA(半紙!$B$11:$B$310)),IF(668&lt;=COUNTA(半紙!$B$11:$B$310)+COUNTA(条幅!$B$11:$B$310)+COUNTA(条幅4分の1!$B$11:$B$310),INDEX(条幅4分の1!$B$11:$B$310,668-COUNTA(半紙!$B$11:$B$310)-COUNTA(条幅!$B$11:$B$310)),"")))=0,"",IF(668&lt;=COUNTA(半紙!$B$11:$B$310),INDEX(半紙!$B$11:$B$310,668),IF(668&lt;=COUNTA(半紙!$B$11:$B$310)+COUNTA(条幅!$B$11:$B$310),INDEX(条幅!$B$11:$B$310,668-COUNTA(半紙!$B$11:$B$310)),IF(668&lt;=COUNTA(半紙!$B$11:$B$310)+COUNTA(条幅!$B$11:$B$310)+COUNTA(条幅4分の1!$B$11:$B$310),INDEX(条幅4分の1!$B$11:$B$310,668-COUNTA(半紙!$B$11:$B$310)-COUNTA(条幅!$B$11:$B$310)),""))))</f>
        <v/>
      </c>
      <c r="C673" s="38" t="str">
        <f>IF(IF(668&lt;=COUNTA(半紙!$B$11:$B$310),INDEX(半紙!$C$11:$C$310,668),IF(668&lt;=COUNTA(半紙!$B$11:$B$310)+COUNTA(条幅!$B$11:$B$310),INDEX(条幅!$C$11:$C$310,668-COUNTA(半紙!$B$11:$B$310)),IF(668&lt;=COUNTA(半紙!$B$11:$B$310)+COUNTA(条幅!$B$11:$B$310)+COUNTA(条幅4分の1!$B$11:$B$310),INDEX(条幅4分の1!$C$11:$C$310,668-COUNTA(半紙!$B$11:$B$310)-COUNTA(条幅!$B$11:$B$310)),"")))=0,"",IF(668&lt;=COUNTA(半紙!$B$11:$B$310),INDEX(半紙!$C$11:$C$310,668),IF(668&lt;=COUNTA(半紙!$B$11:$B$310)+COUNTA(条幅!$B$11:$B$310),INDEX(条幅!$C$11:$C$310,668-COUNTA(半紙!$B$11:$B$310)),IF(668&lt;=COUNTA(半紙!$B$11:$B$310)+COUNTA(条幅!$B$11:$B$310)+COUNTA(条幅4分の1!$B$11:$B$310),INDEX(条幅4分の1!$C$11:$C$310,668-COUNTA(半紙!$B$11:$B$310)-COUNTA(条幅!$B$11:$B$310)),""))))</f>
        <v/>
      </c>
      <c r="D673" s="38" t="str">
        <f>IF(IF(668&lt;=COUNTA(半紙!$B$11:$B$310),INDEX(半紙!$D$11:$D$310,668),IF(668&lt;=COUNTA(半紙!$B$11:$B$310)+COUNTA(条幅!$B$11:$B$310),INDEX(条幅!$D$11:$D$310,668-COUNTA(半紙!$B$11:$B$310)),IF(668&lt;=COUNTA(半紙!$B$11:$B$310)+COUNTA(条幅!$B$11:$B$310)+COUNTA(条幅4分の1!$B$11:$B$310),INDEX(条幅4分の1!$D$11:$D$310,668-COUNTA(半紙!$B$11:$B$310)-COUNTA(条幅!$B$11:$B$310)),"")))=0,"",IF(668&lt;=COUNTA(半紙!$B$11:$B$310),INDEX(半紙!$D$11:$D$310,668),IF(668&lt;=COUNTA(半紙!$B$11:$B$310)+COUNTA(条幅!$B$11:$B$310),INDEX(条幅!$D$11:$D$310,668-COUNTA(半紙!$B$11:$B$310)),IF(668&lt;=COUNTA(半紙!$B$11:$B$310)+COUNTA(条幅!$B$11:$B$310)+COUNTA(条幅4分の1!$B$11:$B$310),INDEX(条幅4分の1!$D$11:$D$310,668-COUNTA(半紙!$B$11:$B$310)-COUNTA(条幅!$B$11:$B$310)),""))))</f>
        <v/>
      </c>
      <c r="E673" s="38" t="str">
        <f>IF(IF(668&lt;=COUNTA(半紙!$B$11:$B$310),INDEX(半紙!$E$11:$E$310,668),IF(668&lt;=COUNTA(半紙!$B$11:$B$310)+COUNTA(条幅!$B$11:$B$310),INDEX(条幅!$E$11:$E$310,668-COUNTA(半紙!$B$11:$B$310)),IF(668&lt;=COUNTA(半紙!$B$11:$B$310)+COUNTA(条幅!$B$11:$B$310)+COUNTA(条幅4分の1!$B$11:$B$310),INDEX(条幅4分の1!$E$11:$E$310,668-COUNTA(半紙!$B$11:$B$310)-COUNTA(条幅!$B$11:$B$310)),"")))=0,"",IF(668&lt;=COUNTA(半紙!$B$11:$B$310),INDEX(半紙!$E$11:$E$310,668),IF(668&lt;=COUNTA(半紙!$B$11:$B$310)+COUNTA(条幅!$B$11:$B$310),INDEX(条幅!$E$11:$E$310,668-COUNTA(半紙!$B$11:$B$310)),IF(668&lt;=COUNTA(半紙!$B$11:$B$310)+COUNTA(条幅!$B$11:$B$310)+COUNTA(条幅4分の1!$B$11:$B$310),INDEX(条幅4分の1!$E$11:$E$310,668-COUNTA(半紙!$B$11:$B$310)-COUNTA(条幅!$B$11:$B$310)),""))))</f>
        <v/>
      </c>
      <c r="F673" s="38" t="str">
        <f>IF(IF(668&lt;=COUNTA(半紙!$B$11:$B$310),INDEX(半紙!$F$11:$F$310,668),IF(668&lt;=COUNTA(半紙!$B$11:$B$310)+COUNTA(条幅!$B$11:$B$310),INDEX(条幅!$F$11:$F$310,668-COUNTA(半紙!$B$11:$B$310)),IF(668&lt;=COUNTA(半紙!$B$11:$B$310)+COUNTA(条幅!$B$11:$B$310)+COUNTA(条幅4分の1!$B$11:$B$310),INDEX(条幅4分の1!$F$11:$F$310,668-COUNTA(半紙!$B$11:$B$310)-COUNTA(条幅!$B$11:$B$310)),"")))=0,"",IF(668&lt;=COUNTA(半紙!$B$11:$B$310),INDEX(半紙!$F$11:$F$310,668),IF(668&lt;=COUNTA(半紙!$B$11:$B$310)+COUNTA(条幅!$B$11:$B$310),INDEX(条幅!$F$11:$F$310,668-COUNTA(半紙!$B$11:$B$310)),IF(668&lt;=COUNTA(半紙!$B$11:$B$310)+COUNTA(条幅!$B$11:$B$310)+COUNTA(条幅4分の1!$B$11:$B$310),INDEX(条幅4分の1!$F$11:$F$310,668-COUNTA(半紙!$B$11:$B$310)-COUNTA(条幅!$B$11:$B$310)),""))))</f>
        <v/>
      </c>
      <c r="G673" s="38" t="str">
        <f>IF(IF(668&lt;=COUNTA(半紙!$B$11:$B$310),INDEX(半紙!$G$11:$G$310,668),IF(668&lt;=COUNTA(半紙!$B$11:$B$310)+COUNTA(条幅!$B$11:$B$310),INDEX(条幅!$G$11:$G$310,668-COUNTA(半紙!$B$11:$B$310)),IF(668&lt;=COUNTA(半紙!$B$11:$B$310)+COUNTA(条幅!$B$11:$B$310)+COUNTA(条幅4分の1!$B$11:$B$310),INDEX(条幅4分の1!$G$11:$G$310,668-COUNTA(半紙!$B$11:$B$310)-COUNTA(条幅!$B$11:$B$310)),"")))=0,"",IF(668&lt;=COUNTA(半紙!$B$11:$B$310),INDEX(半紙!$G$11:$G$310,668),IF(668&lt;=COUNTA(半紙!$B$11:$B$310)+COUNTA(条幅!$B$11:$B$310),INDEX(条幅!$G$11:$G$310,668-COUNTA(半紙!$B$11:$B$310)),IF(668&lt;=COUNTA(半紙!$B$11:$B$310)+COUNTA(条幅!$B$11:$B$310)+COUNTA(条幅4分の1!$B$11:$B$310),INDEX(条幅4分の1!$G$11:$G$310,668-COUNTA(半紙!$B$11:$B$310)-COUNTA(条幅!$B$11:$B$310)),""))))</f>
        <v/>
      </c>
      <c r="H673" s="38" t="str">
        <f>IF(IF(668&lt;=COUNTA(半紙!$B$11:$B$310),INDEX(半紙!$H$11:$H$310,668),IF(668&lt;=COUNTA(半紙!$B$11:$B$310)+COUNTA(条幅!$B$11:$B$310),INDEX(条幅!$H$11:$H$310,668-COUNTA(半紙!$B$11:$B$310)),IF(668&lt;=COUNTA(半紙!$B$11:$B$310)+COUNTA(条幅!$B$11:$B$310)+COUNTA(条幅4分の1!$B$11:$B$310),INDEX(条幅4分の1!$H$11:$H$310,668-COUNTA(半紙!$B$11:$B$310)-COUNTA(条幅!$B$11:$B$310)),"")))=0,"",IF(668&lt;=COUNTA(半紙!$B$11:$B$310),INDEX(半紙!$H$11:$H$310,668),IF(668&lt;=COUNTA(半紙!$B$11:$B$310)+COUNTA(条幅!$B$11:$B$310),INDEX(条幅!$H$11:$H$310,668-COUNTA(半紙!$B$11:$B$310)),IF(668&lt;=COUNTA(半紙!$B$11:$B$310)+COUNTA(条幅!$B$11:$B$310)+COUNTA(条幅4分の1!$B$11:$B$310),INDEX(条幅4分の1!$H$11:$H$310,668-COUNTA(半紙!$B$11:$B$310)-COUNTA(条幅!$B$11:$B$310)),""))))</f>
        <v/>
      </c>
      <c r="I673" s="38" t="str">
        <f>IF(IF(668&lt;=COUNTA(半紙!$B$11:$B$310),INDEX(半紙!$I$11:$I$310,668),IF(668&lt;=COUNTA(半紙!$B$11:$B$310)+COUNTA(条幅!$B$11:$B$310),INDEX(条幅!$I$11:$I$310,668-COUNTA(半紙!$B$11:$B$310)),IF(668&lt;=COUNTA(半紙!$B$11:$B$310)+COUNTA(条幅!$B$11:$B$310)+COUNTA(条幅4分の1!$B$11:$B$310),INDEX(条幅4分の1!$I$11:$I$310,668-COUNTA(半紙!$B$11:$B$310)-COUNTA(条幅!$B$11:$B$310)),"")))=0,"",IF(668&lt;=COUNTA(半紙!$B$11:$B$310),INDEX(半紙!$I$11:$I$310,668),IF(668&lt;=COUNTA(半紙!$B$11:$B$310)+COUNTA(条幅!$B$11:$B$310),INDEX(条幅!$I$11:$I$310,668-COUNTA(半紙!$B$11:$B$310)),IF(668&lt;=COUNTA(半紙!$B$11:$B$310)+COUNTA(条幅!$B$11:$B$310)+COUNTA(条幅4分の1!$B$11:$B$310),INDEX(条幅4分の1!$I$11:$I$310,668-COUNTA(半紙!$B$11:$B$310)-COUNTA(条幅!$B$11:$B$310)),""))))</f>
        <v/>
      </c>
      <c r="J673" s="38" t="str">
        <f>IF(IF(668&lt;=COUNTA(半紙!$B$11:$B$310),INDEX(半紙!$J$11:$J$310,668),IF(668&lt;=COUNTA(半紙!$B$11:$B$310)+COUNTA(条幅!$B$11:$B$310),INDEX(条幅!$J$11:$J$310,668-COUNTA(半紙!$B$11:$B$310)),IF(668&lt;=COUNTA(半紙!$B$11:$B$310)+COUNTA(条幅!$B$11:$B$310)+COUNTA(条幅4分の1!$B$11:$B$310),INDEX(条幅4分の1!$J$11:$J$310,668-COUNTA(半紙!$B$11:$B$310)-COUNTA(条幅!$B$11:$B$310)),"")))=0,"",IF(668&lt;=COUNTA(半紙!$B$11:$B$310),INDEX(半紙!$J$11:$J$310,668),IF(668&lt;=COUNTA(半紙!$B$11:$B$310)+COUNTA(条幅!$B$11:$B$310),INDEX(条幅!$J$11:$J$310,668-COUNTA(半紙!$B$11:$B$310)),IF(668&lt;=COUNTA(半紙!$B$11:$B$310)+COUNTA(条幅!$B$11:$B$310)+COUNTA(条幅4分の1!$B$11:$B$310),INDEX(条幅4分の1!$J$11:$J$310,668-COUNTA(半紙!$B$11:$B$310)-COUNTA(条幅!$B$11:$B$310)),""))))</f>
        <v/>
      </c>
      <c r="K673" s="38" t="str">
        <f>IF(IF(668&lt;=COUNTA(半紙!$B$11:$B$310),INDEX(半紙!$K$11:$K$310,668),IF(668&lt;=COUNTA(半紙!$B$11:$B$310)+COUNTA(条幅!$B$11:$B$310),INDEX(条幅!$K$11:$K$310,668-COUNTA(半紙!$B$11:$B$310)),IF(668&lt;=COUNTA(半紙!$B$11:$B$310)+COUNTA(条幅!$B$11:$B$310)+COUNTA(条幅4分の1!$B$11:$B$310),INDEX(条幅4分の1!$K$11:$K$310,668-COUNTA(半紙!$B$11:$B$310)-COUNTA(条幅!$B$11:$B$310)),"")))=0,"",IF(668&lt;=COUNTA(半紙!$B$11:$B$310),INDEX(半紙!$K$11:$K$310,668),IF(668&lt;=COUNTA(半紙!$B$11:$B$310)+COUNTA(条幅!$B$11:$B$310),INDEX(条幅!$K$11:$K$310,668-COUNTA(半紙!$B$11:$B$310)),IF(668&lt;=COUNTA(半紙!$B$11:$B$310)+COUNTA(条幅!$B$11:$B$310)+COUNTA(条幅4分の1!$B$11:$B$310),INDEX(条幅4分の1!$K$11:$K$310,668-COUNTA(半紙!$B$11:$B$310)-COUNTA(条幅!$B$11:$B$310)),""))))</f>
        <v/>
      </c>
      <c r="L673" s="48" t="str">
        <f>IF($B673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668))</f>
        <v/>
      </c>
    </row>
    <row r="674" spans="1:12" ht="15" customHeight="1">
      <c r="A674" s="37" t="str">
        <f>IF(669&lt;=COUNTA(半紙!$B$11:$B$310),"半紙",IF(669&lt;=COUNTA(半紙!$B$11:$B$310)+COUNTA(条幅!$B$11:$B$310),"条幅(半切)",IF(669&lt;=COUNTA(半紙!$B$11:$B$310)+COUNTA(条幅!$B$11:$B$310)+COUNTA(条幅4分の1!$B$11:$B$310),"条幅(1/4)","")))</f>
        <v/>
      </c>
      <c r="B674" s="38" t="str">
        <f>IF(IF(669&lt;=COUNTA(半紙!$B$11:$B$310),INDEX(半紙!$B$11:$B$310,669),IF(669&lt;=COUNTA(半紙!$B$11:$B$310)+COUNTA(条幅!$B$11:$B$310),INDEX(条幅!$B$11:$B$310,669-COUNTA(半紙!$B$11:$B$310)),IF(669&lt;=COUNTA(半紙!$B$11:$B$310)+COUNTA(条幅!$B$11:$B$310)+COUNTA(条幅4分の1!$B$11:$B$310),INDEX(条幅4分の1!$B$11:$B$310,669-COUNTA(半紙!$B$11:$B$310)-COUNTA(条幅!$B$11:$B$310)),"")))=0,"",IF(669&lt;=COUNTA(半紙!$B$11:$B$310),INDEX(半紙!$B$11:$B$310,669),IF(669&lt;=COUNTA(半紙!$B$11:$B$310)+COUNTA(条幅!$B$11:$B$310),INDEX(条幅!$B$11:$B$310,669-COUNTA(半紙!$B$11:$B$310)),IF(669&lt;=COUNTA(半紙!$B$11:$B$310)+COUNTA(条幅!$B$11:$B$310)+COUNTA(条幅4分の1!$B$11:$B$310),INDEX(条幅4分の1!$B$11:$B$310,669-COUNTA(半紙!$B$11:$B$310)-COUNTA(条幅!$B$11:$B$310)),""))))</f>
        <v/>
      </c>
      <c r="C674" s="38" t="str">
        <f>IF(IF(669&lt;=COUNTA(半紙!$B$11:$B$310),INDEX(半紙!$C$11:$C$310,669),IF(669&lt;=COUNTA(半紙!$B$11:$B$310)+COUNTA(条幅!$B$11:$B$310),INDEX(条幅!$C$11:$C$310,669-COUNTA(半紙!$B$11:$B$310)),IF(669&lt;=COUNTA(半紙!$B$11:$B$310)+COUNTA(条幅!$B$11:$B$310)+COUNTA(条幅4分の1!$B$11:$B$310),INDEX(条幅4分の1!$C$11:$C$310,669-COUNTA(半紙!$B$11:$B$310)-COUNTA(条幅!$B$11:$B$310)),"")))=0,"",IF(669&lt;=COUNTA(半紙!$B$11:$B$310),INDEX(半紙!$C$11:$C$310,669),IF(669&lt;=COUNTA(半紙!$B$11:$B$310)+COUNTA(条幅!$B$11:$B$310),INDEX(条幅!$C$11:$C$310,669-COUNTA(半紙!$B$11:$B$310)),IF(669&lt;=COUNTA(半紙!$B$11:$B$310)+COUNTA(条幅!$B$11:$B$310)+COUNTA(条幅4分の1!$B$11:$B$310),INDEX(条幅4分の1!$C$11:$C$310,669-COUNTA(半紙!$B$11:$B$310)-COUNTA(条幅!$B$11:$B$310)),""))))</f>
        <v/>
      </c>
      <c r="D674" s="38" t="str">
        <f>IF(IF(669&lt;=COUNTA(半紙!$B$11:$B$310),INDEX(半紙!$D$11:$D$310,669),IF(669&lt;=COUNTA(半紙!$B$11:$B$310)+COUNTA(条幅!$B$11:$B$310),INDEX(条幅!$D$11:$D$310,669-COUNTA(半紙!$B$11:$B$310)),IF(669&lt;=COUNTA(半紙!$B$11:$B$310)+COUNTA(条幅!$B$11:$B$310)+COUNTA(条幅4分の1!$B$11:$B$310),INDEX(条幅4分の1!$D$11:$D$310,669-COUNTA(半紙!$B$11:$B$310)-COUNTA(条幅!$B$11:$B$310)),"")))=0,"",IF(669&lt;=COUNTA(半紙!$B$11:$B$310),INDEX(半紙!$D$11:$D$310,669),IF(669&lt;=COUNTA(半紙!$B$11:$B$310)+COUNTA(条幅!$B$11:$B$310),INDEX(条幅!$D$11:$D$310,669-COUNTA(半紙!$B$11:$B$310)),IF(669&lt;=COUNTA(半紙!$B$11:$B$310)+COUNTA(条幅!$B$11:$B$310)+COUNTA(条幅4分の1!$B$11:$B$310),INDEX(条幅4分の1!$D$11:$D$310,669-COUNTA(半紙!$B$11:$B$310)-COUNTA(条幅!$B$11:$B$310)),""))))</f>
        <v/>
      </c>
      <c r="E674" s="38" t="str">
        <f>IF(IF(669&lt;=COUNTA(半紙!$B$11:$B$310),INDEX(半紙!$E$11:$E$310,669),IF(669&lt;=COUNTA(半紙!$B$11:$B$310)+COUNTA(条幅!$B$11:$B$310),INDEX(条幅!$E$11:$E$310,669-COUNTA(半紙!$B$11:$B$310)),IF(669&lt;=COUNTA(半紙!$B$11:$B$310)+COUNTA(条幅!$B$11:$B$310)+COUNTA(条幅4分の1!$B$11:$B$310),INDEX(条幅4分の1!$E$11:$E$310,669-COUNTA(半紙!$B$11:$B$310)-COUNTA(条幅!$B$11:$B$310)),"")))=0,"",IF(669&lt;=COUNTA(半紙!$B$11:$B$310),INDEX(半紙!$E$11:$E$310,669),IF(669&lt;=COUNTA(半紙!$B$11:$B$310)+COUNTA(条幅!$B$11:$B$310),INDEX(条幅!$E$11:$E$310,669-COUNTA(半紙!$B$11:$B$310)),IF(669&lt;=COUNTA(半紙!$B$11:$B$310)+COUNTA(条幅!$B$11:$B$310)+COUNTA(条幅4分の1!$B$11:$B$310),INDEX(条幅4分の1!$E$11:$E$310,669-COUNTA(半紙!$B$11:$B$310)-COUNTA(条幅!$B$11:$B$310)),""))))</f>
        <v/>
      </c>
      <c r="F674" s="38" t="str">
        <f>IF(IF(669&lt;=COUNTA(半紙!$B$11:$B$310),INDEX(半紙!$F$11:$F$310,669),IF(669&lt;=COUNTA(半紙!$B$11:$B$310)+COUNTA(条幅!$B$11:$B$310),INDEX(条幅!$F$11:$F$310,669-COUNTA(半紙!$B$11:$B$310)),IF(669&lt;=COUNTA(半紙!$B$11:$B$310)+COUNTA(条幅!$B$11:$B$310)+COUNTA(条幅4分の1!$B$11:$B$310),INDEX(条幅4分の1!$F$11:$F$310,669-COUNTA(半紙!$B$11:$B$310)-COUNTA(条幅!$B$11:$B$310)),"")))=0,"",IF(669&lt;=COUNTA(半紙!$B$11:$B$310),INDEX(半紙!$F$11:$F$310,669),IF(669&lt;=COUNTA(半紙!$B$11:$B$310)+COUNTA(条幅!$B$11:$B$310),INDEX(条幅!$F$11:$F$310,669-COUNTA(半紙!$B$11:$B$310)),IF(669&lt;=COUNTA(半紙!$B$11:$B$310)+COUNTA(条幅!$B$11:$B$310)+COUNTA(条幅4分の1!$B$11:$B$310),INDEX(条幅4分の1!$F$11:$F$310,669-COUNTA(半紙!$B$11:$B$310)-COUNTA(条幅!$B$11:$B$310)),""))))</f>
        <v/>
      </c>
      <c r="G674" s="38" t="str">
        <f>IF(IF(669&lt;=COUNTA(半紙!$B$11:$B$310),INDEX(半紙!$G$11:$G$310,669),IF(669&lt;=COUNTA(半紙!$B$11:$B$310)+COUNTA(条幅!$B$11:$B$310),INDEX(条幅!$G$11:$G$310,669-COUNTA(半紙!$B$11:$B$310)),IF(669&lt;=COUNTA(半紙!$B$11:$B$310)+COUNTA(条幅!$B$11:$B$310)+COUNTA(条幅4分の1!$B$11:$B$310),INDEX(条幅4分の1!$G$11:$G$310,669-COUNTA(半紙!$B$11:$B$310)-COUNTA(条幅!$B$11:$B$310)),"")))=0,"",IF(669&lt;=COUNTA(半紙!$B$11:$B$310),INDEX(半紙!$G$11:$G$310,669),IF(669&lt;=COUNTA(半紙!$B$11:$B$310)+COUNTA(条幅!$B$11:$B$310),INDEX(条幅!$G$11:$G$310,669-COUNTA(半紙!$B$11:$B$310)),IF(669&lt;=COUNTA(半紙!$B$11:$B$310)+COUNTA(条幅!$B$11:$B$310)+COUNTA(条幅4分の1!$B$11:$B$310),INDEX(条幅4分の1!$G$11:$G$310,669-COUNTA(半紙!$B$11:$B$310)-COUNTA(条幅!$B$11:$B$310)),""))))</f>
        <v/>
      </c>
      <c r="H674" s="38" t="str">
        <f>IF(IF(669&lt;=COUNTA(半紙!$B$11:$B$310),INDEX(半紙!$H$11:$H$310,669),IF(669&lt;=COUNTA(半紙!$B$11:$B$310)+COUNTA(条幅!$B$11:$B$310),INDEX(条幅!$H$11:$H$310,669-COUNTA(半紙!$B$11:$B$310)),IF(669&lt;=COUNTA(半紙!$B$11:$B$310)+COUNTA(条幅!$B$11:$B$310)+COUNTA(条幅4分の1!$B$11:$B$310),INDEX(条幅4分の1!$H$11:$H$310,669-COUNTA(半紙!$B$11:$B$310)-COUNTA(条幅!$B$11:$B$310)),"")))=0,"",IF(669&lt;=COUNTA(半紙!$B$11:$B$310),INDEX(半紙!$H$11:$H$310,669),IF(669&lt;=COUNTA(半紙!$B$11:$B$310)+COUNTA(条幅!$B$11:$B$310),INDEX(条幅!$H$11:$H$310,669-COUNTA(半紙!$B$11:$B$310)),IF(669&lt;=COUNTA(半紙!$B$11:$B$310)+COUNTA(条幅!$B$11:$B$310)+COUNTA(条幅4分の1!$B$11:$B$310),INDEX(条幅4分の1!$H$11:$H$310,669-COUNTA(半紙!$B$11:$B$310)-COUNTA(条幅!$B$11:$B$310)),""))))</f>
        <v/>
      </c>
      <c r="I674" s="38" t="str">
        <f>IF(IF(669&lt;=COUNTA(半紙!$B$11:$B$310),INDEX(半紙!$I$11:$I$310,669),IF(669&lt;=COUNTA(半紙!$B$11:$B$310)+COUNTA(条幅!$B$11:$B$310),INDEX(条幅!$I$11:$I$310,669-COUNTA(半紙!$B$11:$B$310)),IF(669&lt;=COUNTA(半紙!$B$11:$B$310)+COUNTA(条幅!$B$11:$B$310)+COUNTA(条幅4分の1!$B$11:$B$310),INDEX(条幅4分の1!$I$11:$I$310,669-COUNTA(半紙!$B$11:$B$310)-COUNTA(条幅!$B$11:$B$310)),"")))=0,"",IF(669&lt;=COUNTA(半紙!$B$11:$B$310),INDEX(半紙!$I$11:$I$310,669),IF(669&lt;=COUNTA(半紙!$B$11:$B$310)+COUNTA(条幅!$B$11:$B$310),INDEX(条幅!$I$11:$I$310,669-COUNTA(半紙!$B$11:$B$310)),IF(669&lt;=COUNTA(半紙!$B$11:$B$310)+COUNTA(条幅!$B$11:$B$310)+COUNTA(条幅4分の1!$B$11:$B$310),INDEX(条幅4分の1!$I$11:$I$310,669-COUNTA(半紙!$B$11:$B$310)-COUNTA(条幅!$B$11:$B$310)),""))))</f>
        <v/>
      </c>
      <c r="J674" s="38" t="str">
        <f>IF(IF(669&lt;=COUNTA(半紙!$B$11:$B$310),INDEX(半紙!$J$11:$J$310,669),IF(669&lt;=COUNTA(半紙!$B$11:$B$310)+COUNTA(条幅!$B$11:$B$310),INDEX(条幅!$J$11:$J$310,669-COUNTA(半紙!$B$11:$B$310)),IF(669&lt;=COUNTA(半紙!$B$11:$B$310)+COUNTA(条幅!$B$11:$B$310)+COUNTA(条幅4分の1!$B$11:$B$310),INDEX(条幅4分の1!$J$11:$J$310,669-COUNTA(半紙!$B$11:$B$310)-COUNTA(条幅!$B$11:$B$310)),"")))=0,"",IF(669&lt;=COUNTA(半紙!$B$11:$B$310),INDEX(半紙!$J$11:$J$310,669),IF(669&lt;=COUNTA(半紙!$B$11:$B$310)+COUNTA(条幅!$B$11:$B$310),INDEX(条幅!$J$11:$J$310,669-COUNTA(半紙!$B$11:$B$310)),IF(669&lt;=COUNTA(半紙!$B$11:$B$310)+COUNTA(条幅!$B$11:$B$310)+COUNTA(条幅4分の1!$B$11:$B$310),INDEX(条幅4分の1!$J$11:$J$310,669-COUNTA(半紙!$B$11:$B$310)-COUNTA(条幅!$B$11:$B$310)),""))))</f>
        <v/>
      </c>
      <c r="K674" s="38" t="str">
        <f>IF(IF(669&lt;=COUNTA(半紙!$B$11:$B$310),INDEX(半紙!$K$11:$K$310,669),IF(669&lt;=COUNTA(半紙!$B$11:$B$310)+COUNTA(条幅!$B$11:$B$310),INDEX(条幅!$K$11:$K$310,669-COUNTA(半紙!$B$11:$B$310)),IF(669&lt;=COUNTA(半紙!$B$11:$B$310)+COUNTA(条幅!$B$11:$B$310)+COUNTA(条幅4分の1!$B$11:$B$310),INDEX(条幅4分の1!$K$11:$K$310,669-COUNTA(半紙!$B$11:$B$310)-COUNTA(条幅!$B$11:$B$310)),"")))=0,"",IF(669&lt;=COUNTA(半紙!$B$11:$B$310),INDEX(半紙!$K$11:$K$310,669),IF(669&lt;=COUNTA(半紙!$B$11:$B$310)+COUNTA(条幅!$B$11:$B$310),INDEX(条幅!$K$11:$K$310,669-COUNTA(半紙!$B$11:$B$310)),IF(669&lt;=COUNTA(半紙!$B$11:$B$310)+COUNTA(条幅!$B$11:$B$310)+COUNTA(条幅4分の1!$B$11:$B$310),INDEX(条幅4分の1!$K$11:$K$310,669-COUNTA(半紙!$B$11:$B$310)-COUNTA(条幅!$B$11:$B$310)),""))))</f>
        <v/>
      </c>
      <c r="L674" s="48" t="str">
        <f>IF($B674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669))</f>
        <v/>
      </c>
    </row>
    <row r="675" spans="1:12" ht="15" customHeight="1">
      <c r="A675" s="37" t="str">
        <f>IF(670&lt;=COUNTA(半紙!$B$11:$B$310),"半紙",IF(670&lt;=COUNTA(半紙!$B$11:$B$310)+COUNTA(条幅!$B$11:$B$310),"条幅(半切)",IF(670&lt;=COUNTA(半紙!$B$11:$B$310)+COUNTA(条幅!$B$11:$B$310)+COUNTA(条幅4分の1!$B$11:$B$310),"条幅(1/4)","")))</f>
        <v/>
      </c>
      <c r="B675" s="38" t="str">
        <f>IF(IF(670&lt;=COUNTA(半紙!$B$11:$B$310),INDEX(半紙!$B$11:$B$310,670),IF(670&lt;=COUNTA(半紙!$B$11:$B$310)+COUNTA(条幅!$B$11:$B$310),INDEX(条幅!$B$11:$B$310,670-COUNTA(半紙!$B$11:$B$310)),IF(670&lt;=COUNTA(半紙!$B$11:$B$310)+COUNTA(条幅!$B$11:$B$310)+COUNTA(条幅4分の1!$B$11:$B$310),INDEX(条幅4分の1!$B$11:$B$310,670-COUNTA(半紙!$B$11:$B$310)-COUNTA(条幅!$B$11:$B$310)),"")))=0,"",IF(670&lt;=COUNTA(半紙!$B$11:$B$310),INDEX(半紙!$B$11:$B$310,670),IF(670&lt;=COUNTA(半紙!$B$11:$B$310)+COUNTA(条幅!$B$11:$B$310),INDEX(条幅!$B$11:$B$310,670-COUNTA(半紙!$B$11:$B$310)),IF(670&lt;=COUNTA(半紙!$B$11:$B$310)+COUNTA(条幅!$B$11:$B$310)+COUNTA(条幅4分の1!$B$11:$B$310),INDEX(条幅4分の1!$B$11:$B$310,670-COUNTA(半紙!$B$11:$B$310)-COUNTA(条幅!$B$11:$B$310)),""))))</f>
        <v/>
      </c>
      <c r="C675" s="38" t="str">
        <f>IF(IF(670&lt;=COUNTA(半紙!$B$11:$B$310),INDEX(半紙!$C$11:$C$310,670),IF(670&lt;=COUNTA(半紙!$B$11:$B$310)+COUNTA(条幅!$B$11:$B$310),INDEX(条幅!$C$11:$C$310,670-COUNTA(半紙!$B$11:$B$310)),IF(670&lt;=COUNTA(半紙!$B$11:$B$310)+COUNTA(条幅!$B$11:$B$310)+COUNTA(条幅4分の1!$B$11:$B$310),INDEX(条幅4分の1!$C$11:$C$310,670-COUNTA(半紙!$B$11:$B$310)-COUNTA(条幅!$B$11:$B$310)),"")))=0,"",IF(670&lt;=COUNTA(半紙!$B$11:$B$310),INDEX(半紙!$C$11:$C$310,670),IF(670&lt;=COUNTA(半紙!$B$11:$B$310)+COUNTA(条幅!$B$11:$B$310),INDEX(条幅!$C$11:$C$310,670-COUNTA(半紙!$B$11:$B$310)),IF(670&lt;=COUNTA(半紙!$B$11:$B$310)+COUNTA(条幅!$B$11:$B$310)+COUNTA(条幅4分の1!$B$11:$B$310),INDEX(条幅4分の1!$C$11:$C$310,670-COUNTA(半紙!$B$11:$B$310)-COUNTA(条幅!$B$11:$B$310)),""))))</f>
        <v/>
      </c>
      <c r="D675" s="38" t="str">
        <f>IF(IF(670&lt;=COUNTA(半紙!$B$11:$B$310),INDEX(半紙!$D$11:$D$310,670),IF(670&lt;=COUNTA(半紙!$B$11:$B$310)+COUNTA(条幅!$B$11:$B$310),INDEX(条幅!$D$11:$D$310,670-COUNTA(半紙!$B$11:$B$310)),IF(670&lt;=COUNTA(半紙!$B$11:$B$310)+COUNTA(条幅!$B$11:$B$310)+COUNTA(条幅4分の1!$B$11:$B$310),INDEX(条幅4分の1!$D$11:$D$310,670-COUNTA(半紙!$B$11:$B$310)-COUNTA(条幅!$B$11:$B$310)),"")))=0,"",IF(670&lt;=COUNTA(半紙!$B$11:$B$310),INDEX(半紙!$D$11:$D$310,670),IF(670&lt;=COUNTA(半紙!$B$11:$B$310)+COUNTA(条幅!$B$11:$B$310),INDEX(条幅!$D$11:$D$310,670-COUNTA(半紙!$B$11:$B$310)),IF(670&lt;=COUNTA(半紙!$B$11:$B$310)+COUNTA(条幅!$B$11:$B$310)+COUNTA(条幅4分の1!$B$11:$B$310),INDEX(条幅4分の1!$D$11:$D$310,670-COUNTA(半紙!$B$11:$B$310)-COUNTA(条幅!$B$11:$B$310)),""))))</f>
        <v/>
      </c>
      <c r="E675" s="38" t="str">
        <f>IF(IF(670&lt;=COUNTA(半紙!$B$11:$B$310),INDEX(半紙!$E$11:$E$310,670),IF(670&lt;=COUNTA(半紙!$B$11:$B$310)+COUNTA(条幅!$B$11:$B$310),INDEX(条幅!$E$11:$E$310,670-COUNTA(半紙!$B$11:$B$310)),IF(670&lt;=COUNTA(半紙!$B$11:$B$310)+COUNTA(条幅!$B$11:$B$310)+COUNTA(条幅4分の1!$B$11:$B$310),INDEX(条幅4分の1!$E$11:$E$310,670-COUNTA(半紙!$B$11:$B$310)-COUNTA(条幅!$B$11:$B$310)),"")))=0,"",IF(670&lt;=COUNTA(半紙!$B$11:$B$310),INDEX(半紙!$E$11:$E$310,670),IF(670&lt;=COUNTA(半紙!$B$11:$B$310)+COUNTA(条幅!$B$11:$B$310),INDEX(条幅!$E$11:$E$310,670-COUNTA(半紙!$B$11:$B$310)),IF(670&lt;=COUNTA(半紙!$B$11:$B$310)+COUNTA(条幅!$B$11:$B$310)+COUNTA(条幅4分の1!$B$11:$B$310),INDEX(条幅4分の1!$E$11:$E$310,670-COUNTA(半紙!$B$11:$B$310)-COUNTA(条幅!$B$11:$B$310)),""))))</f>
        <v/>
      </c>
      <c r="F675" s="38" t="str">
        <f>IF(IF(670&lt;=COUNTA(半紙!$B$11:$B$310),INDEX(半紙!$F$11:$F$310,670),IF(670&lt;=COUNTA(半紙!$B$11:$B$310)+COUNTA(条幅!$B$11:$B$310),INDEX(条幅!$F$11:$F$310,670-COUNTA(半紙!$B$11:$B$310)),IF(670&lt;=COUNTA(半紙!$B$11:$B$310)+COUNTA(条幅!$B$11:$B$310)+COUNTA(条幅4分の1!$B$11:$B$310),INDEX(条幅4分の1!$F$11:$F$310,670-COUNTA(半紙!$B$11:$B$310)-COUNTA(条幅!$B$11:$B$310)),"")))=0,"",IF(670&lt;=COUNTA(半紙!$B$11:$B$310),INDEX(半紙!$F$11:$F$310,670),IF(670&lt;=COUNTA(半紙!$B$11:$B$310)+COUNTA(条幅!$B$11:$B$310),INDEX(条幅!$F$11:$F$310,670-COUNTA(半紙!$B$11:$B$310)),IF(670&lt;=COUNTA(半紙!$B$11:$B$310)+COUNTA(条幅!$B$11:$B$310)+COUNTA(条幅4分の1!$B$11:$B$310),INDEX(条幅4分の1!$F$11:$F$310,670-COUNTA(半紙!$B$11:$B$310)-COUNTA(条幅!$B$11:$B$310)),""))))</f>
        <v/>
      </c>
      <c r="G675" s="38" t="str">
        <f>IF(IF(670&lt;=COUNTA(半紙!$B$11:$B$310),INDEX(半紙!$G$11:$G$310,670),IF(670&lt;=COUNTA(半紙!$B$11:$B$310)+COUNTA(条幅!$B$11:$B$310),INDEX(条幅!$G$11:$G$310,670-COUNTA(半紙!$B$11:$B$310)),IF(670&lt;=COUNTA(半紙!$B$11:$B$310)+COUNTA(条幅!$B$11:$B$310)+COUNTA(条幅4分の1!$B$11:$B$310),INDEX(条幅4分の1!$G$11:$G$310,670-COUNTA(半紙!$B$11:$B$310)-COUNTA(条幅!$B$11:$B$310)),"")))=0,"",IF(670&lt;=COUNTA(半紙!$B$11:$B$310),INDEX(半紙!$G$11:$G$310,670),IF(670&lt;=COUNTA(半紙!$B$11:$B$310)+COUNTA(条幅!$B$11:$B$310),INDEX(条幅!$G$11:$G$310,670-COUNTA(半紙!$B$11:$B$310)),IF(670&lt;=COUNTA(半紙!$B$11:$B$310)+COUNTA(条幅!$B$11:$B$310)+COUNTA(条幅4分の1!$B$11:$B$310),INDEX(条幅4分の1!$G$11:$G$310,670-COUNTA(半紙!$B$11:$B$310)-COUNTA(条幅!$B$11:$B$310)),""))))</f>
        <v/>
      </c>
      <c r="H675" s="38" t="str">
        <f>IF(IF(670&lt;=COUNTA(半紙!$B$11:$B$310),INDEX(半紙!$H$11:$H$310,670),IF(670&lt;=COUNTA(半紙!$B$11:$B$310)+COUNTA(条幅!$B$11:$B$310),INDEX(条幅!$H$11:$H$310,670-COUNTA(半紙!$B$11:$B$310)),IF(670&lt;=COUNTA(半紙!$B$11:$B$310)+COUNTA(条幅!$B$11:$B$310)+COUNTA(条幅4分の1!$B$11:$B$310),INDEX(条幅4分の1!$H$11:$H$310,670-COUNTA(半紙!$B$11:$B$310)-COUNTA(条幅!$B$11:$B$310)),"")))=0,"",IF(670&lt;=COUNTA(半紙!$B$11:$B$310),INDEX(半紙!$H$11:$H$310,670),IF(670&lt;=COUNTA(半紙!$B$11:$B$310)+COUNTA(条幅!$B$11:$B$310),INDEX(条幅!$H$11:$H$310,670-COUNTA(半紙!$B$11:$B$310)),IF(670&lt;=COUNTA(半紙!$B$11:$B$310)+COUNTA(条幅!$B$11:$B$310)+COUNTA(条幅4分の1!$B$11:$B$310),INDEX(条幅4分の1!$H$11:$H$310,670-COUNTA(半紙!$B$11:$B$310)-COUNTA(条幅!$B$11:$B$310)),""))))</f>
        <v/>
      </c>
      <c r="I675" s="38" t="str">
        <f>IF(IF(670&lt;=COUNTA(半紙!$B$11:$B$310),INDEX(半紙!$I$11:$I$310,670),IF(670&lt;=COUNTA(半紙!$B$11:$B$310)+COUNTA(条幅!$B$11:$B$310),INDEX(条幅!$I$11:$I$310,670-COUNTA(半紙!$B$11:$B$310)),IF(670&lt;=COUNTA(半紙!$B$11:$B$310)+COUNTA(条幅!$B$11:$B$310)+COUNTA(条幅4分の1!$B$11:$B$310),INDEX(条幅4分の1!$I$11:$I$310,670-COUNTA(半紙!$B$11:$B$310)-COUNTA(条幅!$B$11:$B$310)),"")))=0,"",IF(670&lt;=COUNTA(半紙!$B$11:$B$310),INDEX(半紙!$I$11:$I$310,670),IF(670&lt;=COUNTA(半紙!$B$11:$B$310)+COUNTA(条幅!$B$11:$B$310),INDEX(条幅!$I$11:$I$310,670-COUNTA(半紙!$B$11:$B$310)),IF(670&lt;=COUNTA(半紙!$B$11:$B$310)+COUNTA(条幅!$B$11:$B$310)+COUNTA(条幅4分の1!$B$11:$B$310),INDEX(条幅4分の1!$I$11:$I$310,670-COUNTA(半紙!$B$11:$B$310)-COUNTA(条幅!$B$11:$B$310)),""))))</f>
        <v/>
      </c>
      <c r="J675" s="38" t="str">
        <f>IF(IF(670&lt;=COUNTA(半紙!$B$11:$B$310),INDEX(半紙!$J$11:$J$310,670),IF(670&lt;=COUNTA(半紙!$B$11:$B$310)+COUNTA(条幅!$B$11:$B$310),INDEX(条幅!$J$11:$J$310,670-COUNTA(半紙!$B$11:$B$310)),IF(670&lt;=COUNTA(半紙!$B$11:$B$310)+COUNTA(条幅!$B$11:$B$310)+COUNTA(条幅4分の1!$B$11:$B$310),INDEX(条幅4分の1!$J$11:$J$310,670-COUNTA(半紙!$B$11:$B$310)-COUNTA(条幅!$B$11:$B$310)),"")))=0,"",IF(670&lt;=COUNTA(半紙!$B$11:$B$310),INDEX(半紙!$J$11:$J$310,670),IF(670&lt;=COUNTA(半紙!$B$11:$B$310)+COUNTA(条幅!$B$11:$B$310),INDEX(条幅!$J$11:$J$310,670-COUNTA(半紙!$B$11:$B$310)),IF(670&lt;=COUNTA(半紙!$B$11:$B$310)+COUNTA(条幅!$B$11:$B$310)+COUNTA(条幅4分の1!$B$11:$B$310),INDEX(条幅4分の1!$J$11:$J$310,670-COUNTA(半紙!$B$11:$B$310)-COUNTA(条幅!$B$11:$B$310)),""))))</f>
        <v/>
      </c>
      <c r="K675" s="38" t="str">
        <f>IF(IF(670&lt;=COUNTA(半紙!$B$11:$B$310),INDEX(半紙!$K$11:$K$310,670),IF(670&lt;=COUNTA(半紙!$B$11:$B$310)+COUNTA(条幅!$B$11:$B$310),INDEX(条幅!$K$11:$K$310,670-COUNTA(半紙!$B$11:$B$310)),IF(670&lt;=COUNTA(半紙!$B$11:$B$310)+COUNTA(条幅!$B$11:$B$310)+COUNTA(条幅4分の1!$B$11:$B$310),INDEX(条幅4分の1!$K$11:$K$310,670-COUNTA(半紙!$B$11:$B$310)-COUNTA(条幅!$B$11:$B$310)),"")))=0,"",IF(670&lt;=COUNTA(半紙!$B$11:$B$310),INDEX(半紙!$K$11:$K$310,670),IF(670&lt;=COUNTA(半紙!$B$11:$B$310)+COUNTA(条幅!$B$11:$B$310),INDEX(条幅!$K$11:$K$310,670-COUNTA(半紙!$B$11:$B$310)),IF(670&lt;=COUNTA(半紙!$B$11:$B$310)+COUNTA(条幅!$B$11:$B$310)+COUNTA(条幅4分の1!$B$11:$B$310),INDEX(条幅4分の1!$K$11:$K$310,670-COUNTA(半紙!$B$11:$B$310)-COUNTA(条幅!$B$11:$B$310)),""))))</f>
        <v/>
      </c>
      <c r="L675" s="48" t="str">
        <f>IF($B675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670))</f>
        <v/>
      </c>
    </row>
    <row r="676" spans="1:12" ht="15" customHeight="1">
      <c r="A676" s="37" t="str">
        <f>IF(671&lt;=COUNTA(半紙!$B$11:$B$310),"半紙",IF(671&lt;=COUNTA(半紙!$B$11:$B$310)+COUNTA(条幅!$B$11:$B$310),"条幅(半切)",IF(671&lt;=COUNTA(半紙!$B$11:$B$310)+COUNTA(条幅!$B$11:$B$310)+COUNTA(条幅4分の1!$B$11:$B$310),"条幅(1/4)","")))</f>
        <v/>
      </c>
      <c r="B676" s="38" t="str">
        <f>IF(IF(671&lt;=COUNTA(半紙!$B$11:$B$310),INDEX(半紙!$B$11:$B$310,671),IF(671&lt;=COUNTA(半紙!$B$11:$B$310)+COUNTA(条幅!$B$11:$B$310),INDEX(条幅!$B$11:$B$310,671-COUNTA(半紙!$B$11:$B$310)),IF(671&lt;=COUNTA(半紙!$B$11:$B$310)+COUNTA(条幅!$B$11:$B$310)+COUNTA(条幅4分の1!$B$11:$B$310),INDEX(条幅4分の1!$B$11:$B$310,671-COUNTA(半紙!$B$11:$B$310)-COUNTA(条幅!$B$11:$B$310)),"")))=0,"",IF(671&lt;=COUNTA(半紙!$B$11:$B$310),INDEX(半紙!$B$11:$B$310,671),IF(671&lt;=COUNTA(半紙!$B$11:$B$310)+COUNTA(条幅!$B$11:$B$310),INDEX(条幅!$B$11:$B$310,671-COUNTA(半紙!$B$11:$B$310)),IF(671&lt;=COUNTA(半紙!$B$11:$B$310)+COUNTA(条幅!$B$11:$B$310)+COUNTA(条幅4分の1!$B$11:$B$310),INDEX(条幅4分の1!$B$11:$B$310,671-COUNTA(半紙!$B$11:$B$310)-COUNTA(条幅!$B$11:$B$310)),""))))</f>
        <v/>
      </c>
      <c r="C676" s="38" t="str">
        <f>IF(IF(671&lt;=COUNTA(半紙!$B$11:$B$310),INDEX(半紙!$C$11:$C$310,671),IF(671&lt;=COUNTA(半紙!$B$11:$B$310)+COUNTA(条幅!$B$11:$B$310),INDEX(条幅!$C$11:$C$310,671-COUNTA(半紙!$B$11:$B$310)),IF(671&lt;=COUNTA(半紙!$B$11:$B$310)+COUNTA(条幅!$B$11:$B$310)+COUNTA(条幅4分の1!$B$11:$B$310),INDEX(条幅4分の1!$C$11:$C$310,671-COUNTA(半紙!$B$11:$B$310)-COUNTA(条幅!$B$11:$B$310)),"")))=0,"",IF(671&lt;=COUNTA(半紙!$B$11:$B$310),INDEX(半紙!$C$11:$C$310,671),IF(671&lt;=COUNTA(半紙!$B$11:$B$310)+COUNTA(条幅!$B$11:$B$310),INDEX(条幅!$C$11:$C$310,671-COUNTA(半紙!$B$11:$B$310)),IF(671&lt;=COUNTA(半紙!$B$11:$B$310)+COUNTA(条幅!$B$11:$B$310)+COUNTA(条幅4分の1!$B$11:$B$310),INDEX(条幅4分の1!$C$11:$C$310,671-COUNTA(半紙!$B$11:$B$310)-COUNTA(条幅!$B$11:$B$310)),""))))</f>
        <v/>
      </c>
      <c r="D676" s="38" t="str">
        <f>IF(IF(671&lt;=COUNTA(半紙!$B$11:$B$310),INDEX(半紙!$D$11:$D$310,671),IF(671&lt;=COUNTA(半紙!$B$11:$B$310)+COUNTA(条幅!$B$11:$B$310),INDEX(条幅!$D$11:$D$310,671-COUNTA(半紙!$B$11:$B$310)),IF(671&lt;=COUNTA(半紙!$B$11:$B$310)+COUNTA(条幅!$B$11:$B$310)+COUNTA(条幅4分の1!$B$11:$B$310),INDEX(条幅4分の1!$D$11:$D$310,671-COUNTA(半紙!$B$11:$B$310)-COUNTA(条幅!$B$11:$B$310)),"")))=0,"",IF(671&lt;=COUNTA(半紙!$B$11:$B$310),INDEX(半紙!$D$11:$D$310,671),IF(671&lt;=COUNTA(半紙!$B$11:$B$310)+COUNTA(条幅!$B$11:$B$310),INDEX(条幅!$D$11:$D$310,671-COUNTA(半紙!$B$11:$B$310)),IF(671&lt;=COUNTA(半紙!$B$11:$B$310)+COUNTA(条幅!$B$11:$B$310)+COUNTA(条幅4分の1!$B$11:$B$310),INDEX(条幅4分の1!$D$11:$D$310,671-COUNTA(半紙!$B$11:$B$310)-COUNTA(条幅!$B$11:$B$310)),""))))</f>
        <v/>
      </c>
      <c r="E676" s="38" t="str">
        <f>IF(IF(671&lt;=COUNTA(半紙!$B$11:$B$310),INDEX(半紙!$E$11:$E$310,671),IF(671&lt;=COUNTA(半紙!$B$11:$B$310)+COUNTA(条幅!$B$11:$B$310),INDEX(条幅!$E$11:$E$310,671-COUNTA(半紙!$B$11:$B$310)),IF(671&lt;=COUNTA(半紙!$B$11:$B$310)+COUNTA(条幅!$B$11:$B$310)+COUNTA(条幅4分の1!$B$11:$B$310),INDEX(条幅4分の1!$E$11:$E$310,671-COUNTA(半紙!$B$11:$B$310)-COUNTA(条幅!$B$11:$B$310)),"")))=0,"",IF(671&lt;=COUNTA(半紙!$B$11:$B$310),INDEX(半紙!$E$11:$E$310,671),IF(671&lt;=COUNTA(半紙!$B$11:$B$310)+COUNTA(条幅!$B$11:$B$310),INDEX(条幅!$E$11:$E$310,671-COUNTA(半紙!$B$11:$B$310)),IF(671&lt;=COUNTA(半紙!$B$11:$B$310)+COUNTA(条幅!$B$11:$B$310)+COUNTA(条幅4分の1!$B$11:$B$310),INDEX(条幅4分の1!$E$11:$E$310,671-COUNTA(半紙!$B$11:$B$310)-COUNTA(条幅!$B$11:$B$310)),""))))</f>
        <v/>
      </c>
      <c r="F676" s="38" t="str">
        <f>IF(IF(671&lt;=COUNTA(半紙!$B$11:$B$310),INDEX(半紙!$F$11:$F$310,671),IF(671&lt;=COUNTA(半紙!$B$11:$B$310)+COUNTA(条幅!$B$11:$B$310),INDEX(条幅!$F$11:$F$310,671-COUNTA(半紙!$B$11:$B$310)),IF(671&lt;=COUNTA(半紙!$B$11:$B$310)+COUNTA(条幅!$B$11:$B$310)+COUNTA(条幅4分の1!$B$11:$B$310),INDEX(条幅4分の1!$F$11:$F$310,671-COUNTA(半紙!$B$11:$B$310)-COUNTA(条幅!$B$11:$B$310)),"")))=0,"",IF(671&lt;=COUNTA(半紙!$B$11:$B$310),INDEX(半紙!$F$11:$F$310,671),IF(671&lt;=COUNTA(半紙!$B$11:$B$310)+COUNTA(条幅!$B$11:$B$310),INDEX(条幅!$F$11:$F$310,671-COUNTA(半紙!$B$11:$B$310)),IF(671&lt;=COUNTA(半紙!$B$11:$B$310)+COUNTA(条幅!$B$11:$B$310)+COUNTA(条幅4分の1!$B$11:$B$310),INDEX(条幅4分の1!$F$11:$F$310,671-COUNTA(半紙!$B$11:$B$310)-COUNTA(条幅!$B$11:$B$310)),""))))</f>
        <v/>
      </c>
      <c r="G676" s="38" t="str">
        <f>IF(IF(671&lt;=COUNTA(半紙!$B$11:$B$310),INDEX(半紙!$G$11:$G$310,671),IF(671&lt;=COUNTA(半紙!$B$11:$B$310)+COUNTA(条幅!$B$11:$B$310),INDEX(条幅!$G$11:$G$310,671-COUNTA(半紙!$B$11:$B$310)),IF(671&lt;=COUNTA(半紙!$B$11:$B$310)+COUNTA(条幅!$B$11:$B$310)+COUNTA(条幅4分の1!$B$11:$B$310),INDEX(条幅4分の1!$G$11:$G$310,671-COUNTA(半紙!$B$11:$B$310)-COUNTA(条幅!$B$11:$B$310)),"")))=0,"",IF(671&lt;=COUNTA(半紙!$B$11:$B$310),INDEX(半紙!$G$11:$G$310,671),IF(671&lt;=COUNTA(半紙!$B$11:$B$310)+COUNTA(条幅!$B$11:$B$310),INDEX(条幅!$G$11:$G$310,671-COUNTA(半紙!$B$11:$B$310)),IF(671&lt;=COUNTA(半紙!$B$11:$B$310)+COUNTA(条幅!$B$11:$B$310)+COUNTA(条幅4分の1!$B$11:$B$310),INDEX(条幅4分の1!$G$11:$G$310,671-COUNTA(半紙!$B$11:$B$310)-COUNTA(条幅!$B$11:$B$310)),""))))</f>
        <v/>
      </c>
      <c r="H676" s="38" t="str">
        <f>IF(IF(671&lt;=COUNTA(半紙!$B$11:$B$310),INDEX(半紙!$H$11:$H$310,671),IF(671&lt;=COUNTA(半紙!$B$11:$B$310)+COUNTA(条幅!$B$11:$B$310),INDEX(条幅!$H$11:$H$310,671-COUNTA(半紙!$B$11:$B$310)),IF(671&lt;=COUNTA(半紙!$B$11:$B$310)+COUNTA(条幅!$B$11:$B$310)+COUNTA(条幅4分の1!$B$11:$B$310),INDEX(条幅4分の1!$H$11:$H$310,671-COUNTA(半紙!$B$11:$B$310)-COUNTA(条幅!$B$11:$B$310)),"")))=0,"",IF(671&lt;=COUNTA(半紙!$B$11:$B$310),INDEX(半紙!$H$11:$H$310,671),IF(671&lt;=COUNTA(半紙!$B$11:$B$310)+COUNTA(条幅!$B$11:$B$310),INDEX(条幅!$H$11:$H$310,671-COUNTA(半紙!$B$11:$B$310)),IF(671&lt;=COUNTA(半紙!$B$11:$B$310)+COUNTA(条幅!$B$11:$B$310)+COUNTA(条幅4分の1!$B$11:$B$310),INDEX(条幅4分の1!$H$11:$H$310,671-COUNTA(半紙!$B$11:$B$310)-COUNTA(条幅!$B$11:$B$310)),""))))</f>
        <v/>
      </c>
      <c r="I676" s="38" t="str">
        <f>IF(IF(671&lt;=COUNTA(半紙!$B$11:$B$310),INDEX(半紙!$I$11:$I$310,671),IF(671&lt;=COUNTA(半紙!$B$11:$B$310)+COUNTA(条幅!$B$11:$B$310),INDEX(条幅!$I$11:$I$310,671-COUNTA(半紙!$B$11:$B$310)),IF(671&lt;=COUNTA(半紙!$B$11:$B$310)+COUNTA(条幅!$B$11:$B$310)+COUNTA(条幅4分の1!$B$11:$B$310),INDEX(条幅4分の1!$I$11:$I$310,671-COUNTA(半紙!$B$11:$B$310)-COUNTA(条幅!$B$11:$B$310)),"")))=0,"",IF(671&lt;=COUNTA(半紙!$B$11:$B$310),INDEX(半紙!$I$11:$I$310,671),IF(671&lt;=COUNTA(半紙!$B$11:$B$310)+COUNTA(条幅!$B$11:$B$310),INDEX(条幅!$I$11:$I$310,671-COUNTA(半紙!$B$11:$B$310)),IF(671&lt;=COUNTA(半紙!$B$11:$B$310)+COUNTA(条幅!$B$11:$B$310)+COUNTA(条幅4分の1!$B$11:$B$310),INDEX(条幅4分の1!$I$11:$I$310,671-COUNTA(半紙!$B$11:$B$310)-COUNTA(条幅!$B$11:$B$310)),""))))</f>
        <v/>
      </c>
      <c r="J676" s="38" t="str">
        <f>IF(IF(671&lt;=COUNTA(半紙!$B$11:$B$310),INDEX(半紙!$J$11:$J$310,671),IF(671&lt;=COUNTA(半紙!$B$11:$B$310)+COUNTA(条幅!$B$11:$B$310),INDEX(条幅!$J$11:$J$310,671-COUNTA(半紙!$B$11:$B$310)),IF(671&lt;=COUNTA(半紙!$B$11:$B$310)+COUNTA(条幅!$B$11:$B$310)+COUNTA(条幅4分の1!$B$11:$B$310),INDEX(条幅4分の1!$J$11:$J$310,671-COUNTA(半紙!$B$11:$B$310)-COUNTA(条幅!$B$11:$B$310)),"")))=0,"",IF(671&lt;=COUNTA(半紙!$B$11:$B$310),INDEX(半紙!$J$11:$J$310,671),IF(671&lt;=COUNTA(半紙!$B$11:$B$310)+COUNTA(条幅!$B$11:$B$310),INDEX(条幅!$J$11:$J$310,671-COUNTA(半紙!$B$11:$B$310)),IF(671&lt;=COUNTA(半紙!$B$11:$B$310)+COUNTA(条幅!$B$11:$B$310)+COUNTA(条幅4分の1!$B$11:$B$310),INDEX(条幅4分の1!$J$11:$J$310,671-COUNTA(半紙!$B$11:$B$310)-COUNTA(条幅!$B$11:$B$310)),""))))</f>
        <v/>
      </c>
      <c r="K676" s="38" t="str">
        <f>IF(IF(671&lt;=COUNTA(半紙!$B$11:$B$310),INDEX(半紙!$K$11:$K$310,671),IF(671&lt;=COUNTA(半紙!$B$11:$B$310)+COUNTA(条幅!$B$11:$B$310),INDEX(条幅!$K$11:$K$310,671-COUNTA(半紙!$B$11:$B$310)),IF(671&lt;=COUNTA(半紙!$B$11:$B$310)+COUNTA(条幅!$B$11:$B$310)+COUNTA(条幅4分の1!$B$11:$B$310),INDEX(条幅4分の1!$K$11:$K$310,671-COUNTA(半紙!$B$11:$B$310)-COUNTA(条幅!$B$11:$B$310)),"")))=0,"",IF(671&lt;=COUNTA(半紙!$B$11:$B$310),INDEX(半紙!$K$11:$K$310,671),IF(671&lt;=COUNTA(半紙!$B$11:$B$310)+COUNTA(条幅!$B$11:$B$310),INDEX(条幅!$K$11:$K$310,671-COUNTA(半紙!$B$11:$B$310)),IF(671&lt;=COUNTA(半紙!$B$11:$B$310)+COUNTA(条幅!$B$11:$B$310)+COUNTA(条幅4分の1!$B$11:$B$310),INDEX(条幅4分の1!$K$11:$K$310,671-COUNTA(半紙!$B$11:$B$310)-COUNTA(条幅!$B$11:$B$310)),""))))</f>
        <v/>
      </c>
      <c r="L676" s="48" t="str">
        <f>IF($B676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671))</f>
        <v/>
      </c>
    </row>
    <row r="677" spans="1:12" ht="15" customHeight="1">
      <c r="A677" s="37" t="str">
        <f>IF(672&lt;=COUNTA(半紙!$B$11:$B$310),"半紙",IF(672&lt;=COUNTA(半紙!$B$11:$B$310)+COUNTA(条幅!$B$11:$B$310),"条幅(半切)",IF(672&lt;=COUNTA(半紙!$B$11:$B$310)+COUNTA(条幅!$B$11:$B$310)+COUNTA(条幅4分の1!$B$11:$B$310),"条幅(1/4)","")))</f>
        <v/>
      </c>
      <c r="B677" s="38" t="str">
        <f>IF(IF(672&lt;=COUNTA(半紙!$B$11:$B$310),INDEX(半紙!$B$11:$B$310,672),IF(672&lt;=COUNTA(半紙!$B$11:$B$310)+COUNTA(条幅!$B$11:$B$310),INDEX(条幅!$B$11:$B$310,672-COUNTA(半紙!$B$11:$B$310)),IF(672&lt;=COUNTA(半紙!$B$11:$B$310)+COUNTA(条幅!$B$11:$B$310)+COUNTA(条幅4分の1!$B$11:$B$310),INDEX(条幅4分の1!$B$11:$B$310,672-COUNTA(半紙!$B$11:$B$310)-COUNTA(条幅!$B$11:$B$310)),"")))=0,"",IF(672&lt;=COUNTA(半紙!$B$11:$B$310),INDEX(半紙!$B$11:$B$310,672),IF(672&lt;=COUNTA(半紙!$B$11:$B$310)+COUNTA(条幅!$B$11:$B$310),INDEX(条幅!$B$11:$B$310,672-COUNTA(半紙!$B$11:$B$310)),IF(672&lt;=COUNTA(半紙!$B$11:$B$310)+COUNTA(条幅!$B$11:$B$310)+COUNTA(条幅4分の1!$B$11:$B$310),INDEX(条幅4分の1!$B$11:$B$310,672-COUNTA(半紙!$B$11:$B$310)-COUNTA(条幅!$B$11:$B$310)),""))))</f>
        <v/>
      </c>
      <c r="C677" s="38" t="str">
        <f>IF(IF(672&lt;=COUNTA(半紙!$B$11:$B$310),INDEX(半紙!$C$11:$C$310,672),IF(672&lt;=COUNTA(半紙!$B$11:$B$310)+COUNTA(条幅!$B$11:$B$310),INDEX(条幅!$C$11:$C$310,672-COUNTA(半紙!$B$11:$B$310)),IF(672&lt;=COUNTA(半紙!$B$11:$B$310)+COUNTA(条幅!$B$11:$B$310)+COUNTA(条幅4分の1!$B$11:$B$310),INDEX(条幅4分の1!$C$11:$C$310,672-COUNTA(半紙!$B$11:$B$310)-COUNTA(条幅!$B$11:$B$310)),"")))=0,"",IF(672&lt;=COUNTA(半紙!$B$11:$B$310),INDEX(半紙!$C$11:$C$310,672),IF(672&lt;=COUNTA(半紙!$B$11:$B$310)+COUNTA(条幅!$B$11:$B$310),INDEX(条幅!$C$11:$C$310,672-COUNTA(半紙!$B$11:$B$310)),IF(672&lt;=COUNTA(半紙!$B$11:$B$310)+COUNTA(条幅!$B$11:$B$310)+COUNTA(条幅4分の1!$B$11:$B$310),INDEX(条幅4分の1!$C$11:$C$310,672-COUNTA(半紙!$B$11:$B$310)-COUNTA(条幅!$B$11:$B$310)),""))))</f>
        <v/>
      </c>
      <c r="D677" s="38" t="str">
        <f>IF(IF(672&lt;=COUNTA(半紙!$B$11:$B$310),INDEX(半紙!$D$11:$D$310,672),IF(672&lt;=COUNTA(半紙!$B$11:$B$310)+COUNTA(条幅!$B$11:$B$310),INDEX(条幅!$D$11:$D$310,672-COUNTA(半紙!$B$11:$B$310)),IF(672&lt;=COUNTA(半紙!$B$11:$B$310)+COUNTA(条幅!$B$11:$B$310)+COUNTA(条幅4分の1!$B$11:$B$310),INDEX(条幅4分の1!$D$11:$D$310,672-COUNTA(半紙!$B$11:$B$310)-COUNTA(条幅!$B$11:$B$310)),"")))=0,"",IF(672&lt;=COUNTA(半紙!$B$11:$B$310),INDEX(半紙!$D$11:$D$310,672),IF(672&lt;=COUNTA(半紙!$B$11:$B$310)+COUNTA(条幅!$B$11:$B$310),INDEX(条幅!$D$11:$D$310,672-COUNTA(半紙!$B$11:$B$310)),IF(672&lt;=COUNTA(半紙!$B$11:$B$310)+COUNTA(条幅!$B$11:$B$310)+COUNTA(条幅4分の1!$B$11:$B$310),INDEX(条幅4分の1!$D$11:$D$310,672-COUNTA(半紙!$B$11:$B$310)-COUNTA(条幅!$B$11:$B$310)),""))))</f>
        <v/>
      </c>
      <c r="E677" s="38" t="str">
        <f>IF(IF(672&lt;=COUNTA(半紙!$B$11:$B$310),INDEX(半紙!$E$11:$E$310,672),IF(672&lt;=COUNTA(半紙!$B$11:$B$310)+COUNTA(条幅!$B$11:$B$310),INDEX(条幅!$E$11:$E$310,672-COUNTA(半紙!$B$11:$B$310)),IF(672&lt;=COUNTA(半紙!$B$11:$B$310)+COUNTA(条幅!$B$11:$B$310)+COUNTA(条幅4分の1!$B$11:$B$310),INDEX(条幅4分の1!$E$11:$E$310,672-COUNTA(半紙!$B$11:$B$310)-COUNTA(条幅!$B$11:$B$310)),"")))=0,"",IF(672&lt;=COUNTA(半紙!$B$11:$B$310),INDEX(半紙!$E$11:$E$310,672),IF(672&lt;=COUNTA(半紙!$B$11:$B$310)+COUNTA(条幅!$B$11:$B$310),INDEX(条幅!$E$11:$E$310,672-COUNTA(半紙!$B$11:$B$310)),IF(672&lt;=COUNTA(半紙!$B$11:$B$310)+COUNTA(条幅!$B$11:$B$310)+COUNTA(条幅4分の1!$B$11:$B$310),INDEX(条幅4分の1!$E$11:$E$310,672-COUNTA(半紙!$B$11:$B$310)-COUNTA(条幅!$B$11:$B$310)),""))))</f>
        <v/>
      </c>
      <c r="F677" s="38" t="str">
        <f>IF(IF(672&lt;=COUNTA(半紙!$B$11:$B$310),INDEX(半紙!$F$11:$F$310,672),IF(672&lt;=COUNTA(半紙!$B$11:$B$310)+COUNTA(条幅!$B$11:$B$310),INDEX(条幅!$F$11:$F$310,672-COUNTA(半紙!$B$11:$B$310)),IF(672&lt;=COUNTA(半紙!$B$11:$B$310)+COUNTA(条幅!$B$11:$B$310)+COUNTA(条幅4分の1!$B$11:$B$310),INDEX(条幅4分の1!$F$11:$F$310,672-COUNTA(半紙!$B$11:$B$310)-COUNTA(条幅!$B$11:$B$310)),"")))=0,"",IF(672&lt;=COUNTA(半紙!$B$11:$B$310),INDEX(半紙!$F$11:$F$310,672),IF(672&lt;=COUNTA(半紙!$B$11:$B$310)+COUNTA(条幅!$B$11:$B$310),INDEX(条幅!$F$11:$F$310,672-COUNTA(半紙!$B$11:$B$310)),IF(672&lt;=COUNTA(半紙!$B$11:$B$310)+COUNTA(条幅!$B$11:$B$310)+COUNTA(条幅4分の1!$B$11:$B$310),INDEX(条幅4分の1!$F$11:$F$310,672-COUNTA(半紙!$B$11:$B$310)-COUNTA(条幅!$B$11:$B$310)),""))))</f>
        <v/>
      </c>
      <c r="G677" s="38" t="str">
        <f>IF(IF(672&lt;=COUNTA(半紙!$B$11:$B$310),INDEX(半紙!$G$11:$G$310,672),IF(672&lt;=COUNTA(半紙!$B$11:$B$310)+COUNTA(条幅!$B$11:$B$310),INDEX(条幅!$G$11:$G$310,672-COUNTA(半紙!$B$11:$B$310)),IF(672&lt;=COUNTA(半紙!$B$11:$B$310)+COUNTA(条幅!$B$11:$B$310)+COUNTA(条幅4分の1!$B$11:$B$310),INDEX(条幅4分の1!$G$11:$G$310,672-COUNTA(半紙!$B$11:$B$310)-COUNTA(条幅!$B$11:$B$310)),"")))=0,"",IF(672&lt;=COUNTA(半紙!$B$11:$B$310),INDEX(半紙!$G$11:$G$310,672),IF(672&lt;=COUNTA(半紙!$B$11:$B$310)+COUNTA(条幅!$B$11:$B$310),INDEX(条幅!$G$11:$G$310,672-COUNTA(半紙!$B$11:$B$310)),IF(672&lt;=COUNTA(半紙!$B$11:$B$310)+COUNTA(条幅!$B$11:$B$310)+COUNTA(条幅4分の1!$B$11:$B$310),INDEX(条幅4分の1!$G$11:$G$310,672-COUNTA(半紙!$B$11:$B$310)-COUNTA(条幅!$B$11:$B$310)),""))))</f>
        <v/>
      </c>
      <c r="H677" s="38" t="str">
        <f>IF(IF(672&lt;=COUNTA(半紙!$B$11:$B$310),INDEX(半紙!$H$11:$H$310,672),IF(672&lt;=COUNTA(半紙!$B$11:$B$310)+COUNTA(条幅!$B$11:$B$310),INDEX(条幅!$H$11:$H$310,672-COUNTA(半紙!$B$11:$B$310)),IF(672&lt;=COUNTA(半紙!$B$11:$B$310)+COUNTA(条幅!$B$11:$B$310)+COUNTA(条幅4分の1!$B$11:$B$310),INDEX(条幅4分の1!$H$11:$H$310,672-COUNTA(半紙!$B$11:$B$310)-COUNTA(条幅!$B$11:$B$310)),"")))=0,"",IF(672&lt;=COUNTA(半紙!$B$11:$B$310),INDEX(半紙!$H$11:$H$310,672),IF(672&lt;=COUNTA(半紙!$B$11:$B$310)+COUNTA(条幅!$B$11:$B$310),INDEX(条幅!$H$11:$H$310,672-COUNTA(半紙!$B$11:$B$310)),IF(672&lt;=COUNTA(半紙!$B$11:$B$310)+COUNTA(条幅!$B$11:$B$310)+COUNTA(条幅4分の1!$B$11:$B$310),INDEX(条幅4分の1!$H$11:$H$310,672-COUNTA(半紙!$B$11:$B$310)-COUNTA(条幅!$B$11:$B$310)),""))))</f>
        <v/>
      </c>
      <c r="I677" s="38" t="str">
        <f>IF(IF(672&lt;=COUNTA(半紙!$B$11:$B$310),INDEX(半紙!$I$11:$I$310,672),IF(672&lt;=COUNTA(半紙!$B$11:$B$310)+COUNTA(条幅!$B$11:$B$310),INDEX(条幅!$I$11:$I$310,672-COUNTA(半紙!$B$11:$B$310)),IF(672&lt;=COUNTA(半紙!$B$11:$B$310)+COUNTA(条幅!$B$11:$B$310)+COUNTA(条幅4分の1!$B$11:$B$310),INDEX(条幅4分の1!$I$11:$I$310,672-COUNTA(半紙!$B$11:$B$310)-COUNTA(条幅!$B$11:$B$310)),"")))=0,"",IF(672&lt;=COUNTA(半紙!$B$11:$B$310),INDEX(半紙!$I$11:$I$310,672),IF(672&lt;=COUNTA(半紙!$B$11:$B$310)+COUNTA(条幅!$B$11:$B$310),INDEX(条幅!$I$11:$I$310,672-COUNTA(半紙!$B$11:$B$310)),IF(672&lt;=COUNTA(半紙!$B$11:$B$310)+COUNTA(条幅!$B$11:$B$310)+COUNTA(条幅4分の1!$B$11:$B$310),INDEX(条幅4分の1!$I$11:$I$310,672-COUNTA(半紙!$B$11:$B$310)-COUNTA(条幅!$B$11:$B$310)),""))))</f>
        <v/>
      </c>
      <c r="J677" s="38" t="str">
        <f>IF(IF(672&lt;=COUNTA(半紙!$B$11:$B$310),INDEX(半紙!$J$11:$J$310,672),IF(672&lt;=COUNTA(半紙!$B$11:$B$310)+COUNTA(条幅!$B$11:$B$310),INDEX(条幅!$J$11:$J$310,672-COUNTA(半紙!$B$11:$B$310)),IF(672&lt;=COUNTA(半紙!$B$11:$B$310)+COUNTA(条幅!$B$11:$B$310)+COUNTA(条幅4分の1!$B$11:$B$310),INDEX(条幅4分の1!$J$11:$J$310,672-COUNTA(半紙!$B$11:$B$310)-COUNTA(条幅!$B$11:$B$310)),"")))=0,"",IF(672&lt;=COUNTA(半紙!$B$11:$B$310),INDEX(半紙!$J$11:$J$310,672),IF(672&lt;=COUNTA(半紙!$B$11:$B$310)+COUNTA(条幅!$B$11:$B$310),INDEX(条幅!$J$11:$J$310,672-COUNTA(半紙!$B$11:$B$310)),IF(672&lt;=COUNTA(半紙!$B$11:$B$310)+COUNTA(条幅!$B$11:$B$310)+COUNTA(条幅4分の1!$B$11:$B$310),INDEX(条幅4分の1!$J$11:$J$310,672-COUNTA(半紙!$B$11:$B$310)-COUNTA(条幅!$B$11:$B$310)),""))))</f>
        <v/>
      </c>
      <c r="K677" s="38" t="str">
        <f>IF(IF(672&lt;=COUNTA(半紙!$B$11:$B$310),INDEX(半紙!$K$11:$K$310,672),IF(672&lt;=COUNTA(半紙!$B$11:$B$310)+COUNTA(条幅!$B$11:$B$310),INDEX(条幅!$K$11:$K$310,672-COUNTA(半紙!$B$11:$B$310)),IF(672&lt;=COUNTA(半紙!$B$11:$B$310)+COUNTA(条幅!$B$11:$B$310)+COUNTA(条幅4分の1!$B$11:$B$310),INDEX(条幅4分の1!$K$11:$K$310,672-COUNTA(半紙!$B$11:$B$310)-COUNTA(条幅!$B$11:$B$310)),"")))=0,"",IF(672&lt;=COUNTA(半紙!$B$11:$B$310),INDEX(半紙!$K$11:$K$310,672),IF(672&lt;=COUNTA(半紙!$B$11:$B$310)+COUNTA(条幅!$B$11:$B$310),INDEX(条幅!$K$11:$K$310,672-COUNTA(半紙!$B$11:$B$310)),IF(672&lt;=COUNTA(半紙!$B$11:$B$310)+COUNTA(条幅!$B$11:$B$310)+COUNTA(条幅4分の1!$B$11:$B$310),INDEX(条幅4分の1!$K$11:$K$310,672-COUNTA(半紙!$B$11:$B$310)-COUNTA(条幅!$B$11:$B$310)),""))))</f>
        <v/>
      </c>
      <c r="L677" s="48" t="str">
        <f>IF($B677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672))</f>
        <v/>
      </c>
    </row>
    <row r="678" spans="1:12" ht="15" customHeight="1">
      <c r="A678" s="37" t="str">
        <f>IF(673&lt;=COUNTA(半紙!$B$11:$B$310),"半紙",IF(673&lt;=COUNTA(半紙!$B$11:$B$310)+COUNTA(条幅!$B$11:$B$310),"条幅(半切)",IF(673&lt;=COUNTA(半紙!$B$11:$B$310)+COUNTA(条幅!$B$11:$B$310)+COUNTA(条幅4分の1!$B$11:$B$310),"条幅(1/4)","")))</f>
        <v/>
      </c>
      <c r="B678" s="38" t="str">
        <f>IF(IF(673&lt;=COUNTA(半紙!$B$11:$B$310),INDEX(半紙!$B$11:$B$310,673),IF(673&lt;=COUNTA(半紙!$B$11:$B$310)+COUNTA(条幅!$B$11:$B$310),INDEX(条幅!$B$11:$B$310,673-COUNTA(半紙!$B$11:$B$310)),IF(673&lt;=COUNTA(半紙!$B$11:$B$310)+COUNTA(条幅!$B$11:$B$310)+COUNTA(条幅4分の1!$B$11:$B$310),INDEX(条幅4分の1!$B$11:$B$310,673-COUNTA(半紙!$B$11:$B$310)-COUNTA(条幅!$B$11:$B$310)),"")))=0,"",IF(673&lt;=COUNTA(半紙!$B$11:$B$310),INDEX(半紙!$B$11:$B$310,673),IF(673&lt;=COUNTA(半紙!$B$11:$B$310)+COUNTA(条幅!$B$11:$B$310),INDEX(条幅!$B$11:$B$310,673-COUNTA(半紙!$B$11:$B$310)),IF(673&lt;=COUNTA(半紙!$B$11:$B$310)+COUNTA(条幅!$B$11:$B$310)+COUNTA(条幅4分の1!$B$11:$B$310),INDEX(条幅4分の1!$B$11:$B$310,673-COUNTA(半紙!$B$11:$B$310)-COUNTA(条幅!$B$11:$B$310)),""))))</f>
        <v/>
      </c>
      <c r="C678" s="38" t="str">
        <f>IF(IF(673&lt;=COUNTA(半紙!$B$11:$B$310),INDEX(半紙!$C$11:$C$310,673),IF(673&lt;=COUNTA(半紙!$B$11:$B$310)+COUNTA(条幅!$B$11:$B$310),INDEX(条幅!$C$11:$C$310,673-COUNTA(半紙!$B$11:$B$310)),IF(673&lt;=COUNTA(半紙!$B$11:$B$310)+COUNTA(条幅!$B$11:$B$310)+COUNTA(条幅4分の1!$B$11:$B$310),INDEX(条幅4分の1!$C$11:$C$310,673-COUNTA(半紙!$B$11:$B$310)-COUNTA(条幅!$B$11:$B$310)),"")))=0,"",IF(673&lt;=COUNTA(半紙!$B$11:$B$310),INDEX(半紙!$C$11:$C$310,673),IF(673&lt;=COUNTA(半紙!$B$11:$B$310)+COUNTA(条幅!$B$11:$B$310),INDEX(条幅!$C$11:$C$310,673-COUNTA(半紙!$B$11:$B$310)),IF(673&lt;=COUNTA(半紙!$B$11:$B$310)+COUNTA(条幅!$B$11:$B$310)+COUNTA(条幅4分の1!$B$11:$B$310),INDEX(条幅4分の1!$C$11:$C$310,673-COUNTA(半紙!$B$11:$B$310)-COUNTA(条幅!$B$11:$B$310)),""))))</f>
        <v/>
      </c>
      <c r="D678" s="38" t="str">
        <f>IF(IF(673&lt;=COUNTA(半紙!$B$11:$B$310),INDEX(半紙!$D$11:$D$310,673),IF(673&lt;=COUNTA(半紙!$B$11:$B$310)+COUNTA(条幅!$B$11:$B$310),INDEX(条幅!$D$11:$D$310,673-COUNTA(半紙!$B$11:$B$310)),IF(673&lt;=COUNTA(半紙!$B$11:$B$310)+COUNTA(条幅!$B$11:$B$310)+COUNTA(条幅4分の1!$B$11:$B$310),INDEX(条幅4分の1!$D$11:$D$310,673-COUNTA(半紙!$B$11:$B$310)-COUNTA(条幅!$B$11:$B$310)),"")))=0,"",IF(673&lt;=COUNTA(半紙!$B$11:$B$310),INDEX(半紙!$D$11:$D$310,673),IF(673&lt;=COUNTA(半紙!$B$11:$B$310)+COUNTA(条幅!$B$11:$B$310),INDEX(条幅!$D$11:$D$310,673-COUNTA(半紙!$B$11:$B$310)),IF(673&lt;=COUNTA(半紙!$B$11:$B$310)+COUNTA(条幅!$B$11:$B$310)+COUNTA(条幅4分の1!$B$11:$B$310),INDEX(条幅4分の1!$D$11:$D$310,673-COUNTA(半紙!$B$11:$B$310)-COUNTA(条幅!$B$11:$B$310)),""))))</f>
        <v/>
      </c>
      <c r="E678" s="38" t="str">
        <f>IF(IF(673&lt;=COUNTA(半紙!$B$11:$B$310),INDEX(半紙!$E$11:$E$310,673),IF(673&lt;=COUNTA(半紙!$B$11:$B$310)+COUNTA(条幅!$B$11:$B$310),INDEX(条幅!$E$11:$E$310,673-COUNTA(半紙!$B$11:$B$310)),IF(673&lt;=COUNTA(半紙!$B$11:$B$310)+COUNTA(条幅!$B$11:$B$310)+COUNTA(条幅4分の1!$B$11:$B$310),INDEX(条幅4分の1!$E$11:$E$310,673-COUNTA(半紙!$B$11:$B$310)-COUNTA(条幅!$B$11:$B$310)),"")))=0,"",IF(673&lt;=COUNTA(半紙!$B$11:$B$310),INDEX(半紙!$E$11:$E$310,673),IF(673&lt;=COUNTA(半紙!$B$11:$B$310)+COUNTA(条幅!$B$11:$B$310),INDEX(条幅!$E$11:$E$310,673-COUNTA(半紙!$B$11:$B$310)),IF(673&lt;=COUNTA(半紙!$B$11:$B$310)+COUNTA(条幅!$B$11:$B$310)+COUNTA(条幅4分の1!$B$11:$B$310),INDEX(条幅4分の1!$E$11:$E$310,673-COUNTA(半紙!$B$11:$B$310)-COUNTA(条幅!$B$11:$B$310)),""))))</f>
        <v/>
      </c>
      <c r="F678" s="38" t="str">
        <f>IF(IF(673&lt;=COUNTA(半紙!$B$11:$B$310),INDEX(半紙!$F$11:$F$310,673),IF(673&lt;=COUNTA(半紙!$B$11:$B$310)+COUNTA(条幅!$B$11:$B$310),INDEX(条幅!$F$11:$F$310,673-COUNTA(半紙!$B$11:$B$310)),IF(673&lt;=COUNTA(半紙!$B$11:$B$310)+COUNTA(条幅!$B$11:$B$310)+COUNTA(条幅4分の1!$B$11:$B$310),INDEX(条幅4分の1!$F$11:$F$310,673-COUNTA(半紙!$B$11:$B$310)-COUNTA(条幅!$B$11:$B$310)),"")))=0,"",IF(673&lt;=COUNTA(半紙!$B$11:$B$310),INDEX(半紙!$F$11:$F$310,673),IF(673&lt;=COUNTA(半紙!$B$11:$B$310)+COUNTA(条幅!$B$11:$B$310),INDEX(条幅!$F$11:$F$310,673-COUNTA(半紙!$B$11:$B$310)),IF(673&lt;=COUNTA(半紙!$B$11:$B$310)+COUNTA(条幅!$B$11:$B$310)+COUNTA(条幅4分の1!$B$11:$B$310),INDEX(条幅4分の1!$F$11:$F$310,673-COUNTA(半紙!$B$11:$B$310)-COUNTA(条幅!$B$11:$B$310)),""))))</f>
        <v/>
      </c>
      <c r="G678" s="38" t="str">
        <f>IF(IF(673&lt;=COUNTA(半紙!$B$11:$B$310),INDEX(半紙!$G$11:$G$310,673),IF(673&lt;=COUNTA(半紙!$B$11:$B$310)+COUNTA(条幅!$B$11:$B$310),INDEX(条幅!$G$11:$G$310,673-COUNTA(半紙!$B$11:$B$310)),IF(673&lt;=COUNTA(半紙!$B$11:$B$310)+COUNTA(条幅!$B$11:$B$310)+COUNTA(条幅4分の1!$B$11:$B$310),INDEX(条幅4分の1!$G$11:$G$310,673-COUNTA(半紙!$B$11:$B$310)-COUNTA(条幅!$B$11:$B$310)),"")))=0,"",IF(673&lt;=COUNTA(半紙!$B$11:$B$310),INDEX(半紙!$G$11:$G$310,673),IF(673&lt;=COUNTA(半紙!$B$11:$B$310)+COUNTA(条幅!$B$11:$B$310),INDEX(条幅!$G$11:$G$310,673-COUNTA(半紙!$B$11:$B$310)),IF(673&lt;=COUNTA(半紙!$B$11:$B$310)+COUNTA(条幅!$B$11:$B$310)+COUNTA(条幅4分の1!$B$11:$B$310),INDEX(条幅4分の1!$G$11:$G$310,673-COUNTA(半紙!$B$11:$B$310)-COUNTA(条幅!$B$11:$B$310)),""))))</f>
        <v/>
      </c>
      <c r="H678" s="38" t="str">
        <f>IF(IF(673&lt;=COUNTA(半紙!$B$11:$B$310),INDEX(半紙!$H$11:$H$310,673),IF(673&lt;=COUNTA(半紙!$B$11:$B$310)+COUNTA(条幅!$B$11:$B$310),INDEX(条幅!$H$11:$H$310,673-COUNTA(半紙!$B$11:$B$310)),IF(673&lt;=COUNTA(半紙!$B$11:$B$310)+COUNTA(条幅!$B$11:$B$310)+COUNTA(条幅4分の1!$B$11:$B$310),INDEX(条幅4分の1!$H$11:$H$310,673-COUNTA(半紙!$B$11:$B$310)-COUNTA(条幅!$B$11:$B$310)),"")))=0,"",IF(673&lt;=COUNTA(半紙!$B$11:$B$310),INDEX(半紙!$H$11:$H$310,673),IF(673&lt;=COUNTA(半紙!$B$11:$B$310)+COUNTA(条幅!$B$11:$B$310),INDEX(条幅!$H$11:$H$310,673-COUNTA(半紙!$B$11:$B$310)),IF(673&lt;=COUNTA(半紙!$B$11:$B$310)+COUNTA(条幅!$B$11:$B$310)+COUNTA(条幅4分の1!$B$11:$B$310),INDEX(条幅4分の1!$H$11:$H$310,673-COUNTA(半紙!$B$11:$B$310)-COUNTA(条幅!$B$11:$B$310)),""))))</f>
        <v/>
      </c>
      <c r="I678" s="38" t="str">
        <f>IF(IF(673&lt;=COUNTA(半紙!$B$11:$B$310),INDEX(半紙!$I$11:$I$310,673),IF(673&lt;=COUNTA(半紙!$B$11:$B$310)+COUNTA(条幅!$B$11:$B$310),INDEX(条幅!$I$11:$I$310,673-COUNTA(半紙!$B$11:$B$310)),IF(673&lt;=COUNTA(半紙!$B$11:$B$310)+COUNTA(条幅!$B$11:$B$310)+COUNTA(条幅4分の1!$B$11:$B$310),INDEX(条幅4分の1!$I$11:$I$310,673-COUNTA(半紙!$B$11:$B$310)-COUNTA(条幅!$B$11:$B$310)),"")))=0,"",IF(673&lt;=COUNTA(半紙!$B$11:$B$310),INDEX(半紙!$I$11:$I$310,673),IF(673&lt;=COUNTA(半紙!$B$11:$B$310)+COUNTA(条幅!$B$11:$B$310),INDEX(条幅!$I$11:$I$310,673-COUNTA(半紙!$B$11:$B$310)),IF(673&lt;=COUNTA(半紙!$B$11:$B$310)+COUNTA(条幅!$B$11:$B$310)+COUNTA(条幅4分の1!$B$11:$B$310),INDEX(条幅4分の1!$I$11:$I$310,673-COUNTA(半紙!$B$11:$B$310)-COUNTA(条幅!$B$11:$B$310)),""))))</f>
        <v/>
      </c>
      <c r="J678" s="38" t="str">
        <f>IF(IF(673&lt;=COUNTA(半紙!$B$11:$B$310),INDEX(半紙!$J$11:$J$310,673),IF(673&lt;=COUNTA(半紙!$B$11:$B$310)+COUNTA(条幅!$B$11:$B$310),INDEX(条幅!$J$11:$J$310,673-COUNTA(半紙!$B$11:$B$310)),IF(673&lt;=COUNTA(半紙!$B$11:$B$310)+COUNTA(条幅!$B$11:$B$310)+COUNTA(条幅4分の1!$B$11:$B$310),INDEX(条幅4分の1!$J$11:$J$310,673-COUNTA(半紙!$B$11:$B$310)-COUNTA(条幅!$B$11:$B$310)),"")))=0,"",IF(673&lt;=COUNTA(半紙!$B$11:$B$310),INDEX(半紙!$J$11:$J$310,673),IF(673&lt;=COUNTA(半紙!$B$11:$B$310)+COUNTA(条幅!$B$11:$B$310),INDEX(条幅!$J$11:$J$310,673-COUNTA(半紙!$B$11:$B$310)),IF(673&lt;=COUNTA(半紙!$B$11:$B$310)+COUNTA(条幅!$B$11:$B$310)+COUNTA(条幅4分の1!$B$11:$B$310),INDEX(条幅4分の1!$J$11:$J$310,673-COUNTA(半紙!$B$11:$B$310)-COUNTA(条幅!$B$11:$B$310)),""))))</f>
        <v/>
      </c>
      <c r="K678" s="38" t="str">
        <f>IF(IF(673&lt;=COUNTA(半紙!$B$11:$B$310),INDEX(半紙!$K$11:$K$310,673),IF(673&lt;=COUNTA(半紙!$B$11:$B$310)+COUNTA(条幅!$B$11:$B$310),INDEX(条幅!$K$11:$K$310,673-COUNTA(半紙!$B$11:$B$310)),IF(673&lt;=COUNTA(半紙!$B$11:$B$310)+COUNTA(条幅!$B$11:$B$310)+COUNTA(条幅4分の1!$B$11:$B$310),INDEX(条幅4分の1!$K$11:$K$310,673-COUNTA(半紙!$B$11:$B$310)-COUNTA(条幅!$B$11:$B$310)),"")))=0,"",IF(673&lt;=COUNTA(半紙!$B$11:$B$310),INDEX(半紙!$K$11:$K$310,673),IF(673&lt;=COUNTA(半紙!$B$11:$B$310)+COUNTA(条幅!$B$11:$B$310),INDEX(条幅!$K$11:$K$310,673-COUNTA(半紙!$B$11:$B$310)),IF(673&lt;=COUNTA(半紙!$B$11:$B$310)+COUNTA(条幅!$B$11:$B$310)+COUNTA(条幅4分の1!$B$11:$B$310),INDEX(条幅4分の1!$K$11:$K$310,673-COUNTA(半紙!$B$11:$B$310)-COUNTA(条幅!$B$11:$B$310)),""))))</f>
        <v/>
      </c>
      <c r="L678" s="48" t="str">
        <f>IF($B678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673))</f>
        <v/>
      </c>
    </row>
    <row r="679" spans="1:12" ht="15" customHeight="1">
      <c r="A679" s="37" t="str">
        <f>IF(674&lt;=COUNTA(半紙!$B$11:$B$310),"半紙",IF(674&lt;=COUNTA(半紙!$B$11:$B$310)+COUNTA(条幅!$B$11:$B$310),"条幅(半切)",IF(674&lt;=COUNTA(半紙!$B$11:$B$310)+COUNTA(条幅!$B$11:$B$310)+COUNTA(条幅4分の1!$B$11:$B$310),"条幅(1/4)","")))</f>
        <v/>
      </c>
      <c r="B679" s="38" t="str">
        <f>IF(IF(674&lt;=COUNTA(半紙!$B$11:$B$310),INDEX(半紙!$B$11:$B$310,674),IF(674&lt;=COUNTA(半紙!$B$11:$B$310)+COUNTA(条幅!$B$11:$B$310),INDEX(条幅!$B$11:$B$310,674-COUNTA(半紙!$B$11:$B$310)),IF(674&lt;=COUNTA(半紙!$B$11:$B$310)+COUNTA(条幅!$B$11:$B$310)+COUNTA(条幅4分の1!$B$11:$B$310),INDEX(条幅4分の1!$B$11:$B$310,674-COUNTA(半紙!$B$11:$B$310)-COUNTA(条幅!$B$11:$B$310)),"")))=0,"",IF(674&lt;=COUNTA(半紙!$B$11:$B$310),INDEX(半紙!$B$11:$B$310,674),IF(674&lt;=COUNTA(半紙!$B$11:$B$310)+COUNTA(条幅!$B$11:$B$310),INDEX(条幅!$B$11:$B$310,674-COUNTA(半紙!$B$11:$B$310)),IF(674&lt;=COUNTA(半紙!$B$11:$B$310)+COUNTA(条幅!$B$11:$B$310)+COUNTA(条幅4分の1!$B$11:$B$310),INDEX(条幅4分の1!$B$11:$B$310,674-COUNTA(半紙!$B$11:$B$310)-COUNTA(条幅!$B$11:$B$310)),""))))</f>
        <v/>
      </c>
      <c r="C679" s="38" t="str">
        <f>IF(IF(674&lt;=COUNTA(半紙!$B$11:$B$310),INDEX(半紙!$C$11:$C$310,674),IF(674&lt;=COUNTA(半紙!$B$11:$B$310)+COUNTA(条幅!$B$11:$B$310),INDEX(条幅!$C$11:$C$310,674-COUNTA(半紙!$B$11:$B$310)),IF(674&lt;=COUNTA(半紙!$B$11:$B$310)+COUNTA(条幅!$B$11:$B$310)+COUNTA(条幅4分の1!$B$11:$B$310),INDEX(条幅4分の1!$C$11:$C$310,674-COUNTA(半紙!$B$11:$B$310)-COUNTA(条幅!$B$11:$B$310)),"")))=0,"",IF(674&lt;=COUNTA(半紙!$B$11:$B$310),INDEX(半紙!$C$11:$C$310,674),IF(674&lt;=COUNTA(半紙!$B$11:$B$310)+COUNTA(条幅!$B$11:$B$310),INDEX(条幅!$C$11:$C$310,674-COUNTA(半紙!$B$11:$B$310)),IF(674&lt;=COUNTA(半紙!$B$11:$B$310)+COUNTA(条幅!$B$11:$B$310)+COUNTA(条幅4分の1!$B$11:$B$310),INDEX(条幅4分の1!$C$11:$C$310,674-COUNTA(半紙!$B$11:$B$310)-COUNTA(条幅!$B$11:$B$310)),""))))</f>
        <v/>
      </c>
      <c r="D679" s="38" t="str">
        <f>IF(IF(674&lt;=COUNTA(半紙!$B$11:$B$310),INDEX(半紙!$D$11:$D$310,674),IF(674&lt;=COUNTA(半紙!$B$11:$B$310)+COUNTA(条幅!$B$11:$B$310),INDEX(条幅!$D$11:$D$310,674-COUNTA(半紙!$B$11:$B$310)),IF(674&lt;=COUNTA(半紙!$B$11:$B$310)+COUNTA(条幅!$B$11:$B$310)+COUNTA(条幅4分の1!$B$11:$B$310),INDEX(条幅4分の1!$D$11:$D$310,674-COUNTA(半紙!$B$11:$B$310)-COUNTA(条幅!$B$11:$B$310)),"")))=0,"",IF(674&lt;=COUNTA(半紙!$B$11:$B$310),INDEX(半紙!$D$11:$D$310,674),IF(674&lt;=COUNTA(半紙!$B$11:$B$310)+COUNTA(条幅!$B$11:$B$310),INDEX(条幅!$D$11:$D$310,674-COUNTA(半紙!$B$11:$B$310)),IF(674&lt;=COUNTA(半紙!$B$11:$B$310)+COUNTA(条幅!$B$11:$B$310)+COUNTA(条幅4分の1!$B$11:$B$310),INDEX(条幅4分の1!$D$11:$D$310,674-COUNTA(半紙!$B$11:$B$310)-COUNTA(条幅!$B$11:$B$310)),""))))</f>
        <v/>
      </c>
      <c r="E679" s="38" t="str">
        <f>IF(IF(674&lt;=COUNTA(半紙!$B$11:$B$310),INDEX(半紙!$E$11:$E$310,674),IF(674&lt;=COUNTA(半紙!$B$11:$B$310)+COUNTA(条幅!$B$11:$B$310),INDEX(条幅!$E$11:$E$310,674-COUNTA(半紙!$B$11:$B$310)),IF(674&lt;=COUNTA(半紙!$B$11:$B$310)+COUNTA(条幅!$B$11:$B$310)+COUNTA(条幅4分の1!$B$11:$B$310),INDEX(条幅4分の1!$E$11:$E$310,674-COUNTA(半紙!$B$11:$B$310)-COUNTA(条幅!$B$11:$B$310)),"")))=0,"",IF(674&lt;=COUNTA(半紙!$B$11:$B$310),INDEX(半紙!$E$11:$E$310,674),IF(674&lt;=COUNTA(半紙!$B$11:$B$310)+COUNTA(条幅!$B$11:$B$310),INDEX(条幅!$E$11:$E$310,674-COUNTA(半紙!$B$11:$B$310)),IF(674&lt;=COUNTA(半紙!$B$11:$B$310)+COUNTA(条幅!$B$11:$B$310)+COUNTA(条幅4分の1!$B$11:$B$310),INDEX(条幅4分の1!$E$11:$E$310,674-COUNTA(半紙!$B$11:$B$310)-COUNTA(条幅!$B$11:$B$310)),""))))</f>
        <v/>
      </c>
      <c r="F679" s="38" t="str">
        <f>IF(IF(674&lt;=COUNTA(半紙!$B$11:$B$310),INDEX(半紙!$F$11:$F$310,674),IF(674&lt;=COUNTA(半紙!$B$11:$B$310)+COUNTA(条幅!$B$11:$B$310),INDEX(条幅!$F$11:$F$310,674-COUNTA(半紙!$B$11:$B$310)),IF(674&lt;=COUNTA(半紙!$B$11:$B$310)+COUNTA(条幅!$B$11:$B$310)+COUNTA(条幅4分の1!$B$11:$B$310),INDEX(条幅4分の1!$F$11:$F$310,674-COUNTA(半紙!$B$11:$B$310)-COUNTA(条幅!$B$11:$B$310)),"")))=0,"",IF(674&lt;=COUNTA(半紙!$B$11:$B$310),INDEX(半紙!$F$11:$F$310,674),IF(674&lt;=COUNTA(半紙!$B$11:$B$310)+COUNTA(条幅!$B$11:$B$310),INDEX(条幅!$F$11:$F$310,674-COUNTA(半紙!$B$11:$B$310)),IF(674&lt;=COUNTA(半紙!$B$11:$B$310)+COUNTA(条幅!$B$11:$B$310)+COUNTA(条幅4分の1!$B$11:$B$310),INDEX(条幅4分の1!$F$11:$F$310,674-COUNTA(半紙!$B$11:$B$310)-COUNTA(条幅!$B$11:$B$310)),""))))</f>
        <v/>
      </c>
      <c r="G679" s="38" t="str">
        <f>IF(IF(674&lt;=COUNTA(半紙!$B$11:$B$310),INDEX(半紙!$G$11:$G$310,674),IF(674&lt;=COUNTA(半紙!$B$11:$B$310)+COUNTA(条幅!$B$11:$B$310),INDEX(条幅!$G$11:$G$310,674-COUNTA(半紙!$B$11:$B$310)),IF(674&lt;=COUNTA(半紙!$B$11:$B$310)+COUNTA(条幅!$B$11:$B$310)+COUNTA(条幅4分の1!$B$11:$B$310),INDEX(条幅4分の1!$G$11:$G$310,674-COUNTA(半紙!$B$11:$B$310)-COUNTA(条幅!$B$11:$B$310)),"")))=0,"",IF(674&lt;=COUNTA(半紙!$B$11:$B$310),INDEX(半紙!$G$11:$G$310,674),IF(674&lt;=COUNTA(半紙!$B$11:$B$310)+COUNTA(条幅!$B$11:$B$310),INDEX(条幅!$G$11:$G$310,674-COUNTA(半紙!$B$11:$B$310)),IF(674&lt;=COUNTA(半紙!$B$11:$B$310)+COUNTA(条幅!$B$11:$B$310)+COUNTA(条幅4分の1!$B$11:$B$310),INDEX(条幅4分の1!$G$11:$G$310,674-COUNTA(半紙!$B$11:$B$310)-COUNTA(条幅!$B$11:$B$310)),""))))</f>
        <v/>
      </c>
      <c r="H679" s="38" t="str">
        <f>IF(IF(674&lt;=COUNTA(半紙!$B$11:$B$310),INDEX(半紙!$H$11:$H$310,674),IF(674&lt;=COUNTA(半紙!$B$11:$B$310)+COUNTA(条幅!$B$11:$B$310),INDEX(条幅!$H$11:$H$310,674-COUNTA(半紙!$B$11:$B$310)),IF(674&lt;=COUNTA(半紙!$B$11:$B$310)+COUNTA(条幅!$B$11:$B$310)+COUNTA(条幅4分の1!$B$11:$B$310),INDEX(条幅4分の1!$H$11:$H$310,674-COUNTA(半紙!$B$11:$B$310)-COUNTA(条幅!$B$11:$B$310)),"")))=0,"",IF(674&lt;=COUNTA(半紙!$B$11:$B$310),INDEX(半紙!$H$11:$H$310,674),IF(674&lt;=COUNTA(半紙!$B$11:$B$310)+COUNTA(条幅!$B$11:$B$310),INDEX(条幅!$H$11:$H$310,674-COUNTA(半紙!$B$11:$B$310)),IF(674&lt;=COUNTA(半紙!$B$11:$B$310)+COUNTA(条幅!$B$11:$B$310)+COUNTA(条幅4分の1!$B$11:$B$310),INDEX(条幅4分の1!$H$11:$H$310,674-COUNTA(半紙!$B$11:$B$310)-COUNTA(条幅!$B$11:$B$310)),""))))</f>
        <v/>
      </c>
      <c r="I679" s="38" t="str">
        <f>IF(IF(674&lt;=COUNTA(半紙!$B$11:$B$310),INDEX(半紙!$I$11:$I$310,674),IF(674&lt;=COUNTA(半紙!$B$11:$B$310)+COUNTA(条幅!$B$11:$B$310),INDEX(条幅!$I$11:$I$310,674-COUNTA(半紙!$B$11:$B$310)),IF(674&lt;=COUNTA(半紙!$B$11:$B$310)+COUNTA(条幅!$B$11:$B$310)+COUNTA(条幅4分の1!$B$11:$B$310),INDEX(条幅4分の1!$I$11:$I$310,674-COUNTA(半紙!$B$11:$B$310)-COUNTA(条幅!$B$11:$B$310)),"")))=0,"",IF(674&lt;=COUNTA(半紙!$B$11:$B$310),INDEX(半紙!$I$11:$I$310,674),IF(674&lt;=COUNTA(半紙!$B$11:$B$310)+COUNTA(条幅!$B$11:$B$310),INDEX(条幅!$I$11:$I$310,674-COUNTA(半紙!$B$11:$B$310)),IF(674&lt;=COUNTA(半紙!$B$11:$B$310)+COUNTA(条幅!$B$11:$B$310)+COUNTA(条幅4分の1!$B$11:$B$310),INDEX(条幅4分の1!$I$11:$I$310,674-COUNTA(半紙!$B$11:$B$310)-COUNTA(条幅!$B$11:$B$310)),""))))</f>
        <v/>
      </c>
      <c r="J679" s="38" t="str">
        <f>IF(IF(674&lt;=COUNTA(半紙!$B$11:$B$310),INDEX(半紙!$J$11:$J$310,674),IF(674&lt;=COUNTA(半紙!$B$11:$B$310)+COUNTA(条幅!$B$11:$B$310),INDEX(条幅!$J$11:$J$310,674-COUNTA(半紙!$B$11:$B$310)),IF(674&lt;=COUNTA(半紙!$B$11:$B$310)+COUNTA(条幅!$B$11:$B$310)+COUNTA(条幅4分の1!$B$11:$B$310),INDEX(条幅4分の1!$J$11:$J$310,674-COUNTA(半紙!$B$11:$B$310)-COUNTA(条幅!$B$11:$B$310)),"")))=0,"",IF(674&lt;=COUNTA(半紙!$B$11:$B$310),INDEX(半紙!$J$11:$J$310,674),IF(674&lt;=COUNTA(半紙!$B$11:$B$310)+COUNTA(条幅!$B$11:$B$310),INDEX(条幅!$J$11:$J$310,674-COUNTA(半紙!$B$11:$B$310)),IF(674&lt;=COUNTA(半紙!$B$11:$B$310)+COUNTA(条幅!$B$11:$B$310)+COUNTA(条幅4分の1!$B$11:$B$310),INDEX(条幅4分の1!$J$11:$J$310,674-COUNTA(半紙!$B$11:$B$310)-COUNTA(条幅!$B$11:$B$310)),""))))</f>
        <v/>
      </c>
      <c r="K679" s="38" t="str">
        <f>IF(IF(674&lt;=COUNTA(半紙!$B$11:$B$310),INDEX(半紙!$K$11:$K$310,674),IF(674&lt;=COUNTA(半紙!$B$11:$B$310)+COUNTA(条幅!$B$11:$B$310),INDEX(条幅!$K$11:$K$310,674-COUNTA(半紙!$B$11:$B$310)),IF(674&lt;=COUNTA(半紙!$B$11:$B$310)+COUNTA(条幅!$B$11:$B$310)+COUNTA(条幅4分の1!$B$11:$B$310),INDEX(条幅4分の1!$K$11:$K$310,674-COUNTA(半紙!$B$11:$B$310)-COUNTA(条幅!$B$11:$B$310)),"")))=0,"",IF(674&lt;=COUNTA(半紙!$B$11:$B$310),INDEX(半紙!$K$11:$K$310,674),IF(674&lt;=COUNTA(半紙!$B$11:$B$310)+COUNTA(条幅!$B$11:$B$310),INDEX(条幅!$K$11:$K$310,674-COUNTA(半紙!$B$11:$B$310)),IF(674&lt;=COUNTA(半紙!$B$11:$B$310)+COUNTA(条幅!$B$11:$B$310)+COUNTA(条幅4分の1!$B$11:$B$310),INDEX(条幅4分の1!$K$11:$K$310,674-COUNTA(半紙!$B$11:$B$310)-COUNTA(条幅!$B$11:$B$310)),""))))</f>
        <v/>
      </c>
      <c r="L679" s="48" t="str">
        <f>IF($B679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674))</f>
        <v/>
      </c>
    </row>
    <row r="680" spans="1:12" ht="15" customHeight="1">
      <c r="A680" s="37" t="str">
        <f>IF(675&lt;=COUNTA(半紙!$B$11:$B$310),"半紙",IF(675&lt;=COUNTA(半紙!$B$11:$B$310)+COUNTA(条幅!$B$11:$B$310),"条幅(半切)",IF(675&lt;=COUNTA(半紙!$B$11:$B$310)+COUNTA(条幅!$B$11:$B$310)+COUNTA(条幅4分の1!$B$11:$B$310),"条幅(1/4)","")))</f>
        <v/>
      </c>
      <c r="B680" s="38" t="str">
        <f>IF(IF(675&lt;=COUNTA(半紙!$B$11:$B$310),INDEX(半紙!$B$11:$B$310,675),IF(675&lt;=COUNTA(半紙!$B$11:$B$310)+COUNTA(条幅!$B$11:$B$310),INDEX(条幅!$B$11:$B$310,675-COUNTA(半紙!$B$11:$B$310)),IF(675&lt;=COUNTA(半紙!$B$11:$B$310)+COUNTA(条幅!$B$11:$B$310)+COUNTA(条幅4分の1!$B$11:$B$310),INDEX(条幅4分の1!$B$11:$B$310,675-COUNTA(半紙!$B$11:$B$310)-COUNTA(条幅!$B$11:$B$310)),"")))=0,"",IF(675&lt;=COUNTA(半紙!$B$11:$B$310),INDEX(半紙!$B$11:$B$310,675),IF(675&lt;=COUNTA(半紙!$B$11:$B$310)+COUNTA(条幅!$B$11:$B$310),INDEX(条幅!$B$11:$B$310,675-COUNTA(半紙!$B$11:$B$310)),IF(675&lt;=COUNTA(半紙!$B$11:$B$310)+COUNTA(条幅!$B$11:$B$310)+COUNTA(条幅4分の1!$B$11:$B$310),INDEX(条幅4分の1!$B$11:$B$310,675-COUNTA(半紙!$B$11:$B$310)-COUNTA(条幅!$B$11:$B$310)),""))))</f>
        <v/>
      </c>
      <c r="C680" s="38" t="str">
        <f>IF(IF(675&lt;=COUNTA(半紙!$B$11:$B$310),INDEX(半紙!$C$11:$C$310,675),IF(675&lt;=COUNTA(半紙!$B$11:$B$310)+COUNTA(条幅!$B$11:$B$310),INDEX(条幅!$C$11:$C$310,675-COUNTA(半紙!$B$11:$B$310)),IF(675&lt;=COUNTA(半紙!$B$11:$B$310)+COUNTA(条幅!$B$11:$B$310)+COUNTA(条幅4分の1!$B$11:$B$310),INDEX(条幅4分の1!$C$11:$C$310,675-COUNTA(半紙!$B$11:$B$310)-COUNTA(条幅!$B$11:$B$310)),"")))=0,"",IF(675&lt;=COUNTA(半紙!$B$11:$B$310),INDEX(半紙!$C$11:$C$310,675),IF(675&lt;=COUNTA(半紙!$B$11:$B$310)+COUNTA(条幅!$B$11:$B$310),INDEX(条幅!$C$11:$C$310,675-COUNTA(半紙!$B$11:$B$310)),IF(675&lt;=COUNTA(半紙!$B$11:$B$310)+COUNTA(条幅!$B$11:$B$310)+COUNTA(条幅4分の1!$B$11:$B$310),INDEX(条幅4分の1!$C$11:$C$310,675-COUNTA(半紙!$B$11:$B$310)-COUNTA(条幅!$B$11:$B$310)),""))))</f>
        <v/>
      </c>
      <c r="D680" s="38" t="str">
        <f>IF(IF(675&lt;=COUNTA(半紙!$B$11:$B$310),INDEX(半紙!$D$11:$D$310,675),IF(675&lt;=COUNTA(半紙!$B$11:$B$310)+COUNTA(条幅!$B$11:$B$310),INDEX(条幅!$D$11:$D$310,675-COUNTA(半紙!$B$11:$B$310)),IF(675&lt;=COUNTA(半紙!$B$11:$B$310)+COUNTA(条幅!$B$11:$B$310)+COUNTA(条幅4分の1!$B$11:$B$310),INDEX(条幅4分の1!$D$11:$D$310,675-COUNTA(半紙!$B$11:$B$310)-COUNTA(条幅!$B$11:$B$310)),"")))=0,"",IF(675&lt;=COUNTA(半紙!$B$11:$B$310),INDEX(半紙!$D$11:$D$310,675),IF(675&lt;=COUNTA(半紙!$B$11:$B$310)+COUNTA(条幅!$B$11:$B$310),INDEX(条幅!$D$11:$D$310,675-COUNTA(半紙!$B$11:$B$310)),IF(675&lt;=COUNTA(半紙!$B$11:$B$310)+COUNTA(条幅!$B$11:$B$310)+COUNTA(条幅4分の1!$B$11:$B$310),INDEX(条幅4分の1!$D$11:$D$310,675-COUNTA(半紙!$B$11:$B$310)-COUNTA(条幅!$B$11:$B$310)),""))))</f>
        <v/>
      </c>
      <c r="E680" s="38" t="str">
        <f>IF(IF(675&lt;=COUNTA(半紙!$B$11:$B$310),INDEX(半紙!$E$11:$E$310,675),IF(675&lt;=COUNTA(半紙!$B$11:$B$310)+COUNTA(条幅!$B$11:$B$310),INDEX(条幅!$E$11:$E$310,675-COUNTA(半紙!$B$11:$B$310)),IF(675&lt;=COUNTA(半紙!$B$11:$B$310)+COUNTA(条幅!$B$11:$B$310)+COUNTA(条幅4分の1!$B$11:$B$310),INDEX(条幅4分の1!$E$11:$E$310,675-COUNTA(半紙!$B$11:$B$310)-COUNTA(条幅!$B$11:$B$310)),"")))=0,"",IF(675&lt;=COUNTA(半紙!$B$11:$B$310),INDEX(半紙!$E$11:$E$310,675),IF(675&lt;=COUNTA(半紙!$B$11:$B$310)+COUNTA(条幅!$B$11:$B$310),INDEX(条幅!$E$11:$E$310,675-COUNTA(半紙!$B$11:$B$310)),IF(675&lt;=COUNTA(半紙!$B$11:$B$310)+COUNTA(条幅!$B$11:$B$310)+COUNTA(条幅4分の1!$B$11:$B$310),INDEX(条幅4分の1!$E$11:$E$310,675-COUNTA(半紙!$B$11:$B$310)-COUNTA(条幅!$B$11:$B$310)),""))))</f>
        <v/>
      </c>
      <c r="F680" s="38" t="str">
        <f>IF(IF(675&lt;=COUNTA(半紙!$B$11:$B$310),INDEX(半紙!$F$11:$F$310,675),IF(675&lt;=COUNTA(半紙!$B$11:$B$310)+COUNTA(条幅!$B$11:$B$310),INDEX(条幅!$F$11:$F$310,675-COUNTA(半紙!$B$11:$B$310)),IF(675&lt;=COUNTA(半紙!$B$11:$B$310)+COUNTA(条幅!$B$11:$B$310)+COUNTA(条幅4分の1!$B$11:$B$310),INDEX(条幅4分の1!$F$11:$F$310,675-COUNTA(半紙!$B$11:$B$310)-COUNTA(条幅!$B$11:$B$310)),"")))=0,"",IF(675&lt;=COUNTA(半紙!$B$11:$B$310),INDEX(半紙!$F$11:$F$310,675),IF(675&lt;=COUNTA(半紙!$B$11:$B$310)+COUNTA(条幅!$B$11:$B$310),INDEX(条幅!$F$11:$F$310,675-COUNTA(半紙!$B$11:$B$310)),IF(675&lt;=COUNTA(半紙!$B$11:$B$310)+COUNTA(条幅!$B$11:$B$310)+COUNTA(条幅4分の1!$B$11:$B$310),INDEX(条幅4分の1!$F$11:$F$310,675-COUNTA(半紙!$B$11:$B$310)-COUNTA(条幅!$B$11:$B$310)),""))))</f>
        <v/>
      </c>
      <c r="G680" s="38" t="str">
        <f>IF(IF(675&lt;=COUNTA(半紙!$B$11:$B$310),INDEX(半紙!$G$11:$G$310,675),IF(675&lt;=COUNTA(半紙!$B$11:$B$310)+COUNTA(条幅!$B$11:$B$310),INDEX(条幅!$G$11:$G$310,675-COUNTA(半紙!$B$11:$B$310)),IF(675&lt;=COUNTA(半紙!$B$11:$B$310)+COUNTA(条幅!$B$11:$B$310)+COUNTA(条幅4分の1!$B$11:$B$310),INDEX(条幅4分の1!$G$11:$G$310,675-COUNTA(半紙!$B$11:$B$310)-COUNTA(条幅!$B$11:$B$310)),"")))=0,"",IF(675&lt;=COUNTA(半紙!$B$11:$B$310),INDEX(半紙!$G$11:$G$310,675),IF(675&lt;=COUNTA(半紙!$B$11:$B$310)+COUNTA(条幅!$B$11:$B$310),INDEX(条幅!$G$11:$G$310,675-COUNTA(半紙!$B$11:$B$310)),IF(675&lt;=COUNTA(半紙!$B$11:$B$310)+COUNTA(条幅!$B$11:$B$310)+COUNTA(条幅4分の1!$B$11:$B$310),INDEX(条幅4分の1!$G$11:$G$310,675-COUNTA(半紙!$B$11:$B$310)-COUNTA(条幅!$B$11:$B$310)),""))))</f>
        <v/>
      </c>
      <c r="H680" s="38" t="str">
        <f>IF(IF(675&lt;=COUNTA(半紙!$B$11:$B$310),INDEX(半紙!$H$11:$H$310,675),IF(675&lt;=COUNTA(半紙!$B$11:$B$310)+COUNTA(条幅!$B$11:$B$310),INDEX(条幅!$H$11:$H$310,675-COUNTA(半紙!$B$11:$B$310)),IF(675&lt;=COUNTA(半紙!$B$11:$B$310)+COUNTA(条幅!$B$11:$B$310)+COUNTA(条幅4分の1!$B$11:$B$310),INDEX(条幅4分の1!$H$11:$H$310,675-COUNTA(半紙!$B$11:$B$310)-COUNTA(条幅!$B$11:$B$310)),"")))=0,"",IF(675&lt;=COUNTA(半紙!$B$11:$B$310),INDEX(半紙!$H$11:$H$310,675),IF(675&lt;=COUNTA(半紙!$B$11:$B$310)+COUNTA(条幅!$B$11:$B$310),INDEX(条幅!$H$11:$H$310,675-COUNTA(半紙!$B$11:$B$310)),IF(675&lt;=COUNTA(半紙!$B$11:$B$310)+COUNTA(条幅!$B$11:$B$310)+COUNTA(条幅4分の1!$B$11:$B$310),INDEX(条幅4分の1!$H$11:$H$310,675-COUNTA(半紙!$B$11:$B$310)-COUNTA(条幅!$B$11:$B$310)),""))))</f>
        <v/>
      </c>
      <c r="I680" s="38" t="str">
        <f>IF(IF(675&lt;=COUNTA(半紙!$B$11:$B$310),INDEX(半紙!$I$11:$I$310,675),IF(675&lt;=COUNTA(半紙!$B$11:$B$310)+COUNTA(条幅!$B$11:$B$310),INDEX(条幅!$I$11:$I$310,675-COUNTA(半紙!$B$11:$B$310)),IF(675&lt;=COUNTA(半紙!$B$11:$B$310)+COUNTA(条幅!$B$11:$B$310)+COUNTA(条幅4分の1!$B$11:$B$310),INDEX(条幅4分の1!$I$11:$I$310,675-COUNTA(半紙!$B$11:$B$310)-COUNTA(条幅!$B$11:$B$310)),"")))=0,"",IF(675&lt;=COUNTA(半紙!$B$11:$B$310),INDEX(半紙!$I$11:$I$310,675),IF(675&lt;=COUNTA(半紙!$B$11:$B$310)+COUNTA(条幅!$B$11:$B$310),INDEX(条幅!$I$11:$I$310,675-COUNTA(半紙!$B$11:$B$310)),IF(675&lt;=COUNTA(半紙!$B$11:$B$310)+COUNTA(条幅!$B$11:$B$310)+COUNTA(条幅4分の1!$B$11:$B$310),INDEX(条幅4分の1!$I$11:$I$310,675-COUNTA(半紙!$B$11:$B$310)-COUNTA(条幅!$B$11:$B$310)),""))))</f>
        <v/>
      </c>
      <c r="J680" s="38" t="str">
        <f>IF(IF(675&lt;=COUNTA(半紙!$B$11:$B$310),INDEX(半紙!$J$11:$J$310,675),IF(675&lt;=COUNTA(半紙!$B$11:$B$310)+COUNTA(条幅!$B$11:$B$310),INDEX(条幅!$J$11:$J$310,675-COUNTA(半紙!$B$11:$B$310)),IF(675&lt;=COUNTA(半紙!$B$11:$B$310)+COUNTA(条幅!$B$11:$B$310)+COUNTA(条幅4分の1!$B$11:$B$310),INDEX(条幅4分の1!$J$11:$J$310,675-COUNTA(半紙!$B$11:$B$310)-COUNTA(条幅!$B$11:$B$310)),"")))=0,"",IF(675&lt;=COUNTA(半紙!$B$11:$B$310),INDEX(半紙!$J$11:$J$310,675),IF(675&lt;=COUNTA(半紙!$B$11:$B$310)+COUNTA(条幅!$B$11:$B$310),INDEX(条幅!$J$11:$J$310,675-COUNTA(半紙!$B$11:$B$310)),IF(675&lt;=COUNTA(半紙!$B$11:$B$310)+COUNTA(条幅!$B$11:$B$310)+COUNTA(条幅4分の1!$B$11:$B$310),INDEX(条幅4分の1!$J$11:$J$310,675-COUNTA(半紙!$B$11:$B$310)-COUNTA(条幅!$B$11:$B$310)),""))))</f>
        <v/>
      </c>
      <c r="K680" s="38" t="str">
        <f>IF(IF(675&lt;=COUNTA(半紙!$B$11:$B$310),INDEX(半紙!$K$11:$K$310,675),IF(675&lt;=COUNTA(半紙!$B$11:$B$310)+COUNTA(条幅!$B$11:$B$310),INDEX(条幅!$K$11:$K$310,675-COUNTA(半紙!$B$11:$B$310)),IF(675&lt;=COUNTA(半紙!$B$11:$B$310)+COUNTA(条幅!$B$11:$B$310)+COUNTA(条幅4分の1!$B$11:$B$310),INDEX(条幅4分の1!$K$11:$K$310,675-COUNTA(半紙!$B$11:$B$310)-COUNTA(条幅!$B$11:$B$310)),"")))=0,"",IF(675&lt;=COUNTA(半紙!$B$11:$B$310),INDEX(半紙!$K$11:$K$310,675),IF(675&lt;=COUNTA(半紙!$B$11:$B$310)+COUNTA(条幅!$B$11:$B$310),INDEX(条幅!$K$11:$K$310,675-COUNTA(半紙!$B$11:$B$310)),IF(675&lt;=COUNTA(半紙!$B$11:$B$310)+COUNTA(条幅!$B$11:$B$310)+COUNTA(条幅4分の1!$B$11:$B$310),INDEX(条幅4分の1!$K$11:$K$310,675-COUNTA(半紙!$B$11:$B$310)-COUNTA(条幅!$B$11:$B$310)),""))))</f>
        <v/>
      </c>
      <c r="L680" s="48" t="str">
        <f>IF($B680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675))</f>
        <v/>
      </c>
    </row>
    <row r="681" spans="1:12" ht="15" customHeight="1">
      <c r="A681" s="37" t="str">
        <f>IF(676&lt;=COUNTA(半紙!$B$11:$B$310),"半紙",IF(676&lt;=COUNTA(半紙!$B$11:$B$310)+COUNTA(条幅!$B$11:$B$310),"条幅(半切)",IF(676&lt;=COUNTA(半紙!$B$11:$B$310)+COUNTA(条幅!$B$11:$B$310)+COUNTA(条幅4分の1!$B$11:$B$310),"条幅(1/4)","")))</f>
        <v/>
      </c>
      <c r="B681" s="38" t="str">
        <f>IF(IF(676&lt;=COUNTA(半紙!$B$11:$B$310),INDEX(半紙!$B$11:$B$310,676),IF(676&lt;=COUNTA(半紙!$B$11:$B$310)+COUNTA(条幅!$B$11:$B$310),INDEX(条幅!$B$11:$B$310,676-COUNTA(半紙!$B$11:$B$310)),IF(676&lt;=COUNTA(半紙!$B$11:$B$310)+COUNTA(条幅!$B$11:$B$310)+COUNTA(条幅4分の1!$B$11:$B$310),INDEX(条幅4分の1!$B$11:$B$310,676-COUNTA(半紙!$B$11:$B$310)-COUNTA(条幅!$B$11:$B$310)),"")))=0,"",IF(676&lt;=COUNTA(半紙!$B$11:$B$310),INDEX(半紙!$B$11:$B$310,676),IF(676&lt;=COUNTA(半紙!$B$11:$B$310)+COUNTA(条幅!$B$11:$B$310),INDEX(条幅!$B$11:$B$310,676-COUNTA(半紙!$B$11:$B$310)),IF(676&lt;=COUNTA(半紙!$B$11:$B$310)+COUNTA(条幅!$B$11:$B$310)+COUNTA(条幅4分の1!$B$11:$B$310),INDEX(条幅4分の1!$B$11:$B$310,676-COUNTA(半紙!$B$11:$B$310)-COUNTA(条幅!$B$11:$B$310)),""))))</f>
        <v/>
      </c>
      <c r="C681" s="38" t="str">
        <f>IF(IF(676&lt;=COUNTA(半紙!$B$11:$B$310),INDEX(半紙!$C$11:$C$310,676),IF(676&lt;=COUNTA(半紙!$B$11:$B$310)+COUNTA(条幅!$B$11:$B$310),INDEX(条幅!$C$11:$C$310,676-COUNTA(半紙!$B$11:$B$310)),IF(676&lt;=COUNTA(半紙!$B$11:$B$310)+COUNTA(条幅!$B$11:$B$310)+COUNTA(条幅4分の1!$B$11:$B$310),INDEX(条幅4分の1!$C$11:$C$310,676-COUNTA(半紙!$B$11:$B$310)-COUNTA(条幅!$B$11:$B$310)),"")))=0,"",IF(676&lt;=COUNTA(半紙!$B$11:$B$310),INDEX(半紙!$C$11:$C$310,676),IF(676&lt;=COUNTA(半紙!$B$11:$B$310)+COUNTA(条幅!$B$11:$B$310),INDEX(条幅!$C$11:$C$310,676-COUNTA(半紙!$B$11:$B$310)),IF(676&lt;=COUNTA(半紙!$B$11:$B$310)+COUNTA(条幅!$B$11:$B$310)+COUNTA(条幅4分の1!$B$11:$B$310),INDEX(条幅4分の1!$C$11:$C$310,676-COUNTA(半紙!$B$11:$B$310)-COUNTA(条幅!$B$11:$B$310)),""))))</f>
        <v/>
      </c>
      <c r="D681" s="38" t="str">
        <f>IF(IF(676&lt;=COUNTA(半紙!$B$11:$B$310),INDEX(半紙!$D$11:$D$310,676),IF(676&lt;=COUNTA(半紙!$B$11:$B$310)+COUNTA(条幅!$B$11:$B$310),INDEX(条幅!$D$11:$D$310,676-COUNTA(半紙!$B$11:$B$310)),IF(676&lt;=COUNTA(半紙!$B$11:$B$310)+COUNTA(条幅!$B$11:$B$310)+COUNTA(条幅4分の1!$B$11:$B$310),INDEX(条幅4分の1!$D$11:$D$310,676-COUNTA(半紙!$B$11:$B$310)-COUNTA(条幅!$B$11:$B$310)),"")))=0,"",IF(676&lt;=COUNTA(半紙!$B$11:$B$310),INDEX(半紙!$D$11:$D$310,676),IF(676&lt;=COUNTA(半紙!$B$11:$B$310)+COUNTA(条幅!$B$11:$B$310),INDEX(条幅!$D$11:$D$310,676-COUNTA(半紙!$B$11:$B$310)),IF(676&lt;=COUNTA(半紙!$B$11:$B$310)+COUNTA(条幅!$B$11:$B$310)+COUNTA(条幅4分の1!$B$11:$B$310),INDEX(条幅4分の1!$D$11:$D$310,676-COUNTA(半紙!$B$11:$B$310)-COUNTA(条幅!$B$11:$B$310)),""))))</f>
        <v/>
      </c>
      <c r="E681" s="38" t="str">
        <f>IF(IF(676&lt;=COUNTA(半紙!$B$11:$B$310),INDEX(半紙!$E$11:$E$310,676),IF(676&lt;=COUNTA(半紙!$B$11:$B$310)+COUNTA(条幅!$B$11:$B$310),INDEX(条幅!$E$11:$E$310,676-COUNTA(半紙!$B$11:$B$310)),IF(676&lt;=COUNTA(半紙!$B$11:$B$310)+COUNTA(条幅!$B$11:$B$310)+COUNTA(条幅4分の1!$B$11:$B$310),INDEX(条幅4分の1!$E$11:$E$310,676-COUNTA(半紙!$B$11:$B$310)-COUNTA(条幅!$B$11:$B$310)),"")))=0,"",IF(676&lt;=COUNTA(半紙!$B$11:$B$310),INDEX(半紙!$E$11:$E$310,676),IF(676&lt;=COUNTA(半紙!$B$11:$B$310)+COUNTA(条幅!$B$11:$B$310),INDEX(条幅!$E$11:$E$310,676-COUNTA(半紙!$B$11:$B$310)),IF(676&lt;=COUNTA(半紙!$B$11:$B$310)+COUNTA(条幅!$B$11:$B$310)+COUNTA(条幅4分の1!$B$11:$B$310),INDEX(条幅4分の1!$E$11:$E$310,676-COUNTA(半紙!$B$11:$B$310)-COUNTA(条幅!$B$11:$B$310)),""))))</f>
        <v/>
      </c>
      <c r="F681" s="38" t="str">
        <f>IF(IF(676&lt;=COUNTA(半紙!$B$11:$B$310),INDEX(半紙!$F$11:$F$310,676),IF(676&lt;=COUNTA(半紙!$B$11:$B$310)+COUNTA(条幅!$B$11:$B$310),INDEX(条幅!$F$11:$F$310,676-COUNTA(半紙!$B$11:$B$310)),IF(676&lt;=COUNTA(半紙!$B$11:$B$310)+COUNTA(条幅!$B$11:$B$310)+COUNTA(条幅4分の1!$B$11:$B$310),INDEX(条幅4分の1!$F$11:$F$310,676-COUNTA(半紙!$B$11:$B$310)-COUNTA(条幅!$B$11:$B$310)),"")))=0,"",IF(676&lt;=COUNTA(半紙!$B$11:$B$310),INDEX(半紙!$F$11:$F$310,676),IF(676&lt;=COUNTA(半紙!$B$11:$B$310)+COUNTA(条幅!$B$11:$B$310),INDEX(条幅!$F$11:$F$310,676-COUNTA(半紙!$B$11:$B$310)),IF(676&lt;=COUNTA(半紙!$B$11:$B$310)+COUNTA(条幅!$B$11:$B$310)+COUNTA(条幅4分の1!$B$11:$B$310),INDEX(条幅4分の1!$F$11:$F$310,676-COUNTA(半紙!$B$11:$B$310)-COUNTA(条幅!$B$11:$B$310)),""))))</f>
        <v/>
      </c>
      <c r="G681" s="38" t="str">
        <f>IF(IF(676&lt;=COUNTA(半紙!$B$11:$B$310),INDEX(半紙!$G$11:$G$310,676),IF(676&lt;=COUNTA(半紙!$B$11:$B$310)+COUNTA(条幅!$B$11:$B$310),INDEX(条幅!$G$11:$G$310,676-COUNTA(半紙!$B$11:$B$310)),IF(676&lt;=COUNTA(半紙!$B$11:$B$310)+COUNTA(条幅!$B$11:$B$310)+COUNTA(条幅4分の1!$B$11:$B$310),INDEX(条幅4分の1!$G$11:$G$310,676-COUNTA(半紙!$B$11:$B$310)-COUNTA(条幅!$B$11:$B$310)),"")))=0,"",IF(676&lt;=COUNTA(半紙!$B$11:$B$310),INDEX(半紙!$G$11:$G$310,676),IF(676&lt;=COUNTA(半紙!$B$11:$B$310)+COUNTA(条幅!$B$11:$B$310),INDEX(条幅!$G$11:$G$310,676-COUNTA(半紙!$B$11:$B$310)),IF(676&lt;=COUNTA(半紙!$B$11:$B$310)+COUNTA(条幅!$B$11:$B$310)+COUNTA(条幅4分の1!$B$11:$B$310),INDEX(条幅4分の1!$G$11:$G$310,676-COUNTA(半紙!$B$11:$B$310)-COUNTA(条幅!$B$11:$B$310)),""))))</f>
        <v/>
      </c>
      <c r="H681" s="38" t="str">
        <f>IF(IF(676&lt;=COUNTA(半紙!$B$11:$B$310),INDEX(半紙!$H$11:$H$310,676),IF(676&lt;=COUNTA(半紙!$B$11:$B$310)+COUNTA(条幅!$B$11:$B$310),INDEX(条幅!$H$11:$H$310,676-COUNTA(半紙!$B$11:$B$310)),IF(676&lt;=COUNTA(半紙!$B$11:$B$310)+COUNTA(条幅!$B$11:$B$310)+COUNTA(条幅4分の1!$B$11:$B$310),INDEX(条幅4分の1!$H$11:$H$310,676-COUNTA(半紙!$B$11:$B$310)-COUNTA(条幅!$B$11:$B$310)),"")))=0,"",IF(676&lt;=COUNTA(半紙!$B$11:$B$310),INDEX(半紙!$H$11:$H$310,676),IF(676&lt;=COUNTA(半紙!$B$11:$B$310)+COUNTA(条幅!$B$11:$B$310),INDEX(条幅!$H$11:$H$310,676-COUNTA(半紙!$B$11:$B$310)),IF(676&lt;=COUNTA(半紙!$B$11:$B$310)+COUNTA(条幅!$B$11:$B$310)+COUNTA(条幅4分の1!$B$11:$B$310),INDEX(条幅4分の1!$H$11:$H$310,676-COUNTA(半紙!$B$11:$B$310)-COUNTA(条幅!$B$11:$B$310)),""))))</f>
        <v/>
      </c>
      <c r="I681" s="38" t="str">
        <f>IF(IF(676&lt;=COUNTA(半紙!$B$11:$B$310),INDEX(半紙!$I$11:$I$310,676),IF(676&lt;=COUNTA(半紙!$B$11:$B$310)+COUNTA(条幅!$B$11:$B$310),INDEX(条幅!$I$11:$I$310,676-COUNTA(半紙!$B$11:$B$310)),IF(676&lt;=COUNTA(半紙!$B$11:$B$310)+COUNTA(条幅!$B$11:$B$310)+COUNTA(条幅4分の1!$B$11:$B$310),INDEX(条幅4分の1!$I$11:$I$310,676-COUNTA(半紙!$B$11:$B$310)-COUNTA(条幅!$B$11:$B$310)),"")))=0,"",IF(676&lt;=COUNTA(半紙!$B$11:$B$310),INDEX(半紙!$I$11:$I$310,676),IF(676&lt;=COUNTA(半紙!$B$11:$B$310)+COUNTA(条幅!$B$11:$B$310),INDEX(条幅!$I$11:$I$310,676-COUNTA(半紙!$B$11:$B$310)),IF(676&lt;=COUNTA(半紙!$B$11:$B$310)+COUNTA(条幅!$B$11:$B$310)+COUNTA(条幅4分の1!$B$11:$B$310),INDEX(条幅4分の1!$I$11:$I$310,676-COUNTA(半紙!$B$11:$B$310)-COUNTA(条幅!$B$11:$B$310)),""))))</f>
        <v/>
      </c>
      <c r="J681" s="38" t="str">
        <f>IF(IF(676&lt;=COUNTA(半紙!$B$11:$B$310),INDEX(半紙!$J$11:$J$310,676),IF(676&lt;=COUNTA(半紙!$B$11:$B$310)+COUNTA(条幅!$B$11:$B$310),INDEX(条幅!$J$11:$J$310,676-COUNTA(半紙!$B$11:$B$310)),IF(676&lt;=COUNTA(半紙!$B$11:$B$310)+COUNTA(条幅!$B$11:$B$310)+COUNTA(条幅4分の1!$B$11:$B$310),INDEX(条幅4分の1!$J$11:$J$310,676-COUNTA(半紙!$B$11:$B$310)-COUNTA(条幅!$B$11:$B$310)),"")))=0,"",IF(676&lt;=COUNTA(半紙!$B$11:$B$310),INDEX(半紙!$J$11:$J$310,676),IF(676&lt;=COUNTA(半紙!$B$11:$B$310)+COUNTA(条幅!$B$11:$B$310),INDEX(条幅!$J$11:$J$310,676-COUNTA(半紙!$B$11:$B$310)),IF(676&lt;=COUNTA(半紙!$B$11:$B$310)+COUNTA(条幅!$B$11:$B$310)+COUNTA(条幅4分の1!$B$11:$B$310),INDEX(条幅4分の1!$J$11:$J$310,676-COUNTA(半紙!$B$11:$B$310)-COUNTA(条幅!$B$11:$B$310)),""))))</f>
        <v/>
      </c>
      <c r="K681" s="38" t="str">
        <f>IF(IF(676&lt;=COUNTA(半紙!$B$11:$B$310),INDEX(半紙!$K$11:$K$310,676),IF(676&lt;=COUNTA(半紙!$B$11:$B$310)+COUNTA(条幅!$B$11:$B$310),INDEX(条幅!$K$11:$K$310,676-COUNTA(半紙!$B$11:$B$310)),IF(676&lt;=COUNTA(半紙!$B$11:$B$310)+COUNTA(条幅!$B$11:$B$310)+COUNTA(条幅4分の1!$B$11:$B$310),INDEX(条幅4分の1!$K$11:$K$310,676-COUNTA(半紙!$B$11:$B$310)-COUNTA(条幅!$B$11:$B$310)),"")))=0,"",IF(676&lt;=COUNTA(半紙!$B$11:$B$310),INDEX(半紙!$K$11:$K$310,676),IF(676&lt;=COUNTA(半紙!$B$11:$B$310)+COUNTA(条幅!$B$11:$B$310),INDEX(条幅!$K$11:$K$310,676-COUNTA(半紙!$B$11:$B$310)),IF(676&lt;=COUNTA(半紙!$B$11:$B$310)+COUNTA(条幅!$B$11:$B$310)+COUNTA(条幅4分の1!$B$11:$B$310),INDEX(条幅4分の1!$K$11:$K$310,676-COUNTA(半紙!$B$11:$B$310)-COUNTA(条幅!$B$11:$B$310)),""))))</f>
        <v/>
      </c>
      <c r="L681" s="48" t="str">
        <f>IF($B681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676))</f>
        <v/>
      </c>
    </row>
    <row r="682" spans="1:12" ht="15" customHeight="1">
      <c r="A682" s="37" t="str">
        <f>IF(677&lt;=COUNTA(半紙!$B$11:$B$310),"半紙",IF(677&lt;=COUNTA(半紙!$B$11:$B$310)+COUNTA(条幅!$B$11:$B$310),"条幅(半切)",IF(677&lt;=COUNTA(半紙!$B$11:$B$310)+COUNTA(条幅!$B$11:$B$310)+COUNTA(条幅4分の1!$B$11:$B$310),"条幅(1/4)","")))</f>
        <v/>
      </c>
      <c r="B682" s="38" t="str">
        <f>IF(IF(677&lt;=COUNTA(半紙!$B$11:$B$310),INDEX(半紙!$B$11:$B$310,677),IF(677&lt;=COUNTA(半紙!$B$11:$B$310)+COUNTA(条幅!$B$11:$B$310),INDEX(条幅!$B$11:$B$310,677-COUNTA(半紙!$B$11:$B$310)),IF(677&lt;=COUNTA(半紙!$B$11:$B$310)+COUNTA(条幅!$B$11:$B$310)+COUNTA(条幅4分の1!$B$11:$B$310),INDEX(条幅4分の1!$B$11:$B$310,677-COUNTA(半紙!$B$11:$B$310)-COUNTA(条幅!$B$11:$B$310)),"")))=0,"",IF(677&lt;=COUNTA(半紙!$B$11:$B$310),INDEX(半紙!$B$11:$B$310,677),IF(677&lt;=COUNTA(半紙!$B$11:$B$310)+COUNTA(条幅!$B$11:$B$310),INDEX(条幅!$B$11:$B$310,677-COUNTA(半紙!$B$11:$B$310)),IF(677&lt;=COUNTA(半紙!$B$11:$B$310)+COUNTA(条幅!$B$11:$B$310)+COUNTA(条幅4分の1!$B$11:$B$310),INDEX(条幅4分の1!$B$11:$B$310,677-COUNTA(半紙!$B$11:$B$310)-COUNTA(条幅!$B$11:$B$310)),""))))</f>
        <v/>
      </c>
      <c r="C682" s="38" t="str">
        <f>IF(IF(677&lt;=COUNTA(半紙!$B$11:$B$310),INDEX(半紙!$C$11:$C$310,677),IF(677&lt;=COUNTA(半紙!$B$11:$B$310)+COUNTA(条幅!$B$11:$B$310),INDEX(条幅!$C$11:$C$310,677-COUNTA(半紙!$B$11:$B$310)),IF(677&lt;=COUNTA(半紙!$B$11:$B$310)+COUNTA(条幅!$B$11:$B$310)+COUNTA(条幅4分の1!$B$11:$B$310),INDEX(条幅4分の1!$C$11:$C$310,677-COUNTA(半紙!$B$11:$B$310)-COUNTA(条幅!$B$11:$B$310)),"")))=0,"",IF(677&lt;=COUNTA(半紙!$B$11:$B$310),INDEX(半紙!$C$11:$C$310,677),IF(677&lt;=COUNTA(半紙!$B$11:$B$310)+COUNTA(条幅!$B$11:$B$310),INDEX(条幅!$C$11:$C$310,677-COUNTA(半紙!$B$11:$B$310)),IF(677&lt;=COUNTA(半紙!$B$11:$B$310)+COUNTA(条幅!$B$11:$B$310)+COUNTA(条幅4分の1!$B$11:$B$310),INDEX(条幅4分の1!$C$11:$C$310,677-COUNTA(半紙!$B$11:$B$310)-COUNTA(条幅!$B$11:$B$310)),""))))</f>
        <v/>
      </c>
      <c r="D682" s="38" t="str">
        <f>IF(IF(677&lt;=COUNTA(半紙!$B$11:$B$310),INDEX(半紙!$D$11:$D$310,677),IF(677&lt;=COUNTA(半紙!$B$11:$B$310)+COUNTA(条幅!$B$11:$B$310),INDEX(条幅!$D$11:$D$310,677-COUNTA(半紙!$B$11:$B$310)),IF(677&lt;=COUNTA(半紙!$B$11:$B$310)+COUNTA(条幅!$B$11:$B$310)+COUNTA(条幅4分の1!$B$11:$B$310),INDEX(条幅4分の1!$D$11:$D$310,677-COUNTA(半紙!$B$11:$B$310)-COUNTA(条幅!$B$11:$B$310)),"")))=0,"",IF(677&lt;=COUNTA(半紙!$B$11:$B$310),INDEX(半紙!$D$11:$D$310,677),IF(677&lt;=COUNTA(半紙!$B$11:$B$310)+COUNTA(条幅!$B$11:$B$310),INDEX(条幅!$D$11:$D$310,677-COUNTA(半紙!$B$11:$B$310)),IF(677&lt;=COUNTA(半紙!$B$11:$B$310)+COUNTA(条幅!$B$11:$B$310)+COUNTA(条幅4分の1!$B$11:$B$310),INDEX(条幅4分の1!$D$11:$D$310,677-COUNTA(半紙!$B$11:$B$310)-COUNTA(条幅!$B$11:$B$310)),""))))</f>
        <v/>
      </c>
      <c r="E682" s="38" t="str">
        <f>IF(IF(677&lt;=COUNTA(半紙!$B$11:$B$310),INDEX(半紙!$E$11:$E$310,677),IF(677&lt;=COUNTA(半紙!$B$11:$B$310)+COUNTA(条幅!$B$11:$B$310),INDEX(条幅!$E$11:$E$310,677-COUNTA(半紙!$B$11:$B$310)),IF(677&lt;=COUNTA(半紙!$B$11:$B$310)+COUNTA(条幅!$B$11:$B$310)+COUNTA(条幅4分の1!$B$11:$B$310),INDEX(条幅4分の1!$E$11:$E$310,677-COUNTA(半紙!$B$11:$B$310)-COUNTA(条幅!$B$11:$B$310)),"")))=0,"",IF(677&lt;=COUNTA(半紙!$B$11:$B$310),INDEX(半紙!$E$11:$E$310,677),IF(677&lt;=COUNTA(半紙!$B$11:$B$310)+COUNTA(条幅!$B$11:$B$310),INDEX(条幅!$E$11:$E$310,677-COUNTA(半紙!$B$11:$B$310)),IF(677&lt;=COUNTA(半紙!$B$11:$B$310)+COUNTA(条幅!$B$11:$B$310)+COUNTA(条幅4分の1!$B$11:$B$310),INDEX(条幅4分の1!$E$11:$E$310,677-COUNTA(半紙!$B$11:$B$310)-COUNTA(条幅!$B$11:$B$310)),""))))</f>
        <v/>
      </c>
      <c r="F682" s="38" t="str">
        <f>IF(IF(677&lt;=COUNTA(半紙!$B$11:$B$310),INDEX(半紙!$F$11:$F$310,677),IF(677&lt;=COUNTA(半紙!$B$11:$B$310)+COUNTA(条幅!$B$11:$B$310),INDEX(条幅!$F$11:$F$310,677-COUNTA(半紙!$B$11:$B$310)),IF(677&lt;=COUNTA(半紙!$B$11:$B$310)+COUNTA(条幅!$B$11:$B$310)+COUNTA(条幅4分の1!$B$11:$B$310),INDEX(条幅4分の1!$F$11:$F$310,677-COUNTA(半紙!$B$11:$B$310)-COUNTA(条幅!$B$11:$B$310)),"")))=0,"",IF(677&lt;=COUNTA(半紙!$B$11:$B$310),INDEX(半紙!$F$11:$F$310,677),IF(677&lt;=COUNTA(半紙!$B$11:$B$310)+COUNTA(条幅!$B$11:$B$310),INDEX(条幅!$F$11:$F$310,677-COUNTA(半紙!$B$11:$B$310)),IF(677&lt;=COUNTA(半紙!$B$11:$B$310)+COUNTA(条幅!$B$11:$B$310)+COUNTA(条幅4分の1!$B$11:$B$310),INDEX(条幅4分の1!$F$11:$F$310,677-COUNTA(半紙!$B$11:$B$310)-COUNTA(条幅!$B$11:$B$310)),""))))</f>
        <v/>
      </c>
      <c r="G682" s="38" t="str">
        <f>IF(IF(677&lt;=COUNTA(半紙!$B$11:$B$310),INDEX(半紙!$G$11:$G$310,677),IF(677&lt;=COUNTA(半紙!$B$11:$B$310)+COUNTA(条幅!$B$11:$B$310),INDEX(条幅!$G$11:$G$310,677-COUNTA(半紙!$B$11:$B$310)),IF(677&lt;=COUNTA(半紙!$B$11:$B$310)+COUNTA(条幅!$B$11:$B$310)+COUNTA(条幅4分の1!$B$11:$B$310),INDEX(条幅4分の1!$G$11:$G$310,677-COUNTA(半紙!$B$11:$B$310)-COUNTA(条幅!$B$11:$B$310)),"")))=0,"",IF(677&lt;=COUNTA(半紙!$B$11:$B$310),INDEX(半紙!$G$11:$G$310,677),IF(677&lt;=COUNTA(半紙!$B$11:$B$310)+COUNTA(条幅!$B$11:$B$310),INDEX(条幅!$G$11:$G$310,677-COUNTA(半紙!$B$11:$B$310)),IF(677&lt;=COUNTA(半紙!$B$11:$B$310)+COUNTA(条幅!$B$11:$B$310)+COUNTA(条幅4分の1!$B$11:$B$310),INDEX(条幅4分の1!$G$11:$G$310,677-COUNTA(半紙!$B$11:$B$310)-COUNTA(条幅!$B$11:$B$310)),""))))</f>
        <v/>
      </c>
      <c r="H682" s="38" t="str">
        <f>IF(IF(677&lt;=COUNTA(半紙!$B$11:$B$310),INDEX(半紙!$H$11:$H$310,677),IF(677&lt;=COUNTA(半紙!$B$11:$B$310)+COUNTA(条幅!$B$11:$B$310),INDEX(条幅!$H$11:$H$310,677-COUNTA(半紙!$B$11:$B$310)),IF(677&lt;=COUNTA(半紙!$B$11:$B$310)+COUNTA(条幅!$B$11:$B$310)+COUNTA(条幅4分の1!$B$11:$B$310),INDEX(条幅4分の1!$H$11:$H$310,677-COUNTA(半紙!$B$11:$B$310)-COUNTA(条幅!$B$11:$B$310)),"")))=0,"",IF(677&lt;=COUNTA(半紙!$B$11:$B$310),INDEX(半紙!$H$11:$H$310,677),IF(677&lt;=COUNTA(半紙!$B$11:$B$310)+COUNTA(条幅!$B$11:$B$310),INDEX(条幅!$H$11:$H$310,677-COUNTA(半紙!$B$11:$B$310)),IF(677&lt;=COUNTA(半紙!$B$11:$B$310)+COUNTA(条幅!$B$11:$B$310)+COUNTA(条幅4分の1!$B$11:$B$310),INDEX(条幅4分の1!$H$11:$H$310,677-COUNTA(半紙!$B$11:$B$310)-COUNTA(条幅!$B$11:$B$310)),""))))</f>
        <v/>
      </c>
      <c r="I682" s="38" t="str">
        <f>IF(IF(677&lt;=COUNTA(半紙!$B$11:$B$310),INDEX(半紙!$I$11:$I$310,677),IF(677&lt;=COUNTA(半紙!$B$11:$B$310)+COUNTA(条幅!$B$11:$B$310),INDEX(条幅!$I$11:$I$310,677-COUNTA(半紙!$B$11:$B$310)),IF(677&lt;=COUNTA(半紙!$B$11:$B$310)+COUNTA(条幅!$B$11:$B$310)+COUNTA(条幅4分の1!$B$11:$B$310),INDEX(条幅4分の1!$I$11:$I$310,677-COUNTA(半紙!$B$11:$B$310)-COUNTA(条幅!$B$11:$B$310)),"")))=0,"",IF(677&lt;=COUNTA(半紙!$B$11:$B$310),INDEX(半紙!$I$11:$I$310,677),IF(677&lt;=COUNTA(半紙!$B$11:$B$310)+COUNTA(条幅!$B$11:$B$310),INDEX(条幅!$I$11:$I$310,677-COUNTA(半紙!$B$11:$B$310)),IF(677&lt;=COUNTA(半紙!$B$11:$B$310)+COUNTA(条幅!$B$11:$B$310)+COUNTA(条幅4分の1!$B$11:$B$310),INDEX(条幅4分の1!$I$11:$I$310,677-COUNTA(半紙!$B$11:$B$310)-COUNTA(条幅!$B$11:$B$310)),""))))</f>
        <v/>
      </c>
      <c r="J682" s="38" t="str">
        <f>IF(IF(677&lt;=COUNTA(半紙!$B$11:$B$310),INDEX(半紙!$J$11:$J$310,677),IF(677&lt;=COUNTA(半紙!$B$11:$B$310)+COUNTA(条幅!$B$11:$B$310),INDEX(条幅!$J$11:$J$310,677-COUNTA(半紙!$B$11:$B$310)),IF(677&lt;=COUNTA(半紙!$B$11:$B$310)+COUNTA(条幅!$B$11:$B$310)+COUNTA(条幅4分の1!$B$11:$B$310),INDEX(条幅4分の1!$J$11:$J$310,677-COUNTA(半紙!$B$11:$B$310)-COUNTA(条幅!$B$11:$B$310)),"")))=0,"",IF(677&lt;=COUNTA(半紙!$B$11:$B$310),INDEX(半紙!$J$11:$J$310,677),IF(677&lt;=COUNTA(半紙!$B$11:$B$310)+COUNTA(条幅!$B$11:$B$310),INDEX(条幅!$J$11:$J$310,677-COUNTA(半紙!$B$11:$B$310)),IF(677&lt;=COUNTA(半紙!$B$11:$B$310)+COUNTA(条幅!$B$11:$B$310)+COUNTA(条幅4分の1!$B$11:$B$310),INDEX(条幅4分の1!$J$11:$J$310,677-COUNTA(半紙!$B$11:$B$310)-COUNTA(条幅!$B$11:$B$310)),""))))</f>
        <v/>
      </c>
      <c r="K682" s="38" t="str">
        <f>IF(IF(677&lt;=COUNTA(半紙!$B$11:$B$310),INDEX(半紙!$K$11:$K$310,677),IF(677&lt;=COUNTA(半紙!$B$11:$B$310)+COUNTA(条幅!$B$11:$B$310),INDEX(条幅!$K$11:$K$310,677-COUNTA(半紙!$B$11:$B$310)),IF(677&lt;=COUNTA(半紙!$B$11:$B$310)+COUNTA(条幅!$B$11:$B$310)+COUNTA(条幅4分の1!$B$11:$B$310),INDEX(条幅4分の1!$K$11:$K$310,677-COUNTA(半紙!$B$11:$B$310)-COUNTA(条幅!$B$11:$B$310)),"")))=0,"",IF(677&lt;=COUNTA(半紙!$B$11:$B$310),INDEX(半紙!$K$11:$K$310,677),IF(677&lt;=COUNTA(半紙!$B$11:$B$310)+COUNTA(条幅!$B$11:$B$310),INDEX(条幅!$K$11:$K$310,677-COUNTA(半紙!$B$11:$B$310)),IF(677&lt;=COUNTA(半紙!$B$11:$B$310)+COUNTA(条幅!$B$11:$B$310)+COUNTA(条幅4分の1!$B$11:$B$310),INDEX(条幅4分の1!$K$11:$K$310,677-COUNTA(半紙!$B$11:$B$310)-COUNTA(条幅!$B$11:$B$310)),""))))</f>
        <v/>
      </c>
      <c r="L682" s="48" t="str">
        <f>IF($B682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677))</f>
        <v/>
      </c>
    </row>
    <row r="683" spans="1:12" ht="15" customHeight="1">
      <c r="A683" s="37" t="str">
        <f>IF(678&lt;=COUNTA(半紙!$B$11:$B$310),"半紙",IF(678&lt;=COUNTA(半紙!$B$11:$B$310)+COUNTA(条幅!$B$11:$B$310),"条幅(半切)",IF(678&lt;=COUNTA(半紙!$B$11:$B$310)+COUNTA(条幅!$B$11:$B$310)+COUNTA(条幅4分の1!$B$11:$B$310),"条幅(1/4)","")))</f>
        <v/>
      </c>
      <c r="B683" s="38" t="str">
        <f>IF(IF(678&lt;=COUNTA(半紙!$B$11:$B$310),INDEX(半紙!$B$11:$B$310,678),IF(678&lt;=COUNTA(半紙!$B$11:$B$310)+COUNTA(条幅!$B$11:$B$310),INDEX(条幅!$B$11:$B$310,678-COUNTA(半紙!$B$11:$B$310)),IF(678&lt;=COUNTA(半紙!$B$11:$B$310)+COUNTA(条幅!$B$11:$B$310)+COUNTA(条幅4分の1!$B$11:$B$310),INDEX(条幅4分の1!$B$11:$B$310,678-COUNTA(半紙!$B$11:$B$310)-COUNTA(条幅!$B$11:$B$310)),"")))=0,"",IF(678&lt;=COUNTA(半紙!$B$11:$B$310),INDEX(半紙!$B$11:$B$310,678),IF(678&lt;=COUNTA(半紙!$B$11:$B$310)+COUNTA(条幅!$B$11:$B$310),INDEX(条幅!$B$11:$B$310,678-COUNTA(半紙!$B$11:$B$310)),IF(678&lt;=COUNTA(半紙!$B$11:$B$310)+COUNTA(条幅!$B$11:$B$310)+COUNTA(条幅4分の1!$B$11:$B$310),INDEX(条幅4分の1!$B$11:$B$310,678-COUNTA(半紙!$B$11:$B$310)-COUNTA(条幅!$B$11:$B$310)),""))))</f>
        <v/>
      </c>
      <c r="C683" s="38" t="str">
        <f>IF(IF(678&lt;=COUNTA(半紙!$B$11:$B$310),INDEX(半紙!$C$11:$C$310,678),IF(678&lt;=COUNTA(半紙!$B$11:$B$310)+COUNTA(条幅!$B$11:$B$310),INDEX(条幅!$C$11:$C$310,678-COUNTA(半紙!$B$11:$B$310)),IF(678&lt;=COUNTA(半紙!$B$11:$B$310)+COUNTA(条幅!$B$11:$B$310)+COUNTA(条幅4分の1!$B$11:$B$310),INDEX(条幅4分の1!$C$11:$C$310,678-COUNTA(半紙!$B$11:$B$310)-COUNTA(条幅!$B$11:$B$310)),"")))=0,"",IF(678&lt;=COUNTA(半紙!$B$11:$B$310),INDEX(半紙!$C$11:$C$310,678),IF(678&lt;=COUNTA(半紙!$B$11:$B$310)+COUNTA(条幅!$B$11:$B$310),INDEX(条幅!$C$11:$C$310,678-COUNTA(半紙!$B$11:$B$310)),IF(678&lt;=COUNTA(半紙!$B$11:$B$310)+COUNTA(条幅!$B$11:$B$310)+COUNTA(条幅4分の1!$B$11:$B$310),INDEX(条幅4分の1!$C$11:$C$310,678-COUNTA(半紙!$B$11:$B$310)-COUNTA(条幅!$B$11:$B$310)),""))))</f>
        <v/>
      </c>
      <c r="D683" s="38" t="str">
        <f>IF(IF(678&lt;=COUNTA(半紙!$B$11:$B$310),INDEX(半紙!$D$11:$D$310,678),IF(678&lt;=COUNTA(半紙!$B$11:$B$310)+COUNTA(条幅!$B$11:$B$310),INDEX(条幅!$D$11:$D$310,678-COUNTA(半紙!$B$11:$B$310)),IF(678&lt;=COUNTA(半紙!$B$11:$B$310)+COUNTA(条幅!$B$11:$B$310)+COUNTA(条幅4分の1!$B$11:$B$310),INDEX(条幅4分の1!$D$11:$D$310,678-COUNTA(半紙!$B$11:$B$310)-COUNTA(条幅!$B$11:$B$310)),"")))=0,"",IF(678&lt;=COUNTA(半紙!$B$11:$B$310),INDEX(半紙!$D$11:$D$310,678),IF(678&lt;=COUNTA(半紙!$B$11:$B$310)+COUNTA(条幅!$B$11:$B$310),INDEX(条幅!$D$11:$D$310,678-COUNTA(半紙!$B$11:$B$310)),IF(678&lt;=COUNTA(半紙!$B$11:$B$310)+COUNTA(条幅!$B$11:$B$310)+COUNTA(条幅4分の1!$B$11:$B$310),INDEX(条幅4分の1!$D$11:$D$310,678-COUNTA(半紙!$B$11:$B$310)-COUNTA(条幅!$B$11:$B$310)),""))))</f>
        <v/>
      </c>
      <c r="E683" s="38" t="str">
        <f>IF(IF(678&lt;=COUNTA(半紙!$B$11:$B$310),INDEX(半紙!$E$11:$E$310,678),IF(678&lt;=COUNTA(半紙!$B$11:$B$310)+COUNTA(条幅!$B$11:$B$310),INDEX(条幅!$E$11:$E$310,678-COUNTA(半紙!$B$11:$B$310)),IF(678&lt;=COUNTA(半紙!$B$11:$B$310)+COUNTA(条幅!$B$11:$B$310)+COUNTA(条幅4分の1!$B$11:$B$310),INDEX(条幅4分の1!$E$11:$E$310,678-COUNTA(半紙!$B$11:$B$310)-COUNTA(条幅!$B$11:$B$310)),"")))=0,"",IF(678&lt;=COUNTA(半紙!$B$11:$B$310),INDEX(半紙!$E$11:$E$310,678),IF(678&lt;=COUNTA(半紙!$B$11:$B$310)+COUNTA(条幅!$B$11:$B$310),INDEX(条幅!$E$11:$E$310,678-COUNTA(半紙!$B$11:$B$310)),IF(678&lt;=COUNTA(半紙!$B$11:$B$310)+COUNTA(条幅!$B$11:$B$310)+COUNTA(条幅4分の1!$B$11:$B$310),INDEX(条幅4分の1!$E$11:$E$310,678-COUNTA(半紙!$B$11:$B$310)-COUNTA(条幅!$B$11:$B$310)),""))))</f>
        <v/>
      </c>
      <c r="F683" s="38" t="str">
        <f>IF(IF(678&lt;=COUNTA(半紙!$B$11:$B$310),INDEX(半紙!$F$11:$F$310,678),IF(678&lt;=COUNTA(半紙!$B$11:$B$310)+COUNTA(条幅!$B$11:$B$310),INDEX(条幅!$F$11:$F$310,678-COUNTA(半紙!$B$11:$B$310)),IF(678&lt;=COUNTA(半紙!$B$11:$B$310)+COUNTA(条幅!$B$11:$B$310)+COUNTA(条幅4分の1!$B$11:$B$310),INDEX(条幅4分の1!$F$11:$F$310,678-COUNTA(半紙!$B$11:$B$310)-COUNTA(条幅!$B$11:$B$310)),"")))=0,"",IF(678&lt;=COUNTA(半紙!$B$11:$B$310),INDEX(半紙!$F$11:$F$310,678),IF(678&lt;=COUNTA(半紙!$B$11:$B$310)+COUNTA(条幅!$B$11:$B$310),INDEX(条幅!$F$11:$F$310,678-COUNTA(半紙!$B$11:$B$310)),IF(678&lt;=COUNTA(半紙!$B$11:$B$310)+COUNTA(条幅!$B$11:$B$310)+COUNTA(条幅4分の1!$B$11:$B$310),INDEX(条幅4分の1!$F$11:$F$310,678-COUNTA(半紙!$B$11:$B$310)-COUNTA(条幅!$B$11:$B$310)),""))))</f>
        <v/>
      </c>
      <c r="G683" s="38" t="str">
        <f>IF(IF(678&lt;=COUNTA(半紙!$B$11:$B$310),INDEX(半紙!$G$11:$G$310,678),IF(678&lt;=COUNTA(半紙!$B$11:$B$310)+COUNTA(条幅!$B$11:$B$310),INDEX(条幅!$G$11:$G$310,678-COUNTA(半紙!$B$11:$B$310)),IF(678&lt;=COUNTA(半紙!$B$11:$B$310)+COUNTA(条幅!$B$11:$B$310)+COUNTA(条幅4分の1!$B$11:$B$310),INDEX(条幅4分の1!$G$11:$G$310,678-COUNTA(半紙!$B$11:$B$310)-COUNTA(条幅!$B$11:$B$310)),"")))=0,"",IF(678&lt;=COUNTA(半紙!$B$11:$B$310),INDEX(半紙!$G$11:$G$310,678),IF(678&lt;=COUNTA(半紙!$B$11:$B$310)+COUNTA(条幅!$B$11:$B$310),INDEX(条幅!$G$11:$G$310,678-COUNTA(半紙!$B$11:$B$310)),IF(678&lt;=COUNTA(半紙!$B$11:$B$310)+COUNTA(条幅!$B$11:$B$310)+COUNTA(条幅4分の1!$B$11:$B$310),INDEX(条幅4分の1!$G$11:$G$310,678-COUNTA(半紙!$B$11:$B$310)-COUNTA(条幅!$B$11:$B$310)),""))))</f>
        <v/>
      </c>
      <c r="H683" s="38" t="str">
        <f>IF(IF(678&lt;=COUNTA(半紙!$B$11:$B$310),INDEX(半紙!$H$11:$H$310,678),IF(678&lt;=COUNTA(半紙!$B$11:$B$310)+COUNTA(条幅!$B$11:$B$310),INDEX(条幅!$H$11:$H$310,678-COUNTA(半紙!$B$11:$B$310)),IF(678&lt;=COUNTA(半紙!$B$11:$B$310)+COUNTA(条幅!$B$11:$B$310)+COUNTA(条幅4分の1!$B$11:$B$310),INDEX(条幅4分の1!$H$11:$H$310,678-COUNTA(半紙!$B$11:$B$310)-COUNTA(条幅!$B$11:$B$310)),"")))=0,"",IF(678&lt;=COUNTA(半紙!$B$11:$B$310),INDEX(半紙!$H$11:$H$310,678),IF(678&lt;=COUNTA(半紙!$B$11:$B$310)+COUNTA(条幅!$B$11:$B$310),INDEX(条幅!$H$11:$H$310,678-COUNTA(半紙!$B$11:$B$310)),IF(678&lt;=COUNTA(半紙!$B$11:$B$310)+COUNTA(条幅!$B$11:$B$310)+COUNTA(条幅4分の1!$B$11:$B$310),INDEX(条幅4分の1!$H$11:$H$310,678-COUNTA(半紙!$B$11:$B$310)-COUNTA(条幅!$B$11:$B$310)),""))))</f>
        <v/>
      </c>
      <c r="I683" s="38" t="str">
        <f>IF(IF(678&lt;=COUNTA(半紙!$B$11:$B$310),INDEX(半紙!$I$11:$I$310,678),IF(678&lt;=COUNTA(半紙!$B$11:$B$310)+COUNTA(条幅!$B$11:$B$310),INDEX(条幅!$I$11:$I$310,678-COUNTA(半紙!$B$11:$B$310)),IF(678&lt;=COUNTA(半紙!$B$11:$B$310)+COUNTA(条幅!$B$11:$B$310)+COUNTA(条幅4分の1!$B$11:$B$310),INDEX(条幅4分の1!$I$11:$I$310,678-COUNTA(半紙!$B$11:$B$310)-COUNTA(条幅!$B$11:$B$310)),"")))=0,"",IF(678&lt;=COUNTA(半紙!$B$11:$B$310),INDEX(半紙!$I$11:$I$310,678),IF(678&lt;=COUNTA(半紙!$B$11:$B$310)+COUNTA(条幅!$B$11:$B$310),INDEX(条幅!$I$11:$I$310,678-COUNTA(半紙!$B$11:$B$310)),IF(678&lt;=COUNTA(半紙!$B$11:$B$310)+COUNTA(条幅!$B$11:$B$310)+COUNTA(条幅4分の1!$B$11:$B$310),INDEX(条幅4分の1!$I$11:$I$310,678-COUNTA(半紙!$B$11:$B$310)-COUNTA(条幅!$B$11:$B$310)),""))))</f>
        <v/>
      </c>
      <c r="J683" s="38" t="str">
        <f>IF(IF(678&lt;=COUNTA(半紙!$B$11:$B$310),INDEX(半紙!$J$11:$J$310,678),IF(678&lt;=COUNTA(半紙!$B$11:$B$310)+COUNTA(条幅!$B$11:$B$310),INDEX(条幅!$J$11:$J$310,678-COUNTA(半紙!$B$11:$B$310)),IF(678&lt;=COUNTA(半紙!$B$11:$B$310)+COUNTA(条幅!$B$11:$B$310)+COUNTA(条幅4分の1!$B$11:$B$310),INDEX(条幅4分の1!$J$11:$J$310,678-COUNTA(半紙!$B$11:$B$310)-COUNTA(条幅!$B$11:$B$310)),"")))=0,"",IF(678&lt;=COUNTA(半紙!$B$11:$B$310),INDEX(半紙!$J$11:$J$310,678),IF(678&lt;=COUNTA(半紙!$B$11:$B$310)+COUNTA(条幅!$B$11:$B$310),INDEX(条幅!$J$11:$J$310,678-COUNTA(半紙!$B$11:$B$310)),IF(678&lt;=COUNTA(半紙!$B$11:$B$310)+COUNTA(条幅!$B$11:$B$310)+COUNTA(条幅4分の1!$B$11:$B$310),INDEX(条幅4分の1!$J$11:$J$310,678-COUNTA(半紙!$B$11:$B$310)-COUNTA(条幅!$B$11:$B$310)),""))))</f>
        <v/>
      </c>
      <c r="K683" s="38" t="str">
        <f>IF(IF(678&lt;=COUNTA(半紙!$B$11:$B$310),INDEX(半紙!$K$11:$K$310,678),IF(678&lt;=COUNTA(半紙!$B$11:$B$310)+COUNTA(条幅!$B$11:$B$310),INDEX(条幅!$K$11:$K$310,678-COUNTA(半紙!$B$11:$B$310)),IF(678&lt;=COUNTA(半紙!$B$11:$B$310)+COUNTA(条幅!$B$11:$B$310)+COUNTA(条幅4分の1!$B$11:$B$310),INDEX(条幅4分の1!$K$11:$K$310,678-COUNTA(半紙!$B$11:$B$310)-COUNTA(条幅!$B$11:$B$310)),"")))=0,"",IF(678&lt;=COUNTA(半紙!$B$11:$B$310),INDEX(半紙!$K$11:$K$310,678),IF(678&lt;=COUNTA(半紙!$B$11:$B$310)+COUNTA(条幅!$B$11:$B$310),INDEX(条幅!$K$11:$K$310,678-COUNTA(半紙!$B$11:$B$310)),IF(678&lt;=COUNTA(半紙!$B$11:$B$310)+COUNTA(条幅!$B$11:$B$310)+COUNTA(条幅4分の1!$B$11:$B$310),INDEX(条幅4分の1!$K$11:$K$310,678-COUNTA(半紙!$B$11:$B$310)-COUNTA(条幅!$B$11:$B$310)),""))))</f>
        <v/>
      </c>
      <c r="L683" s="48" t="str">
        <f>IF($B683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678))</f>
        <v/>
      </c>
    </row>
    <row r="684" spans="1:12" ht="15" customHeight="1">
      <c r="A684" s="37" t="str">
        <f>IF(679&lt;=COUNTA(半紙!$B$11:$B$310),"半紙",IF(679&lt;=COUNTA(半紙!$B$11:$B$310)+COUNTA(条幅!$B$11:$B$310),"条幅(半切)",IF(679&lt;=COUNTA(半紙!$B$11:$B$310)+COUNTA(条幅!$B$11:$B$310)+COUNTA(条幅4分の1!$B$11:$B$310),"条幅(1/4)","")))</f>
        <v/>
      </c>
      <c r="B684" s="38" t="str">
        <f>IF(IF(679&lt;=COUNTA(半紙!$B$11:$B$310),INDEX(半紙!$B$11:$B$310,679),IF(679&lt;=COUNTA(半紙!$B$11:$B$310)+COUNTA(条幅!$B$11:$B$310),INDEX(条幅!$B$11:$B$310,679-COUNTA(半紙!$B$11:$B$310)),IF(679&lt;=COUNTA(半紙!$B$11:$B$310)+COUNTA(条幅!$B$11:$B$310)+COUNTA(条幅4分の1!$B$11:$B$310),INDEX(条幅4分の1!$B$11:$B$310,679-COUNTA(半紙!$B$11:$B$310)-COUNTA(条幅!$B$11:$B$310)),"")))=0,"",IF(679&lt;=COUNTA(半紙!$B$11:$B$310),INDEX(半紙!$B$11:$B$310,679),IF(679&lt;=COUNTA(半紙!$B$11:$B$310)+COUNTA(条幅!$B$11:$B$310),INDEX(条幅!$B$11:$B$310,679-COUNTA(半紙!$B$11:$B$310)),IF(679&lt;=COUNTA(半紙!$B$11:$B$310)+COUNTA(条幅!$B$11:$B$310)+COUNTA(条幅4分の1!$B$11:$B$310),INDEX(条幅4分の1!$B$11:$B$310,679-COUNTA(半紙!$B$11:$B$310)-COUNTA(条幅!$B$11:$B$310)),""))))</f>
        <v/>
      </c>
      <c r="C684" s="38" t="str">
        <f>IF(IF(679&lt;=COUNTA(半紙!$B$11:$B$310),INDEX(半紙!$C$11:$C$310,679),IF(679&lt;=COUNTA(半紙!$B$11:$B$310)+COUNTA(条幅!$B$11:$B$310),INDEX(条幅!$C$11:$C$310,679-COUNTA(半紙!$B$11:$B$310)),IF(679&lt;=COUNTA(半紙!$B$11:$B$310)+COUNTA(条幅!$B$11:$B$310)+COUNTA(条幅4分の1!$B$11:$B$310),INDEX(条幅4分の1!$C$11:$C$310,679-COUNTA(半紙!$B$11:$B$310)-COUNTA(条幅!$B$11:$B$310)),"")))=0,"",IF(679&lt;=COUNTA(半紙!$B$11:$B$310),INDEX(半紙!$C$11:$C$310,679),IF(679&lt;=COUNTA(半紙!$B$11:$B$310)+COUNTA(条幅!$B$11:$B$310),INDEX(条幅!$C$11:$C$310,679-COUNTA(半紙!$B$11:$B$310)),IF(679&lt;=COUNTA(半紙!$B$11:$B$310)+COUNTA(条幅!$B$11:$B$310)+COUNTA(条幅4分の1!$B$11:$B$310),INDEX(条幅4分の1!$C$11:$C$310,679-COUNTA(半紙!$B$11:$B$310)-COUNTA(条幅!$B$11:$B$310)),""))))</f>
        <v/>
      </c>
      <c r="D684" s="38" t="str">
        <f>IF(IF(679&lt;=COUNTA(半紙!$B$11:$B$310),INDEX(半紙!$D$11:$D$310,679),IF(679&lt;=COUNTA(半紙!$B$11:$B$310)+COUNTA(条幅!$B$11:$B$310),INDEX(条幅!$D$11:$D$310,679-COUNTA(半紙!$B$11:$B$310)),IF(679&lt;=COUNTA(半紙!$B$11:$B$310)+COUNTA(条幅!$B$11:$B$310)+COUNTA(条幅4分の1!$B$11:$B$310),INDEX(条幅4分の1!$D$11:$D$310,679-COUNTA(半紙!$B$11:$B$310)-COUNTA(条幅!$B$11:$B$310)),"")))=0,"",IF(679&lt;=COUNTA(半紙!$B$11:$B$310),INDEX(半紙!$D$11:$D$310,679),IF(679&lt;=COUNTA(半紙!$B$11:$B$310)+COUNTA(条幅!$B$11:$B$310),INDEX(条幅!$D$11:$D$310,679-COUNTA(半紙!$B$11:$B$310)),IF(679&lt;=COUNTA(半紙!$B$11:$B$310)+COUNTA(条幅!$B$11:$B$310)+COUNTA(条幅4分の1!$B$11:$B$310),INDEX(条幅4分の1!$D$11:$D$310,679-COUNTA(半紙!$B$11:$B$310)-COUNTA(条幅!$B$11:$B$310)),""))))</f>
        <v/>
      </c>
      <c r="E684" s="38" t="str">
        <f>IF(IF(679&lt;=COUNTA(半紙!$B$11:$B$310),INDEX(半紙!$E$11:$E$310,679),IF(679&lt;=COUNTA(半紙!$B$11:$B$310)+COUNTA(条幅!$B$11:$B$310),INDEX(条幅!$E$11:$E$310,679-COUNTA(半紙!$B$11:$B$310)),IF(679&lt;=COUNTA(半紙!$B$11:$B$310)+COUNTA(条幅!$B$11:$B$310)+COUNTA(条幅4分の1!$B$11:$B$310),INDEX(条幅4分の1!$E$11:$E$310,679-COUNTA(半紙!$B$11:$B$310)-COUNTA(条幅!$B$11:$B$310)),"")))=0,"",IF(679&lt;=COUNTA(半紙!$B$11:$B$310),INDEX(半紙!$E$11:$E$310,679),IF(679&lt;=COUNTA(半紙!$B$11:$B$310)+COUNTA(条幅!$B$11:$B$310),INDEX(条幅!$E$11:$E$310,679-COUNTA(半紙!$B$11:$B$310)),IF(679&lt;=COUNTA(半紙!$B$11:$B$310)+COUNTA(条幅!$B$11:$B$310)+COUNTA(条幅4分の1!$B$11:$B$310),INDEX(条幅4分の1!$E$11:$E$310,679-COUNTA(半紙!$B$11:$B$310)-COUNTA(条幅!$B$11:$B$310)),""))))</f>
        <v/>
      </c>
      <c r="F684" s="38" t="str">
        <f>IF(IF(679&lt;=COUNTA(半紙!$B$11:$B$310),INDEX(半紙!$F$11:$F$310,679),IF(679&lt;=COUNTA(半紙!$B$11:$B$310)+COUNTA(条幅!$B$11:$B$310),INDEX(条幅!$F$11:$F$310,679-COUNTA(半紙!$B$11:$B$310)),IF(679&lt;=COUNTA(半紙!$B$11:$B$310)+COUNTA(条幅!$B$11:$B$310)+COUNTA(条幅4分の1!$B$11:$B$310),INDEX(条幅4分の1!$F$11:$F$310,679-COUNTA(半紙!$B$11:$B$310)-COUNTA(条幅!$B$11:$B$310)),"")))=0,"",IF(679&lt;=COUNTA(半紙!$B$11:$B$310),INDEX(半紙!$F$11:$F$310,679),IF(679&lt;=COUNTA(半紙!$B$11:$B$310)+COUNTA(条幅!$B$11:$B$310),INDEX(条幅!$F$11:$F$310,679-COUNTA(半紙!$B$11:$B$310)),IF(679&lt;=COUNTA(半紙!$B$11:$B$310)+COUNTA(条幅!$B$11:$B$310)+COUNTA(条幅4分の1!$B$11:$B$310),INDEX(条幅4分の1!$F$11:$F$310,679-COUNTA(半紙!$B$11:$B$310)-COUNTA(条幅!$B$11:$B$310)),""))))</f>
        <v/>
      </c>
      <c r="G684" s="38" t="str">
        <f>IF(IF(679&lt;=COUNTA(半紙!$B$11:$B$310),INDEX(半紙!$G$11:$G$310,679),IF(679&lt;=COUNTA(半紙!$B$11:$B$310)+COUNTA(条幅!$B$11:$B$310),INDEX(条幅!$G$11:$G$310,679-COUNTA(半紙!$B$11:$B$310)),IF(679&lt;=COUNTA(半紙!$B$11:$B$310)+COUNTA(条幅!$B$11:$B$310)+COUNTA(条幅4分の1!$B$11:$B$310),INDEX(条幅4分の1!$G$11:$G$310,679-COUNTA(半紙!$B$11:$B$310)-COUNTA(条幅!$B$11:$B$310)),"")))=0,"",IF(679&lt;=COUNTA(半紙!$B$11:$B$310),INDEX(半紙!$G$11:$G$310,679),IF(679&lt;=COUNTA(半紙!$B$11:$B$310)+COUNTA(条幅!$B$11:$B$310),INDEX(条幅!$G$11:$G$310,679-COUNTA(半紙!$B$11:$B$310)),IF(679&lt;=COUNTA(半紙!$B$11:$B$310)+COUNTA(条幅!$B$11:$B$310)+COUNTA(条幅4分の1!$B$11:$B$310),INDEX(条幅4分の1!$G$11:$G$310,679-COUNTA(半紙!$B$11:$B$310)-COUNTA(条幅!$B$11:$B$310)),""))))</f>
        <v/>
      </c>
      <c r="H684" s="38" t="str">
        <f>IF(IF(679&lt;=COUNTA(半紙!$B$11:$B$310),INDEX(半紙!$H$11:$H$310,679),IF(679&lt;=COUNTA(半紙!$B$11:$B$310)+COUNTA(条幅!$B$11:$B$310),INDEX(条幅!$H$11:$H$310,679-COUNTA(半紙!$B$11:$B$310)),IF(679&lt;=COUNTA(半紙!$B$11:$B$310)+COUNTA(条幅!$B$11:$B$310)+COUNTA(条幅4分の1!$B$11:$B$310),INDEX(条幅4分の1!$H$11:$H$310,679-COUNTA(半紙!$B$11:$B$310)-COUNTA(条幅!$B$11:$B$310)),"")))=0,"",IF(679&lt;=COUNTA(半紙!$B$11:$B$310),INDEX(半紙!$H$11:$H$310,679),IF(679&lt;=COUNTA(半紙!$B$11:$B$310)+COUNTA(条幅!$B$11:$B$310),INDEX(条幅!$H$11:$H$310,679-COUNTA(半紙!$B$11:$B$310)),IF(679&lt;=COUNTA(半紙!$B$11:$B$310)+COUNTA(条幅!$B$11:$B$310)+COUNTA(条幅4分の1!$B$11:$B$310),INDEX(条幅4分の1!$H$11:$H$310,679-COUNTA(半紙!$B$11:$B$310)-COUNTA(条幅!$B$11:$B$310)),""))))</f>
        <v/>
      </c>
      <c r="I684" s="38" t="str">
        <f>IF(IF(679&lt;=COUNTA(半紙!$B$11:$B$310),INDEX(半紙!$I$11:$I$310,679),IF(679&lt;=COUNTA(半紙!$B$11:$B$310)+COUNTA(条幅!$B$11:$B$310),INDEX(条幅!$I$11:$I$310,679-COUNTA(半紙!$B$11:$B$310)),IF(679&lt;=COUNTA(半紙!$B$11:$B$310)+COUNTA(条幅!$B$11:$B$310)+COUNTA(条幅4分の1!$B$11:$B$310),INDEX(条幅4分の1!$I$11:$I$310,679-COUNTA(半紙!$B$11:$B$310)-COUNTA(条幅!$B$11:$B$310)),"")))=0,"",IF(679&lt;=COUNTA(半紙!$B$11:$B$310),INDEX(半紙!$I$11:$I$310,679),IF(679&lt;=COUNTA(半紙!$B$11:$B$310)+COUNTA(条幅!$B$11:$B$310),INDEX(条幅!$I$11:$I$310,679-COUNTA(半紙!$B$11:$B$310)),IF(679&lt;=COUNTA(半紙!$B$11:$B$310)+COUNTA(条幅!$B$11:$B$310)+COUNTA(条幅4分の1!$B$11:$B$310),INDEX(条幅4分の1!$I$11:$I$310,679-COUNTA(半紙!$B$11:$B$310)-COUNTA(条幅!$B$11:$B$310)),""))))</f>
        <v/>
      </c>
      <c r="J684" s="38" t="str">
        <f>IF(IF(679&lt;=COUNTA(半紙!$B$11:$B$310),INDEX(半紙!$J$11:$J$310,679),IF(679&lt;=COUNTA(半紙!$B$11:$B$310)+COUNTA(条幅!$B$11:$B$310),INDEX(条幅!$J$11:$J$310,679-COUNTA(半紙!$B$11:$B$310)),IF(679&lt;=COUNTA(半紙!$B$11:$B$310)+COUNTA(条幅!$B$11:$B$310)+COUNTA(条幅4分の1!$B$11:$B$310),INDEX(条幅4分の1!$J$11:$J$310,679-COUNTA(半紙!$B$11:$B$310)-COUNTA(条幅!$B$11:$B$310)),"")))=0,"",IF(679&lt;=COUNTA(半紙!$B$11:$B$310),INDEX(半紙!$J$11:$J$310,679),IF(679&lt;=COUNTA(半紙!$B$11:$B$310)+COUNTA(条幅!$B$11:$B$310),INDEX(条幅!$J$11:$J$310,679-COUNTA(半紙!$B$11:$B$310)),IF(679&lt;=COUNTA(半紙!$B$11:$B$310)+COUNTA(条幅!$B$11:$B$310)+COUNTA(条幅4分の1!$B$11:$B$310),INDEX(条幅4分の1!$J$11:$J$310,679-COUNTA(半紙!$B$11:$B$310)-COUNTA(条幅!$B$11:$B$310)),""))))</f>
        <v/>
      </c>
      <c r="K684" s="38" t="str">
        <f>IF(IF(679&lt;=COUNTA(半紙!$B$11:$B$310),INDEX(半紙!$K$11:$K$310,679),IF(679&lt;=COUNTA(半紙!$B$11:$B$310)+COUNTA(条幅!$B$11:$B$310),INDEX(条幅!$K$11:$K$310,679-COUNTA(半紙!$B$11:$B$310)),IF(679&lt;=COUNTA(半紙!$B$11:$B$310)+COUNTA(条幅!$B$11:$B$310)+COUNTA(条幅4分の1!$B$11:$B$310),INDEX(条幅4分の1!$K$11:$K$310,679-COUNTA(半紙!$B$11:$B$310)-COUNTA(条幅!$B$11:$B$310)),"")))=0,"",IF(679&lt;=COUNTA(半紙!$B$11:$B$310),INDEX(半紙!$K$11:$K$310,679),IF(679&lt;=COUNTA(半紙!$B$11:$B$310)+COUNTA(条幅!$B$11:$B$310),INDEX(条幅!$K$11:$K$310,679-COUNTA(半紙!$B$11:$B$310)),IF(679&lt;=COUNTA(半紙!$B$11:$B$310)+COUNTA(条幅!$B$11:$B$310)+COUNTA(条幅4分の1!$B$11:$B$310),INDEX(条幅4分の1!$K$11:$K$310,679-COUNTA(半紙!$B$11:$B$310)-COUNTA(条幅!$B$11:$B$310)),""))))</f>
        <v/>
      </c>
      <c r="L684" s="48" t="str">
        <f>IF($B684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679))</f>
        <v/>
      </c>
    </row>
    <row r="685" spans="1:12" ht="15" customHeight="1">
      <c r="A685" s="37" t="str">
        <f>IF(680&lt;=COUNTA(半紙!$B$11:$B$310),"半紙",IF(680&lt;=COUNTA(半紙!$B$11:$B$310)+COUNTA(条幅!$B$11:$B$310),"条幅(半切)",IF(680&lt;=COUNTA(半紙!$B$11:$B$310)+COUNTA(条幅!$B$11:$B$310)+COUNTA(条幅4分の1!$B$11:$B$310),"条幅(1/4)","")))</f>
        <v/>
      </c>
      <c r="B685" s="38" t="str">
        <f>IF(IF(680&lt;=COUNTA(半紙!$B$11:$B$310),INDEX(半紙!$B$11:$B$310,680),IF(680&lt;=COUNTA(半紙!$B$11:$B$310)+COUNTA(条幅!$B$11:$B$310),INDEX(条幅!$B$11:$B$310,680-COUNTA(半紙!$B$11:$B$310)),IF(680&lt;=COUNTA(半紙!$B$11:$B$310)+COUNTA(条幅!$B$11:$B$310)+COUNTA(条幅4分の1!$B$11:$B$310),INDEX(条幅4分の1!$B$11:$B$310,680-COUNTA(半紙!$B$11:$B$310)-COUNTA(条幅!$B$11:$B$310)),"")))=0,"",IF(680&lt;=COUNTA(半紙!$B$11:$B$310),INDEX(半紙!$B$11:$B$310,680),IF(680&lt;=COUNTA(半紙!$B$11:$B$310)+COUNTA(条幅!$B$11:$B$310),INDEX(条幅!$B$11:$B$310,680-COUNTA(半紙!$B$11:$B$310)),IF(680&lt;=COUNTA(半紙!$B$11:$B$310)+COUNTA(条幅!$B$11:$B$310)+COUNTA(条幅4分の1!$B$11:$B$310),INDEX(条幅4分の1!$B$11:$B$310,680-COUNTA(半紙!$B$11:$B$310)-COUNTA(条幅!$B$11:$B$310)),""))))</f>
        <v/>
      </c>
      <c r="C685" s="38" t="str">
        <f>IF(IF(680&lt;=COUNTA(半紙!$B$11:$B$310),INDEX(半紙!$C$11:$C$310,680),IF(680&lt;=COUNTA(半紙!$B$11:$B$310)+COUNTA(条幅!$B$11:$B$310),INDEX(条幅!$C$11:$C$310,680-COUNTA(半紙!$B$11:$B$310)),IF(680&lt;=COUNTA(半紙!$B$11:$B$310)+COUNTA(条幅!$B$11:$B$310)+COUNTA(条幅4分の1!$B$11:$B$310),INDEX(条幅4分の1!$C$11:$C$310,680-COUNTA(半紙!$B$11:$B$310)-COUNTA(条幅!$B$11:$B$310)),"")))=0,"",IF(680&lt;=COUNTA(半紙!$B$11:$B$310),INDEX(半紙!$C$11:$C$310,680),IF(680&lt;=COUNTA(半紙!$B$11:$B$310)+COUNTA(条幅!$B$11:$B$310),INDEX(条幅!$C$11:$C$310,680-COUNTA(半紙!$B$11:$B$310)),IF(680&lt;=COUNTA(半紙!$B$11:$B$310)+COUNTA(条幅!$B$11:$B$310)+COUNTA(条幅4分の1!$B$11:$B$310),INDEX(条幅4分の1!$C$11:$C$310,680-COUNTA(半紙!$B$11:$B$310)-COUNTA(条幅!$B$11:$B$310)),""))))</f>
        <v/>
      </c>
      <c r="D685" s="38" t="str">
        <f>IF(IF(680&lt;=COUNTA(半紙!$B$11:$B$310),INDEX(半紙!$D$11:$D$310,680),IF(680&lt;=COUNTA(半紙!$B$11:$B$310)+COUNTA(条幅!$B$11:$B$310),INDEX(条幅!$D$11:$D$310,680-COUNTA(半紙!$B$11:$B$310)),IF(680&lt;=COUNTA(半紙!$B$11:$B$310)+COUNTA(条幅!$B$11:$B$310)+COUNTA(条幅4分の1!$B$11:$B$310),INDEX(条幅4分の1!$D$11:$D$310,680-COUNTA(半紙!$B$11:$B$310)-COUNTA(条幅!$B$11:$B$310)),"")))=0,"",IF(680&lt;=COUNTA(半紙!$B$11:$B$310),INDEX(半紙!$D$11:$D$310,680),IF(680&lt;=COUNTA(半紙!$B$11:$B$310)+COUNTA(条幅!$B$11:$B$310),INDEX(条幅!$D$11:$D$310,680-COUNTA(半紙!$B$11:$B$310)),IF(680&lt;=COUNTA(半紙!$B$11:$B$310)+COUNTA(条幅!$B$11:$B$310)+COUNTA(条幅4分の1!$B$11:$B$310),INDEX(条幅4分の1!$D$11:$D$310,680-COUNTA(半紙!$B$11:$B$310)-COUNTA(条幅!$B$11:$B$310)),""))))</f>
        <v/>
      </c>
      <c r="E685" s="38" t="str">
        <f>IF(IF(680&lt;=COUNTA(半紙!$B$11:$B$310),INDEX(半紙!$E$11:$E$310,680),IF(680&lt;=COUNTA(半紙!$B$11:$B$310)+COUNTA(条幅!$B$11:$B$310),INDEX(条幅!$E$11:$E$310,680-COUNTA(半紙!$B$11:$B$310)),IF(680&lt;=COUNTA(半紙!$B$11:$B$310)+COUNTA(条幅!$B$11:$B$310)+COUNTA(条幅4分の1!$B$11:$B$310),INDEX(条幅4分の1!$E$11:$E$310,680-COUNTA(半紙!$B$11:$B$310)-COUNTA(条幅!$B$11:$B$310)),"")))=0,"",IF(680&lt;=COUNTA(半紙!$B$11:$B$310),INDEX(半紙!$E$11:$E$310,680),IF(680&lt;=COUNTA(半紙!$B$11:$B$310)+COUNTA(条幅!$B$11:$B$310),INDEX(条幅!$E$11:$E$310,680-COUNTA(半紙!$B$11:$B$310)),IF(680&lt;=COUNTA(半紙!$B$11:$B$310)+COUNTA(条幅!$B$11:$B$310)+COUNTA(条幅4分の1!$B$11:$B$310),INDEX(条幅4分の1!$E$11:$E$310,680-COUNTA(半紙!$B$11:$B$310)-COUNTA(条幅!$B$11:$B$310)),""))))</f>
        <v/>
      </c>
      <c r="F685" s="38" t="str">
        <f>IF(IF(680&lt;=COUNTA(半紙!$B$11:$B$310),INDEX(半紙!$F$11:$F$310,680),IF(680&lt;=COUNTA(半紙!$B$11:$B$310)+COUNTA(条幅!$B$11:$B$310),INDEX(条幅!$F$11:$F$310,680-COUNTA(半紙!$B$11:$B$310)),IF(680&lt;=COUNTA(半紙!$B$11:$B$310)+COUNTA(条幅!$B$11:$B$310)+COUNTA(条幅4分の1!$B$11:$B$310),INDEX(条幅4分の1!$F$11:$F$310,680-COUNTA(半紙!$B$11:$B$310)-COUNTA(条幅!$B$11:$B$310)),"")))=0,"",IF(680&lt;=COUNTA(半紙!$B$11:$B$310),INDEX(半紙!$F$11:$F$310,680),IF(680&lt;=COUNTA(半紙!$B$11:$B$310)+COUNTA(条幅!$B$11:$B$310),INDEX(条幅!$F$11:$F$310,680-COUNTA(半紙!$B$11:$B$310)),IF(680&lt;=COUNTA(半紙!$B$11:$B$310)+COUNTA(条幅!$B$11:$B$310)+COUNTA(条幅4分の1!$B$11:$B$310),INDEX(条幅4分の1!$F$11:$F$310,680-COUNTA(半紙!$B$11:$B$310)-COUNTA(条幅!$B$11:$B$310)),""))))</f>
        <v/>
      </c>
      <c r="G685" s="38" t="str">
        <f>IF(IF(680&lt;=COUNTA(半紙!$B$11:$B$310),INDEX(半紙!$G$11:$G$310,680),IF(680&lt;=COUNTA(半紙!$B$11:$B$310)+COUNTA(条幅!$B$11:$B$310),INDEX(条幅!$G$11:$G$310,680-COUNTA(半紙!$B$11:$B$310)),IF(680&lt;=COUNTA(半紙!$B$11:$B$310)+COUNTA(条幅!$B$11:$B$310)+COUNTA(条幅4分の1!$B$11:$B$310),INDEX(条幅4分の1!$G$11:$G$310,680-COUNTA(半紙!$B$11:$B$310)-COUNTA(条幅!$B$11:$B$310)),"")))=0,"",IF(680&lt;=COUNTA(半紙!$B$11:$B$310),INDEX(半紙!$G$11:$G$310,680),IF(680&lt;=COUNTA(半紙!$B$11:$B$310)+COUNTA(条幅!$B$11:$B$310),INDEX(条幅!$G$11:$G$310,680-COUNTA(半紙!$B$11:$B$310)),IF(680&lt;=COUNTA(半紙!$B$11:$B$310)+COUNTA(条幅!$B$11:$B$310)+COUNTA(条幅4分の1!$B$11:$B$310),INDEX(条幅4分の1!$G$11:$G$310,680-COUNTA(半紙!$B$11:$B$310)-COUNTA(条幅!$B$11:$B$310)),""))))</f>
        <v/>
      </c>
      <c r="H685" s="38" t="str">
        <f>IF(IF(680&lt;=COUNTA(半紙!$B$11:$B$310),INDEX(半紙!$H$11:$H$310,680),IF(680&lt;=COUNTA(半紙!$B$11:$B$310)+COUNTA(条幅!$B$11:$B$310),INDEX(条幅!$H$11:$H$310,680-COUNTA(半紙!$B$11:$B$310)),IF(680&lt;=COUNTA(半紙!$B$11:$B$310)+COUNTA(条幅!$B$11:$B$310)+COUNTA(条幅4分の1!$B$11:$B$310),INDEX(条幅4分の1!$H$11:$H$310,680-COUNTA(半紙!$B$11:$B$310)-COUNTA(条幅!$B$11:$B$310)),"")))=0,"",IF(680&lt;=COUNTA(半紙!$B$11:$B$310),INDEX(半紙!$H$11:$H$310,680),IF(680&lt;=COUNTA(半紙!$B$11:$B$310)+COUNTA(条幅!$B$11:$B$310),INDEX(条幅!$H$11:$H$310,680-COUNTA(半紙!$B$11:$B$310)),IF(680&lt;=COUNTA(半紙!$B$11:$B$310)+COUNTA(条幅!$B$11:$B$310)+COUNTA(条幅4分の1!$B$11:$B$310),INDEX(条幅4分の1!$H$11:$H$310,680-COUNTA(半紙!$B$11:$B$310)-COUNTA(条幅!$B$11:$B$310)),""))))</f>
        <v/>
      </c>
      <c r="I685" s="38" t="str">
        <f>IF(IF(680&lt;=COUNTA(半紙!$B$11:$B$310),INDEX(半紙!$I$11:$I$310,680),IF(680&lt;=COUNTA(半紙!$B$11:$B$310)+COUNTA(条幅!$B$11:$B$310),INDEX(条幅!$I$11:$I$310,680-COUNTA(半紙!$B$11:$B$310)),IF(680&lt;=COUNTA(半紙!$B$11:$B$310)+COUNTA(条幅!$B$11:$B$310)+COUNTA(条幅4分の1!$B$11:$B$310),INDEX(条幅4分の1!$I$11:$I$310,680-COUNTA(半紙!$B$11:$B$310)-COUNTA(条幅!$B$11:$B$310)),"")))=0,"",IF(680&lt;=COUNTA(半紙!$B$11:$B$310),INDEX(半紙!$I$11:$I$310,680),IF(680&lt;=COUNTA(半紙!$B$11:$B$310)+COUNTA(条幅!$B$11:$B$310),INDEX(条幅!$I$11:$I$310,680-COUNTA(半紙!$B$11:$B$310)),IF(680&lt;=COUNTA(半紙!$B$11:$B$310)+COUNTA(条幅!$B$11:$B$310)+COUNTA(条幅4分の1!$B$11:$B$310),INDEX(条幅4分の1!$I$11:$I$310,680-COUNTA(半紙!$B$11:$B$310)-COUNTA(条幅!$B$11:$B$310)),""))))</f>
        <v/>
      </c>
      <c r="J685" s="38" t="str">
        <f>IF(IF(680&lt;=COUNTA(半紙!$B$11:$B$310),INDEX(半紙!$J$11:$J$310,680),IF(680&lt;=COUNTA(半紙!$B$11:$B$310)+COUNTA(条幅!$B$11:$B$310),INDEX(条幅!$J$11:$J$310,680-COUNTA(半紙!$B$11:$B$310)),IF(680&lt;=COUNTA(半紙!$B$11:$B$310)+COUNTA(条幅!$B$11:$B$310)+COUNTA(条幅4分の1!$B$11:$B$310),INDEX(条幅4分の1!$J$11:$J$310,680-COUNTA(半紙!$B$11:$B$310)-COUNTA(条幅!$B$11:$B$310)),"")))=0,"",IF(680&lt;=COUNTA(半紙!$B$11:$B$310),INDEX(半紙!$J$11:$J$310,680),IF(680&lt;=COUNTA(半紙!$B$11:$B$310)+COUNTA(条幅!$B$11:$B$310),INDEX(条幅!$J$11:$J$310,680-COUNTA(半紙!$B$11:$B$310)),IF(680&lt;=COUNTA(半紙!$B$11:$B$310)+COUNTA(条幅!$B$11:$B$310)+COUNTA(条幅4分の1!$B$11:$B$310),INDEX(条幅4分の1!$J$11:$J$310,680-COUNTA(半紙!$B$11:$B$310)-COUNTA(条幅!$B$11:$B$310)),""))))</f>
        <v/>
      </c>
      <c r="K685" s="38" t="str">
        <f>IF(IF(680&lt;=COUNTA(半紙!$B$11:$B$310),INDEX(半紙!$K$11:$K$310,680),IF(680&lt;=COUNTA(半紙!$B$11:$B$310)+COUNTA(条幅!$B$11:$B$310),INDEX(条幅!$K$11:$K$310,680-COUNTA(半紙!$B$11:$B$310)),IF(680&lt;=COUNTA(半紙!$B$11:$B$310)+COUNTA(条幅!$B$11:$B$310)+COUNTA(条幅4分の1!$B$11:$B$310),INDEX(条幅4分の1!$K$11:$K$310,680-COUNTA(半紙!$B$11:$B$310)-COUNTA(条幅!$B$11:$B$310)),"")))=0,"",IF(680&lt;=COUNTA(半紙!$B$11:$B$310),INDEX(半紙!$K$11:$K$310,680),IF(680&lt;=COUNTA(半紙!$B$11:$B$310)+COUNTA(条幅!$B$11:$B$310),INDEX(条幅!$K$11:$K$310,680-COUNTA(半紙!$B$11:$B$310)),IF(680&lt;=COUNTA(半紙!$B$11:$B$310)+COUNTA(条幅!$B$11:$B$310)+COUNTA(条幅4分の1!$B$11:$B$310),INDEX(条幅4分の1!$K$11:$K$310,680-COUNTA(半紙!$B$11:$B$310)-COUNTA(条幅!$B$11:$B$310)),""))))</f>
        <v/>
      </c>
      <c r="L685" s="48" t="str">
        <f>IF($B685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680))</f>
        <v/>
      </c>
    </row>
    <row r="686" spans="1:12" ht="15" customHeight="1">
      <c r="A686" s="37" t="str">
        <f>IF(681&lt;=COUNTA(半紙!$B$11:$B$310),"半紙",IF(681&lt;=COUNTA(半紙!$B$11:$B$310)+COUNTA(条幅!$B$11:$B$310),"条幅(半切)",IF(681&lt;=COUNTA(半紙!$B$11:$B$310)+COUNTA(条幅!$B$11:$B$310)+COUNTA(条幅4分の1!$B$11:$B$310),"条幅(1/4)","")))</f>
        <v/>
      </c>
      <c r="B686" s="38" t="str">
        <f>IF(IF(681&lt;=COUNTA(半紙!$B$11:$B$310),INDEX(半紙!$B$11:$B$310,681),IF(681&lt;=COUNTA(半紙!$B$11:$B$310)+COUNTA(条幅!$B$11:$B$310),INDEX(条幅!$B$11:$B$310,681-COUNTA(半紙!$B$11:$B$310)),IF(681&lt;=COUNTA(半紙!$B$11:$B$310)+COUNTA(条幅!$B$11:$B$310)+COUNTA(条幅4分の1!$B$11:$B$310),INDEX(条幅4分の1!$B$11:$B$310,681-COUNTA(半紙!$B$11:$B$310)-COUNTA(条幅!$B$11:$B$310)),"")))=0,"",IF(681&lt;=COUNTA(半紙!$B$11:$B$310),INDEX(半紙!$B$11:$B$310,681),IF(681&lt;=COUNTA(半紙!$B$11:$B$310)+COUNTA(条幅!$B$11:$B$310),INDEX(条幅!$B$11:$B$310,681-COUNTA(半紙!$B$11:$B$310)),IF(681&lt;=COUNTA(半紙!$B$11:$B$310)+COUNTA(条幅!$B$11:$B$310)+COUNTA(条幅4分の1!$B$11:$B$310),INDEX(条幅4分の1!$B$11:$B$310,681-COUNTA(半紙!$B$11:$B$310)-COUNTA(条幅!$B$11:$B$310)),""))))</f>
        <v/>
      </c>
      <c r="C686" s="38" t="str">
        <f>IF(IF(681&lt;=COUNTA(半紙!$B$11:$B$310),INDEX(半紙!$C$11:$C$310,681),IF(681&lt;=COUNTA(半紙!$B$11:$B$310)+COUNTA(条幅!$B$11:$B$310),INDEX(条幅!$C$11:$C$310,681-COUNTA(半紙!$B$11:$B$310)),IF(681&lt;=COUNTA(半紙!$B$11:$B$310)+COUNTA(条幅!$B$11:$B$310)+COUNTA(条幅4分の1!$B$11:$B$310),INDEX(条幅4分の1!$C$11:$C$310,681-COUNTA(半紙!$B$11:$B$310)-COUNTA(条幅!$B$11:$B$310)),"")))=0,"",IF(681&lt;=COUNTA(半紙!$B$11:$B$310),INDEX(半紙!$C$11:$C$310,681),IF(681&lt;=COUNTA(半紙!$B$11:$B$310)+COUNTA(条幅!$B$11:$B$310),INDEX(条幅!$C$11:$C$310,681-COUNTA(半紙!$B$11:$B$310)),IF(681&lt;=COUNTA(半紙!$B$11:$B$310)+COUNTA(条幅!$B$11:$B$310)+COUNTA(条幅4分の1!$B$11:$B$310),INDEX(条幅4分の1!$C$11:$C$310,681-COUNTA(半紙!$B$11:$B$310)-COUNTA(条幅!$B$11:$B$310)),""))))</f>
        <v/>
      </c>
      <c r="D686" s="38" t="str">
        <f>IF(IF(681&lt;=COUNTA(半紙!$B$11:$B$310),INDEX(半紙!$D$11:$D$310,681),IF(681&lt;=COUNTA(半紙!$B$11:$B$310)+COUNTA(条幅!$B$11:$B$310),INDEX(条幅!$D$11:$D$310,681-COUNTA(半紙!$B$11:$B$310)),IF(681&lt;=COUNTA(半紙!$B$11:$B$310)+COUNTA(条幅!$B$11:$B$310)+COUNTA(条幅4分の1!$B$11:$B$310),INDEX(条幅4分の1!$D$11:$D$310,681-COUNTA(半紙!$B$11:$B$310)-COUNTA(条幅!$B$11:$B$310)),"")))=0,"",IF(681&lt;=COUNTA(半紙!$B$11:$B$310),INDEX(半紙!$D$11:$D$310,681),IF(681&lt;=COUNTA(半紙!$B$11:$B$310)+COUNTA(条幅!$B$11:$B$310),INDEX(条幅!$D$11:$D$310,681-COUNTA(半紙!$B$11:$B$310)),IF(681&lt;=COUNTA(半紙!$B$11:$B$310)+COUNTA(条幅!$B$11:$B$310)+COUNTA(条幅4分の1!$B$11:$B$310),INDEX(条幅4分の1!$D$11:$D$310,681-COUNTA(半紙!$B$11:$B$310)-COUNTA(条幅!$B$11:$B$310)),""))))</f>
        <v/>
      </c>
      <c r="E686" s="38" t="str">
        <f>IF(IF(681&lt;=COUNTA(半紙!$B$11:$B$310),INDEX(半紙!$E$11:$E$310,681),IF(681&lt;=COUNTA(半紙!$B$11:$B$310)+COUNTA(条幅!$B$11:$B$310),INDEX(条幅!$E$11:$E$310,681-COUNTA(半紙!$B$11:$B$310)),IF(681&lt;=COUNTA(半紙!$B$11:$B$310)+COUNTA(条幅!$B$11:$B$310)+COUNTA(条幅4分の1!$B$11:$B$310),INDEX(条幅4分の1!$E$11:$E$310,681-COUNTA(半紙!$B$11:$B$310)-COUNTA(条幅!$B$11:$B$310)),"")))=0,"",IF(681&lt;=COUNTA(半紙!$B$11:$B$310),INDEX(半紙!$E$11:$E$310,681),IF(681&lt;=COUNTA(半紙!$B$11:$B$310)+COUNTA(条幅!$B$11:$B$310),INDEX(条幅!$E$11:$E$310,681-COUNTA(半紙!$B$11:$B$310)),IF(681&lt;=COUNTA(半紙!$B$11:$B$310)+COUNTA(条幅!$B$11:$B$310)+COUNTA(条幅4分の1!$B$11:$B$310),INDEX(条幅4分の1!$E$11:$E$310,681-COUNTA(半紙!$B$11:$B$310)-COUNTA(条幅!$B$11:$B$310)),""))))</f>
        <v/>
      </c>
      <c r="F686" s="38" t="str">
        <f>IF(IF(681&lt;=COUNTA(半紙!$B$11:$B$310),INDEX(半紙!$F$11:$F$310,681),IF(681&lt;=COUNTA(半紙!$B$11:$B$310)+COUNTA(条幅!$B$11:$B$310),INDEX(条幅!$F$11:$F$310,681-COUNTA(半紙!$B$11:$B$310)),IF(681&lt;=COUNTA(半紙!$B$11:$B$310)+COUNTA(条幅!$B$11:$B$310)+COUNTA(条幅4分の1!$B$11:$B$310),INDEX(条幅4分の1!$F$11:$F$310,681-COUNTA(半紙!$B$11:$B$310)-COUNTA(条幅!$B$11:$B$310)),"")))=0,"",IF(681&lt;=COUNTA(半紙!$B$11:$B$310),INDEX(半紙!$F$11:$F$310,681),IF(681&lt;=COUNTA(半紙!$B$11:$B$310)+COUNTA(条幅!$B$11:$B$310),INDEX(条幅!$F$11:$F$310,681-COUNTA(半紙!$B$11:$B$310)),IF(681&lt;=COUNTA(半紙!$B$11:$B$310)+COUNTA(条幅!$B$11:$B$310)+COUNTA(条幅4分の1!$B$11:$B$310),INDEX(条幅4分の1!$F$11:$F$310,681-COUNTA(半紙!$B$11:$B$310)-COUNTA(条幅!$B$11:$B$310)),""))))</f>
        <v/>
      </c>
      <c r="G686" s="38" t="str">
        <f>IF(IF(681&lt;=COUNTA(半紙!$B$11:$B$310),INDEX(半紙!$G$11:$G$310,681),IF(681&lt;=COUNTA(半紙!$B$11:$B$310)+COUNTA(条幅!$B$11:$B$310),INDEX(条幅!$G$11:$G$310,681-COUNTA(半紙!$B$11:$B$310)),IF(681&lt;=COUNTA(半紙!$B$11:$B$310)+COUNTA(条幅!$B$11:$B$310)+COUNTA(条幅4分の1!$B$11:$B$310),INDEX(条幅4分の1!$G$11:$G$310,681-COUNTA(半紙!$B$11:$B$310)-COUNTA(条幅!$B$11:$B$310)),"")))=0,"",IF(681&lt;=COUNTA(半紙!$B$11:$B$310),INDEX(半紙!$G$11:$G$310,681),IF(681&lt;=COUNTA(半紙!$B$11:$B$310)+COUNTA(条幅!$B$11:$B$310),INDEX(条幅!$G$11:$G$310,681-COUNTA(半紙!$B$11:$B$310)),IF(681&lt;=COUNTA(半紙!$B$11:$B$310)+COUNTA(条幅!$B$11:$B$310)+COUNTA(条幅4分の1!$B$11:$B$310),INDEX(条幅4分の1!$G$11:$G$310,681-COUNTA(半紙!$B$11:$B$310)-COUNTA(条幅!$B$11:$B$310)),""))))</f>
        <v/>
      </c>
      <c r="H686" s="38" t="str">
        <f>IF(IF(681&lt;=COUNTA(半紙!$B$11:$B$310),INDEX(半紙!$H$11:$H$310,681),IF(681&lt;=COUNTA(半紙!$B$11:$B$310)+COUNTA(条幅!$B$11:$B$310),INDEX(条幅!$H$11:$H$310,681-COUNTA(半紙!$B$11:$B$310)),IF(681&lt;=COUNTA(半紙!$B$11:$B$310)+COUNTA(条幅!$B$11:$B$310)+COUNTA(条幅4分の1!$B$11:$B$310),INDEX(条幅4分の1!$H$11:$H$310,681-COUNTA(半紙!$B$11:$B$310)-COUNTA(条幅!$B$11:$B$310)),"")))=0,"",IF(681&lt;=COUNTA(半紙!$B$11:$B$310),INDEX(半紙!$H$11:$H$310,681),IF(681&lt;=COUNTA(半紙!$B$11:$B$310)+COUNTA(条幅!$B$11:$B$310),INDEX(条幅!$H$11:$H$310,681-COUNTA(半紙!$B$11:$B$310)),IF(681&lt;=COUNTA(半紙!$B$11:$B$310)+COUNTA(条幅!$B$11:$B$310)+COUNTA(条幅4分の1!$B$11:$B$310),INDEX(条幅4分の1!$H$11:$H$310,681-COUNTA(半紙!$B$11:$B$310)-COUNTA(条幅!$B$11:$B$310)),""))))</f>
        <v/>
      </c>
      <c r="I686" s="38" t="str">
        <f>IF(IF(681&lt;=COUNTA(半紙!$B$11:$B$310),INDEX(半紙!$I$11:$I$310,681),IF(681&lt;=COUNTA(半紙!$B$11:$B$310)+COUNTA(条幅!$B$11:$B$310),INDEX(条幅!$I$11:$I$310,681-COUNTA(半紙!$B$11:$B$310)),IF(681&lt;=COUNTA(半紙!$B$11:$B$310)+COUNTA(条幅!$B$11:$B$310)+COUNTA(条幅4分の1!$B$11:$B$310),INDEX(条幅4分の1!$I$11:$I$310,681-COUNTA(半紙!$B$11:$B$310)-COUNTA(条幅!$B$11:$B$310)),"")))=0,"",IF(681&lt;=COUNTA(半紙!$B$11:$B$310),INDEX(半紙!$I$11:$I$310,681),IF(681&lt;=COUNTA(半紙!$B$11:$B$310)+COUNTA(条幅!$B$11:$B$310),INDEX(条幅!$I$11:$I$310,681-COUNTA(半紙!$B$11:$B$310)),IF(681&lt;=COUNTA(半紙!$B$11:$B$310)+COUNTA(条幅!$B$11:$B$310)+COUNTA(条幅4分の1!$B$11:$B$310),INDEX(条幅4分の1!$I$11:$I$310,681-COUNTA(半紙!$B$11:$B$310)-COUNTA(条幅!$B$11:$B$310)),""))))</f>
        <v/>
      </c>
      <c r="J686" s="38" t="str">
        <f>IF(IF(681&lt;=COUNTA(半紙!$B$11:$B$310),INDEX(半紙!$J$11:$J$310,681),IF(681&lt;=COUNTA(半紙!$B$11:$B$310)+COUNTA(条幅!$B$11:$B$310),INDEX(条幅!$J$11:$J$310,681-COUNTA(半紙!$B$11:$B$310)),IF(681&lt;=COUNTA(半紙!$B$11:$B$310)+COUNTA(条幅!$B$11:$B$310)+COUNTA(条幅4分の1!$B$11:$B$310),INDEX(条幅4分の1!$J$11:$J$310,681-COUNTA(半紙!$B$11:$B$310)-COUNTA(条幅!$B$11:$B$310)),"")))=0,"",IF(681&lt;=COUNTA(半紙!$B$11:$B$310),INDEX(半紙!$J$11:$J$310,681),IF(681&lt;=COUNTA(半紙!$B$11:$B$310)+COUNTA(条幅!$B$11:$B$310),INDEX(条幅!$J$11:$J$310,681-COUNTA(半紙!$B$11:$B$310)),IF(681&lt;=COUNTA(半紙!$B$11:$B$310)+COUNTA(条幅!$B$11:$B$310)+COUNTA(条幅4分の1!$B$11:$B$310),INDEX(条幅4分の1!$J$11:$J$310,681-COUNTA(半紙!$B$11:$B$310)-COUNTA(条幅!$B$11:$B$310)),""))))</f>
        <v/>
      </c>
      <c r="K686" s="38" t="str">
        <f>IF(IF(681&lt;=COUNTA(半紙!$B$11:$B$310),INDEX(半紙!$K$11:$K$310,681),IF(681&lt;=COUNTA(半紙!$B$11:$B$310)+COUNTA(条幅!$B$11:$B$310),INDEX(条幅!$K$11:$K$310,681-COUNTA(半紙!$B$11:$B$310)),IF(681&lt;=COUNTA(半紙!$B$11:$B$310)+COUNTA(条幅!$B$11:$B$310)+COUNTA(条幅4分の1!$B$11:$B$310),INDEX(条幅4分の1!$K$11:$K$310,681-COUNTA(半紙!$B$11:$B$310)-COUNTA(条幅!$B$11:$B$310)),"")))=0,"",IF(681&lt;=COUNTA(半紙!$B$11:$B$310),INDEX(半紙!$K$11:$K$310,681),IF(681&lt;=COUNTA(半紙!$B$11:$B$310)+COUNTA(条幅!$B$11:$B$310),INDEX(条幅!$K$11:$K$310,681-COUNTA(半紙!$B$11:$B$310)),IF(681&lt;=COUNTA(半紙!$B$11:$B$310)+COUNTA(条幅!$B$11:$B$310)+COUNTA(条幅4分の1!$B$11:$B$310),INDEX(条幅4分の1!$K$11:$K$310,681-COUNTA(半紙!$B$11:$B$310)-COUNTA(条幅!$B$11:$B$310)),""))))</f>
        <v/>
      </c>
      <c r="L686" s="48" t="str">
        <f>IF($B686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681))</f>
        <v/>
      </c>
    </row>
    <row r="687" spans="1:12" ht="15" customHeight="1">
      <c r="A687" s="37" t="str">
        <f>IF(682&lt;=COUNTA(半紙!$B$11:$B$310),"半紙",IF(682&lt;=COUNTA(半紙!$B$11:$B$310)+COUNTA(条幅!$B$11:$B$310),"条幅(半切)",IF(682&lt;=COUNTA(半紙!$B$11:$B$310)+COUNTA(条幅!$B$11:$B$310)+COUNTA(条幅4分の1!$B$11:$B$310),"条幅(1/4)","")))</f>
        <v/>
      </c>
      <c r="B687" s="38" t="str">
        <f>IF(IF(682&lt;=COUNTA(半紙!$B$11:$B$310),INDEX(半紙!$B$11:$B$310,682),IF(682&lt;=COUNTA(半紙!$B$11:$B$310)+COUNTA(条幅!$B$11:$B$310),INDEX(条幅!$B$11:$B$310,682-COUNTA(半紙!$B$11:$B$310)),IF(682&lt;=COUNTA(半紙!$B$11:$B$310)+COUNTA(条幅!$B$11:$B$310)+COUNTA(条幅4分の1!$B$11:$B$310),INDEX(条幅4分の1!$B$11:$B$310,682-COUNTA(半紙!$B$11:$B$310)-COUNTA(条幅!$B$11:$B$310)),"")))=0,"",IF(682&lt;=COUNTA(半紙!$B$11:$B$310),INDEX(半紙!$B$11:$B$310,682),IF(682&lt;=COUNTA(半紙!$B$11:$B$310)+COUNTA(条幅!$B$11:$B$310),INDEX(条幅!$B$11:$B$310,682-COUNTA(半紙!$B$11:$B$310)),IF(682&lt;=COUNTA(半紙!$B$11:$B$310)+COUNTA(条幅!$B$11:$B$310)+COUNTA(条幅4分の1!$B$11:$B$310),INDEX(条幅4分の1!$B$11:$B$310,682-COUNTA(半紙!$B$11:$B$310)-COUNTA(条幅!$B$11:$B$310)),""))))</f>
        <v/>
      </c>
      <c r="C687" s="38" t="str">
        <f>IF(IF(682&lt;=COUNTA(半紙!$B$11:$B$310),INDEX(半紙!$C$11:$C$310,682),IF(682&lt;=COUNTA(半紙!$B$11:$B$310)+COUNTA(条幅!$B$11:$B$310),INDEX(条幅!$C$11:$C$310,682-COUNTA(半紙!$B$11:$B$310)),IF(682&lt;=COUNTA(半紙!$B$11:$B$310)+COUNTA(条幅!$B$11:$B$310)+COUNTA(条幅4分の1!$B$11:$B$310),INDEX(条幅4分の1!$C$11:$C$310,682-COUNTA(半紙!$B$11:$B$310)-COUNTA(条幅!$B$11:$B$310)),"")))=0,"",IF(682&lt;=COUNTA(半紙!$B$11:$B$310),INDEX(半紙!$C$11:$C$310,682),IF(682&lt;=COUNTA(半紙!$B$11:$B$310)+COUNTA(条幅!$B$11:$B$310),INDEX(条幅!$C$11:$C$310,682-COUNTA(半紙!$B$11:$B$310)),IF(682&lt;=COUNTA(半紙!$B$11:$B$310)+COUNTA(条幅!$B$11:$B$310)+COUNTA(条幅4分の1!$B$11:$B$310),INDEX(条幅4分の1!$C$11:$C$310,682-COUNTA(半紙!$B$11:$B$310)-COUNTA(条幅!$B$11:$B$310)),""))))</f>
        <v/>
      </c>
      <c r="D687" s="38" t="str">
        <f>IF(IF(682&lt;=COUNTA(半紙!$B$11:$B$310),INDEX(半紙!$D$11:$D$310,682),IF(682&lt;=COUNTA(半紙!$B$11:$B$310)+COUNTA(条幅!$B$11:$B$310),INDEX(条幅!$D$11:$D$310,682-COUNTA(半紙!$B$11:$B$310)),IF(682&lt;=COUNTA(半紙!$B$11:$B$310)+COUNTA(条幅!$B$11:$B$310)+COUNTA(条幅4分の1!$B$11:$B$310),INDEX(条幅4分の1!$D$11:$D$310,682-COUNTA(半紙!$B$11:$B$310)-COUNTA(条幅!$B$11:$B$310)),"")))=0,"",IF(682&lt;=COUNTA(半紙!$B$11:$B$310),INDEX(半紙!$D$11:$D$310,682),IF(682&lt;=COUNTA(半紙!$B$11:$B$310)+COUNTA(条幅!$B$11:$B$310),INDEX(条幅!$D$11:$D$310,682-COUNTA(半紙!$B$11:$B$310)),IF(682&lt;=COUNTA(半紙!$B$11:$B$310)+COUNTA(条幅!$B$11:$B$310)+COUNTA(条幅4分の1!$B$11:$B$310),INDEX(条幅4分の1!$D$11:$D$310,682-COUNTA(半紙!$B$11:$B$310)-COUNTA(条幅!$B$11:$B$310)),""))))</f>
        <v/>
      </c>
      <c r="E687" s="38" t="str">
        <f>IF(IF(682&lt;=COUNTA(半紙!$B$11:$B$310),INDEX(半紙!$E$11:$E$310,682),IF(682&lt;=COUNTA(半紙!$B$11:$B$310)+COUNTA(条幅!$B$11:$B$310),INDEX(条幅!$E$11:$E$310,682-COUNTA(半紙!$B$11:$B$310)),IF(682&lt;=COUNTA(半紙!$B$11:$B$310)+COUNTA(条幅!$B$11:$B$310)+COUNTA(条幅4分の1!$B$11:$B$310),INDEX(条幅4分の1!$E$11:$E$310,682-COUNTA(半紙!$B$11:$B$310)-COUNTA(条幅!$B$11:$B$310)),"")))=0,"",IF(682&lt;=COUNTA(半紙!$B$11:$B$310),INDEX(半紙!$E$11:$E$310,682),IF(682&lt;=COUNTA(半紙!$B$11:$B$310)+COUNTA(条幅!$B$11:$B$310),INDEX(条幅!$E$11:$E$310,682-COUNTA(半紙!$B$11:$B$310)),IF(682&lt;=COUNTA(半紙!$B$11:$B$310)+COUNTA(条幅!$B$11:$B$310)+COUNTA(条幅4分の1!$B$11:$B$310),INDEX(条幅4分の1!$E$11:$E$310,682-COUNTA(半紙!$B$11:$B$310)-COUNTA(条幅!$B$11:$B$310)),""))))</f>
        <v/>
      </c>
      <c r="F687" s="38" t="str">
        <f>IF(IF(682&lt;=COUNTA(半紙!$B$11:$B$310),INDEX(半紙!$F$11:$F$310,682),IF(682&lt;=COUNTA(半紙!$B$11:$B$310)+COUNTA(条幅!$B$11:$B$310),INDEX(条幅!$F$11:$F$310,682-COUNTA(半紙!$B$11:$B$310)),IF(682&lt;=COUNTA(半紙!$B$11:$B$310)+COUNTA(条幅!$B$11:$B$310)+COUNTA(条幅4分の1!$B$11:$B$310),INDEX(条幅4分の1!$F$11:$F$310,682-COUNTA(半紙!$B$11:$B$310)-COUNTA(条幅!$B$11:$B$310)),"")))=0,"",IF(682&lt;=COUNTA(半紙!$B$11:$B$310),INDEX(半紙!$F$11:$F$310,682),IF(682&lt;=COUNTA(半紙!$B$11:$B$310)+COUNTA(条幅!$B$11:$B$310),INDEX(条幅!$F$11:$F$310,682-COUNTA(半紙!$B$11:$B$310)),IF(682&lt;=COUNTA(半紙!$B$11:$B$310)+COUNTA(条幅!$B$11:$B$310)+COUNTA(条幅4分の1!$B$11:$B$310),INDEX(条幅4分の1!$F$11:$F$310,682-COUNTA(半紙!$B$11:$B$310)-COUNTA(条幅!$B$11:$B$310)),""))))</f>
        <v/>
      </c>
      <c r="G687" s="38" t="str">
        <f>IF(IF(682&lt;=COUNTA(半紙!$B$11:$B$310),INDEX(半紙!$G$11:$G$310,682),IF(682&lt;=COUNTA(半紙!$B$11:$B$310)+COUNTA(条幅!$B$11:$B$310),INDEX(条幅!$G$11:$G$310,682-COUNTA(半紙!$B$11:$B$310)),IF(682&lt;=COUNTA(半紙!$B$11:$B$310)+COUNTA(条幅!$B$11:$B$310)+COUNTA(条幅4分の1!$B$11:$B$310),INDEX(条幅4分の1!$G$11:$G$310,682-COUNTA(半紙!$B$11:$B$310)-COUNTA(条幅!$B$11:$B$310)),"")))=0,"",IF(682&lt;=COUNTA(半紙!$B$11:$B$310),INDEX(半紙!$G$11:$G$310,682),IF(682&lt;=COUNTA(半紙!$B$11:$B$310)+COUNTA(条幅!$B$11:$B$310),INDEX(条幅!$G$11:$G$310,682-COUNTA(半紙!$B$11:$B$310)),IF(682&lt;=COUNTA(半紙!$B$11:$B$310)+COUNTA(条幅!$B$11:$B$310)+COUNTA(条幅4分の1!$B$11:$B$310),INDEX(条幅4分の1!$G$11:$G$310,682-COUNTA(半紙!$B$11:$B$310)-COUNTA(条幅!$B$11:$B$310)),""))))</f>
        <v/>
      </c>
      <c r="H687" s="38" t="str">
        <f>IF(IF(682&lt;=COUNTA(半紙!$B$11:$B$310),INDEX(半紙!$H$11:$H$310,682),IF(682&lt;=COUNTA(半紙!$B$11:$B$310)+COUNTA(条幅!$B$11:$B$310),INDEX(条幅!$H$11:$H$310,682-COUNTA(半紙!$B$11:$B$310)),IF(682&lt;=COUNTA(半紙!$B$11:$B$310)+COUNTA(条幅!$B$11:$B$310)+COUNTA(条幅4分の1!$B$11:$B$310),INDEX(条幅4分の1!$H$11:$H$310,682-COUNTA(半紙!$B$11:$B$310)-COUNTA(条幅!$B$11:$B$310)),"")))=0,"",IF(682&lt;=COUNTA(半紙!$B$11:$B$310),INDEX(半紙!$H$11:$H$310,682),IF(682&lt;=COUNTA(半紙!$B$11:$B$310)+COUNTA(条幅!$B$11:$B$310),INDEX(条幅!$H$11:$H$310,682-COUNTA(半紙!$B$11:$B$310)),IF(682&lt;=COUNTA(半紙!$B$11:$B$310)+COUNTA(条幅!$B$11:$B$310)+COUNTA(条幅4分の1!$B$11:$B$310),INDEX(条幅4分の1!$H$11:$H$310,682-COUNTA(半紙!$B$11:$B$310)-COUNTA(条幅!$B$11:$B$310)),""))))</f>
        <v/>
      </c>
      <c r="I687" s="38" t="str">
        <f>IF(IF(682&lt;=COUNTA(半紙!$B$11:$B$310),INDEX(半紙!$I$11:$I$310,682),IF(682&lt;=COUNTA(半紙!$B$11:$B$310)+COUNTA(条幅!$B$11:$B$310),INDEX(条幅!$I$11:$I$310,682-COUNTA(半紙!$B$11:$B$310)),IF(682&lt;=COUNTA(半紙!$B$11:$B$310)+COUNTA(条幅!$B$11:$B$310)+COUNTA(条幅4分の1!$B$11:$B$310),INDEX(条幅4分の1!$I$11:$I$310,682-COUNTA(半紙!$B$11:$B$310)-COUNTA(条幅!$B$11:$B$310)),"")))=0,"",IF(682&lt;=COUNTA(半紙!$B$11:$B$310),INDEX(半紙!$I$11:$I$310,682),IF(682&lt;=COUNTA(半紙!$B$11:$B$310)+COUNTA(条幅!$B$11:$B$310),INDEX(条幅!$I$11:$I$310,682-COUNTA(半紙!$B$11:$B$310)),IF(682&lt;=COUNTA(半紙!$B$11:$B$310)+COUNTA(条幅!$B$11:$B$310)+COUNTA(条幅4分の1!$B$11:$B$310),INDEX(条幅4分の1!$I$11:$I$310,682-COUNTA(半紙!$B$11:$B$310)-COUNTA(条幅!$B$11:$B$310)),""))))</f>
        <v/>
      </c>
      <c r="J687" s="38" t="str">
        <f>IF(IF(682&lt;=COUNTA(半紙!$B$11:$B$310),INDEX(半紙!$J$11:$J$310,682),IF(682&lt;=COUNTA(半紙!$B$11:$B$310)+COUNTA(条幅!$B$11:$B$310),INDEX(条幅!$J$11:$J$310,682-COUNTA(半紙!$B$11:$B$310)),IF(682&lt;=COUNTA(半紙!$B$11:$B$310)+COUNTA(条幅!$B$11:$B$310)+COUNTA(条幅4分の1!$B$11:$B$310),INDEX(条幅4分の1!$J$11:$J$310,682-COUNTA(半紙!$B$11:$B$310)-COUNTA(条幅!$B$11:$B$310)),"")))=0,"",IF(682&lt;=COUNTA(半紙!$B$11:$B$310),INDEX(半紙!$J$11:$J$310,682),IF(682&lt;=COUNTA(半紙!$B$11:$B$310)+COUNTA(条幅!$B$11:$B$310),INDEX(条幅!$J$11:$J$310,682-COUNTA(半紙!$B$11:$B$310)),IF(682&lt;=COUNTA(半紙!$B$11:$B$310)+COUNTA(条幅!$B$11:$B$310)+COUNTA(条幅4分の1!$B$11:$B$310),INDEX(条幅4分の1!$J$11:$J$310,682-COUNTA(半紙!$B$11:$B$310)-COUNTA(条幅!$B$11:$B$310)),""))))</f>
        <v/>
      </c>
      <c r="K687" s="38" t="str">
        <f>IF(IF(682&lt;=COUNTA(半紙!$B$11:$B$310),INDEX(半紙!$K$11:$K$310,682),IF(682&lt;=COUNTA(半紙!$B$11:$B$310)+COUNTA(条幅!$B$11:$B$310),INDEX(条幅!$K$11:$K$310,682-COUNTA(半紙!$B$11:$B$310)),IF(682&lt;=COUNTA(半紙!$B$11:$B$310)+COUNTA(条幅!$B$11:$B$310)+COUNTA(条幅4分の1!$B$11:$B$310),INDEX(条幅4分の1!$K$11:$K$310,682-COUNTA(半紙!$B$11:$B$310)-COUNTA(条幅!$B$11:$B$310)),"")))=0,"",IF(682&lt;=COUNTA(半紙!$B$11:$B$310),INDEX(半紙!$K$11:$K$310,682),IF(682&lt;=COUNTA(半紙!$B$11:$B$310)+COUNTA(条幅!$B$11:$B$310),INDEX(条幅!$K$11:$K$310,682-COUNTA(半紙!$B$11:$B$310)),IF(682&lt;=COUNTA(半紙!$B$11:$B$310)+COUNTA(条幅!$B$11:$B$310)+COUNTA(条幅4分の1!$B$11:$B$310),INDEX(条幅4分の1!$K$11:$K$310,682-COUNTA(半紙!$B$11:$B$310)-COUNTA(条幅!$B$11:$B$310)),""))))</f>
        <v/>
      </c>
      <c r="L687" s="48" t="str">
        <f>IF($B687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682))</f>
        <v/>
      </c>
    </row>
    <row r="688" spans="1:12" ht="15" customHeight="1">
      <c r="A688" s="37" t="str">
        <f>IF(683&lt;=COUNTA(半紙!$B$11:$B$310),"半紙",IF(683&lt;=COUNTA(半紙!$B$11:$B$310)+COUNTA(条幅!$B$11:$B$310),"条幅(半切)",IF(683&lt;=COUNTA(半紙!$B$11:$B$310)+COUNTA(条幅!$B$11:$B$310)+COUNTA(条幅4分の1!$B$11:$B$310),"条幅(1/4)","")))</f>
        <v/>
      </c>
      <c r="B688" s="38" t="str">
        <f>IF(IF(683&lt;=COUNTA(半紙!$B$11:$B$310),INDEX(半紙!$B$11:$B$310,683),IF(683&lt;=COUNTA(半紙!$B$11:$B$310)+COUNTA(条幅!$B$11:$B$310),INDEX(条幅!$B$11:$B$310,683-COUNTA(半紙!$B$11:$B$310)),IF(683&lt;=COUNTA(半紙!$B$11:$B$310)+COUNTA(条幅!$B$11:$B$310)+COUNTA(条幅4分の1!$B$11:$B$310),INDEX(条幅4分の1!$B$11:$B$310,683-COUNTA(半紙!$B$11:$B$310)-COUNTA(条幅!$B$11:$B$310)),"")))=0,"",IF(683&lt;=COUNTA(半紙!$B$11:$B$310),INDEX(半紙!$B$11:$B$310,683),IF(683&lt;=COUNTA(半紙!$B$11:$B$310)+COUNTA(条幅!$B$11:$B$310),INDEX(条幅!$B$11:$B$310,683-COUNTA(半紙!$B$11:$B$310)),IF(683&lt;=COUNTA(半紙!$B$11:$B$310)+COUNTA(条幅!$B$11:$B$310)+COUNTA(条幅4分の1!$B$11:$B$310),INDEX(条幅4分の1!$B$11:$B$310,683-COUNTA(半紙!$B$11:$B$310)-COUNTA(条幅!$B$11:$B$310)),""))))</f>
        <v/>
      </c>
      <c r="C688" s="38" t="str">
        <f>IF(IF(683&lt;=COUNTA(半紙!$B$11:$B$310),INDEX(半紙!$C$11:$C$310,683),IF(683&lt;=COUNTA(半紙!$B$11:$B$310)+COUNTA(条幅!$B$11:$B$310),INDEX(条幅!$C$11:$C$310,683-COUNTA(半紙!$B$11:$B$310)),IF(683&lt;=COUNTA(半紙!$B$11:$B$310)+COUNTA(条幅!$B$11:$B$310)+COUNTA(条幅4分の1!$B$11:$B$310),INDEX(条幅4分の1!$C$11:$C$310,683-COUNTA(半紙!$B$11:$B$310)-COUNTA(条幅!$B$11:$B$310)),"")))=0,"",IF(683&lt;=COUNTA(半紙!$B$11:$B$310),INDEX(半紙!$C$11:$C$310,683),IF(683&lt;=COUNTA(半紙!$B$11:$B$310)+COUNTA(条幅!$B$11:$B$310),INDEX(条幅!$C$11:$C$310,683-COUNTA(半紙!$B$11:$B$310)),IF(683&lt;=COUNTA(半紙!$B$11:$B$310)+COUNTA(条幅!$B$11:$B$310)+COUNTA(条幅4分の1!$B$11:$B$310),INDEX(条幅4分の1!$C$11:$C$310,683-COUNTA(半紙!$B$11:$B$310)-COUNTA(条幅!$B$11:$B$310)),""))))</f>
        <v/>
      </c>
      <c r="D688" s="38" t="str">
        <f>IF(IF(683&lt;=COUNTA(半紙!$B$11:$B$310),INDEX(半紙!$D$11:$D$310,683),IF(683&lt;=COUNTA(半紙!$B$11:$B$310)+COUNTA(条幅!$B$11:$B$310),INDEX(条幅!$D$11:$D$310,683-COUNTA(半紙!$B$11:$B$310)),IF(683&lt;=COUNTA(半紙!$B$11:$B$310)+COUNTA(条幅!$B$11:$B$310)+COUNTA(条幅4分の1!$B$11:$B$310),INDEX(条幅4分の1!$D$11:$D$310,683-COUNTA(半紙!$B$11:$B$310)-COUNTA(条幅!$B$11:$B$310)),"")))=0,"",IF(683&lt;=COUNTA(半紙!$B$11:$B$310),INDEX(半紙!$D$11:$D$310,683),IF(683&lt;=COUNTA(半紙!$B$11:$B$310)+COUNTA(条幅!$B$11:$B$310),INDEX(条幅!$D$11:$D$310,683-COUNTA(半紙!$B$11:$B$310)),IF(683&lt;=COUNTA(半紙!$B$11:$B$310)+COUNTA(条幅!$B$11:$B$310)+COUNTA(条幅4分の1!$B$11:$B$310),INDEX(条幅4分の1!$D$11:$D$310,683-COUNTA(半紙!$B$11:$B$310)-COUNTA(条幅!$B$11:$B$310)),""))))</f>
        <v/>
      </c>
      <c r="E688" s="38" t="str">
        <f>IF(IF(683&lt;=COUNTA(半紙!$B$11:$B$310),INDEX(半紙!$E$11:$E$310,683),IF(683&lt;=COUNTA(半紙!$B$11:$B$310)+COUNTA(条幅!$B$11:$B$310),INDEX(条幅!$E$11:$E$310,683-COUNTA(半紙!$B$11:$B$310)),IF(683&lt;=COUNTA(半紙!$B$11:$B$310)+COUNTA(条幅!$B$11:$B$310)+COUNTA(条幅4分の1!$B$11:$B$310),INDEX(条幅4分の1!$E$11:$E$310,683-COUNTA(半紙!$B$11:$B$310)-COUNTA(条幅!$B$11:$B$310)),"")))=0,"",IF(683&lt;=COUNTA(半紙!$B$11:$B$310),INDEX(半紙!$E$11:$E$310,683),IF(683&lt;=COUNTA(半紙!$B$11:$B$310)+COUNTA(条幅!$B$11:$B$310),INDEX(条幅!$E$11:$E$310,683-COUNTA(半紙!$B$11:$B$310)),IF(683&lt;=COUNTA(半紙!$B$11:$B$310)+COUNTA(条幅!$B$11:$B$310)+COUNTA(条幅4分の1!$B$11:$B$310),INDEX(条幅4分の1!$E$11:$E$310,683-COUNTA(半紙!$B$11:$B$310)-COUNTA(条幅!$B$11:$B$310)),""))))</f>
        <v/>
      </c>
      <c r="F688" s="38" t="str">
        <f>IF(IF(683&lt;=COUNTA(半紙!$B$11:$B$310),INDEX(半紙!$F$11:$F$310,683),IF(683&lt;=COUNTA(半紙!$B$11:$B$310)+COUNTA(条幅!$B$11:$B$310),INDEX(条幅!$F$11:$F$310,683-COUNTA(半紙!$B$11:$B$310)),IF(683&lt;=COUNTA(半紙!$B$11:$B$310)+COUNTA(条幅!$B$11:$B$310)+COUNTA(条幅4分の1!$B$11:$B$310),INDEX(条幅4分の1!$F$11:$F$310,683-COUNTA(半紙!$B$11:$B$310)-COUNTA(条幅!$B$11:$B$310)),"")))=0,"",IF(683&lt;=COUNTA(半紙!$B$11:$B$310),INDEX(半紙!$F$11:$F$310,683),IF(683&lt;=COUNTA(半紙!$B$11:$B$310)+COUNTA(条幅!$B$11:$B$310),INDEX(条幅!$F$11:$F$310,683-COUNTA(半紙!$B$11:$B$310)),IF(683&lt;=COUNTA(半紙!$B$11:$B$310)+COUNTA(条幅!$B$11:$B$310)+COUNTA(条幅4分の1!$B$11:$B$310),INDEX(条幅4分の1!$F$11:$F$310,683-COUNTA(半紙!$B$11:$B$310)-COUNTA(条幅!$B$11:$B$310)),""))))</f>
        <v/>
      </c>
      <c r="G688" s="38" t="str">
        <f>IF(IF(683&lt;=COUNTA(半紙!$B$11:$B$310),INDEX(半紙!$G$11:$G$310,683),IF(683&lt;=COUNTA(半紙!$B$11:$B$310)+COUNTA(条幅!$B$11:$B$310),INDEX(条幅!$G$11:$G$310,683-COUNTA(半紙!$B$11:$B$310)),IF(683&lt;=COUNTA(半紙!$B$11:$B$310)+COUNTA(条幅!$B$11:$B$310)+COUNTA(条幅4分の1!$B$11:$B$310),INDEX(条幅4分の1!$G$11:$G$310,683-COUNTA(半紙!$B$11:$B$310)-COUNTA(条幅!$B$11:$B$310)),"")))=0,"",IF(683&lt;=COUNTA(半紙!$B$11:$B$310),INDEX(半紙!$G$11:$G$310,683),IF(683&lt;=COUNTA(半紙!$B$11:$B$310)+COUNTA(条幅!$B$11:$B$310),INDEX(条幅!$G$11:$G$310,683-COUNTA(半紙!$B$11:$B$310)),IF(683&lt;=COUNTA(半紙!$B$11:$B$310)+COUNTA(条幅!$B$11:$B$310)+COUNTA(条幅4分の1!$B$11:$B$310),INDEX(条幅4分の1!$G$11:$G$310,683-COUNTA(半紙!$B$11:$B$310)-COUNTA(条幅!$B$11:$B$310)),""))))</f>
        <v/>
      </c>
      <c r="H688" s="38" t="str">
        <f>IF(IF(683&lt;=COUNTA(半紙!$B$11:$B$310),INDEX(半紙!$H$11:$H$310,683),IF(683&lt;=COUNTA(半紙!$B$11:$B$310)+COUNTA(条幅!$B$11:$B$310),INDEX(条幅!$H$11:$H$310,683-COUNTA(半紙!$B$11:$B$310)),IF(683&lt;=COUNTA(半紙!$B$11:$B$310)+COUNTA(条幅!$B$11:$B$310)+COUNTA(条幅4分の1!$B$11:$B$310),INDEX(条幅4分の1!$H$11:$H$310,683-COUNTA(半紙!$B$11:$B$310)-COUNTA(条幅!$B$11:$B$310)),"")))=0,"",IF(683&lt;=COUNTA(半紙!$B$11:$B$310),INDEX(半紙!$H$11:$H$310,683),IF(683&lt;=COUNTA(半紙!$B$11:$B$310)+COUNTA(条幅!$B$11:$B$310),INDEX(条幅!$H$11:$H$310,683-COUNTA(半紙!$B$11:$B$310)),IF(683&lt;=COUNTA(半紙!$B$11:$B$310)+COUNTA(条幅!$B$11:$B$310)+COUNTA(条幅4分の1!$B$11:$B$310),INDEX(条幅4分の1!$H$11:$H$310,683-COUNTA(半紙!$B$11:$B$310)-COUNTA(条幅!$B$11:$B$310)),""))))</f>
        <v/>
      </c>
      <c r="I688" s="38" t="str">
        <f>IF(IF(683&lt;=COUNTA(半紙!$B$11:$B$310),INDEX(半紙!$I$11:$I$310,683),IF(683&lt;=COUNTA(半紙!$B$11:$B$310)+COUNTA(条幅!$B$11:$B$310),INDEX(条幅!$I$11:$I$310,683-COUNTA(半紙!$B$11:$B$310)),IF(683&lt;=COUNTA(半紙!$B$11:$B$310)+COUNTA(条幅!$B$11:$B$310)+COUNTA(条幅4分の1!$B$11:$B$310),INDEX(条幅4分の1!$I$11:$I$310,683-COUNTA(半紙!$B$11:$B$310)-COUNTA(条幅!$B$11:$B$310)),"")))=0,"",IF(683&lt;=COUNTA(半紙!$B$11:$B$310),INDEX(半紙!$I$11:$I$310,683),IF(683&lt;=COUNTA(半紙!$B$11:$B$310)+COUNTA(条幅!$B$11:$B$310),INDEX(条幅!$I$11:$I$310,683-COUNTA(半紙!$B$11:$B$310)),IF(683&lt;=COUNTA(半紙!$B$11:$B$310)+COUNTA(条幅!$B$11:$B$310)+COUNTA(条幅4分の1!$B$11:$B$310),INDEX(条幅4分の1!$I$11:$I$310,683-COUNTA(半紙!$B$11:$B$310)-COUNTA(条幅!$B$11:$B$310)),""))))</f>
        <v/>
      </c>
      <c r="J688" s="38" t="str">
        <f>IF(IF(683&lt;=COUNTA(半紙!$B$11:$B$310),INDEX(半紙!$J$11:$J$310,683),IF(683&lt;=COUNTA(半紙!$B$11:$B$310)+COUNTA(条幅!$B$11:$B$310),INDEX(条幅!$J$11:$J$310,683-COUNTA(半紙!$B$11:$B$310)),IF(683&lt;=COUNTA(半紙!$B$11:$B$310)+COUNTA(条幅!$B$11:$B$310)+COUNTA(条幅4分の1!$B$11:$B$310),INDEX(条幅4分の1!$J$11:$J$310,683-COUNTA(半紙!$B$11:$B$310)-COUNTA(条幅!$B$11:$B$310)),"")))=0,"",IF(683&lt;=COUNTA(半紙!$B$11:$B$310),INDEX(半紙!$J$11:$J$310,683),IF(683&lt;=COUNTA(半紙!$B$11:$B$310)+COUNTA(条幅!$B$11:$B$310),INDEX(条幅!$J$11:$J$310,683-COUNTA(半紙!$B$11:$B$310)),IF(683&lt;=COUNTA(半紙!$B$11:$B$310)+COUNTA(条幅!$B$11:$B$310)+COUNTA(条幅4分の1!$B$11:$B$310),INDEX(条幅4分の1!$J$11:$J$310,683-COUNTA(半紙!$B$11:$B$310)-COUNTA(条幅!$B$11:$B$310)),""))))</f>
        <v/>
      </c>
      <c r="K688" s="38" t="str">
        <f>IF(IF(683&lt;=COUNTA(半紙!$B$11:$B$310),INDEX(半紙!$K$11:$K$310,683),IF(683&lt;=COUNTA(半紙!$B$11:$B$310)+COUNTA(条幅!$B$11:$B$310),INDEX(条幅!$K$11:$K$310,683-COUNTA(半紙!$B$11:$B$310)),IF(683&lt;=COUNTA(半紙!$B$11:$B$310)+COUNTA(条幅!$B$11:$B$310)+COUNTA(条幅4分の1!$B$11:$B$310),INDEX(条幅4分の1!$K$11:$K$310,683-COUNTA(半紙!$B$11:$B$310)-COUNTA(条幅!$B$11:$B$310)),"")))=0,"",IF(683&lt;=COUNTA(半紙!$B$11:$B$310),INDEX(半紙!$K$11:$K$310,683),IF(683&lt;=COUNTA(半紙!$B$11:$B$310)+COUNTA(条幅!$B$11:$B$310),INDEX(条幅!$K$11:$K$310,683-COUNTA(半紙!$B$11:$B$310)),IF(683&lt;=COUNTA(半紙!$B$11:$B$310)+COUNTA(条幅!$B$11:$B$310)+COUNTA(条幅4分の1!$B$11:$B$310),INDEX(条幅4分の1!$K$11:$K$310,683-COUNTA(半紙!$B$11:$B$310)-COUNTA(条幅!$B$11:$B$310)),""))))</f>
        <v/>
      </c>
      <c r="L688" s="48" t="str">
        <f>IF($B688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683))</f>
        <v/>
      </c>
    </row>
    <row r="689" spans="1:12" ht="15" customHeight="1">
      <c r="A689" s="37" t="str">
        <f>IF(684&lt;=COUNTA(半紙!$B$11:$B$310),"半紙",IF(684&lt;=COUNTA(半紙!$B$11:$B$310)+COUNTA(条幅!$B$11:$B$310),"条幅(半切)",IF(684&lt;=COUNTA(半紙!$B$11:$B$310)+COUNTA(条幅!$B$11:$B$310)+COUNTA(条幅4分の1!$B$11:$B$310),"条幅(1/4)","")))</f>
        <v/>
      </c>
      <c r="B689" s="38" t="str">
        <f>IF(IF(684&lt;=COUNTA(半紙!$B$11:$B$310),INDEX(半紙!$B$11:$B$310,684),IF(684&lt;=COUNTA(半紙!$B$11:$B$310)+COUNTA(条幅!$B$11:$B$310),INDEX(条幅!$B$11:$B$310,684-COUNTA(半紙!$B$11:$B$310)),IF(684&lt;=COUNTA(半紙!$B$11:$B$310)+COUNTA(条幅!$B$11:$B$310)+COUNTA(条幅4分の1!$B$11:$B$310),INDEX(条幅4分の1!$B$11:$B$310,684-COUNTA(半紙!$B$11:$B$310)-COUNTA(条幅!$B$11:$B$310)),"")))=0,"",IF(684&lt;=COUNTA(半紙!$B$11:$B$310),INDEX(半紙!$B$11:$B$310,684),IF(684&lt;=COUNTA(半紙!$B$11:$B$310)+COUNTA(条幅!$B$11:$B$310),INDEX(条幅!$B$11:$B$310,684-COUNTA(半紙!$B$11:$B$310)),IF(684&lt;=COUNTA(半紙!$B$11:$B$310)+COUNTA(条幅!$B$11:$B$310)+COUNTA(条幅4分の1!$B$11:$B$310),INDEX(条幅4分の1!$B$11:$B$310,684-COUNTA(半紙!$B$11:$B$310)-COUNTA(条幅!$B$11:$B$310)),""))))</f>
        <v/>
      </c>
      <c r="C689" s="38" t="str">
        <f>IF(IF(684&lt;=COUNTA(半紙!$B$11:$B$310),INDEX(半紙!$C$11:$C$310,684),IF(684&lt;=COUNTA(半紙!$B$11:$B$310)+COUNTA(条幅!$B$11:$B$310),INDEX(条幅!$C$11:$C$310,684-COUNTA(半紙!$B$11:$B$310)),IF(684&lt;=COUNTA(半紙!$B$11:$B$310)+COUNTA(条幅!$B$11:$B$310)+COUNTA(条幅4分の1!$B$11:$B$310),INDEX(条幅4分の1!$C$11:$C$310,684-COUNTA(半紙!$B$11:$B$310)-COUNTA(条幅!$B$11:$B$310)),"")))=0,"",IF(684&lt;=COUNTA(半紙!$B$11:$B$310),INDEX(半紙!$C$11:$C$310,684),IF(684&lt;=COUNTA(半紙!$B$11:$B$310)+COUNTA(条幅!$B$11:$B$310),INDEX(条幅!$C$11:$C$310,684-COUNTA(半紙!$B$11:$B$310)),IF(684&lt;=COUNTA(半紙!$B$11:$B$310)+COUNTA(条幅!$B$11:$B$310)+COUNTA(条幅4分の1!$B$11:$B$310),INDEX(条幅4分の1!$C$11:$C$310,684-COUNTA(半紙!$B$11:$B$310)-COUNTA(条幅!$B$11:$B$310)),""))))</f>
        <v/>
      </c>
      <c r="D689" s="38" t="str">
        <f>IF(IF(684&lt;=COUNTA(半紙!$B$11:$B$310),INDEX(半紙!$D$11:$D$310,684),IF(684&lt;=COUNTA(半紙!$B$11:$B$310)+COUNTA(条幅!$B$11:$B$310),INDEX(条幅!$D$11:$D$310,684-COUNTA(半紙!$B$11:$B$310)),IF(684&lt;=COUNTA(半紙!$B$11:$B$310)+COUNTA(条幅!$B$11:$B$310)+COUNTA(条幅4分の1!$B$11:$B$310),INDEX(条幅4分の1!$D$11:$D$310,684-COUNTA(半紙!$B$11:$B$310)-COUNTA(条幅!$B$11:$B$310)),"")))=0,"",IF(684&lt;=COUNTA(半紙!$B$11:$B$310),INDEX(半紙!$D$11:$D$310,684),IF(684&lt;=COUNTA(半紙!$B$11:$B$310)+COUNTA(条幅!$B$11:$B$310),INDEX(条幅!$D$11:$D$310,684-COUNTA(半紙!$B$11:$B$310)),IF(684&lt;=COUNTA(半紙!$B$11:$B$310)+COUNTA(条幅!$B$11:$B$310)+COUNTA(条幅4分の1!$B$11:$B$310),INDEX(条幅4分の1!$D$11:$D$310,684-COUNTA(半紙!$B$11:$B$310)-COUNTA(条幅!$B$11:$B$310)),""))))</f>
        <v/>
      </c>
      <c r="E689" s="38" t="str">
        <f>IF(IF(684&lt;=COUNTA(半紙!$B$11:$B$310),INDEX(半紙!$E$11:$E$310,684),IF(684&lt;=COUNTA(半紙!$B$11:$B$310)+COUNTA(条幅!$B$11:$B$310),INDEX(条幅!$E$11:$E$310,684-COUNTA(半紙!$B$11:$B$310)),IF(684&lt;=COUNTA(半紙!$B$11:$B$310)+COUNTA(条幅!$B$11:$B$310)+COUNTA(条幅4分の1!$B$11:$B$310),INDEX(条幅4分の1!$E$11:$E$310,684-COUNTA(半紙!$B$11:$B$310)-COUNTA(条幅!$B$11:$B$310)),"")))=0,"",IF(684&lt;=COUNTA(半紙!$B$11:$B$310),INDEX(半紙!$E$11:$E$310,684),IF(684&lt;=COUNTA(半紙!$B$11:$B$310)+COUNTA(条幅!$B$11:$B$310),INDEX(条幅!$E$11:$E$310,684-COUNTA(半紙!$B$11:$B$310)),IF(684&lt;=COUNTA(半紙!$B$11:$B$310)+COUNTA(条幅!$B$11:$B$310)+COUNTA(条幅4分の1!$B$11:$B$310),INDEX(条幅4分の1!$E$11:$E$310,684-COUNTA(半紙!$B$11:$B$310)-COUNTA(条幅!$B$11:$B$310)),""))))</f>
        <v/>
      </c>
      <c r="F689" s="38" t="str">
        <f>IF(IF(684&lt;=COUNTA(半紙!$B$11:$B$310),INDEX(半紙!$F$11:$F$310,684),IF(684&lt;=COUNTA(半紙!$B$11:$B$310)+COUNTA(条幅!$B$11:$B$310),INDEX(条幅!$F$11:$F$310,684-COUNTA(半紙!$B$11:$B$310)),IF(684&lt;=COUNTA(半紙!$B$11:$B$310)+COUNTA(条幅!$B$11:$B$310)+COUNTA(条幅4分の1!$B$11:$B$310),INDEX(条幅4分の1!$F$11:$F$310,684-COUNTA(半紙!$B$11:$B$310)-COUNTA(条幅!$B$11:$B$310)),"")))=0,"",IF(684&lt;=COUNTA(半紙!$B$11:$B$310),INDEX(半紙!$F$11:$F$310,684),IF(684&lt;=COUNTA(半紙!$B$11:$B$310)+COUNTA(条幅!$B$11:$B$310),INDEX(条幅!$F$11:$F$310,684-COUNTA(半紙!$B$11:$B$310)),IF(684&lt;=COUNTA(半紙!$B$11:$B$310)+COUNTA(条幅!$B$11:$B$310)+COUNTA(条幅4分の1!$B$11:$B$310),INDEX(条幅4分の1!$F$11:$F$310,684-COUNTA(半紙!$B$11:$B$310)-COUNTA(条幅!$B$11:$B$310)),""))))</f>
        <v/>
      </c>
      <c r="G689" s="38" t="str">
        <f>IF(IF(684&lt;=COUNTA(半紙!$B$11:$B$310),INDEX(半紙!$G$11:$G$310,684),IF(684&lt;=COUNTA(半紙!$B$11:$B$310)+COUNTA(条幅!$B$11:$B$310),INDEX(条幅!$G$11:$G$310,684-COUNTA(半紙!$B$11:$B$310)),IF(684&lt;=COUNTA(半紙!$B$11:$B$310)+COUNTA(条幅!$B$11:$B$310)+COUNTA(条幅4分の1!$B$11:$B$310),INDEX(条幅4分の1!$G$11:$G$310,684-COUNTA(半紙!$B$11:$B$310)-COUNTA(条幅!$B$11:$B$310)),"")))=0,"",IF(684&lt;=COUNTA(半紙!$B$11:$B$310),INDEX(半紙!$G$11:$G$310,684),IF(684&lt;=COUNTA(半紙!$B$11:$B$310)+COUNTA(条幅!$B$11:$B$310),INDEX(条幅!$G$11:$G$310,684-COUNTA(半紙!$B$11:$B$310)),IF(684&lt;=COUNTA(半紙!$B$11:$B$310)+COUNTA(条幅!$B$11:$B$310)+COUNTA(条幅4分の1!$B$11:$B$310),INDEX(条幅4分の1!$G$11:$G$310,684-COUNTA(半紙!$B$11:$B$310)-COUNTA(条幅!$B$11:$B$310)),""))))</f>
        <v/>
      </c>
      <c r="H689" s="38" t="str">
        <f>IF(IF(684&lt;=COUNTA(半紙!$B$11:$B$310),INDEX(半紙!$H$11:$H$310,684),IF(684&lt;=COUNTA(半紙!$B$11:$B$310)+COUNTA(条幅!$B$11:$B$310),INDEX(条幅!$H$11:$H$310,684-COUNTA(半紙!$B$11:$B$310)),IF(684&lt;=COUNTA(半紙!$B$11:$B$310)+COUNTA(条幅!$B$11:$B$310)+COUNTA(条幅4分の1!$B$11:$B$310),INDEX(条幅4分の1!$H$11:$H$310,684-COUNTA(半紙!$B$11:$B$310)-COUNTA(条幅!$B$11:$B$310)),"")))=0,"",IF(684&lt;=COUNTA(半紙!$B$11:$B$310),INDEX(半紙!$H$11:$H$310,684),IF(684&lt;=COUNTA(半紙!$B$11:$B$310)+COUNTA(条幅!$B$11:$B$310),INDEX(条幅!$H$11:$H$310,684-COUNTA(半紙!$B$11:$B$310)),IF(684&lt;=COUNTA(半紙!$B$11:$B$310)+COUNTA(条幅!$B$11:$B$310)+COUNTA(条幅4分の1!$B$11:$B$310),INDEX(条幅4分の1!$H$11:$H$310,684-COUNTA(半紙!$B$11:$B$310)-COUNTA(条幅!$B$11:$B$310)),""))))</f>
        <v/>
      </c>
      <c r="I689" s="38" t="str">
        <f>IF(IF(684&lt;=COUNTA(半紙!$B$11:$B$310),INDEX(半紙!$I$11:$I$310,684),IF(684&lt;=COUNTA(半紙!$B$11:$B$310)+COUNTA(条幅!$B$11:$B$310),INDEX(条幅!$I$11:$I$310,684-COUNTA(半紙!$B$11:$B$310)),IF(684&lt;=COUNTA(半紙!$B$11:$B$310)+COUNTA(条幅!$B$11:$B$310)+COUNTA(条幅4分の1!$B$11:$B$310),INDEX(条幅4分の1!$I$11:$I$310,684-COUNTA(半紙!$B$11:$B$310)-COUNTA(条幅!$B$11:$B$310)),"")))=0,"",IF(684&lt;=COUNTA(半紙!$B$11:$B$310),INDEX(半紙!$I$11:$I$310,684),IF(684&lt;=COUNTA(半紙!$B$11:$B$310)+COUNTA(条幅!$B$11:$B$310),INDEX(条幅!$I$11:$I$310,684-COUNTA(半紙!$B$11:$B$310)),IF(684&lt;=COUNTA(半紙!$B$11:$B$310)+COUNTA(条幅!$B$11:$B$310)+COUNTA(条幅4分の1!$B$11:$B$310),INDEX(条幅4分の1!$I$11:$I$310,684-COUNTA(半紙!$B$11:$B$310)-COUNTA(条幅!$B$11:$B$310)),""))))</f>
        <v/>
      </c>
      <c r="J689" s="38" t="str">
        <f>IF(IF(684&lt;=COUNTA(半紙!$B$11:$B$310),INDEX(半紙!$J$11:$J$310,684),IF(684&lt;=COUNTA(半紙!$B$11:$B$310)+COUNTA(条幅!$B$11:$B$310),INDEX(条幅!$J$11:$J$310,684-COUNTA(半紙!$B$11:$B$310)),IF(684&lt;=COUNTA(半紙!$B$11:$B$310)+COUNTA(条幅!$B$11:$B$310)+COUNTA(条幅4分の1!$B$11:$B$310),INDEX(条幅4分の1!$J$11:$J$310,684-COUNTA(半紙!$B$11:$B$310)-COUNTA(条幅!$B$11:$B$310)),"")))=0,"",IF(684&lt;=COUNTA(半紙!$B$11:$B$310),INDEX(半紙!$J$11:$J$310,684),IF(684&lt;=COUNTA(半紙!$B$11:$B$310)+COUNTA(条幅!$B$11:$B$310),INDEX(条幅!$J$11:$J$310,684-COUNTA(半紙!$B$11:$B$310)),IF(684&lt;=COUNTA(半紙!$B$11:$B$310)+COUNTA(条幅!$B$11:$B$310)+COUNTA(条幅4分の1!$B$11:$B$310),INDEX(条幅4分の1!$J$11:$J$310,684-COUNTA(半紙!$B$11:$B$310)-COUNTA(条幅!$B$11:$B$310)),""))))</f>
        <v/>
      </c>
      <c r="K689" s="38" t="str">
        <f>IF(IF(684&lt;=COUNTA(半紙!$B$11:$B$310),INDEX(半紙!$K$11:$K$310,684),IF(684&lt;=COUNTA(半紙!$B$11:$B$310)+COUNTA(条幅!$B$11:$B$310),INDEX(条幅!$K$11:$K$310,684-COUNTA(半紙!$B$11:$B$310)),IF(684&lt;=COUNTA(半紙!$B$11:$B$310)+COUNTA(条幅!$B$11:$B$310)+COUNTA(条幅4分の1!$B$11:$B$310),INDEX(条幅4分の1!$K$11:$K$310,684-COUNTA(半紙!$B$11:$B$310)-COUNTA(条幅!$B$11:$B$310)),"")))=0,"",IF(684&lt;=COUNTA(半紙!$B$11:$B$310),INDEX(半紙!$K$11:$K$310,684),IF(684&lt;=COUNTA(半紙!$B$11:$B$310)+COUNTA(条幅!$B$11:$B$310),INDEX(条幅!$K$11:$K$310,684-COUNTA(半紙!$B$11:$B$310)),IF(684&lt;=COUNTA(半紙!$B$11:$B$310)+COUNTA(条幅!$B$11:$B$310)+COUNTA(条幅4分の1!$B$11:$B$310),INDEX(条幅4分の1!$K$11:$K$310,684-COUNTA(半紙!$B$11:$B$310)-COUNTA(条幅!$B$11:$B$310)),""))))</f>
        <v/>
      </c>
      <c r="L689" s="48" t="str">
        <f>IF($B689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684))</f>
        <v/>
      </c>
    </row>
    <row r="690" spans="1:12" ht="15" customHeight="1">
      <c r="A690" s="37" t="str">
        <f>IF(685&lt;=COUNTA(半紙!$B$11:$B$310),"半紙",IF(685&lt;=COUNTA(半紙!$B$11:$B$310)+COUNTA(条幅!$B$11:$B$310),"条幅(半切)",IF(685&lt;=COUNTA(半紙!$B$11:$B$310)+COUNTA(条幅!$B$11:$B$310)+COUNTA(条幅4分の1!$B$11:$B$310),"条幅(1/4)","")))</f>
        <v/>
      </c>
      <c r="B690" s="38" t="str">
        <f>IF(IF(685&lt;=COUNTA(半紙!$B$11:$B$310),INDEX(半紙!$B$11:$B$310,685),IF(685&lt;=COUNTA(半紙!$B$11:$B$310)+COUNTA(条幅!$B$11:$B$310),INDEX(条幅!$B$11:$B$310,685-COUNTA(半紙!$B$11:$B$310)),IF(685&lt;=COUNTA(半紙!$B$11:$B$310)+COUNTA(条幅!$B$11:$B$310)+COUNTA(条幅4分の1!$B$11:$B$310),INDEX(条幅4分の1!$B$11:$B$310,685-COUNTA(半紙!$B$11:$B$310)-COUNTA(条幅!$B$11:$B$310)),"")))=0,"",IF(685&lt;=COUNTA(半紙!$B$11:$B$310),INDEX(半紙!$B$11:$B$310,685),IF(685&lt;=COUNTA(半紙!$B$11:$B$310)+COUNTA(条幅!$B$11:$B$310),INDEX(条幅!$B$11:$B$310,685-COUNTA(半紙!$B$11:$B$310)),IF(685&lt;=COUNTA(半紙!$B$11:$B$310)+COUNTA(条幅!$B$11:$B$310)+COUNTA(条幅4分の1!$B$11:$B$310),INDEX(条幅4分の1!$B$11:$B$310,685-COUNTA(半紙!$B$11:$B$310)-COUNTA(条幅!$B$11:$B$310)),""))))</f>
        <v/>
      </c>
      <c r="C690" s="38" t="str">
        <f>IF(IF(685&lt;=COUNTA(半紙!$B$11:$B$310),INDEX(半紙!$C$11:$C$310,685),IF(685&lt;=COUNTA(半紙!$B$11:$B$310)+COUNTA(条幅!$B$11:$B$310),INDEX(条幅!$C$11:$C$310,685-COUNTA(半紙!$B$11:$B$310)),IF(685&lt;=COUNTA(半紙!$B$11:$B$310)+COUNTA(条幅!$B$11:$B$310)+COUNTA(条幅4分の1!$B$11:$B$310),INDEX(条幅4分の1!$C$11:$C$310,685-COUNTA(半紙!$B$11:$B$310)-COUNTA(条幅!$B$11:$B$310)),"")))=0,"",IF(685&lt;=COUNTA(半紙!$B$11:$B$310),INDEX(半紙!$C$11:$C$310,685),IF(685&lt;=COUNTA(半紙!$B$11:$B$310)+COUNTA(条幅!$B$11:$B$310),INDEX(条幅!$C$11:$C$310,685-COUNTA(半紙!$B$11:$B$310)),IF(685&lt;=COUNTA(半紙!$B$11:$B$310)+COUNTA(条幅!$B$11:$B$310)+COUNTA(条幅4分の1!$B$11:$B$310),INDEX(条幅4分の1!$C$11:$C$310,685-COUNTA(半紙!$B$11:$B$310)-COUNTA(条幅!$B$11:$B$310)),""))))</f>
        <v/>
      </c>
      <c r="D690" s="38" t="str">
        <f>IF(IF(685&lt;=COUNTA(半紙!$B$11:$B$310),INDEX(半紙!$D$11:$D$310,685),IF(685&lt;=COUNTA(半紙!$B$11:$B$310)+COUNTA(条幅!$B$11:$B$310),INDEX(条幅!$D$11:$D$310,685-COUNTA(半紙!$B$11:$B$310)),IF(685&lt;=COUNTA(半紙!$B$11:$B$310)+COUNTA(条幅!$B$11:$B$310)+COUNTA(条幅4分の1!$B$11:$B$310),INDEX(条幅4分の1!$D$11:$D$310,685-COUNTA(半紙!$B$11:$B$310)-COUNTA(条幅!$B$11:$B$310)),"")))=0,"",IF(685&lt;=COUNTA(半紙!$B$11:$B$310),INDEX(半紙!$D$11:$D$310,685),IF(685&lt;=COUNTA(半紙!$B$11:$B$310)+COUNTA(条幅!$B$11:$B$310),INDEX(条幅!$D$11:$D$310,685-COUNTA(半紙!$B$11:$B$310)),IF(685&lt;=COUNTA(半紙!$B$11:$B$310)+COUNTA(条幅!$B$11:$B$310)+COUNTA(条幅4分の1!$B$11:$B$310),INDEX(条幅4分の1!$D$11:$D$310,685-COUNTA(半紙!$B$11:$B$310)-COUNTA(条幅!$B$11:$B$310)),""))))</f>
        <v/>
      </c>
      <c r="E690" s="38" t="str">
        <f>IF(IF(685&lt;=COUNTA(半紙!$B$11:$B$310),INDEX(半紙!$E$11:$E$310,685),IF(685&lt;=COUNTA(半紙!$B$11:$B$310)+COUNTA(条幅!$B$11:$B$310),INDEX(条幅!$E$11:$E$310,685-COUNTA(半紙!$B$11:$B$310)),IF(685&lt;=COUNTA(半紙!$B$11:$B$310)+COUNTA(条幅!$B$11:$B$310)+COUNTA(条幅4分の1!$B$11:$B$310),INDEX(条幅4分の1!$E$11:$E$310,685-COUNTA(半紙!$B$11:$B$310)-COUNTA(条幅!$B$11:$B$310)),"")))=0,"",IF(685&lt;=COUNTA(半紙!$B$11:$B$310),INDEX(半紙!$E$11:$E$310,685),IF(685&lt;=COUNTA(半紙!$B$11:$B$310)+COUNTA(条幅!$B$11:$B$310),INDEX(条幅!$E$11:$E$310,685-COUNTA(半紙!$B$11:$B$310)),IF(685&lt;=COUNTA(半紙!$B$11:$B$310)+COUNTA(条幅!$B$11:$B$310)+COUNTA(条幅4分の1!$B$11:$B$310),INDEX(条幅4分の1!$E$11:$E$310,685-COUNTA(半紙!$B$11:$B$310)-COUNTA(条幅!$B$11:$B$310)),""))))</f>
        <v/>
      </c>
      <c r="F690" s="38" t="str">
        <f>IF(IF(685&lt;=COUNTA(半紙!$B$11:$B$310),INDEX(半紙!$F$11:$F$310,685),IF(685&lt;=COUNTA(半紙!$B$11:$B$310)+COUNTA(条幅!$B$11:$B$310),INDEX(条幅!$F$11:$F$310,685-COUNTA(半紙!$B$11:$B$310)),IF(685&lt;=COUNTA(半紙!$B$11:$B$310)+COUNTA(条幅!$B$11:$B$310)+COUNTA(条幅4分の1!$B$11:$B$310),INDEX(条幅4分の1!$F$11:$F$310,685-COUNTA(半紙!$B$11:$B$310)-COUNTA(条幅!$B$11:$B$310)),"")))=0,"",IF(685&lt;=COUNTA(半紙!$B$11:$B$310),INDEX(半紙!$F$11:$F$310,685),IF(685&lt;=COUNTA(半紙!$B$11:$B$310)+COUNTA(条幅!$B$11:$B$310),INDEX(条幅!$F$11:$F$310,685-COUNTA(半紙!$B$11:$B$310)),IF(685&lt;=COUNTA(半紙!$B$11:$B$310)+COUNTA(条幅!$B$11:$B$310)+COUNTA(条幅4分の1!$B$11:$B$310),INDEX(条幅4分の1!$F$11:$F$310,685-COUNTA(半紙!$B$11:$B$310)-COUNTA(条幅!$B$11:$B$310)),""))))</f>
        <v/>
      </c>
      <c r="G690" s="38" t="str">
        <f>IF(IF(685&lt;=COUNTA(半紙!$B$11:$B$310),INDEX(半紙!$G$11:$G$310,685),IF(685&lt;=COUNTA(半紙!$B$11:$B$310)+COUNTA(条幅!$B$11:$B$310),INDEX(条幅!$G$11:$G$310,685-COUNTA(半紙!$B$11:$B$310)),IF(685&lt;=COUNTA(半紙!$B$11:$B$310)+COUNTA(条幅!$B$11:$B$310)+COUNTA(条幅4分の1!$B$11:$B$310),INDEX(条幅4分の1!$G$11:$G$310,685-COUNTA(半紙!$B$11:$B$310)-COUNTA(条幅!$B$11:$B$310)),"")))=0,"",IF(685&lt;=COUNTA(半紙!$B$11:$B$310),INDEX(半紙!$G$11:$G$310,685),IF(685&lt;=COUNTA(半紙!$B$11:$B$310)+COUNTA(条幅!$B$11:$B$310),INDEX(条幅!$G$11:$G$310,685-COUNTA(半紙!$B$11:$B$310)),IF(685&lt;=COUNTA(半紙!$B$11:$B$310)+COUNTA(条幅!$B$11:$B$310)+COUNTA(条幅4分の1!$B$11:$B$310),INDEX(条幅4分の1!$G$11:$G$310,685-COUNTA(半紙!$B$11:$B$310)-COUNTA(条幅!$B$11:$B$310)),""))))</f>
        <v/>
      </c>
      <c r="H690" s="38" t="str">
        <f>IF(IF(685&lt;=COUNTA(半紙!$B$11:$B$310),INDEX(半紙!$H$11:$H$310,685),IF(685&lt;=COUNTA(半紙!$B$11:$B$310)+COUNTA(条幅!$B$11:$B$310),INDEX(条幅!$H$11:$H$310,685-COUNTA(半紙!$B$11:$B$310)),IF(685&lt;=COUNTA(半紙!$B$11:$B$310)+COUNTA(条幅!$B$11:$B$310)+COUNTA(条幅4分の1!$B$11:$B$310),INDEX(条幅4分の1!$H$11:$H$310,685-COUNTA(半紙!$B$11:$B$310)-COUNTA(条幅!$B$11:$B$310)),"")))=0,"",IF(685&lt;=COUNTA(半紙!$B$11:$B$310),INDEX(半紙!$H$11:$H$310,685),IF(685&lt;=COUNTA(半紙!$B$11:$B$310)+COUNTA(条幅!$B$11:$B$310),INDEX(条幅!$H$11:$H$310,685-COUNTA(半紙!$B$11:$B$310)),IF(685&lt;=COUNTA(半紙!$B$11:$B$310)+COUNTA(条幅!$B$11:$B$310)+COUNTA(条幅4分の1!$B$11:$B$310),INDEX(条幅4分の1!$H$11:$H$310,685-COUNTA(半紙!$B$11:$B$310)-COUNTA(条幅!$B$11:$B$310)),""))))</f>
        <v/>
      </c>
      <c r="I690" s="38" t="str">
        <f>IF(IF(685&lt;=COUNTA(半紙!$B$11:$B$310),INDEX(半紙!$I$11:$I$310,685),IF(685&lt;=COUNTA(半紙!$B$11:$B$310)+COUNTA(条幅!$B$11:$B$310),INDEX(条幅!$I$11:$I$310,685-COUNTA(半紙!$B$11:$B$310)),IF(685&lt;=COUNTA(半紙!$B$11:$B$310)+COUNTA(条幅!$B$11:$B$310)+COUNTA(条幅4分の1!$B$11:$B$310),INDEX(条幅4分の1!$I$11:$I$310,685-COUNTA(半紙!$B$11:$B$310)-COUNTA(条幅!$B$11:$B$310)),"")))=0,"",IF(685&lt;=COUNTA(半紙!$B$11:$B$310),INDEX(半紙!$I$11:$I$310,685),IF(685&lt;=COUNTA(半紙!$B$11:$B$310)+COUNTA(条幅!$B$11:$B$310),INDEX(条幅!$I$11:$I$310,685-COUNTA(半紙!$B$11:$B$310)),IF(685&lt;=COUNTA(半紙!$B$11:$B$310)+COUNTA(条幅!$B$11:$B$310)+COUNTA(条幅4分の1!$B$11:$B$310),INDEX(条幅4分の1!$I$11:$I$310,685-COUNTA(半紙!$B$11:$B$310)-COUNTA(条幅!$B$11:$B$310)),""))))</f>
        <v/>
      </c>
      <c r="J690" s="38" t="str">
        <f>IF(IF(685&lt;=COUNTA(半紙!$B$11:$B$310),INDEX(半紙!$J$11:$J$310,685),IF(685&lt;=COUNTA(半紙!$B$11:$B$310)+COUNTA(条幅!$B$11:$B$310),INDEX(条幅!$J$11:$J$310,685-COUNTA(半紙!$B$11:$B$310)),IF(685&lt;=COUNTA(半紙!$B$11:$B$310)+COUNTA(条幅!$B$11:$B$310)+COUNTA(条幅4分の1!$B$11:$B$310),INDEX(条幅4分の1!$J$11:$J$310,685-COUNTA(半紙!$B$11:$B$310)-COUNTA(条幅!$B$11:$B$310)),"")))=0,"",IF(685&lt;=COUNTA(半紙!$B$11:$B$310),INDEX(半紙!$J$11:$J$310,685),IF(685&lt;=COUNTA(半紙!$B$11:$B$310)+COUNTA(条幅!$B$11:$B$310),INDEX(条幅!$J$11:$J$310,685-COUNTA(半紙!$B$11:$B$310)),IF(685&lt;=COUNTA(半紙!$B$11:$B$310)+COUNTA(条幅!$B$11:$B$310)+COUNTA(条幅4分の1!$B$11:$B$310),INDEX(条幅4分の1!$J$11:$J$310,685-COUNTA(半紙!$B$11:$B$310)-COUNTA(条幅!$B$11:$B$310)),""))))</f>
        <v/>
      </c>
      <c r="K690" s="38" t="str">
        <f>IF(IF(685&lt;=COUNTA(半紙!$B$11:$B$310),INDEX(半紙!$K$11:$K$310,685),IF(685&lt;=COUNTA(半紙!$B$11:$B$310)+COUNTA(条幅!$B$11:$B$310),INDEX(条幅!$K$11:$K$310,685-COUNTA(半紙!$B$11:$B$310)),IF(685&lt;=COUNTA(半紙!$B$11:$B$310)+COUNTA(条幅!$B$11:$B$310)+COUNTA(条幅4分の1!$B$11:$B$310),INDEX(条幅4分の1!$K$11:$K$310,685-COUNTA(半紙!$B$11:$B$310)-COUNTA(条幅!$B$11:$B$310)),"")))=0,"",IF(685&lt;=COUNTA(半紙!$B$11:$B$310),INDEX(半紙!$K$11:$K$310,685),IF(685&lt;=COUNTA(半紙!$B$11:$B$310)+COUNTA(条幅!$B$11:$B$310),INDEX(条幅!$K$11:$K$310,685-COUNTA(半紙!$B$11:$B$310)),IF(685&lt;=COUNTA(半紙!$B$11:$B$310)+COUNTA(条幅!$B$11:$B$310)+COUNTA(条幅4分の1!$B$11:$B$310),INDEX(条幅4分の1!$K$11:$K$310,685-COUNTA(半紙!$B$11:$B$310)-COUNTA(条幅!$B$11:$B$310)),""))))</f>
        <v/>
      </c>
      <c r="L690" s="48" t="str">
        <f>IF($B690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685))</f>
        <v/>
      </c>
    </row>
    <row r="691" spans="1:12" ht="15" customHeight="1">
      <c r="A691" s="37" t="str">
        <f>IF(686&lt;=COUNTA(半紙!$B$11:$B$310),"半紙",IF(686&lt;=COUNTA(半紙!$B$11:$B$310)+COUNTA(条幅!$B$11:$B$310),"条幅(半切)",IF(686&lt;=COUNTA(半紙!$B$11:$B$310)+COUNTA(条幅!$B$11:$B$310)+COUNTA(条幅4分の1!$B$11:$B$310),"条幅(1/4)","")))</f>
        <v/>
      </c>
      <c r="B691" s="38" t="str">
        <f>IF(IF(686&lt;=COUNTA(半紙!$B$11:$B$310),INDEX(半紙!$B$11:$B$310,686),IF(686&lt;=COUNTA(半紙!$B$11:$B$310)+COUNTA(条幅!$B$11:$B$310),INDEX(条幅!$B$11:$B$310,686-COUNTA(半紙!$B$11:$B$310)),IF(686&lt;=COUNTA(半紙!$B$11:$B$310)+COUNTA(条幅!$B$11:$B$310)+COUNTA(条幅4分の1!$B$11:$B$310),INDEX(条幅4分の1!$B$11:$B$310,686-COUNTA(半紙!$B$11:$B$310)-COUNTA(条幅!$B$11:$B$310)),"")))=0,"",IF(686&lt;=COUNTA(半紙!$B$11:$B$310),INDEX(半紙!$B$11:$B$310,686),IF(686&lt;=COUNTA(半紙!$B$11:$B$310)+COUNTA(条幅!$B$11:$B$310),INDEX(条幅!$B$11:$B$310,686-COUNTA(半紙!$B$11:$B$310)),IF(686&lt;=COUNTA(半紙!$B$11:$B$310)+COUNTA(条幅!$B$11:$B$310)+COUNTA(条幅4分の1!$B$11:$B$310),INDEX(条幅4分の1!$B$11:$B$310,686-COUNTA(半紙!$B$11:$B$310)-COUNTA(条幅!$B$11:$B$310)),""))))</f>
        <v/>
      </c>
      <c r="C691" s="38" t="str">
        <f>IF(IF(686&lt;=COUNTA(半紙!$B$11:$B$310),INDEX(半紙!$C$11:$C$310,686),IF(686&lt;=COUNTA(半紙!$B$11:$B$310)+COUNTA(条幅!$B$11:$B$310),INDEX(条幅!$C$11:$C$310,686-COUNTA(半紙!$B$11:$B$310)),IF(686&lt;=COUNTA(半紙!$B$11:$B$310)+COUNTA(条幅!$B$11:$B$310)+COUNTA(条幅4分の1!$B$11:$B$310),INDEX(条幅4分の1!$C$11:$C$310,686-COUNTA(半紙!$B$11:$B$310)-COUNTA(条幅!$B$11:$B$310)),"")))=0,"",IF(686&lt;=COUNTA(半紙!$B$11:$B$310),INDEX(半紙!$C$11:$C$310,686),IF(686&lt;=COUNTA(半紙!$B$11:$B$310)+COUNTA(条幅!$B$11:$B$310),INDEX(条幅!$C$11:$C$310,686-COUNTA(半紙!$B$11:$B$310)),IF(686&lt;=COUNTA(半紙!$B$11:$B$310)+COUNTA(条幅!$B$11:$B$310)+COUNTA(条幅4分の1!$B$11:$B$310),INDEX(条幅4分の1!$C$11:$C$310,686-COUNTA(半紙!$B$11:$B$310)-COUNTA(条幅!$B$11:$B$310)),""))))</f>
        <v/>
      </c>
      <c r="D691" s="38" t="str">
        <f>IF(IF(686&lt;=COUNTA(半紙!$B$11:$B$310),INDEX(半紙!$D$11:$D$310,686),IF(686&lt;=COUNTA(半紙!$B$11:$B$310)+COUNTA(条幅!$B$11:$B$310),INDEX(条幅!$D$11:$D$310,686-COUNTA(半紙!$B$11:$B$310)),IF(686&lt;=COUNTA(半紙!$B$11:$B$310)+COUNTA(条幅!$B$11:$B$310)+COUNTA(条幅4分の1!$B$11:$B$310),INDEX(条幅4分の1!$D$11:$D$310,686-COUNTA(半紙!$B$11:$B$310)-COUNTA(条幅!$B$11:$B$310)),"")))=0,"",IF(686&lt;=COUNTA(半紙!$B$11:$B$310),INDEX(半紙!$D$11:$D$310,686),IF(686&lt;=COUNTA(半紙!$B$11:$B$310)+COUNTA(条幅!$B$11:$B$310),INDEX(条幅!$D$11:$D$310,686-COUNTA(半紙!$B$11:$B$310)),IF(686&lt;=COUNTA(半紙!$B$11:$B$310)+COUNTA(条幅!$B$11:$B$310)+COUNTA(条幅4分の1!$B$11:$B$310),INDEX(条幅4分の1!$D$11:$D$310,686-COUNTA(半紙!$B$11:$B$310)-COUNTA(条幅!$B$11:$B$310)),""))))</f>
        <v/>
      </c>
      <c r="E691" s="38" t="str">
        <f>IF(IF(686&lt;=COUNTA(半紙!$B$11:$B$310),INDEX(半紙!$E$11:$E$310,686),IF(686&lt;=COUNTA(半紙!$B$11:$B$310)+COUNTA(条幅!$B$11:$B$310),INDEX(条幅!$E$11:$E$310,686-COUNTA(半紙!$B$11:$B$310)),IF(686&lt;=COUNTA(半紙!$B$11:$B$310)+COUNTA(条幅!$B$11:$B$310)+COUNTA(条幅4分の1!$B$11:$B$310),INDEX(条幅4分の1!$E$11:$E$310,686-COUNTA(半紙!$B$11:$B$310)-COUNTA(条幅!$B$11:$B$310)),"")))=0,"",IF(686&lt;=COUNTA(半紙!$B$11:$B$310),INDEX(半紙!$E$11:$E$310,686),IF(686&lt;=COUNTA(半紙!$B$11:$B$310)+COUNTA(条幅!$B$11:$B$310),INDEX(条幅!$E$11:$E$310,686-COUNTA(半紙!$B$11:$B$310)),IF(686&lt;=COUNTA(半紙!$B$11:$B$310)+COUNTA(条幅!$B$11:$B$310)+COUNTA(条幅4分の1!$B$11:$B$310),INDEX(条幅4分の1!$E$11:$E$310,686-COUNTA(半紙!$B$11:$B$310)-COUNTA(条幅!$B$11:$B$310)),""))))</f>
        <v/>
      </c>
      <c r="F691" s="38" t="str">
        <f>IF(IF(686&lt;=COUNTA(半紙!$B$11:$B$310),INDEX(半紙!$F$11:$F$310,686),IF(686&lt;=COUNTA(半紙!$B$11:$B$310)+COUNTA(条幅!$B$11:$B$310),INDEX(条幅!$F$11:$F$310,686-COUNTA(半紙!$B$11:$B$310)),IF(686&lt;=COUNTA(半紙!$B$11:$B$310)+COUNTA(条幅!$B$11:$B$310)+COUNTA(条幅4分の1!$B$11:$B$310),INDEX(条幅4分の1!$F$11:$F$310,686-COUNTA(半紙!$B$11:$B$310)-COUNTA(条幅!$B$11:$B$310)),"")))=0,"",IF(686&lt;=COUNTA(半紙!$B$11:$B$310),INDEX(半紙!$F$11:$F$310,686),IF(686&lt;=COUNTA(半紙!$B$11:$B$310)+COUNTA(条幅!$B$11:$B$310),INDEX(条幅!$F$11:$F$310,686-COUNTA(半紙!$B$11:$B$310)),IF(686&lt;=COUNTA(半紙!$B$11:$B$310)+COUNTA(条幅!$B$11:$B$310)+COUNTA(条幅4分の1!$B$11:$B$310),INDEX(条幅4分の1!$F$11:$F$310,686-COUNTA(半紙!$B$11:$B$310)-COUNTA(条幅!$B$11:$B$310)),""))))</f>
        <v/>
      </c>
      <c r="G691" s="38" t="str">
        <f>IF(IF(686&lt;=COUNTA(半紙!$B$11:$B$310),INDEX(半紙!$G$11:$G$310,686),IF(686&lt;=COUNTA(半紙!$B$11:$B$310)+COUNTA(条幅!$B$11:$B$310),INDEX(条幅!$G$11:$G$310,686-COUNTA(半紙!$B$11:$B$310)),IF(686&lt;=COUNTA(半紙!$B$11:$B$310)+COUNTA(条幅!$B$11:$B$310)+COUNTA(条幅4分の1!$B$11:$B$310),INDEX(条幅4分の1!$G$11:$G$310,686-COUNTA(半紙!$B$11:$B$310)-COUNTA(条幅!$B$11:$B$310)),"")))=0,"",IF(686&lt;=COUNTA(半紙!$B$11:$B$310),INDEX(半紙!$G$11:$G$310,686),IF(686&lt;=COUNTA(半紙!$B$11:$B$310)+COUNTA(条幅!$B$11:$B$310),INDEX(条幅!$G$11:$G$310,686-COUNTA(半紙!$B$11:$B$310)),IF(686&lt;=COUNTA(半紙!$B$11:$B$310)+COUNTA(条幅!$B$11:$B$310)+COUNTA(条幅4分の1!$B$11:$B$310),INDEX(条幅4分の1!$G$11:$G$310,686-COUNTA(半紙!$B$11:$B$310)-COUNTA(条幅!$B$11:$B$310)),""))))</f>
        <v/>
      </c>
      <c r="H691" s="38" t="str">
        <f>IF(IF(686&lt;=COUNTA(半紙!$B$11:$B$310),INDEX(半紙!$H$11:$H$310,686),IF(686&lt;=COUNTA(半紙!$B$11:$B$310)+COUNTA(条幅!$B$11:$B$310),INDEX(条幅!$H$11:$H$310,686-COUNTA(半紙!$B$11:$B$310)),IF(686&lt;=COUNTA(半紙!$B$11:$B$310)+COUNTA(条幅!$B$11:$B$310)+COUNTA(条幅4分の1!$B$11:$B$310),INDEX(条幅4分の1!$H$11:$H$310,686-COUNTA(半紙!$B$11:$B$310)-COUNTA(条幅!$B$11:$B$310)),"")))=0,"",IF(686&lt;=COUNTA(半紙!$B$11:$B$310),INDEX(半紙!$H$11:$H$310,686),IF(686&lt;=COUNTA(半紙!$B$11:$B$310)+COUNTA(条幅!$B$11:$B$310),INDEX(条幅!$H$11:$H$310,686-COUNTA(半紙!$B$11:$B$310)),IF(686&lt;=COUNTA(半紙!$B$11:$B$310)+COUNTA(条幅!$B$11:$B$310)+COUNTA(条幅4分の1!$B$11:$B$310),INDEX(条幅4分の1!$H$11:$H$310,686-COUNTA(半紙!$B$11:$B$310)-COUNTA(条幅!$B$11:$B$310)),""))))</f>
        <v/>
      </c>
      <c r="I691" s="38" t="str">
        <f>IF(IF(686&lt;=COUNTA(半紙!$B$11:$B$310),INDEX(半紙!$I$11:$I$310,686),IF(686&lt;=COUNTA(半紙!$B$11:$B$310)+COUNTA(条幅!$B$11:$B$310),INDEX(条幅!$I$11:$I$310,686-COUNTA(半紙!$B$11:$B$310)),IF(686&lt;=COUNTA(半紙!$B$11:$B$310)+COUNTA(条幅!$B$11:$B$310)+COUNTA(条幅4分の1!$B$11:$B$310),INDEX(条幅4分の1!$I$11:$I$310,686-COUNTA(半紙!$B$11:$B$310)-COUNTA(条幅!$B$11:$B$310)),"")))=0,"",IF(686&lt;=COUNTA(半紙!$B$11:$B$310),INDEX(半紙!$I$11:$I$310,686),IF(686&lt;=COUNTA(半紙!$B$11:$B$310)+COUNTA(条幅!$B$11:$B$310),INDEX(条幅!$I$11:$I$310,686-COUNTA(半紙!$B$11:$B$310)),IF(686&lt;=COUNTA(半紙!$B$11:$B$310)+COUNTA(条幅!$B$11:$B$310)+COUNTA(条幅4分の1!$B$11:$B$310),INDEX(条幅4分の1!$I$11:$I$310,686-COUNTA(半紙!$B$11:$B$310)-COUNTA(条幅!$B$11:$B$310)),""))))</f>
        <v/>
      </c>
      <c r="J691" s="38" t="str">
        <f>IF(IF(686&lt;=COUNTA(半紙!$B$11:$B$310),INDEX(半紙!$J$11:$J$310,686),IF(686&lt;=COUNTA(半紙!$B$11:$B$310)+COUNTA(条幅!$B$11:$B$310),INDEX(条幅!$J$11:$J$310,686-COUNTA(半紙!$B$11:$B$310)),IF(686&lt;=COUNTA(半紙!$B$11:$B$310)+COUNTA(条幅!$B$11:$B$310)+COUNTA(条幅4分の1!$B$11:$B$310),INDEX(条幅4分の1!$J$11:$J$310,686-COUNTA(半紙!$B$11:$B$310)-COUNTA(条幅!$B$11:$B$310)),"")))=0,"",IF(686&lt;=COUNTA(半紙!$B$11:$B$310),INDEX(半紙!$J$11:$J$310,686),IF(686&lt;=COUNTA(半紙!$B$11:$B$310)+COUNTA(条幅!$B$11:$B$310),INDEX(条幅!$J$11:$J$310,686-COUNTA(半紙!$B$11:$B$310)),IF(686&lt;=COUNTA(半紙!$B$11:$B$310)+COUNTA(条幅!$B$11:$B$310)+COUNTA(条幅4分の1!$B$11:$B$310),INDEX(条幅4分の1!$J$11:$J$310,686-COUNTA(半紙!$B$11:$B$310)-COUNTA(条幅!$B$11:$B$310)),""))))</f>
        <v/>
      </c>
      <c r="K691" s="38" t="str">
        <f>IF(IF(686&lt;=COUNTA(半紙!$B$11:$B$310),INDEX(半紙!$K$11:$K$310,686),IF(686&lt;=COUNTA(半紙!$B$11:$B$310)+COUNTA(条幅!$B$11:$B$310),INDEX(条幅!$K$11:$K$310,686-COUNTA(半紙!$B$11:$B$310)),IF(686&lt;=COUNTA(半紙!$B$11:$B$310)+COUNTA(条幅!$B$11:$B$310)+COUNTA(条幅4分の1!$B$11:$B$310),INDEX(条幅4分の1!$K$11:$K$310,686-COUNTA(半紙!$B$11:$B$310)-COUNTA(条幅!$B$11:$B$310)),"")))=0,"",IF(686&lt;=COUNTA(半紙!$B$11:$B$310),INDEX(半紙!$K$11:$K$310,686),IF(686&lt;=COUNTA(半紙!$B$11:$B$310)+COUNTA(条幅!$B$11:$B$310),INDEX(条幅!$K$11:$K$310,686-COUNTA(半紙!$B$11:$B$310)),IF(686&lt;=COUNTA(半紙!$B$11:$B$310)+COUNTA(条幅!$B$11:$B$310)+COUNTA(条幅4分の1!$B$11:$B$310),INDEX(条幅4分の1!$K$11:$K$310,686-COUNTA(半紙!$B$11:$B$310)-COUNTA(条幅!$B$11:$B$310)),""))))</f>
        <v/>
      </c>
      <c r="L691" s="48" t="str">
        <f>IF($B691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686))</f>
        <v/>
      </c>
    </row>
    <row r="692" spans="1:12" ht="15" customHeight="1">
      <c r="A692" s="37" t="str">
        <f>IF(687&lt;=COUNTA(半紙!$B$11:$B$310),"半紙",IF(687&lt;=COUNTA(半紙!$B$11:$B$310)+COUNTA(条幅!$B$11:$B$310),"条幅(半切)",IF(687&lt;=COUNTA(半紙!$B$11:$B$310)+COUNTA(条幅!$B$11:$B$310)+COUNTA(条幅4分の1!$B$11:$B$310),"条幅(1/4)","")))</f>
        <v/>
      </c>
      <c r="B692" s="38" t="str">
        <f>IF(IF(687&lt;=COUNTA(半紙!$B$11:$B$310),INDEX(半紙!$B$11:$B$310,687),IF(687&lt;=COUNTA(半紙!$B$11:$B$310)+COUNTA(条幅!$B$11:$B$310),INDEX(条幅!$B$11:$B$310,687-COUNTA(半紙!$B$11:$B$310)),IF(687&lt;=COUNTA(半紙!$B$11:$B$310)+COUNTA(条幅!$B$11:$B$310)+COUNTA(条幅4分の1!$B$11:$B$310),INDEX(条幅4分の1!$B$11:$B$310,687-COUNTA(半紙!$B$11:$B$310)-COUNTA(条幅!$B$11:$B$310)),"")))=0,"",IF(687&lt;=COUNTA(半紙!$B$11:$B$310),INDEX(半紙!$B$11:$B$310,687),IF(687&lt;=COUNTA(半紙!$B$11:$B$310)+COUNTA(条幅!$B$11:$B$310),INDEX(条幅!$B$11:$B$310,687-COUNTA(半紙!$B$11:$B$310)),IF(687&lt;=COUNTA(半紙!$B$11:$B$310)+COUNTA(条幅!$B$11:$B$310)+COUNTA(条幅4分の1!$B$11:$B$310),INDEX(条幅4分の1!$B$11:$B$310,687-COUNTA(半紙!$B$11:$B$310)-COUNTA(条幅!$B$11:$B$310)),""))))</f>
        <v/>
      </c>
      <c r="C692" s="38" t="str">
        <f>IF(IF(687&lt;=COUNTA(半紙!$B$11:$B$310),INDEX(半紙!$C$11:$C$310,687),IF(687&lt;=COUNTA(半紙!$B$11:$B$310)+COUNTA(条幅!$B$11:$B$310),INDEX(条幅!$C$11:$C$310,687-COUNTA(半紙!$B$11:$B$310)),IF(687&lt;=COUNTA(半紙!$B$11:$B$310)+COUNTA(条幅!$B$11:$B$310)+COUNTA(条幅4分の1!$B$11:$B$310),INDEX(条幅4分の1!$C$11:$C$310,687-COUNTA(半紙!$B$11:$B$310)-COUNTA(条幅!$B$11:$B$310)),"")))=0,"",IF(687&lt;=COUNTA(半紙!$B$11:$B$310),INDEX(半紙!$C$11:$C$310,687),IF(687&lt;=COUNTA(半紙!$B$11:$B$310)+COUNTA(条幅!$B$11:$B$310),INDEX(条幅!$C$11:$C$310,687-COUNTA(半紙!$B$11:$B$310)),IF(687&lt;=COUNTA(半紙!$B$11:$B$310)+COUNTA(条幅!$B$11:$B$310)+COUNTA(条幅4分の1!$B$11:$B$310),INDEX(条幅4分の1!$C$11:$C$310,687-COUNTA(半紙!$B$11:$B$310)-COUNTA(条幅!$B$11:$B$310)),""))))</f>
        <v/>
      </c>
      <c r="D692" s="38" t="str">
        <f>IF(IF(687&lt;=COUNTA(半紙!$B$11:$B$310),INDEX(半紙!$D$11:$D$310,687),IF(687&lt;=COUNTA(半紙!$B$11:$B$310)+COUNTA(条幅!$B$11:$B$310),INDEX(条幅!$D$11:$D$310,687-COUNTA(半紙!$B$11:$B$310)),IF(687&lt;=COUNTA(半紙!$B$11:$B$310)+COUNTA(条幅!$B$11:$B$310)+COUNTA(条幅4分の1!$B$11:$B$310),INDEX(条幅4分の1!$D$11:$D$310,687-COUNTA(半紙!$B$11:$B$310)-COUNTA(条幅!$B$11:$B$310)),"")))=0,"",IF(687&lt;=COUNTA(半紙!$B$11:$B$310),INDEX(半紙!$D$11:$D$310,687),IF(687&lt;=COUNTA(半紙!$B$11:$B$310)+COUNTA(条幅!$B$11:$B$310),INDEX(条幅!$D$11:$D$310,687-COUNTA(半紙!$B$11:$B$310)),IF(687&lt;=COUNTA(半紙!$B$11:$B$310)+COUNTA(条幅!$B$11:$B$310)+COUNTA(条幅4分の1!$B$11:$B$310),INDEX(条幅4分の1!$D$11:$D$310,687-COUNTA(半紙!$B$11:$B$310)-COUNTA(条幅!$B$11:$B$310)),""))))</f>
        <v/>
      </c>
      <c r="E692" s="38" t="str">
        <f>IF(IF(687&lt;=COUNTA(半紙!$B$11:$B$310),INDEX(半紙!$E$11:$E$310,687),IF(687&lt;=COUNTA(半紙!$B$11:$B$310)+COUNTA(条幅!$B$11:$B$310),INDEX(条幅!$E$11:$E$310,687-COUNTA(半紙!$B$11:$B$310)),IF(687&lt;=COUNTA(半紙!$B$11:$B$310)+COUNTA(条幅!$B$11:$B$310)+COUNTA(条幅4分の1!$B$11:$B$310),INDEX(条幅4分の1!$E$11:$E$310,687-COUNTA(半紙!$B$11:$B$310)-COUNTA(条幅!$B$11:$B$310)),"")))=0,"",IF(687&lt;=COUNTA(半紙!$B$11:$B$310),INDEX(半紙!$E$11:$E$310,687),IF(687&lt;=COUNTA(半紙!$B$11:$B$310)+COUNTA(条幅!$B$11:$B$310),INDEX(条幅!$E$11:$E$310,687-COUNTA(半紙!$B$11:$B$310)),IF(687&lt;=COUNTA(半紙!$B$11:$B$310)+COUNTA(条幅!$B$11:$B$310)+COUNTA(条幅4分の1!$B$11:$B$310),INDEX(条幅4分の1!$E$11:$E$310,687-COUNTA(半紙!$B$11:$B$310)-COUNTA(条幅!$B$11:$B$310)),""))))</f>
        <v/>
      </c>
      <c r="F692" s="38" t="str">
        <f>IF(IF(687&lt;=COUNTA(半紙!$B$11:$B$310),INDEX(半紙!$F$11:$F$310,687),IF(687&lt;=COUNTA(半紙!$B$11:$B$310)+COUNTA(条幅!$B$11:$B$310),INDEX(条幅!$F$11:$F$310,687-COUNTA(半紙!$B$11:$B$310)),IF(687&lt;=COUNTA(半紙!$B$11:$B$310)+COUNTA(条幅!$B$11:$B$310)+COUNTA(条幅4分の1!$B$11:$B$310),INDEX(条幅4分の1!$F$11:$F$310,687-COUNTA(半紙!$B$11:$B$310)-COUNTA(条幅!$B$11:$B$310)),"")))=0,"",IF(687&lt;=COUNTA(半紙!$B$11:$B$310),INDEX(半紙!$F$11:$F$310,687),IF(687&lt;=COUNTA(半紙!$B$11:$B$310)+COUNTA(条幅!$B$11:$B$310),INDEX(条幅!$F$11:$F$310,687-COUNTA(半紙!$B$11:$B$310)),IF(687&lt;=COUNTA(半紙!$B$11:$B$310)+COUNTA(条幅!$B$11:$B$310)+COUNTA(条幅4分の1!$B$11:$B$310),INDEX(条幅4分の1!$F$11:$F$310,687-COUNTA(半紙!$B$11:$B$310)-COUNTA(条幅!$B$11:$B$310)),""))))</f>
        <v/>
      </c>
      <c r="G692" s="38" t="str">
        <f>IF(IF(687&lt;=COUNTA(半紙!$B$11:$B$310),INDEX(半紙!$G$11:$G$310,687),IF(687&lt;=COUNTA(半紙!$B$11:$B$310)+COUNTA(条幅!$B$11:$B$310),INDEX(条幅!$G$11:$G$310,687-COUNTA(半紙!$B$11:$B$310)),IF(687&lt;=COUNTA(半紙!$B$11:$B$310)+COUNTA(条幅!$B$11:$B$310)+COUNTA(条幅4分の1!$B$11:$B$310),INDEX(条幅4分の1!$G$11:$G$310,687-COUNTA(半紙!$B$11:$B$310)-COUNTA(条幅!$B$11:$B$310)),"")))=0,"",IF(687&lt;=COUNTA(半紙!$B$11:$B$310),INDEX(半紙!$G$11:$G$310,687),IF(687&lt;=COUNTA(半紙!$B$11:$B$310)+COUNTA(条幅!$B$11:$B$310),INDEX(条幅!$G$11:$G$310,687-COUNTA(半紙!$B$11:$B$310)),IF(687&lt;=COUNTA(半紙!$B$11:$B$310)+COUNTA(条幅!$B$11:$B$310)+COUNTA(条幅4分の1!$B$11:$B$310),INDEX(条幅4分の1!$G$11:$G$310,687-COUNTA(半紙!$B$11:$B$310)-COUNTA(条幅!$B$11:$B$310)),""))))</f>
        <v/>
      </c>
      <c r="H692" s="38" t="str">
        <f>IF(IF(687&lt;=COUNTA(半紙!$B$11:$B$310),INDEX(半紙!$H$11:$H$310,687),IF(687&lt;=COUNTA(半紙!$B$11:$B$310)+COUNTA(条幅!$B$11:$B$310),INDEX(条幅!$H$11:$H$310,687-COUNTA(半紙!$B$11:$B$310)),IF(687&lt;=COUNTA(半紙!$B$11:$B$310)+COUNTA(条幅!$B$11:$B$310)+COUNTA(条幅4分の1!$B$11:$B$310),INDEX(条幅4分の1!$H$11:$H$310,687-COUNTA(半紙!$B$11:$B$310)-COUNTA(条幅!$B$11:$B$310)),"")))=0,"",IF(687&lt;=COUNTA(半紙!$B$11:$B$310),INDEX(半紙!$H$11:$H$310,687),IF(687&lt;=COUNTA(半紙!$B$11:$B$310)+COUNTA(条幅!$B$11:$B$310),INDEX(条幅!$H$11:$H$310,687-COUNTA(半紙!$B$11:$B$310)),IF(687&lt;=COUNTA(半紙!$B$11:$B$310)+COUNTA(条幅!$B$11:$B$310)+COUNTA(条幅4分の1!$B$11:$B$310),INDEX(条幅4分の1!$H$11:$H$310,687-COUNTA(半紙!$B$11:$B$310)-COUNTA(条幅!$B$11:$B$310)),""))))</f>
        <v/>
      </c>
      <c r="I692" s="38" t="str">
        <f>IF(IF(687&lt;=COUNTA(半紙!$B$11:$B$310),INDEX(半紙!$I$11:$I$310,687),IF(687&lt;=COUNTA(半紙!$B$11:$B$310)+COUNTA(条幅!$B$11:$B$310),INDEX(条幅!$I$11:$I$310,687-COUNTA(半紙!$B$11:$B$310)),IF(687&lt;=COUNTA(半紙!$B$11:$B$310)+COUNTA(条幅!$B$11:$B$310)+COUNTA(条幅4分の1!$B$11:$B$310),INDEX(条幅4分の1!$I$11:$I$310,687-COUNTA(半紙!$B$11:$B$310)-COUNTA(条幅!$B$11:$B$310)),"")))=0,"",IF(687&lt;=COUNTA(半紙!$B$11:$B$310),INDEX(半紙!$I$11:$I$310,687),IF(687&lt;=COUNTA(半紙!$B$11:$B$310)+COUNTA(条幅!$B$11:$B$310),INDEX(条幅!$I$11:$I$310,687-COUNTA(半紙!$B$11:$B$310)),IF(687&lt;=COUNTA(半紙!$B$11:$B$310)+COUNTA(条幅!$B$11:$B$310)+COUNTA(条幅4分の1!$B$11:$B$310),INDEX(条幅4分の1!$I$11:$I$310,687-COUNTA(半紙!$B$11:$B$310)-COUNTA(条幅!$B$11:$B$310)),""))))</f>
        <v/>
      </c>
      <c r="J692" s="38" t="str">
        <f>IF(IF(687&lt;=COUNTA(半紙!$B$11:$B$310),INDEX(半紙!$J$11:$J$310,687),IF(687&lt;=COUNTA(半紙!$B$11:$B$310)+COUNTA(条幅!$B$11:$B$310),INDEX(条幅!$J$11:$J$310,687-COUNTA(半紙!$B$11:$B$310)),IF(687&lt;=COUNTA(半紙!$B$11:$B$310)+COUNTA(条幅!$B$11:$B$310)+COUNTA(条幅4分の1!$B$11:$B$310),INDEX(条幅4分の1!$J$11:$J$310,687-COUNTA(半紙!$B$11:$B$310)-COUNTA(条幅!$B$11:$B$310)),"")))=0,"",IF(687&lt;=COUNTA(半紙!$B$11:$B$310),INDEX(半紙!$J$11:$J$310,687),IF(687&lt;=COUNTA(半紙!$B$11:$B$310)+COUNTA(条幅!$B$11:$B$310),INDEX(条幅!$J$11:$J$310,687-COUNTA(半紙!$B$11:$B$310)),IF(687&lt;=COUNTA(半紙!$B$11:$B$310)+COUNTA(条幅!$B$11:$B$310)+COUNTA(条幅4分の1!$B$11:$B$310),INDEX(条幅4分の1!$J$11:$J$310,687-COUNTA(半紙!$B$11:$B$310)-COUNTA(条幅!$B$11:$B$310)),""))))</f>
        <v/>
      </c>
      <c r="K692" s="38" t="str">
        <f>IF(IF(687&lt;=COUNTA(半紙!$B$11:$B$310),INDEX(半紙!$K$11:$K$310,687),IF(687&lt;=COUNTA(半紙!$B$11:$B$310)+COUNTA(条幅!$B$11:$B$310),INDEX(条幅!$K$11:$K$310,687-COUNTA(半紙!$B$11:$B$310)),IF(687&lt;=COUNTA(半紙!$B$11:$B$310)+COUNTA(条幅!$B$11:$B$310)+COUNTA(条幅4分の1!$B$11:$B$310),INDEX(条幅4分の1!$K$11:$K$310,687-COUNTA(半紙!$B$11:$B$310)-COUNTA(条幅!$B$11:$B$310)),"")))=0,"",IF(687&lt;=COUNTA(半紙!$B$11:$B$310),INDEX(半紙!$K$11:$K$310,687),IF(687&lt;=COUNTA(半紙!$B$11:$B$310)+COUNTA(条幅!$B$11:$B$310),INDEX(条幅!$K$11:$K$310,687-COUNTA(半紙!$B$11:$B$310)),IF(687&lt;=COUNTA(半紙!$B$11:$B$310)+COUNTA(条幅!$B$11:$B$310)+COUNTA(条幅4分の1!$B$11:$B$310),INDEX(条幅4分の1!$K$11:$K$310,687-COUNTA(半紙!$B$11:$B$310)-COUNTA(条幅!$B$11:$B$310)),""))))</f>
        <v/>
      </c>
      <c r="L692" s="48" t="str">
        <f>IF($B692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687))</f>
        <v/>
      </c>
    </row>
    <row r="693" spans="1:12" ht="15" customHeight="1">
      <c r="A693" s="37" t="str">
        <f>IF(688&lt;=COUNTA(半紙!$B$11:$B$310),"半紙",IF(688&lt;=COUNTA(半紙!$B$11:$B$310)+COUNTA(条幅!$B$11:$B$310),"条幅(半切)",IF(688&lt;=COUNTA(半紙!$B$11:$B$310)+COUNTA(条幅!$B$11:$B$310)+COUNTA(条幅4分の1!$B$11:$B$310),"条幅(1/4)","")))</f>
        <v/>
      </c>
      <c r="B693" s="38" t="str">
        <f>IF(IF(688&lt;=COUNTA(半紙!$B$11:$B$310),INDEX(半紙!$B$11:$B$310,688),IF(688&lt;=COUNTA(半紙!$B$11:$B$310)+COUNTA(条幅!$B$11:$B$310),INDEX(条幅!$B$11:$B$310,688-COUNTA(半紙!$B$11:$B$310)),IF(688&lt;=COUNTA(半紙!$B$11:$B$310)+COUNTA(条幅!$B$11:$B$310)+COUNTA(条幅4分の1!$B$11:$B$310),INDEX(条幅4分の1!$B$11:$B$310,688-COUNTA(半紙!$B$11:$B$310)-COUNTA(条幅!$B$11:$B$310)),"")))=0,"",IF(688&lt;=COUNTA(半紙!$B$11:$B$310),INDEX(半紙!$B$11:$B$310,688),IF(688&lt;=COUNTA(半紙!$B$11:$B$310)+COUNTA(条幅!$B$11:$B$310),INDEX(条幅!$B$11:$B$310,688-COUNTA(半紙!$B$11:$B$310)),IF(688&lt;=COUNTA(半紙!$B$11:$B$310)+COUNTA(条幅!$B$11:$B$310)+COUNTA(条幅4分の1!$B$11:$B$310),INDEX(条幅4分の1!$B$11:$B$310,688-COUNTA(半紙!$B$11:$B$310)-COUNTA(条幅!$B$11:$B$310)),""))))</f>
        <v/>
      </c>
      <c r="C693" s="38" t="str">
        <f>IF(IF(688&lt;=COUNTA(半紙!$B$11:$B$310),INDEX(半紙!$C$11:$C$310,688),IF(688&lt;=COUNTA(半紙!$B$11:$B$310)+COUNTA(条幅!$B$11:$B$310),INDEX(条幅!$C$11:$C$310,688-COUNTA(半紙!$B$11:$B$310)),IF(688&lt;=COUNTA(半紙!$B$11:$B$310)+COUNTA(条幅!$B$11:$B$310)+COUNTA(条幅4分の1!$B$11:$B$310),INDEX(条幅4分の1!$C$11:$C$310,688-COUNTA(半紙!$B$11:$B$310)-COUNTA(条幅!$B$11:$B$310)),"")))=0,"",IF(688&lt;=COUNTA(半紙!$B$11:$B$310),INDEX(半紙!$C$11:$C$310,688),IF(688&lt;=COUNTA(半紙!$B$11:$B$310)+COUNTA(条幅!$B$11:$B$310),INDEX(条幅!$C$11:$C$310,688-COUNTA(半紙!$B$11:$B$310)),IF(688&lt;=COUNTA(半紙!$B$11:$B$310)+COUNTA(条幅!$B$11:$B$310)+COUNTA(条幅4分の1!$B$11:$B$310),INDEX(条幅4分の1!$C$11:$C$310,688-COUNTA(半紙!$B$11:$B$310)-COUNTA(条幅!$B$11:$B$310)),""))))</f>
        <v/>
      </c>
      <c r="D693" s="38" t="str">
        <f>IF(IF(688&lt;=COUNTA(半紙!$B$11:$B$310),INDEX(半紙!$D$11:$D$310,688),IF(688&lt;=COUNTA(半紙!$B$11:$B$310)+COUNTA(条幅!$B$11:$B$310),INDEX(条幅!$D$11:$D$310,688-COUNTA(半紙!$B$11:$B$310)),IF(688&lt;=COUNTA(半紙!$B$11:$B$310)+COUNTA(条幅!$B$11:$B$310)+COUNTA(条幅4分の1!$B$11:$B$310),INDEX(条幅4分の1!$D$11:$D$310,688-COUNTA(半紙!$B$11:$B$310)-COUNTA(条幅!$B$11:$B$310)),"")))=0,"",IF(688&lt;=COUNTA(半紙!$B$11:$B$310),INDEX(半紙!$D$11:$D$310,688),IF(688&lt;=COUNTA(半紙!$B$11:$B$310)+COUNTA(条幅!$B$11:$B$310),INDEX(条幅!$D$11:$D$310,688-COUNTA(半紙!$B$11:$B$310)),IF(688&lt;=COUNTA(半紙!$B$11:$B$310)+COUNTA(条幅!$B$11:$B$310)+COUNTA(条幅4分の1!$B$11:$B$310),INDEX(条幅4分の1!$D$11:$D$310,688-COUNTA(半紙!$B$11:$B$310)-COUNTA(条幅!$B$11:$B$310)),""))))</f>
        <v/>
      </c>
      <c r="E693" s="38" t="str">
        <f>IF(IF(688&lt;=COUNTA(半紙!$B$11:$B$310),INDEX(半紙!$E$11:$E$310,688),IF(688&lt;=COUNTA(半紙!$B$11:$B$310)+COUNTA(条幅!$B$11:$B$310),INDEX(条幅!$E$11:$E$310,688-COUNTA(半紙!$B$11:$B$310)),IF(688&lt;=COUNTA(半紙!$B$11:$B$310)+COUNTA(条幅!$B$11:$B$310)+COUNTA(条幅4分の1!$B$11:$B$310),INDEX(条幅4分の1!$E$11:$E$310,688-COUNTA(半紙!$B$11:$B$310)-COUNTA(条幅!$B$11:$B$310)),"")))=0,"",IF(688&lt;=COUNTA(半紙!$B$11:$B$310),INDEX(半紙!$E$11:$E$310,688),IF(688&lt;=COUNTA(半紙!$B$11:$B$310)+COUNTA(条幅!$B$11:$B$310),INDEX(条幅!$E$11:$E$310,688-COUNTA(半紙!$B$11:$B$310)),IF(688&lt;=COUNTA(半紙!$B$11:$B$310)+COUNTA(条幅!$B$11:$B$310)+COUNTA(条幅4分の1!$B$11:$B$310),INDEX(条幅4分の1!$E$11:$E$310,688-COUNTA(半紙!$B$11:$B$310)-COUNTA(条幅!$B$11:$B$310)),""))))</f>
        <v/>
      </c>
      <c r="F693" s="38" t="str">
        <f>IF(IF(688&lt;=COUNTA(半紙!$B$11:$B$310),INDEX(半紙!$F$11:$F$310,688),IF(688&lt;=COUNTA(半紙!$B$11:$B$310)+COUNTA(条幅!$B$11:$B$310),INDEX(条幅!$F$11:$F$310,688-COUNTA(半紙!$B$11:$B$310)),IF(688&lt;=COUNTA(半紙!$B$11:$B$310)+COUNTA(条幅!$B$11:$B$310)+COUNTA(条幅4分の1!$B$11:$B$310),INDEX(条幅4分の1!$F$11:$F$310,688-COUNTA(半紙!$B$11:$B$310)-COUNTA(条幅!$B$11:$B$310)),"")))=0,"",IF(688&lt;=COUNTA(半紙!$B$11:$B$310),INDEX(半紙!$F$11:$F$310,688),IF(688&lt;=COUNTA(半紙!$B$11:$B$310)+COUNTA(条幅!$B$11:$B$310),INDEX(条幅!$F$11:$F$310,688-COUNTA(半紙!$B$11:$B$310)),IF(688&lt;=COUNTA(半紙!$B$11:$B$310)+COUNTA(条幅!$B$11:$B$310)+COUNTA(条幅4分の1!$B$11:$B$310),INDEX(条幅4分の1!$F$11:$F$310,688-COUNTA(半紙!$B$11:$B$310)-COUNTA(条幅!$B$11:$B$310)),""))))</f>
        <v/>
      </c>
      <c r="G693" s="38" t="str">
        <f>IF(IF(688&lt;=COUNTA(半紙!$B$11:$B$310),INDEX(半紙!$G$11:$G$310,688),IF(688&lt;=COUNTA(半紙!$B$11:$B$310)+COUNTA(条幅!$B$11:$B$310),INDEX(条幅!$G$11:$G$310,688-COUNTA(半紙!$B$11:$B$310)),IF(688&lt;=COUNTA(半紙!$B$11:$B$310)+COUNTA(条幅!$B$11:$B$310)+COUNTA(条幅4分の1!$B$11:$B$310),INDEX(条幅4分の1!$G$11:$G$310,688-COUNTA(半紙!$B$11:$B$310)-COUNTA(条幅!$B$11:$B$310)),"")))=0,"",IF(688&lt;=COUNTA(半紙!$B$11:$B$310),INDEX(半紙!$G$11:$G$310,688),IF(688&lt;=COUNTA(半紙!$B$11:$B$310)+COUNTA(条幅!$B$11:$B$310),INDEX(条幅!$G$11:$G$310,688-COUNTA(半紙!$B$11:$B$310)),IF(688&lt;=COUNTA(半紙!$B$11:$B$310)+COUNTA(条幅!$B$11:$B$310)+COUNTA(条幅4分の1!$B$11:$B$310),INDEX(条幅4分の1!$G$11:$G$310,688-COUNTA(半紙!$B$11:$B$310)-COUNTA(条幅!$B$11:$B$310)),""))))</f>
        <v/>
      </c>
      <c r="H693" s="38" t="str">
        <f>IF(IF(688&lt;=COUNTA(半紙!$B$11:$B$310),INDEX(半紙!$H$11:$H$310,688),IF(688&lt;=COUNTA(半紙!$B$11:$B$310)+COUNTA(条幅!$B$11:$B$310),INDEX(条幅!$H$11:$H$310,688-COUNTA(半紙!$B$11:$B$310)),IF(688&lt;=COUNTA(半紙!$B$11:$B$310)+COUNTA(条幅!$B$11:$B$310)+COUNTA(条幅4分の1!$B$11:$B$310),INDEX(条幅4分の1!$H$11:$H$310,688-COUNTA(半紙!$B$11:$B$310)-COUNTA(条幅!$B$11:$B$310)),"")))=0,"",IF(688&lt;=COUNTA(半紙!$B$11:$B$310),INDEX(半紙!$H$11:$H$310,688),IF(688&lt;=COUNTA(半紙!$B$11:$B$310)+COUNTA(条幅!$B$11:$B$310),INDEX(条幅!$H$11:$H$310,688-COUNTA(半紙!$B$11:$B$310)),IF(688&lt;=COUNTA(半紙!$B$11:$B$310)+COUNTA(条幅!$B$11:$B$310)+COUNTA(条幅4分の1!$B$11:$B$310),INDEX(条幅4分の1!$H$11:$H$310,688-COUNTA(半紙!$B$11:$B$310)-COUNTA(条幅!$B$11:$B$310)),""))))</f>
        <v/>
      </c>
      <c r="I693" s="38" t="str">
        <f>IF(IF(688&lt;=COUNTA(半紙!$B$11:$B$310),INDEX(半紙!$I$11:$I$310,688),IF(688&lt;=COUNTA(半紙!$B$11:$B$310)+COUNTA(条幅!$B$11:$B$310),INDEX(条幅!$I$11:$I$310,688-COUNTA(半紙!$B$11:$B$310)),IF(688&lt;=COUNTA(半紙!$B$11:$B$310)+COUNTA(条幅!$B$11:$B$310)+COUNTA(条幅4分の1!$B$11:$B$310),INDEX(条幅4分の1!$I$11:$I$310,688-COUNTA(半紙!$B$11:$B$310)-COUNTA(条幅!$B$11:$B$310)),"")))=0,"",IF(688&lt;=COUNTA(半紙!$B$11:$B$310),INDEX(半紙!$I$11:$I$310,688),IF(688&lt;=COUNTA(半紙!$B$11:$B$310)+COUNTA(条幅!$B$11:$B$310),INDEX(条幅!$I$11:$I$310,688-COUNTA(半紙!$B$11:$B$310)),IF(688&lt;=COUNTA(半紙!$B$11:$B$310)+COUNTA(条幅!$B$11:$B$310)+COUNTA(条幅4分の1!$B$11:$B$310),INDEX(条幅4分の1!$I$11:$I$310,688-COUNTA(半紙!$B$11:$B$310)-COUNTA(条幅!$B$11:$B$310)),""))))</f>
        <v/>
      </c>
      <c r="J693" s="38" t="str">
        <f>IF(IF(688&lt;=COUNTA(半紙!$B$11:$B$310),INDEX(半紙!$J$11:$J$310,688),IF(688&lt;=COUNTA(半紙!$B$11:$B$310)+COUNTA(条幅!$B$11:$B$310),INDEX(条幅!$J$11:$J$310,688-COUNTA(半紙!$B$11:$B$310)),IF(688&lt;=COUNTA(半紙!$B$11:$B$310)+COUNTA(条幅!$B$11:$B$310)+COUNTA(条幅4分の1!$B$11:$B$310),INDEX(条幅4分の1!$J$11:$J$310,688-COUNTA(半紙!$B$11:$B$310)-COUNTA(条幅!$B$11:$B$310)),"")))=0,"",IF(688&lt;=COUNTA(半紙!$B$11:$B$310),INDEX(半紙!$J$11:$J$310,688),IF(688&lt;=COUNTA(半紙!$B$11:$B$310)+COUNTA(条幅!$B$11:$B$310),INDEX(条幅!$J$11:$J$310,688-COUNTA(半紙!$B$11:$B$310)),IF(688&lt;=COUNTA(半紙!$B$11:$B$310)+COUNTA(条幅!$B$11:$B$310)+COUNTA(条幅4分の1!$B$11:$B$310),INDEX(条幅4分の1!$J$11:$J$310,688-COUNTA(半紙!$B$11:$B$310)-COUNTA(条幅!$B$11:$B$310)),""))))</f>
        <v/>
      </c>
      <c r="K693" s="38" t="str">
        <f>IF(IF(688&lt;=COUNTA(半紙!$B$11:$B$310),INDEX(半紙!$K$11:$K$310,688),IF(688&lt;=COUNTA(半紙!$B$11:$B$310)+COUNTA(条幅!$B$11:$B$310),INDEX(条幅!$K$11:$K$310,688-COUNTA(半紙!$B$11:$B$310)),IF(688&lt;=COUNTA(半紙!$B$11:$B$310)+COUNTA(条幅!$B$11:$B$310)+COUNTA(条幅4分の1!$B$11:$B$310),INDEX(条幅4分の1!$K$11:$K$310,688-COUNTA(半紙!$B$11:$B$310)-COUNTA(条幅!$B$11:$B$310)),"")))=0,"",IF(688&lt;=COUNTA(半紙!$B$11:$B$310),INDEX(半紙!$K$11:$K$310,688),IF(688&lt;=COUNTA(半紙!$B$11:$B$310)+COUNTA(条幅!$B$11:$B$310),INDEX(条幅!$K$11:$K$310,688-COUNTA(半紙!$B$11:$B$310)),IF(688&lt;=COUNTA(半紙!$B$11:$B$310)+COUNTA(条幅!$B$11:$B$310)+COUNTA(条幅4分の1!$B$11:$B$310),INDEX(条幅4分の1!$K$11:$K$310,688-COUNTA(半紙!$B$11:$B$310)-COUNTA(条幅!$B$11:$B$310)),""))))</f>
        <v/>
      </c>
      <c r="L693" s="48" t="str">
        <f>IF($B693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688))</f>
        <v/>
      </c>
    </row>
    <row r="694" spans="1:12" ht="15" customHeight="1">
      <c r="A694" s="37" t="str">
        <f>IF(689&lt;=COUNTA(半紙!$B$11:$B$310),"半紙",IF(689&lt;=COUNTA(半紙!$B$11:$B$310)+COUNTA(条幅!$B$11:$B$310),"条幅(半切)",IF(689&lt;=COUNTA(半紙!$B$11:$B$310)+COUNTA(条幅!$B$11:$B$310)+COUNTA(条幅4分の1!$B$11:$B$310),"条幅(1/4)","")))</f>
        <v/>
      </c>
      <c r="B694" s="38" t="str">
        <f>IF(IF(689&lt;=COUNTA(半紙!$B$11:$B$310),INDEX(半紙!$B$11:$B$310,689),IF(689&lt;=COUNTA(半紙!$B$11:$B$310)+COUNTA(条幅!$B$11:$B$310),INDEX(条幅!$B$11:$B$310,689-COUNTA(半紙!$B$11:$B$310)),IF(689&lt;=COUNTA(半紙!$B$11:$B$310)+COUNTA(条幅!$B$11:$B$310)+COUNTA(条幅4分の1!$B$11:$B$310),INDEX(条幅4分の1!$B$11:$B$310,689-COUNTA(半紙!$B$11:$B$310)-COUNTA(条幅!$B$11:$B$310)),"")))=0,"",IF(689&lt;=COUNTA(半紙!$B$11:$B$310),INDEX(半紙!$B$11:$B$310,689),IF(689&lt;=COUNTA(半紙!$B$11:$B$310)+COUNTA(条幅!$B$11:$B$310),INDEX(条幅!$B$11:$B$310,689-COUNTA(半紙!$B$11:$B$310)),IF(689&lt;=COUNTA(半紙!$B$11:$B$310)+COUNTA(条幅!$B$11:$B$310)+COUNTA(条幅4分の1!$B$11:$B$310),INDEX(条幅4分の1!$B$11:$B$310,689-COUNTA(半紙!$B$11:$B$310)-COUNTA(条幅!$B$11:$B$310)),""))))</f>
        <v/>
      </c>
      <c r="C694" s="38" t="str">
        <f>IF(IF(689&lt;=COUNTA(半紙!$B$11:$B$310),INDEX(半紙!$C$11:$C$310,689),IF(689&lt;=COUNTA(半紙!$B$11:$B$310)+COUNTA(条幅!$B$11:$B$310),INDEX(条幅!$C$11:$C$310,689-COUNTA(半紙!$B$11:$B$310)),IF(689&lt;=COUNTA(半紙!$B$11:$B$310)+COUNTA(条幅!$B$11:$B$310)+COUNTA(条幅4分の1!$B$11:$B$310),INDEX(条幅4分の1!$C$11:$C$310,689-COUNTA(半紙!$B$11:$B$310)-COUNTA(条幅!$B$11:$B$310)),"")))=0,"",IF(689&lt;=COUNTA(半紙!$B$11:$B$310),INDEX(半紙!$C$11:$C$310,689),IF(689&lt;=COUNTA(半紙!$B$11:$B$310)+COUNTA(条幅!$B$11:$B$310),INDEX(条幅!$C$11:$C$310,689-COUNTA(半紙!$B$11:$B$310)),IF(689&lt;=COUNTA(半紙!$B$11:$B$310)+COUNTA(条幅!$B$11:$B$310)+COUNTA(条幅4分の1!$B$11:$B$310),INDEX(条幅4分の1!$C$11:$C$310,689-COUNTA(半紙!$B$11:$B$310)-COUNTA(条幅!$B$11:$B$310)),""))))</f>
        <v/>
      </c>
      <c r="D694" s="38" t="str">
        <f>IF(IF(689&lt;=COUNTA(半紙!$B$11:$B$310),INDEX(半紙!$D$11:$D$310,689),IF(689&lt;=COUNTA(半紙!$B$11:$B$310)+COUNTA(条幅!$B$11:$B$310),INDEX(条幅!$D$11:$D$310,689-COUNTA(半紙!$B$11:$B$310)),IF(689&lt;=COUNTA(半紙!$B$11:$B$310)+COUNTA(条幅!$B$11:$B$310)+COUNTA(条幅4分の1!$B$11:$B$310),INDEX(条幅4分の1!$D$11:$D$310,689-COUNTA(半紙!$B$11:$B$310)-COUNTA(条幅!$B$11:$B$310)),"")))=0,"",IF(689&lt;=COUNTA(半紙!$B$11:$B$310),INDEX(半紙!$D$11:$D$310,689),IF(689&lt;=COUNTA(半紙!$B$11:$B$310)+COUNTA(条幅!$B$11:$B$310),INDEX(条幅!$D$11:$D$310,689-COUNTA(半紙!$B$11:$B$310)),IF(689&lt;=COUNTA(半紙!$B$11:$B$310)+COUNTA(条幅!$B$11:$B$310)+COUNTA(条幅4分の1!$B$11:$B$310),INDEX(条幅4分の1!$D$11:$D$310,689-COUNTA(半紙!$B$11:$B$310)-COUNTA(条幅!$B$11:$B$310)),""))))</f>
        <v/>
      </c>
      <c r="E694" s="38" t="str">
        <f>IF(IF(689&lt;=COUNTA(半紙!$B$11:$B$310),INDEX(半紙!$E$11:$E$310,689),IF(689&lt;=COUNTA(半紙!$B$11:$B$310)+COUNTA(条幅!$B$11:$B$310),INDEX(条幅!$E$11:$E$310,689-COUNTA(半紙!$B$11:$B$310)),IF(689&lt;=COUNTA(半紙!$B$11:$B$310)+COUNTA(条幅!$B$11:$B$310)+COUNTA(条幅4分の1!$B$11:$B$310),INDEX(条幅4分の1!$E$11:$E$310,689-COUNTA(半紙!$B$11:$B$310)-COUNTA(条幅!$B$11:$B$310)),"")))=0,"",IF(689&lt;=COUNTA(半紙!$B$11:$B$310),INDEX(半紙!$E$11:$E$310,689),IF(689&lt;=COUNTA(半紙!$B$11:$B$310)+COUNTA(条幅!$B$11:$B$310),INDEX(条幅!$E$11:$E$310,689-COUNTA(半紙!$B$11:$B$310)),IF(689&lt;=COUNTA(半紙!$B$11:$B$310)+COUNTA(条幅!$B$11:$B$310)+COUNTA(条幅4分の1!$B$11:$B$310),INDEX(条幅4分の1!$E$11:$E$310,689-COUNTA(半紙!$B$11:$B$310)-COUNTA(条幅!$B$11:$B$310)),""))))</f>
        <v/>
      </c>
      <c r="F694" s="38" t="str">
        <f>IF(IF(689&lt;=COUNTA(半紙!$B$11:$B$310),INDEX(半紙!$F$11:$F$310,689),IF(689&lt;=COUNTA(半紙!$B$11:$B$310)+COUNTA(条幅!$B$11:$B$310),INDEX(条幅!$F$11:$F$310,689-COUNTA(半紙!$B$11:$B$310)),IF(689&lt;=COUNTA(半紙!$B$11:$B$310)+COUNTA(条幅!$B$11:$B$310)+COUNTA(条幅4分の1!$B$11:$B$310),INDEX(条幅4分の1!$F$11:$F$310,689-COUNTA(半紙!$B$11:$B$310)-COUNTA(条幅!$B$11:$B$310)),"")))=0,"",IF(689&lt;=COUNTA(半紙!$B$11:$B$310),INDEX(半紙!$F$11:$F$310,689),IF(689&lt;=COUNTA(半紙!$B$11:$B$310)+COUNTA(条幅!$B$11:$B$310),INDEX(条幅!$F$11:$F$310,689-COUNTA(半紙!$B$11:$B$310)),IF(689&lt;=COUNTA(半紙!$B$11:$B$310)+COUNTA(条幅!$B$11:$B$310)+COUNTA(条幅4分の1!$B$11:$B$310),INDEX(条幅4分の1!$F$11:$F$310,689-COUNTA(半紙!$B$11:$B$310)-COUNTA(条幅!$B$11:$B$310)),""))))</f>
        <v/>
      </c>
      <c r="G694" s="38" t="str">
        <f>IF(IF(689&lt;=COUNTA(半紙!$B$11:$B$310),INDEX(半紙!$G$11:$G$310,689),IF(689&lt;=COUNTA(半紙!$B$11:$B$310)+COUNTA(条幅!$B$11:$B$310),INDEX(条幅!$G$11:$G$310,689-COUNTA(半紙!$B$11:$B$310)),IF(689&lt;=COUNTA(半紙!$B$11:$B$310)+COUNTA(条幅!$B$11:$B$310)+COUNTA(条幅4分の1!$B$11:$B$310),INDEX(条幅4分の1!$G$11:$G$310,689-COUNTA(半紙!$B$11:$B$310)-COUNTA(条幅!$B$11:$B$310)),"")))=0,"",IF(689&lt;=COUNTA(半紙!$B$11:$B$310),INDEX(半紙!$G$11:$G$310,689),IF(689&lt;=COUNTA(半紙!$B$11:$B$310)+COUNTA(条幅!$B$11:$B$310),INDEX(条幅!$G$11:$G$310,689-COUNTA(半紙!$B$11:$B$310)),IF(689&lt;=COUNTA(半紙!$B$11:$B$310)+COUNTA(条幅!$B$11:$B$310)+COUNTA(条幅4分の1!$B$11:$B$310),INDEX(条幅4分の1!$G$11:$G$310,689-COUNTA(半紙!$B$11:$B$310)-COUNTA(条幅!$B$11:$B$310)),""))))</f>
        <v/>
      </c>
      <c r="H694" s="38" t="str">
        <f>IF(IF(689&lt;=COUNTA(半紙!$B$11:$B$310),INDEX(半紙!$H$11:$H$310,689),IF(689&lt;=COUNTA(半紙!$B$11:$B$310)+COUNTA(条幅!$B$11:$B$310),INDEX(条幅!$H$11:$H$310,689-COUNTA(半紙!$B$11:$B$310)),IF(689&lt;=COUNTA(半紙!$B$11:$B$310)+COUNTA(条幅!$B$11:$B$310)+COUNTA(条幅4分の1!$B$11:$B$310),INDEX(条幅4分の1!$H$11:$H$310,689-COUNTA(半紙!$B$11:$B$310)-COUNTA(条幅!$B$11:$B$310)),"")))=0,"",IF(689&lt;=COUNTA(半紙!$B$11:$B$310),INDEX(半紙!$H$11:$H$310,689),IF(689&lt;=COUNTA(半紙!$B$11:$B$310)+COUNTA(条幅!$B$11:$B$310),INDEX(条幅!$H$11:$H$310,689-COUNTA(半紙!$B$11:$B$310)),IF(689&lt;=COUNTA(半紙!$B$11:$B$310)+COUNTA(条幅!$B$11:$B$310)+COUNTA(条幅4分の1!$B$11:$B$310),INDEX(条幅4分の1!$H$11:$H$310,689-COUNTA(半紙!$B$11:$B$310)-COUNTA(条幅!$B$11:$B$310)),""))))</f>
        <v/>
      </c>
      <c r="I694" s="38" t="str">
        <f>IF(IF(689&lt;=COUNTA(半紙!$B$11:$B$310),INDEX(半紙!$I$11:$I$310,689),IF(689&lt;=COUNTA(半紙!$B$11:$B$310)+COUNTA(条幅!$B$11:$B$310),INDEX(条幅!$I$11:$I$310,689-COUNTA(半紙!$B$11:$B$310)),IF(689&lt;=COUNTA(半紙!$B$11:$B$310)+COUNTA(条幅!$B$11:$B$310)+COUNTA(条幅4分の1!$B$11:$B$310),INDEX(条幅4分の1!$I$11:$I$310,689-COUNTA(半紙!$B$11:$B$310)-COUNTA(条幅!$B$11:$B$310)),"")))=0,"",IF(689&lt;=COUNTA(半紙!$B$11:$B$310),INDEX(半紙!$I$11:$I$310,689),IF(689&lt;=COUNTA(半紙!$B$11:$B$310)+COUNTA(条幅!$B$11:$B$310),INDEX(条幅!$I$11:$I$310,689-COUNTA(半紙!$B$11:$B$310)),IF(689&lt;=COUNTA(半紙!$B$11:$B$310)+COUNTA(条幅!$B$11:$B$310)+COUNTA(条幅4分の1!$B$11:$B$310),INDEX(条幅4分の1!$I$11:$I$310,689-COUNTA(半紙!$B$11:$B$310)-COUNTA(条幅!$B$11:$B$310)),""))))</f>
        <v/>
      </c>
      <c r="J694" s="38" t="str">
        <f>IF(IF(689&lt;=COUNTA(半紙!$B$11:$B$310),INDEX(半紙!$J$11:$J$310,689),IF(689&lt;=COUNTA(半紙!$B$11:$B$310)+COUNTA(条幅!$B$11:$B$310),INDEX(条幅!$J$11:$J$310,689-COUNTA(半紙!$B$11:$B$310)),IF(689&lt;=COUNTA(半紙!$B$11:$B$310)+COUNTA(条幅!$B$11:$B$310)+COUNTA(条幅4分の1!$B$11:$B$310),INDEX(条幅4分の1!$J$11:$J$310,689-COUNTA(半紙!$B$11:$B$310)-COUNTA(条幅!$B$11:$B$310)),"")))=0,"",IF(689&lt;=COUNTA(半紙!$B$11:$B$310),INDEX(半紙!$J$11:$J$310,689),IF(689&lt;=COUNTA(半紙!$B$11:$B$310)+COUNTA(条幅!$B$11:$B$310),INDEX(条幅!$J$11:$J$310,689-COUNTA(半紙!$B$11:$B$310)),IF(689&lt;=COUNTA(半紙!$B$11:$B$310)+COUNTA(条幅!$B$11:$B$310)+COUNTA(条幅4分の1!$B$11:$B$310),INDEX(条幅4分の1!$J$11:$J$310,689-COUNTA(半紙!$B$11:$B$310)-COUNTA(条幅!$B$11:$B$310)),""))))</f>
        <v/>
      </c>
      <c r="K694" s="38" t="str">
        <f>IF(IF(689&lt;=COUNTA(半紙!$B$11:$B$310),INDEX(半紙!$K$11:$K$310,689),IF(689&lt;=COUNTA(半紙!$B$11:$B$310)+COUNTA(条幅!$B$11:$B$310),INDEX(条幅!$K$11:$K$310,689-COUNTA(半紙!$B$11:$B$310)),IF(689&lt;=COUNTA(半紙!$B$11:$B$310)+COUNTA(条幅!$B$11:$B$310)+COUNTA(条幅4分の1!$B$11:$B$310),INDEX(条幅4分の1!$K$11:$K$310,689-COUNTA(半紙!$B$11:$B$310)-COUNTA(条幅!$B$11:$B$310)),"")))=0,"",IF(689&lt;=COUNTA(半紙!$B$11:$B$310),INDEX(半紙!$K$11:$K$310,689),IF(689&lt;=COUNTA(半紙!$B$11:$B$310)+COUNTA(条幅!$B$11:$B$310),INDEX(条幅!$K$11:$K$310,689-COUNTA(半紙!$B$11:$B$310)),IF(689&lt;=COUNTA(半紙!$B$11:$B$310)+COUNTA(条幅!$B$11:$B$310)+COUNTA(条幅4分の1!$B$11:$B$310),INDEX(条幅4分の1!$K$11:$K$310,689-COUNTA(半紙!$B$11:$B$310)-COUNTA(条幅!$B$11:$B$310)),""))))</f>
        <v/>
      </c>
      <c r="L694" s="48" t="str">
        <f>IF($B694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689))</f>
        <v/>
      </c>
    </row>
    <row r="695" spans="1:12" ht="15" customHeight="1">
      <c r="A695" s="37" t="str">
        <f>IF(690&lt;=COUNTA(半紙!$B$11:$B$310),"半紙",IF(690&lt;=COUNTA(半紙!$B$11:$B$310)+COUNTA(条幅!$B$11:$B$310),"条幅(半切)",IF(690&lt;=COUNTA(半紙!$B$11:$B$310)+COUNTA(条幅!$B$11:$B$310)+COUNTA(条幅4分の1!$B$11:$B$310),"条幅(1/4)","")))</f>
        <v/>
      </c>
      <c r="B695" s="38" t="str">
        <f>IF(IF(690&lt;=COUNTA(半紙!$B$11:$B$310),INDEX(半紙!$B$11:$B$310,690),IF(690&lt;=COUNTA(半紙!$B$11:$B$310)+COUNTA(条幅!$B$11:$B$310),INDEX(条幅!$B$11:$B$310,690-COUNTA(半紙!$B$11:$B$310)),IF(690&lt;=COUNTA(半紙!$B$11:$B$310)+COUNTA(条幅!$B$11:$B$310)+COUNTA(条幅4分の1!$B$11:$B$310),INDEX(条幅4分の1!$B$11:$B$310,690-COUNTA(半紙!$B$11:$B$310)-COUNTA(条幅!$B$11:$B$310)),"")))=0,"",IF(690&lt;=COUNTA(半紙!$B$11:$B$310),INDEX(半紙!$B$11:$B$310,690),IF(690&lt;=COUNTA(半紙!$B$11:$B$310)+COUNTA(条幅!$B$11:$B$310),INDEX(条幅!$B$11:$B$310,690-COUNTA(半紙!$B$11:$B$310)),IF(690&lt;=COUNTA(半紙!$B$11:$B$310)+COUNTA(条幅!$B$11:$B$310)+COUNTA(条幅4分の1!$B$11:$B$310),INDEX(条幅4分の1!$B$11:$B$310,690-COUNTA(半紙!$B$11:$B$310)-COUNTA(条幅!$B$11:$B$310)),""))))</f>
        <v/>
      </c>
      <c r="C695" s="38" t="str">
        <f>IF(IF(690&lt;=COUNTA(半紙!$B$11:$B$310),INDEX(半紙!$C$11:$C$310,690),IF(690&lt;=COUNTA(半紙!$B$11:$B$310)+COUNTA(条幅!$B$11:$B$310),INDEX(条幅!$C$11:$C$310,690-COUNTA(半紙!$B$11:$B$310)),IF(690&lt;=COUNTA(半紙!$B$11:$B$310)+COUNTA(条幅!$B$11:$B$310)+COUNTA(条幅4分の1!$B$11:$B$310),INDEX(条幅4分の1!$C$11:$C$310,690-COUNTA(半紙!$B$11:$B$310)-COUNTA(条幅!$B$11:$B$310)),"")))=0,"",IF(690&lt;=COUNTA(半紙!$B$11:$B$310),INDEX(半紙!$C$11:$C$310,690),IF(690&lt;=COUNTA(半紙!$B$11:$B$310)+COUNTA(条幅!$B$11:$B$310),INDEX(条幅!$C$11:$C$310,690-COUNTA(半紙!$B$11:$B$310)),IF(690&lt;=COUNTA(半紙!$B$11:$B$310)+COUNTA(条幅!$B$11:$B$310)+COUNTA(条幅4分の1!$B$11:$B$310),INDEX(条幅4分の1!$C$11:$C$310,690-COUNTA(半紙!$B$11:$B$310)-COUNTA(条幅!$B$11:$B$310)),""))))</f>
        <v/>
      </c>
      <c r="D695" s="38" t="str">
        <f>IF(IF(690&lt;=COUNTA(半紙!$B$11:$B$310),INDEX(半紙!$D$11:$D$310,690),IF(690&lt;=COUNTA(半紙!$B$11:$B$310)+COUNTA(条幅!$B$11:$B$310),INDEX(条幅!$D$11:$D$310,690-COUNTA(半紙!$B$11:$B$310)),IF(690&lt;=COUNTA(半紙!$B$11:$B$310)+COUNTA(条幅!$B$11:$B$310)+COUNTA(条幅4分の1!$B$11:$B$310),INDEX(条幅4分の1!$D$11:$D$310,690-COUNTA(半紙!$B$11:$B$310)-COUNTA(条幅!$B$11:$B$310)),"")))=0,"",IF(690&lt;=COUNTA(半紙!$B$11:$B$310),INDEX(半紙!$D$11:$D$310,690),IF(690&lt;=COUNTA(半紙!$B$11:$B$310)+COUNTA(条幅!$B$11:$B$310),INDEX(条幅!$D$11:$D$310,690-COUNTA(半紙!$B$11:$B$310)),IF(690&lt;=COUNTA(半紙!$B$11:$B$310)+COUNTA(条幅!$B$11:$B$310)+COUNTA(条幅4分の1!$B$11:$B$310),INDEX(条幅4分の1!$D$11:$D$310,690-COUNTA(半紙!$B$11:$B$310)-COUNTA(条幅!$B$11:$B$310)),""))))</f>
        <v/>
      </c>
      <c r="E695" s="38" t="str">
        <f>IF(IF(690&lt;=COUNTA(半紙!$B$11:$B$310),INDEX(半紙!$E$11:$E$310,690),IF(690&lt;=COUNTA(半紙!$B$11:$B$310)+COUNTA(条幅!$B$11:$B$310),INDEX(条幅!$E$11:$E$310,690-COUNTA(半紙!$B$11:$B$310)),IF(690&lt;=COUNTA(半紙!$B$11:$B$310)+COUNTA(条幅!$B$11:$B$310)+COUNTA(条幅4分の1!$B$11:$B$310),INDEX(条幅4分の1!$E$11:$E$310,690-COUNTA(半紙!$B$11:$B$310)-COUNTA(条幅!$B$11:$B$310)),"")))=0,"",IF(690&lt;=COUNTA(半紙!$B$11:$B$310),INDEX(半紙!$E$11:$E$310,690),IF(690&lt;=COUNTA(半紙!$B$11:$B$310)+COUNTA(条幅!$B$11:$B$310),INDEX(条幅!$E$11:$E$310,690-COUNTA(半紙!$B$11:$B$310)),IF(690&lt;=COUNTA(半紙!$B$11:$B$310)+COUNTA(条幅!$B$11:$B$310)+COUNTA(条幅4分の1!$B$11:$B$310),INDEX(条幅4分の1!$E$11:$E$310,690-COUNTA(半紙!$B$11:$B$310)-COUNTA(条幅!$B$11:$B$310)),""))))</f>
        <v/>
      </c>
      <c r="F695" s="38" t="str">
        <f>IF(IF(690&lt;=COUNTA(半紙!$B$11:$B$310),INDEX(半紙!$F$11:$F$310,690),IF(690&lt;=COUNTA(半紙!$B$11:$B$310)+COUNTA(条幅!$B$11:$B$310),INDEX(条幅!$F$11:$F$310,690-COUNTA(半紙!$B$11:$B$310)),IF(690&lt;=COUNTA(半紙!$B$11:$B$310)+COUNTA(条幅!$B$11:$B$310)+COUNTA(条幅4分の1!$B$11:$B$310),INDEX(条幅4分の1!$F$11:$F$310,690-COUNTA(半紙!$B$11:$B$310)-COUNTA(条幅!$B$11:$B$310)),"")))=0,"",IF(690&lt;=COUNTA(半紙!$B$11:$B$310),INDEX(半紙!$F$11:$F$310,690),IF(690&lt;=COUNTA(半紙!$B$11:$B$310)+COUNTA(条幅!$B$11:$B$310),INDEX(条幅!$F$11:$F$310,690-COUNTA(半紙!$B$11:$B$310)),IF(690&lt;=COUNTA(半紙!$B$11:$B$310)+COUNTA(条幅!$B$11:$B$310)+COUNTA(条幅4分の1!$B$11:$B$310),INDEX(条幅4分の1!$F$11:$F$310,690-COUNTA(半紙!$B$11:$B$310)-COUNTA(条幅!$B$11:$B$310)),""))))</f>
        <v/>
      </c>
      <c r="G695" s="38" t="str">
        <f>IF(IF(690&lt;=COUNTA(半紙!$B$11:$B$310),INDEX(半紙!$G$11:$G$310,690),IF(690&lt;=COUNTA(半紙!$B$11:$B$310)+COUNTA(条幅!$B$11:$B$310),INDEX(条幅!$G$11:$G$310,690-COUNTA(半紙!$B$11:$B$310)),IF(690&lt;=COUNTA(半紙!$B$11:$B$310)+COUNTA(条幅!$B$11:$B$310)+COUNTA(条幅4分の1!$B$11:$B$310),INDEX(条幅4分の1!$G$11:$G$310,690-COUNTA(半紙!$B$11:$B$310)-COUNTA(条幅!$B$11:$B$310)),"")))=0,"",IF(690&lt;=COUNTA(半紙!$B$11:$B$310),INDEX(半紙!$G$11:$G$310,690),IF(690&lt;=COUNTA(半紙!$B$11:$B$310)+COUNTA(条幅!$B$11:$B$310),INDEX(条幅!$G$11:$G$310,690-COUNTA(半紙!$B$11:$B$310)),IF(690&lt;=COUNTA(半紙!$B$11:$B$310)+COUNTA(条幅!$B$11:$B$310)+COUNTA(条幅4分の1!$B$11:$B$310),INDEX(条幅4分の1!$G$11:$G$310,690-COUNTA(半紙!$B$11:$B$310)-COUNTA(条幅!$B$11:$B$310)),""))))</f>
        <v/>
      </c>
      <c r="H695" s="38" t="str">
        <f>IF(IF(690&lt;=COUNTA(半紙!$B$11:$B$310),INDEX(半紙!$H$11:$H$310,690),IF(690&lt;=COUNTA(半紙!$B$11:$B$310)+COUNTA(条幅!$B$11:$B$310),INDEX(条幅!$H$11:$H$310,690-COUNTA(半紙!$B$11:$B$310)),IF(690&lt;=COUNTA(半紙!$B$11:$B$310)+COUNTA(条幅!$B$11:$B$310)+COUNTA(条幅4分の1!$B$11:$B$310),INDEX(条幅4分の1!$H$11:$H$310,690-COUNTA(半紙!$B$11:$B$310)-COUNTA(条幅!$B$11:$B$310)),"")))=0,"",IF(690&lt;=COUNTA(半紙!$B$11:$B$310),INDEX(半紙!$H$11:$H$310,690),IF(690&lt;=COUNTA(半紙!$B$11:$B$310)+COUNTA(条幅!$B$11:$B$310),INDEX(条幅!$H$11:$H$310,690-COUNTA(半紙!$B$11:$B$310)),IF(690&lt;=COUNTA(半紙!$B$11:$B$310)+COUNTA(条幅!$B$11:$B$310)+COUNTA(条幅4分の1!$B$11:$B$310),INDEX(条幅4分の1!$H$11:$H$310,690-COUNTA(半紙!$B$11:$B$310)-COUNTA(条幅!$B$11:$B$310)),""))))</f>
        <v/>
      </c>
      <c r="I695" s="38" t="str">
        <f>IF(IF(690&lt;=COUNTA(半紙!$B$11:$B$310),INDEX(半紙!$I$11:$I$310,690),IF(690&lt;=COUNTA(半紙!$B$11:$B$310)+COUNTA(条幅!$B$11:$B$310),INDEX(条幅!$I$11:$I$310,690-COUNTA(半紙!$B$11:$B$310)),IF(690&lt;=COUNTA(半紙!$B$11:$B$310)+COUNTA(条幅!$B$11:$B$310)+COUNTA(条幅4分の1!$B$11:$B$310),INDEX(条幅4分の1!$I$11:$I$310,690-COUNTA(半紙!$B$11:$B$310)-COUNTA(条幅!$B$11:$B$310)),"")))=0,"",IF(690&lt;=COUNTA(半紙!$B$11:$B$310),INDEX(半紙!$I$11:$I$310,690),IF(690&lt;=COUNTA(半紙!$B$11:$B$310)+COUNTA(条幅!$B$11:$B$310),INDEX(条幅!$I$11:$I$310,690-COUNTA(半紙!$B$11:$B$310)),IF(690&lt;=COUNTA(半紙!$B$11:$B$310)+COUNTA(条幅!$B$11:$B$310)+COUNTA(条幅4分の1!$B$11:$B$310),INDEX(条幅4分の1!$I$11:$I$310,690-COUNTA(半紙!$B$11:$B$310)-COUNTA(条幅!$B$11:$B$310)),""))))</f>
        <v/>
      </c>
      <c r="J695" s="38" t="str">
        <f>IF(IF(690&lt;=COUNTA(半紙!$B$11:$B$310),INDEX(半紙!$J$11:$J$310,690),IF(690&lt;=COUNTA(半紙!$B$11:$B$310)+COUNTA(条幅!$B$11:$B$310),INDEX(条幅!$J$11:$J$310,690-COUNTA(半紙!$B$11:$B$310)),IF(690&lt;=COUNTA(半紙!$B$11:$B$310)+COUNTA(条幅!$B$11:$B$310)+COUNTA(条幅4分の1!$B$11:$B$310),INDEX(条幅4分の1!$J$11:$J$310,690-COUNTA(半紙!$B$11:$B$310)-COUNTA(条幅!$B$11:$B$310)),"")))=0,"",IF(690&lt;=COUNTA(半紙!$B$11:$B$310),INDEX(半紙!$J$11:$J$310,690),IF(690&lt;=COUNTA(半紙!$B$11:$B$310)+COUNTA(条幅!$B$11:$B$310),INDEX(条幅!$J$11:$J$310,690-COUNTA(半紙!$B$11:$B$310)),IF(690&lt;=COUNTA(半紙!$B$11:$B$310)+COUNTA(条幅!$B$11:$B$310)+COUNTA(条幅4分の1!$B$11:$B$310),INDEX(条幅4分の1!$J$11:$J$310,690-COUNTA(半紙!$B$11:$B$310)-COUNTA(条幅!$B$11:$B$310)),""))))</f>
        <v/>
      </c>
      <c r="K695" s="38" t="str">
        <f>IF(IF(690&lt;=COUNTA(半紙!$B$11:$B$310),INDEX(半紙!$K$11:$K$310,690),IF(690&lt;=COUNTA(半紙!$B$11:$B$310)+COUNTA(条幅!$B$11:$B$310),INDEX(条幅!$K$11:$K$310,690-COUNTA(半紙!$B$11:$B$310)),IF(690&lt;=COUNTA(半紙!$B$11:$B$310)+COUNTA(条幅!$B$11:$B$310)+COUNTA(条幅4分の1!$B$11:$B$310),INDEX(条幅4分の1!$K$11:$K$310,690-COUNTA(半紙!$B$11:$B$310)-COUNTA(条幅!$B$11:$B$310)),"")))=0,"",IF(690&lt;=COUNTA(半紙!$B$11:$B$310),INDEX(半紙!$K$11:$K$310,690),IF(690&lt;=COUNTA(半紙!$B$11:$B$310)+COUNTA(条幅!$B$11:$B$310),INDEX(条幅!$K$11:$K$310,690-COUNTA(半紙!$B$11:$B$310)),IF(690&lt;=COUNTA(半紙!$B$11:$B$310)+COUNTA(条幅!$B$11:$B$310)+COUNTA(条幅4分の1!$B$11:$B$310),INDEX(条幅4分の1!$K$11:$K$310,690-COUNTA(半紙!$B$11:$B$310)-COUNTA(条幅!$B$11:$B$310)),""))))</f>
        <v/>
      </c>
      <c r="L695" s="48" t="str">
        <f>IF($B695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690))</f>
        <v/>
      </c>
    </row>
    <row r="696" spans="1:12" ht="15" customHeight="1">
      <c r="A696" s="37" t="str">
        <f>IF(691&lt;=COUNTA(半紙!$B$11:$B$310),"半紙",IF(691&lt;=COUNTA(半紙!$B$11:$B$310)+COUNTA(条幅!$B$11:$B$310),"条幅(半切)",IF(691&lt;=COUNTA(半紙!$B$11:$B$310)+COUNTA(条幅!$B$11:$B$310)+COUNTA(条幅4分の1!$B$11:$B$310),"条幅(1/4)","")))</f>
        <v/>
      </c>
      <c r="B696" s="38" t="str">
        <f>IF(IF(691&lt;=COUNTA(半紙!$B$11:$B$310),INDEX(半紙!$B$11:$B$310,691),IF(691&lt;=COUNTA(半紙!$B$11:$B$310)+COUNTA(条幅!$B$11:$B$310),INDEX(条幅!$B$11:$B$310,691-COUNTA(半紙!$B$11:$B$310)),IF(691&lt;=COUNTA(半紙!$B$11:$B$310)+COUNTA(条幅!$B$11:$B$310)+COUNTA(条幅4分の1!$B$11:$B$310),INDEX(条幅4分の1!$B$11:$B$310,691-COUNTA(半紙!$B$11:$B$310)-COUNTA(条幅!$B$11:$B$310)),"")))=0,"",IF(691&lt;=COUNTA(半紙!$B$11:$B$310),INDEX(半紙!$B$11:$B$310,691),IF(691&lt;=COUNTA(半紙!$B$11:$B$310)+COUNTA(条幅!$B$11:$B$310),INDEX(条幅!$B$11:$B$310,691-COUNTA(半紙!$B$11:$B$310)),IF(691&lt;=COUNTA(半紙!$B$11:$B$310)+COUNTA(条幅!$B$11:$B$310)+COUNTA(条幅4分の1!$B$11:$B$310),INDEX(条幅4分の1!$B$11:$B$310,691-COUNTA(半紙!$B$11:$B$310)-COUNTA(条幅!$B$11:$B$310)),""))))</f>
        <v/>
      </c>
      <c r="C696" s="38" t="str">
        <f>IF(IF(691&lt;=COUNTA(半紙!$B$11:$B$310),INDEX(半紙!$C$11:$C$310,691),IF(691&lt;=COUNTA(半紙!$B$11:$B$310)+COUNTA(条幅!$B$11:$B$310),INDEX(条幅!$C$11:$C$310,691-COUNTA(半紙!$B$11:$B$310)),IF(691&lt;=COUNTA(半紙!$B$11:$B$310)+COUNTA(条幅!$B$11:$B$310)+COUNTA(条幅4分の1!$B$11:$B$310),INDEX(条幅4分の1!$C$11:$C$310,691-COUNTA(半紙!$B$11:$B$310)-COUNTA(条幅!$B$11:$B$310)),"")))=0,"",IF(691&lt;=COUNTA(半紙!$B$11:$B$310),INDEX(半紙!$C$11:$C$310,691),IF(691&lt;=COUNTA(半紙!$B$11:$B$310)+COUNTA(条幅!$B$11:$B$310),INDEX(条幅!$C$11:$C$310,691-COUNTA(半紙!$B$11:$B$310)),IF(691&lt;=COUNTA(半紙!$B$11:$B$310)+COUNTA(条幅!$B$11:$B$310)+COUNTA(条幅4分の1!$B$11:$B$310),INDEX(条幅4分の1!$C$11:$C$310,691-COUNTA(半紙!$B$11:$B$310)-COUNTA(条幅!$B$11:$B$310)),""))))</f>
        <v/>
      </c>
      <c r="D696" s="38" t="str">
        <f>IF(IF(691&lt;=COUNTA(半紙!$B$11:$B$310),INDEX(半紙!$D$11:$D$310,691),IF(691&lt;=COUNTA(半紙!$B$11:$B$310)+COUNTA(条幅!$B$11:$B$310),INDEX(条幅!$D$11:$D$310,691-COUNTA(半紙!$B$11:$B$310)),IF(691&lt;=COUNTA(半紙!$B$11:$B$310)+COUNTA(条幅!$B$11:$B$310)+COUNTA(条幅4分の1!$B$11:$B$310),INDEX(条幅4分の1!$D$11:$D$310,691-COUNTA(半紙!$B$11:$B$310)-COUNTA(条幅!$B$11:$B$310)),"")))=0,"",IF(691&lt;=COUNTA(半紙!$B$11:$B$310),INDEX(半紙!$D$11:$D$310,691),IF(691&lt;=COUNTA(半紙!$B$11:$B$310)+COUNTA(条幅!$B$11:$B$310),INDEX(条幅!$D$11:$D$310,691-COUNTA(半紙!$B$11:$B$310)),IF(691&lt;=COUNTA(半紙!$B$11:$B$310)+COUNTA(条幅!$B$11:$B$310)+COUNTA(条幅4分の1!$B$11:$B$310),INDEX(条幅4分の1!$D$11:$D$310,691-COUNTA(半紙!$B$11:$B$310)-COUNTA(条幅!$B$11:$B$310)),""))))</f>
        <v/>
      </c>
      <c r="E696" s="38" t="str">
        <f>IF(IF(691&lt;=COUNTA(半紙!$B$11:$B$310),INDEX(半紙!$E$11:$E$310,691),IF(691&lt;=COUNTA(半紙!$B$11:$B$310)+COUNTA(条幅!$B$11:$B$310),INDEX(条幅!$E$11:$E$310,691-COUNTA(半紙!$B$11:$B$310)),IF(691&lt;=COUNTA(半紙!$B$11:$B$310)+COUNTA(条幅!$B$11:$B$310)+COUNTA(条幅4分の1!$B$11:$B$310),INDEX(条幅4分の1!$E$11:$E$310,691-COUNTA(半紙!$B$11:$B$310)-COUNTA(条幅!$B$11:$B$310)),"")))=0,"",IF(691&lt;=COUNTA(半紙!$B$11:$B$310),INDEX(半紙!$E$11:$E$310,691),IF(691&lt;=COUNTA(半紙!$B$11:$B$310)+COUNTA(条幅!$B$11:$B$310),INDEX(条幅!$E$11:$E$310,691-COUNTA(半紙!$B$11:$B$310)),IF(691&lt;=COUNTA(半紙!$B$11:$B$310)+COUNTA(条幅!$B$11:$B$310)+COUNTA(条幅4分の1!$B$11:$B$310),INDEX(条幅4分の1!$E$11:$E$310,691-COUNTA(半紙!$B$11:$B$310)-COUNTA(条幅!$B$11:$B$310)),""))))</f>
        <v/>
      </c>
      <c r="F696" s="38" t="str">
        <f>IF(IF(691&lt;=COUNTA(半紙!$B$11:$B$310),INDEX(半紙!$F$11:$F$310,691),IF(691&lt;=COUNTA(半紙!$B$11:$B$310)+COUNTA(条幅!$B$11:$B$310),INDEX(条幅!$F$11:$F$310,691-COUNTA(半紙!$B$11:$B$310)),IF(691&lt;=COUNTA(半紙!$B$11:$B$310)+COUNTA(条幅!$B$11:$B$310)+COUNTA(条幅4分の1!$B$11:$B$310),INDEX(条幅4分の1!$F$11:$F$310,691-COUNTA(半紙!$B$11:$B$310)-COUNTA(条幅!$B$11:$B$310)),"")))=0,"",IF(691&lt;=COUNTA(半紙!$B$11:$B$310),INDEX(半紙!$F$11:$F$310,691),IF(691&lt;=COUNTA(半紙!$B$11:$B$310)+COUNTA(条幅!$B$11:$B$310),INDEX(条幅!$F$11:$F$310,691-COUNTA(半紙!$B$11:$B$310)),IF(691&lt;=COUNTA(半紙!$B$11:$B$310)+COUNTA(条幅!$B$11:$B$310)+COUNTA(条幅4分の1!$B$11:$B$310),INDEX(条幅4分の1!$F$11:$F$310,691-COUNTA(半紙!$B$11:$B$310)-COUNTA(条幅!$B$11:$B$310)),""))))</f>
        <v/>
      </c>
      <c r="G696" s="38" t="str">
        <f>IF(IF(691&lt;=COUNTA(半紙!$B$11:$B$310),INDEX(半紙!$G$11:$G$310,691),IF(691&lt;=COUNTA(半紙!$B$11:$B$310)+COUNTA(条幅!$B$11:$B$310),INDEX(条幅!$G$11:$G$310,691-COUNTA(半紙!$B$11:$B$310)),IF(691&lt;=COUNTA(半紙!$B$11:$B$310)+COUNTA(条幅!$B$11:$B$310)+COUNTA(条幅4分の1!$B$11:$B$310),INDEX(条幅4分の1!$G$11:$G$310,691-COUNTA(半紙!$B$11:$B$310)-COUNTA(条幅!$B$11:$B$310)),"")))=0,"",IF(691&lt;=COUNTA(半紙!$B$11:$B$310),INDEX(半紙!$G$11:$G$310,691),IF(691&lt;=COUNTA(半紙!$B$11:$B$310)+COUNTA(条幅!$B$11:$B$310),INDEX(条幅!$G$11:$G$310,691-COUNTA(半紙!$B$11:$B$310)),IF(691&lt;=COUNTA(半紙!$B$11:$B$310)+COUNTA(条幅!$B$11:$B$310)+COUNTA(条幅4分の1!$B$11:$B$310),INDEX(条幅4分の1!$G$11:$G$310,691-COUNTA(半紙!$B$11:$B$310)-COUNTA(条幅!$B$11:$B$310)),""))))</f>
        <v/>
      </c>
      <c r="H696" s="38" t="str">
        <f>IF(IF(691&lt;=COUNTA(半紙!$B$11:$B$310),INDEX(半紙!$H$11:$H$310,691),IF(691&lt;=COUNTA(半紙!$B$11:$B$310)+COUNTA(条幅!$B$11:$B$310),INDEX(条幅!$H$11:$H$310,691-COUNTA(半紙!$B$11:$B$310)),IF(691&lt;=COUNTA(半紙!$B$11:$B$310)+COUNTA(条幅!$B$11:$B$310)+COUNTA(条幅4分の1!$B$11:$B$310),INDEX(条幅4分の1!$H$11:$H$310,691-COUNTA(半紙!$B$11:$B$310)-COUNTA(条幅!$B$11:$B$310)),"")))=0,"",IF(691&lt;=COUNTA(半紙!$B$11:$B$310),INDEX(半紙!$H$11:$H$310,691),IF(691&lt;=COUNTA(半紙!$B$11:$B$310)+COUNTA(条幅!$B$11:$B$310),INDEX(条幅!$H$11:$H$310,691-COUNTA(半紙!$B$11:$B$310)),IF(691&lt;=COUNTA(半紙!$B$11:$B$310)+COUNTA(条幅!$B$11:$B$310)+COUNTA(条幅4分の1!$B$11:$B$310),INDEX(条幅4分の1!$H$11:$H$310,691-COUNTA(半紙!$B$11:$B$310)-COUNTA(条幅!$B$11:$B$310)),""))))</f>
        <v/>
      </c>
      <c r="I696" s="38" t="str">
        <f>IF(IF(691&lt;=COUNTA(半紙!$B$11:$B$310),INDEX(半紙!$I$11:$I$310,691),IF(691&lt;=COUNTA(半紙!$B$11:$B$310)+COUNTA(条幅!$B$11:$B$310),INDEX(条幅!$I$11:$I$310,691-COUNTA(半紙!$B$11:$B$310)),IF(691&lt;=COUNTA(半紙!$B$11:$B$310)+COUNTA(条幅!$B$11:$B$310)+COUNTA(条幅4分の1!$B$11:$B$310),INDEX(条幅4分の1!$I$11:$I$310,691-COUNTA(半紙!$B$11:$B$310)-COUNTA(条幅!$B$11:$B$310)),"")))=0,"",IF(691&lt;=COUNTA(半紙!$B$11:$B$310),INDEX(半紙!$I$11:$I$310,691),IF(691&lt;=COUNTA(半紙!$B$11:$B$310)+COUNTA(条幅!$B$11:$B$310),INDEX(条幅!$I$11:$I$310,691-COUNTA(半紙!$B$11:$B$310)),IF(691&lt;=COUNTA(半紙!$B$11:$B$310)+COUNTA(条幅!$B$11:$B$310)+COUNTA(条幅4分の1!$B$11:$B$310),INDEX(条幅4分の1!$I$11:$I$310,691-COUNTA(半紙!$B$11:$B$310)-COUNTA(条幅!$B$11:$B$310)),""))))</f>
        <v/>
      </c>
      <c r="J696" s="38" t="str">
        <f>IF(IF(691&lt;=COUNTA(半紙!$B$11:$B$310),INDEX(半紙!$J$11:$J$310,691),IF(691&lt;=COUNTA(半紙!$B$11:$B$310)+COUNTA(条幅!$B$11:$B$310),INDEX(条幅!$J$11:$J$310,691-COUNTA(半紙!$B$11:$B$310)),IF(691&lt;=COUNTA(半紙!$B$11:$B$310)+COUNTA(条幅!$B$11:$B$310)+COUNTA(条幅4分の1!$B$11:$B$310),INDEX(条幅4分の1!$J$11:$J$310,691-COUNTA(半紙!$B$11:$B$310)-COUNTA(条幅!$B$11:$B$310)),"")))=0,"",IF(691&lt;=COUNTA(半紙!$B$11:$B$310),INDEX(半紙!$J$11:$J$310,691),IF(691&lt;=COUNTA(半紙!$B$11:$B$310)+COUNTA(条幅!$B$11:$B$310),INDEX(条幅!$J$11:$J$310,691-COUNTA(半紙!$B$11:$B$310)),IF(691&lt;=COUNTA(半紙!$B$11:$B$310)+COUNTA(条幅!$B$11:$B$310)+COUNTA(条幅4分の1!$B$11:$B$310),INDEX(条幅4分の1!$J$11:$J$310,691-COUNTA(半紙!$B$11:$B$310)-COUNTA(条幅!$B$11:$B$310)),""))))</f>
        <v/>
      </c>
      <c r="K696" s="38" t="str">
        <f>IF(IF(691&lt;=COUNTA(半紙!$B$11:$B$310),INDEX(半紙!$K$11:$K$310,691),IF(691&lt;=COUNTA(半紙!$B$11:$B$310)+COUNTA(条幅!$B$11:$B$310),INDEX(条幅!$K$11:$K$310,691-COUNTA(半紙!$B$11:$B$310)),IF(691&lt;=COUNTA(半紙!$B$11:$B$310)+COUNTA(条幅!$B$11:$B$310)+COUNTA(条幅4分の1!$B$11:$B$310),INDEX(条幅4分の1!$K$11:$K$310,691-COUNTA(半紙!$B$11:$B$310)-COUNTA(条幅!$B$11:$B$310)),"")))=0,"",IF(691&lt;=COUNTA(半紙!$B$11:$B$310),INDEX(半紙!$K$11:$K$310,691),IF(691&lt;=COUNTA(半紙!$B$11:$B$310)+COUNTA(条幅!$B$11:$B$310),INDEX(条幅!$K$11:$K$310,691-COUNTA(半紙!$B$11:$B$310)),IF(691&lt;=COUNTA(半紙!$B$11:$B$310)+COUNTA(条幅!$B$11:$B$310)+COUNTA(条幅4分の1!$B$11:$B$310),INDEX(条幅4分の1!$K$11:$K$310,691-COUNTA(半紙!$B$11:$B$310)-COUNTA(条幅!$B$11:$B$310)),""))))</f>
        <v/>
      </c>
      <c r="L696" s="48" t="str">
        <f>IF($B696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691))</f>
        <v/>
      </c>
    </row>
    <row r="697" spans="1:12" ht="15" customHeight="1">
      <c r="A697" s="37" t="str">
        <f>IF(692&lt;=COUNTA(半紙!$B$11:$B$310),"半紙",IF(692&lt;=COUNTA(半紙!$B$11:$B$310)+COUNTA(条幅!$B$11:$B$310),"条幅(半切)",IF(692&lt;=COUNTA(半紙!$B$11:$B$310)+COUNTA(条幅!$B$11:$B$310)+COUNTA(条幅4分の1!$B$11:$B$310),"条幅(1/4)","")))</f>
        <v/>
      </c>
      <c r="B697" s="38" t="str">
        <f>IF(IF(692&lt;=COUNTA(半紙!$B$11:$B$310),INDEX(半紙!$B$11:$B$310,692),IF(692&lt;=COUNTA(半紙!$B$11:$B$310)+COUNTA(条幅!$B$11:$B$310),INDEX(条幅!$B$11:$B$310,692-COUNTA(半紙!$B$11:$B$310)),IF(692&lt;=COUNTA(半紙!$B$11:$B$310)+COUNTA(条幅!$B$11:$B$310)+COUNTA(条幅4分の1!$B$11:$B$310),INDEX(条幅4分の1!$B$11:$B$310,692-COUNTA(半紙!$B$11:$B$310)-COUNTA(条幅!$B$11:$B$310)),"")))=0,"",IF(692&lt;=COUNTA(半紙!$B$11:$B$310),INDEX(半紙!$B$11:$B$310,692),IF(692&lt;=COUNTA(半紙!$B$11:$B$310)+COUNTA(条幅!$B$11:$B$310),INDEX(条幅!$B$11:$B$310,692-COUNTA(半紙!$B$11:$B$310)),IF(692&lt;=COUNTA(半紙!$B$11:$B$310)+COUNTA(条幅!$B$11:$B$310)+COUNTA(条幅4分の1!$B$11:$B$310),INDEX(条幅4分の1!$B$11:$B$310,692-COUNTA(半紙!$B$11:$B$310)-COUNTA(条幅!$B$11:$B$310)),""))))</f>
        <v/>
      </c>
      <c r="C697" s="38" t="str">
        <f>IF(IF(692&lt;=COUNTA(半紙!$B$11:$B$310),INDEX(半紙!$C$11:$C$310,692),IF(692&lt;=COUNTA(半紙!$B$11:$B$310)+COUNTA(条幅!$B$11:$B$310),INDEX(条幅!$C$11:$C$310,692-COUNTA(半紙!$B$11:$B$310)),IF(692&lt;=COUNTA(半紙!$B$11:$B$310)+COUNTA(条幅!$B$11:$B$310)+COUNTA(条幅4分の1!$B$11:$B$310),INDEX(条幅4分の1!$C$11:$C$310,692-COUNTA(半紙!$B$11:$B$310)-COUNTA(条幅!$B$11:$B$310)),"")))=0,"",IF(692&lt;=COUNTA(半紙!$B$11:$B$310),INDEX(半紙!$C$11:$C$310,692),IF(692&lt;=COUNTA(半紙!$B$11:$B$310)+COUNTA(条幅!$B$11:$B$310),INDEX(条幅!$C$11:$C$310,692-COUNTA(半紙!$B$11:$B$310)),IF(692&lt;=COUNTA(半紙!$B$11:$B$310)+COUNTA(条幅!$B$11:$B$310)+COUNTA(条幅4分の1!$B$11:$B$310),INDEX(条幅4分の1!$C$11:$C$310,692-COUNTA(半紙!$B$11:$B$310)-COUNTA(条幅!$B$11:$B$310)),""))))</f>
        <v/>
      </c>
      <c r="D697" s="38" t="str">
        <f>IF(IF(692&lt;=COUNTA(半紙!$B$11:$B$310),INDEX(半紙!$D$11:$D$310,692),IF(692&lt;=COUNTA(半紙!$B$11:$B$310)+COUNTA(条幅!$B$11:$B$310),INDEX(条幅!$D$11:$D$310,692-COUNTA(半紙!$B$11:$B$310)),IF(692&lt;=COUNTA(半紙!$B$11:$B$310)+COUNTA(条幅!$B$11:$B$310)+COUNTA(条幅4分の1!$B$11:$B$310),INDEX(条幅4分の1!$D$11:$D$310,692-COUNTA(半紙!$B$11:$B$310)-COUNTA(条幅!$B$11:$B$310)),"")))=0,"",IF(692&lt;=COUNTA(半紙!$B$11:$B$310),INDEX(半紙!$D$11:$D$310,692),IF(692&lt;=COUNTA(半紙!$B$11:$B$310)+COUNTA(条幅!$B$11:$B$310),INDEX(条幅!$D$11:$D$310,692-COUNTA(半紙!$B$11:$B$310)),IF(692&lt;=COUNTA(半紙!$B$11:$B$310)+COUNTA(条幅!$B$11:$B$310)+COUNTA(条幅4分の1!$B$11:$B$310),INDEX(条幅4分の1!$D$11:$D$310,692-COUNTA(半紙!$B$11:$B$310)-COUNTA(条幅!$B$11:$B$310)),""))))</f>
        <v/>
      </c>
      <c r="E697" s="38" t="str">
        <f>IF(IF(692&lt;=COUNTA(半紙!$B$11:$B$310),INDEX(半紙!$E$11:$E$310,692),IF(692&lt;=COUNTA(半紙!$B$11:$B$310)+COUNTA(条幅!$B$11:$B$310),INDEX(条幅!$E$11:$E$310,692-COUNTA(半紙!$B$11:$B$310)),IF(692&lt;=COUNTA(半紙!$B$11:$B$310)+COUNTA(条幅!$B$11:$B$310)+COUNTA(条幅4分の1!$B$11:$B$310),INDEX(条幅4分の1!$E$11:$E$310,692-COUNTA(半紙!$B$11:$B$310)-COUNTA(条幅!$B$11:$B$310)),"")))=0,"",IF(692&lt;=COUNTA(半紙!$B$11:$B$310),INDEX(半紙!$E$11:$E$310,692),IF(692&lt;=COUNTA(半紙!$B$11:$B$310)+COUNTA(条幅!$B$11:$B$310),INDEX(条幅!$E$11:$E$310,692-COUNTA(半紙!$B$11:$B$310)),IF(692&lt;=COUNTA(半紙!$B$11:$B$310)+COUNTA(条幅!$B$11:$B$310)+COUNTA(条幅4分の1!$B$11:$B$310),INDEX(条幅4分の1!$E$11:$E$310,692-COUNTA(半紙!$B$11:$B$310)-COUNTA(条幅!$B$11:$B$310)),""))))</f>
        <v/>
      </c>
      <c r="F697" s="38" t="str">
        <f>IF(IF(692&lt;=COUNTA(半紙!$B$11:$B$310),INDEX(半紙!$F$11:$F$310,692),IF(692&lt;=COUNTA(半紙!$B$11:$B$310)+COUNTA(条幅!$B$11:$B$310),INDEX(条幅!$F$11:$F$310,692-COUNTA(半紙!$B$11:$B$310)),IF(692&lt;=COUNTA(半紙!$B$11:$B$310)+COUNTA(条幅!$B$11:$B$310)+COUNTA(条幅4分の1!$B$11:$B$310),INDEX(条幅4分の1!$F$11:$F$310,692-COUNTA(半紙!$B$11:$B$310)-COUNTA(条幅!$B$11:$B$310)),"")))=0,"",IF(692&lt;=COUNTA(半紙!$B$11:$B$310),INDEX(半紙!$F$11:$F$310,692),IF(692&lt;=COUNTA(半紙!$B$11:$B$310)+COUNTA(条幅!$B$11:$B$310),INDEX(条幅!$F$11:$F$310,692-COUNTA(半紙!$B$11:$B$310)),IF(692&lt;=COUNTA(半紙!$B$11:$B$310)+COUNTA(条幅!$B$11:$B$310)+COUNTA(条幅4分の1!$B$11:$B$310),INDEX(条幅4分の1!$F$11:$F$310,692-COUNTA(半紙!$B$11:$B$310)-COUNTA(条幅!$B$11:$B$310)),""))))</f>
        <v/>
      </c>
      <c r="G697" s="38" t="str">
        <f>IF(IF(692&lt;=COUNTA(半紙!$B$11:$B$310),INDEX(半紙!$G$11:$G$310,692),IF(692&lt;=COUNTA(半紙!$B$11:$B$310)+COUNTA(条幅!$B$11:$B$310),INDEX(条幅!$G$11:$G$310,692-COUNTA(半紙!$B$11:$B$310)),IF(692&lt;=COUNTA(半紙!$B$11:$B$310)+COUNTA(条幅!$B$11:$B$310)+COUNTA(条幅4分の1!$B$11:$B$310),INDEX(条幅4分の1!$G$11:$G$310,692-COUNTA(半紙!$B$11:$B$310)-COUNTA(条幅!$B$11:$B$310)),"")))=0,"",IF(692&lt;=COUNTA(半紙!$B$11:$B$310),INDEX(半紙!$G$11:$G$310,692),IF(692&lt;=COUNTA(半紙!$B$11:$B$310)+COUNTA(条幅!$B$11:$B$310),INDEX(条幅!$G$11:$G$310,692-COUNTA(半紙!$B$11:$B$310)),IF(692&lt;=COUNTA(半紙!$B$11:$B$310)+COUNTA(条幅!$B$11:$B$310)+COUNTA(条幅4分の1!$B$11:$B$310),INDEX(条幅4分の1!$G$11:$G$310,692-COUNTA(半紙!$B$11:$B$310)-COUNTA(条幅!$B$11:$B$310)),""))))</f>
        <v/>
      </c>
      <c r="H697" s="38" t="str">
        <f>IF(IF(692&lt;=COUNTA(半紙!$B$11:$B$310),INDEX(半紙!$H$11:$H$310,692),IF(692&lt;=COUNTA(半紙!$B$11:$B$310)+COUNTA(条幅!$B$11:$B$310),INDEX(条幅!$H$11:$H$310,692-COUNTA(半紙!$B$11:$B$310)),IF(692&lt;=COUNTA(半紙!$B$11:$B$310)+COUNTA(条幅!$B$11:$B$310)+COUNTA(条幅4分の1!$B$11:$B$310),INDEX(条幅4分の1!$H$11:$H$310,692-COUNTA(半紙!$B$11:$B$310)-COUNTA(条幅!$B$11:$B$310)),"")))=0,"",IF(692&lt;=COUNTA(半紙!$B$11:$B$310),INDEX(半紙!$H$11:$H$310,692),IF(692&lt;=COUNTA(半紙!$B$11:$B$310)+COUNTA(条幅!$B$11:$B$310),INDEX(条幅!$H$11:$H$310,692-COUNTA(半紙!$B$11:$B$310)),IF(692&lt;=COUNTA(半紙!$B$11:$B$310)+COUNTA(条幅!$B$11:$B$310)+COUNTA(条幅4分の1!$B$11:$B$310),INDEX(条幅4分の1!$H$11:$H$310,692-COUNTA(半紙!$B$11:$B$310)-COUNTA(条幅!$B$11:$B$310)),""))))</f>
        <v/>
      </c>
      <c r="I697" s="38" t="str">
        <f>IF(IF(692&lt;=COUNTA(半紙!$B$11:$B$310),INDEX(半紙!$I$11:$I$310,692),IF(692&lt;=COUNTA(半紙!$B$11:$B$310)+COUNTA(条幅!$B$11:$B$310),INDEX(条幅!$I$11:$I$310,692-COUNTA(半紙!$B$11:$B$310)),IF(692&lt;=COUNTA(半紙!$B$11:$B$310)+COUNTA(条幅!$B$11:$B$310)+COUNTA(条幅4分の1!$B$11:$B$310),INDEX(条幅4分の1!$I$11:$I$310,692-COUNTA(半紙!$B$11:$B$310)-COUNTA(条幅!$B$11:$B$310)),"")))=0,"",IF(692&lt;=COUNTA(半紙!$B$11:$B$310),INDEX(半紙!$I$11:$I$310,692),IF(692&lt;=COUNTA(半紙!$B$11:$B$310)+COUNTA(条幅!$B$11:$B$310),INDEX(条幅!$I$11:$I$310,692-COUNTA(半紙!$B$11:$B$310)),IF(692&lt;=COUNTA(半紙!$B$11:$B$310)+COUNTA(条幅!$B$11:$B$310)+COUNTA(条幅4分の1!$B$11:$B$310),INDEX(条幅4分の1!$I$11:$I$310,692-COUNTA(半紙!$B$11:$B$310)-COUNTA(条幅!$B$11:$B$310)),""))))</f>
        <v/>
      </c>
      <c r="J697" s="38" t="str">
        <f>IF(IF(692&lt;=COUNTA(半紙!$B$11:$B$310),INDEX(半紙!$J$11:$J$310,692),IF(692&lt;=COUNTA(半紙!$B$11:$B$310)+COUNTA(条幅!$B$11:$B$310),INDEX(条幅!$J$11:$J$310,692-COUNTA(半紙!$B$11:$B$310)),IF(692&lt;=COUNTA(半紙!$B$11:$B$310)+COUNTA(条幅!$B$11:$B$310)+COUNTA(条幅4分の1!$B$11:$B$310),INDEX(条幅4分の1!$J$11:$J$310,692-COUNTA(半紙!$B$11:$B$310)-COUNTA(条幅!$B$11:$B$310)),"")))=0,"",IF(692&lt;=COUNTA(半紙!$B$11:$B$310),INDEX(半紙!$J$11:$J$310,692),IF(692&lt;=COUNTA(半紙!$B$11:$B$310)+COUNTA(条幅!$B$11:$B$310),INDEX(条幅!$J$11:$J$310,692-COUNTA(半紙!$B$11:$B$310)),IF(692&lt;=COUNTA(半紙!$B$11:$B$310)+COUNTA(条幅!$B$11:$B$310)+COUNTA(条幅4分の1!$B$11:$B$310),INDEX(条幅4分の1!$J$11:$J$310,692-COUNTA(半紙!$B$11:$B$310)-COUNTA(条幅!$B$11:$B$310)),""))))</f>
        <v/>
      </c>
      <c r="K697" s="38" t="str">
        <f>IF(IF(692&lt;=COUNTA(半紙!$B$11:$B$310),INDEX(半紙!$K$11:$K$310,692),IF(692&lt;=COUNTA(半紙!$B$11:$B$310)+COUNTA(条幅!$B$11:$B$310),INDEX(条幅!$K$11:$K$310,692-COUNTA(半紙!$B$11:$B$310)),IF(692&lt;=COUNTA(半紙!$B$11:$B$310)+COUNTA(条幅!$B$11:$B$310)+COUNTA(条幅4分の1!$B$11:$B$310),INDEX(条幅4分の1!$K$11:$K$310,692-COUNTA(半紙!$B$11:$B$310)-COUNTA(条幅!$B$11:$B$310)),"")))=0,"",IF(692&lt;=COUNTA(半紙!$B$11:$B$310),INDEX(半紙!$K$11:$K$310,692),IF(692&lt;=COUNTA(半紙!$B$11:$B$310)+COUNTA(条幅!$B$11:$B$310),INDEX(条幅!$K$11:$K$310,692-COUNTA(半紙!$B$11:$B$310)),IF(692&lt;=COUNTA(半紙!$B$11:$B$310)+COUNTA(条幅!$B$11:$B$310)+COUNTA(条幅4分の1!$B$11:$B$310),INDEX(条幅4分の1!$K$11:$K$310,692-COUNTA(半紙!$B$11:$B$310)-COUNTA(条幅!$B$11:$B$310)),""))))</f>
        <v/>
      </c>
      <c r="L697" s="48" t="str">
        <f>IF($B697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692))</f>
        <v/>
      </c>
    </row>
    <row r="698" spans="1:12" ht="15" customHeight="1">
      <c r="A698" s="37" t="str">
        <f>IF(693&lt;=COUNTA(半紙!$B$11:$B$310),"半紙",IF(693&lt;=COUNTA(半紙!$B$11:$B$310)+COUNTA(条幅!$B$11:$B$310),"条幅(半切)",IF(693&lt;=COUNTA(半紙!$B$11:$B$310)+COUNTA(条幅!$B$11:$B$310)+COUNTA(条幅4分の1!$B$11:$B$310),"条幅(1/4)","")))</f>
        <v/>
      </c>
      <c r="B698" s="38" t="str">
        <f>IF(IF(693&lt;=COUNTA(半紙!$B$11:$B$310),INDEX(半紙!$B$11:$B$310,693),IF(693&lt;=COUNTA(半紙!$B$11:$B$310)+COUNTA(条幅!$B$11:$B$310),INDEX(条幅!$B$11:$B$310,693-COUNTA(半紙!$B$11:$B$310)),IF(693&lt;=COUNTA(半紙!$B$11:$B$310)+COUNTA(条幅!$B$11:$B$310)+COUNTA(条幅4分の1!$B$11:$B$310),INDEX(条幅4分の1!$B$11:$B$310,693-COUNTA(半紙!$B$11:$B$310)-COUNTA(条幅!$B$11:$B$310)),"")))=0,"",IF(693&lt;=COUNTA(半紙!$B$11:$B$310),INDEX(半紙!$B$11:$B$310,693),IF(693&lt;=COUNTA(半紙!$B$11:$B$310)+COUNTA(条幅!$B$11:$B$310),INDEX(条幅!$B$11:$B$310,693-COUNTA(半紙!$B$11:$B$310)),IF(693&lt;=COUNTA(半紙!$B$11:$B$310)+COUNTA(条幅!$B$11:$B$310)+COUNTA(条幅4分の1!$B$11:$B$310),INDEX(条幅4分の1!$B$11:$B$310,693-COUNTA(半紙!$B$11:$B$310)-COUNTA(条幅!$B$11:$B$310)),""))))</f>
        <v/>
      </c>
      <c r="C698" s="38" t="str">
        <f>IF(IF(693&lt;=COUNTA(半紙!$B$11:$B$310),INDEX(半紙!$C$11:$C$310,693),IF(693&lt;=COUNTA(半紙!$B$11:$B$310)+COUNTA(条幅!$B$11:$B$310),INDEX(条幅!$C$11:$C$310,693-COUNTA(半紙!$B$11:$B$310)),IF(693&lt;=COUNTA(半紙!$B$11:$B$310)+COUNTA(条幅!$B$11:$B$310)+COUNTA(条幅4分の1!$B$11:$B$310),INDEX(条幅4分の1!$C$11:$C$310,693-COUNTA(半紙!$B$11:$B$310)-COUNTA(条幅!$B$11:$B$310)),"")))=0,"",IF(693&lt;=COUNTA(半紙!$B$11:$B$310),INDEX(半紙!$C$11:$C$310,693),IF(693&lt;=COUNTA(半紙!$B$11:$B$310)+COUNTA(条幅!$B$11:$B$310),INDEX(条幅!$C$11:$C$310,693-COUNTA(半紙!$B$11:$B$310)),IF(693&lt;=COUNTA(半紙!$B$11:$B$310)+COUNTA(条幅!$B$11:$B$310)+COUNTA(条幅4分の1!$B$11:$B$310),INDEX(条幅4分の1!$C$11:$C$310,693-COUNTA(半紙!$B$11:$B$310)-COUNTA(条幅!$B$11:$B$310)),""))))</f>
        <v/>
      </c>
      <c r="D698" s="38" t="str">
        <f>IF(IF(693&lt;=COUNTA(半紙!$B$11:$B$310),INDEX(半紙!$D$11:$D$310,693),IF(693&lt;=COUNTA(半紙!$B$11:$B$310)+COUNTA(条幅!$B$11:$B$310),INDEX(条幅!$D$11:$D$310,693-COUNTA(半紙!$B$11:$B$310)),IF(693&lt;=COUNTA(半紙!$B$11:$B$310)+COUNTA(条幅!$B$11:$B$310)+COUNTA(条幅4分の1!$B$11:$B$310),INDEX(条幅4分の1!$D$11:$D$310,693-COUNTA(半紙!$B$11:$B$310)-COUNTA(条幅!$B$11:$B$310)),"")))=0,"",IF(693&lt;=COUNTA(半紙!$B$11:$B$310),INDEX(半紙!$D$11:$D$310,693),IF(693&lt;=COUNTA(半紙!$B$11:$B$310)+COUNTA(条幅!$B$11:$B$310),INDEX(条幅!$D$11:$D$310,693-COUNTA(半紙!$B$11:$B$310)),IF(693&lt;=COUNTA(半紙!$B$11:$B$310)+COUNTA(条幅!$B$11:$B$310)+COUNTA(条幅4分の1!$B$11:$B$310),INDEX(条幅4分の1!$D$11:$D$310,693-COUNTA(半紙!$B$11:$B$310)-COUNTA(条幅!$B$11:$B$310)),""))))</f>
        <v/>
      </c>
      <c r="E698" s="38" t="str">
        <f>IF(IF(693&lt;=COUNTA(半紙!$B$11:$B$310),INDEX(半紙!$E$11:$E$310,693),IF(693&lt;=COUNTA(半紙!$B$11:$B$310)+COUNTA(条幅!$B$11:$B$310),INDEX(条幅!$E$11:$E$310,693-COUNTA(半紙!$B$11:$B$310)),IF(693&lt;=COUNTA(半紙!$B$11:$B$310)+COUNTA(条幅!$B$11:$B$310)+COUNTA(条幅4分の1!$B$11:$B$310),INDEX(条幅4分の1!$E$11:$E$310,693-COUNTA(半紙!$B$11:$B$310)-COUNTA(条幅!$B$11:$B$310)),"")))=0,"",IF(693&lt;=COUNTA(半紙!$B$11:$B$310),INDEX(半紙!$E$11:$E$310,693),IF(693&lt;=COUNTA(半紙!$B$11:$B$310)+COUNTA(条幅!$B$11:$B$310),INDEX(条幅!$E$11:$E$310,693-COUNTA(半紙!$B$11:$B$310)),IF(693&lt;=COUNTA(半紙!$B$11:$B$310)+COUNTA(条幅!$B$11:$B$310)+COUNTA(条幅4分の1!$B$11:$B$310),INDEX(条幅4分の1!$E$11:$E$310,693-COUNTA(半紙!$B$11:$B$310)-COUNTA(条幅!$B$11:$B$310)),""))))</f>
        <v/>
      </c>
      <c r="F698" s="38" t="str">
        <f>IF(IF(693&lt;=COUNTA(半紙!$B$11:$B$310),INDEX(半紙!$F$11:$F$310,693),IF(693&lt;=COUNTA(半紙!$B$11:$B$310)+COUNTA(条幅!$B$11:$B$310),INDEX(条幅!$F$11:$F$310,693-COUNTA(半紙!$B$11:$B$310)),IF(693&lt;=COUNTA(半紙!$B$11:$B$310)+COUNTA(条幅!$B$11:$B$310)+COUNTA(条幅4分の1!$B$11:$B$310),INDEX(条幅4分の1!$F$11:$F$310,693-COUNTA(半紙!$B$11:$B$310)-COUNTA(条幅!$B$11:$B$310)),"")))=0,"",IF(693&lt;=COUNTA(半紙!$B$11:$B$310),INDEX(半紙!$F$11:$F$310,693),IF(693&lt;=COUNTA(半紙!$B$11:$B$310)+COUNTA(条幅!$B$11:$B$310),INDEX(条幅!$F$11:$F$310,693-COUNTA(半紙!$B$11:$B$310)),IF(693&lt;=COUNTA(半紙!$B$11:$B$310)+COUNTA(条幅!$B$11:$B$310)+COUNTA(条幅4分の1!$B$11:$B$310),INDEX(条幅4分の1!$F$11:$F$310,693-COUNTA(半紙!$B$11:$B$310)-COUNTA(条幅!$B$11:$B$310)),""))))</f>
        <v/>
      </c>
      <c r="G698" s="38" t="str">
        <f>IF(IF(693&lt;=COUNTA(半紙!$B$11:$B$310),INDEX(半紙!$G$11:$G$310,693),IF(693&lt;=COUNTA(半紙!$B$11:$B$310)+COUNTA(条幅!$B$11:$B$310),INDEX(条幅!$G$11:$G$310,693-COUNTA(半紙!$B$11:$B$310)),IF(693&lt;=COUNTA(半紙!$B$11:$B$310)+COUNTA(条幅!$B$11:$B$310)+COUNTA(条幅4分の1!$B$11:$B$310),INDEX(条幅4分の1!$G$11:$G$310,693-COUNTA(半紙!$B$11:$B$310)-COUNTA(条幅!$B$11:$B$310)),"")))=0,"",IF(693&lt;=COUNTA(半紙!$B$11:$B$310),INDEX(半紙!$G$11:$G$310,693),IF(693&lt;=COUNTA(半紙!$B$11:$B$310)+COUNTA(条幅!$B$11:$B$310),INDEX(条幅!$G$11:$G$310,693-COUNTA(半紙!$B$11:$B$310)),IF(693&lt;=COUNTA(半紙!$B$11:$B$310)+COUNTA(条幅!$B$11:$B$310)+COUNTA(条幅4分の1!$B$11:$B$310),INDEX(条幅4分の1!$G$11:$G$310,693-COUNTA(半紙!$B$11:$B$310)-COUNTA(条幅!$B$11:$B$310)),""))))</f>
        <v/>
      </c>
      <c r="H698" s="38" t="str">
        <f>IF(IF(693&lt;=COUNTA(半紙!$B$11:$B$310),INDEX(半紙!$H$11:$H$310,693),IF(693&lt;=COUNTA(半紙!$B$11:$B$310)+COUNTA(条幅!$B$11:$B$310),INDEX(条幅!$H$11:$H$310,693-COUNTA(半紙!$B$11:$B$310)),IF(693&lt;=COUNTA(半紙!$B$11:$B$310)+COUNTA(条幅!$B$11:$B$310)+COUNTA(条幅4分の1!$B$11:$B$310),INDEX(条幅4分の1!$H$11:$H$310,693-COUNTA(半紙!$B$11:$B$310)-COUNTA(条幅!$B$11:$B$310)),"")))=0,"",IF(693&lt;=COUNTA(半紙!$B$11:$B$310),INDEX(半紙!$H$11:$H$310,693),IF(693&lt;=COUNTA(半紙!$B$11:$B$310)+COUNTA(条幅!$B$11:$B$310),INDEX(条幅!$H$11:$H$310,693-COUNTA(半紙!$B$11:$B$310)),IF(693&lt;=COUNTA(半紙!$B$11:$B$310)+COUNTA(条幅!$B$11:$B$310)+COUNTA(条幅4分の1!$B$11:$B$310),INDEX(条幅4分の1!$H$11:$H$310,693-COUNTA(半紙!$B$11:$B$310)-COUNTA(条幅!$B$11:$B$310)),""))))</f>
        <v/>
      </c>
      <c r="I698" s="38" t="str">
        <f>IF(IF(693&lt;=COUNTA(半紙!$B$11:$B$310),INDEX(半紙!$I$11:$I$310,693),IF(693&lt;=COUNTA(半紙!$B$11:$B$310)+COUNTA(条幅!$B$11:$B$310),INDEX(条幅!$I$11:$I$310,693-COUNTA(半紙!$B$11:$B$310)),IF(693&lt;=COUNTA(半紙!$B$11:$B$310)+COUNTA(条幅!$B$11:$B$310)+COUNTA(条幅4分の1!$B$11:$B$310),INDEX(条幅4分の1!$I$11:$I$310,693-COUNTA(半紙!$B$11:$B$310)-COUNTA(条幅!$B$11:$B$310)),"")))=0,"",IF(693&lt;=COUNTA(半紙!$B$11:$B$310),INDEX(半紙!$I$11:$I$310,693),IF(693&lt;=COUNTA(半紙!$B$11:$B$310)+COUNTA(条幅!$B$11:$B$310),INDEX(条幅!$I$11:$I$310,693-COUNTA(半紙!$B$11:$B$310)),IF(693&lt;=COUNTA(半紙!$B$11:$B$310)+COUNTA(条幅!$B$11:$B$310)+COUNTA(条幅4分の1!$B$11:$B$310),INDEX(条幅4分の1!$I$11:$I$310,693-COUNTA(半紙!$B$11:$B$310)-COUNTA(条幅!$B$11:$B$310)),""))))</f>
        <v/>
      </c>
      <c r="J698" s="38" t="str">
        <f>IF(IF(693&lt;=COUNTA(半紙!$B$11:$B$310),INDEX(半紙!$J$11:$J$310,693),IF(693&lt;=COUNTA(半紙!$B$11:$B$310)+COUNTA(条幅!$B$11:$B$310),INDEX(条幅!$J$11:$J$310,693-COUNTA(半紙!$B$11:$B$310)),IF(693&lt;=COUNTA(半紙!$B$11:$B$310)+COUNTA(条幅!$B$11:$B$310)+COUNTA(条幅4分の1!$B$11:$B$310),INDEX(条幅4分の1!$J$11:$J$310,693-COUNTA(半紙!$B$11:$B$310)-COUNTA(条幅!$B$11:$B$310)),"")))=0,"",IF(693&lt;=COUNTA(半紙!$B$11:$B$310),INDEX(半紙!$J$11:$J$310,693),IF(693&lt;=COUNTA(半紙!$B$11:$B$310)+COUNTA(条幅!$B$11:$B$310),INDEX(条幅!$J$11:$J$310,693-COUNTA(半紙!$B$11:$B$310)),IF(693&lt;=COUNTA(半紙!$B$11:$B$310)+COUNTA(条幅!$B$11:$B$310)+COUNTA(条幅4分の1!$B$11:$B$310),INDEX(条幅4分の1!$J$11:$J$310,693-COUNTA(半紙!$B$11:$B$310)-COUNTA(条幅!$B$11:$B$310)),""))))</f>
        <v/>
      </c>
      <c r="K698" s="38" t="str">
        <f>IF(IF(693&lt;=COUNTA(半紙!$B$11:$B$310),INDEX(半紙!$K$11:$K$310,693),IF(693&lt;=COUNTA(半紙!$B$11:$B$310)+COUNTA(条幅!$B$11:$B$310),INDEX(条幅!$K$11:$K$310,693-COUNTA(半紙!$B$11:$B$310)),IF(693&lt;=COUNTA(半紙!$B$11:$B$310)+COUNTA(条幅!$B$11:$B$310)+COUNTA(条幅4分の1!$B$11:$B$310),INDEX(条幅4分の1!$K$11:$K$310,693-COUNTA(半紙!$B$11:$B$310)-COUNTA(条幅!$B$11:$B$310)),"")))=0,"",IF(693&lt;=COUNTA(半紙!$B$11:$B$310),INDEX(半紙!$K$11:$K$310,693),IF(693&lt;=COUNTA(半紙!$B$11:$B$310)+COUNTA(条幅!$B$11:$B$310),INDEX(条幅!$K$11:$K$310,693-COUNTA(半紙!$B$11:$B$310)),IF(693&lt;=COUNTA(半紙!$B$11:$B$310)+COUNTA(条幅!$B$11:$B$310)+COUNTA(条幅4分の1!$B$11:$B$310),INDEX(条幅4分の1!$K$11:$K$310,693-COUNTA(半紙!$B$11:$B$310)-COUNTA(条幅!$B$11:$B$310)),""))))</f>
        <v/>
      </c>
      <c r="L698" s="48" t="str">
        <f>IF($B698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693))</f>
        <v/>
      </c>
    </row>
    <row r="699" spans="1:12" ht="15" customHeight="1">
      <c r="A699" s="37" t="str">
        <f>IF(694&lt;=COUNTA(半紙!$B$11:$B$310),"半紙",IF(694&lt;=COUNTA(半紙!$B$11:$B$310)+COUNTA(条幅!$B$11:$B$310),"条幅(半切)",IF(694&lt;=COUNTA(半紙!$B$11:$B$310)+COUNTA(条幅!$B$11:$B$310)+COUNTA(条幅4分の1!$B$11:$B$310),"条幅(1/4)","")))</f>
        <v/>
      </c>
      <c r="B699" s="38" t="str">
        <f>IF(IF(694&lt;=COUNTA(半紙!$B$11:$B$310),INDEX(半紙!$B$11:$B$310,694),IF(694&lt;=COUNTA(半紙!$B$11:$B$310)+COUNTA(条幅!$B$11:$B$310),INDEX(条幅!$B$11:$B$310,694-COUNTA(半紙!$B$11:$B$310)),IF(694&lt;=COUNTA(半紙!$B$11:$B$310)+COUNTA(条幅!$B$11:$B$310)+COUNTA(条幅4分の1!$B$11:$B$310),INDEX(条幅4分の1!$B$11:$B$310,694-COUNTA(半紙!$B$11:$B$310)-COUNTA(条幅!$B$11:$B$310)),"")))=0,"",IF(694&lt;=COUNTA(半紙!$B$11:$B$310),INDEX(半紙!$B$11:$B$310,694),IF(694&lt;=COUNTA(半紙!$B$11:$B$310)+COUNTA(条幅!$B$11:$B$310),INDEX(条幅!$B$11:$B$310,694-COUNTA(半紙!$B$11:$B$310)),IF(694&lt;=COUNTA(半紙!$B$11:$B$310)+COUNTA(条幅!$B$11:$B$310)+COUNTA(条幅4分の1!$B$11:$B$310),INDEX(条幅4分の1!$B$11:$B$310,694-COUNTA(半紙!$B$11:$B$310)-COUNTA(条幅!$B$11:$B$310)),""))))</f>
        <v/>
      </c>
      <c r="C699" s="38" t="str">
        <f>IF(IF(694&lt;=COUNTA(半紙!$B$11:$B$310),INDEX(半紙!$C$11:$C$310,694),IF(694&lt;=COUNTA(半紙!$B$11:$B$310)+COUNTA(条幅!$B$11:$B$310),INDEX(条幅!$C$11:$C$310,694-COUNTA(半紙!$B$11:$B$310)),IF(694&lt;=COUNTA(半紙!$B$11:$B$310)+COUNTA(条幅!$B$11:$B$310)+COUNTA(条幅4分の1!$B$11:$B$310),INDEX(条幅4分の1!$C$11:$C$310,694-COUNTA(半紙!$B$11:$B$310)-COUNTA(条幅!$B$11:$B$310)),"")))=0,"",IF(694&lt;=COUNTA(半紙!$B$11:$B$310),INDEX(半紙!$C$11:$C$310,694),IF(694&lt;=COUNTA(半紙!$B$11:$B$310)+COUNTA(条幅!$B$11:$B$310),INDEX(条幅!$C$11:$C$310,694-COUNTA(半紙!$B$11:$B$310)),IF(694&lt;=COUNTA(半紙!$B$11:$B$310)+COUNTA(条幅!$B$11:$B$310)+COUNTA(条幅4分の1!$B$11:$B$310),INDEX(条幅4分の1!$C$11:$C$310,694-COUNTA(半紙!$B$11:$B$310)-COUNTA(条幅!$B$11:$B$310)),""))))</f>
        <v/>
      </c>
      <c r="D699" s="38" t="str">
        <f>IF(IF(694&lt;=COUNTA(半紙!$B$11:$B$310),INDEX(半紙!$D$11:$D$310,694),IF(694&lt;=COUNTA(半紙!$B$11:$B$310)+COUNTA(条幅!$B$11:$B$310),INDEX(条幅!$D$11:$D$310,694-COUNTA(半紙!$B$11:$B$310)),IF(694&lt;=COUNTA(半紙!$B$11:$B$310)+COUNTA(条幅!$B$11:$B$310)+COUNTA(条幅4分の1!$B$11:$B$310),INDEX(条幅4分の1!$D$11:$D$310,694-COUNTA(半紙!$B$11:$B$310)-COUNTA(条幅!$B$11:$B$310)),"")))=0,"",IF(694&lt;=COUNTA(半紙!$B$11:$B$310),INDEX(半紙!$D$11:$D$310,694),IF(694&lt;=COUNTA(半紙!$B$11:$B$310)+COUNTA(条幅!$B$11:$B$310),INDEX(条幅!$D$11:$D$310,694-COUNTA(半紙!$B$11:$B$310)),IF(694&lt;=COUNTA(半紙!$B$11:$B$310)+COUNTA(条幅!$B$11:$B$310)+COUNTA(条幅4分の1!$B$11:$B$310),INDEX(条幅4分の1!$D$11:$D$310,694-COUNTA(半紙!$B$11:$B$310)-COUNTA(条幅!$B$11:$B$310)),""))))</f>
        <v/>
      </c>
      <c r="E699" s="38" t="str">
        <f>IF(IF(694&lt;=COUNTA(半紙!$B$11:$B$310),INDEX(半紙!$E$11:$E$310,694),IF(694&lt;=COUNTA(半紙!$B$11:$B$310)+COUNTA(条幅!$B$11:$B$310),INDEX(条幅!$E$11:$E$310,694-COUNTA(半紙!$B$11:$B$310)),IF(694&lt;=COUNTA(半紙!$B$11:$B$310)+COUNTA(条幅!$B$11:$B$310)+COUNTA(条幅4分の1!$B$11:$B$310),INDEX(条幅4分の1!$E$11:$E$310,694-COUNTA(半紙!$B$11:$B$310)-COUNTA(条幅!$B$11:$B$310)),"")))=0,"",IF(694&lt;=COUNTA(半紙!$B$11:$B$310),INDEX(半紙!$E$11:$E$310,694),IF(694&lt;=COUNTA(半紙!$B$11:$B$310)+COUNTA(条幅!$B$11:$B$310),INDEX(条幅!$E$11:$E$310,694-COUNTA(半紙!$B$11:$B$310)),IF(694&lt;=COUNTA(半紙!$B$11:$B$310)+COUNTA(条幅!$B$11:$B$310)+COUNTA(条幅4分の1!$B$11:$B$310),INDEX(条幅4分の1!$E$11:$E$310,694-COUNTA(半紙!$B$11:$B$310)-COUNTA(条幅!$B$11:$B$310)),""))))</f>
        <v/>
      </c>
      <c r="F699" s="38" t="str">
        <f>IF(IF(694&lt;=COUNTA(半紙!$B$11:$B$310),INDEX(半紙!$F$11:$F$310,694),IF(694&lt;=COUNTA(半紙!$B$11:$B$310)+COUNTA(条幅!$B$11:$B$310),INDEX(条幅!$F$11:$F$310,694-COUNTA(半紙!$B$11:$B$310)),IF(694&lt;=COUNTA(半紙!$B$11:$B$310)+COUNTA(条幅!$B$11:$B$310)+COUNTA(条幅4分の1!$B$11:$B$310),INDEX(条幅4分の1!$F$11:$F$310,694-COUNTA(半紙!$B$11:$B$310)-COUNTA(条幅!$B$11:$B$310)),"")))=0,"",IF(694&lt;=COUNTA(半紙!$B$11:$B$310),INDEX(半紙!$F$11:$F$310,694),IF(694&lt;=COUNTA(半紙!$B$11:$B$310)+COUNTA(条幅!$B$11:$B$310),INDEX(条幅!$F$11:$F$310,694-COUNTA(半紙!$B$11:$B$310)),IF(694&lt;=COUNTA(半紙!$B$11:$B$310)+COUNTA(条幅!$B$11:$B$310)+COUNTA(条幅4分の1!$B$11:$B$310),INDEX(条幅4分の1!$F$11:$F$310,694-COUNTA(半紙!$B$11:$B$310)-COUNTA(条幅!$B$11:$B$310)),""))))</f>
        <v/>
      </c>
      <c r="G699" s="38" t="str">
        <f>IF(IF(694&lt;=COUNTA(半紙!$B$11:$B$310),INDEX(半紙!$G$11:$G$310,694),IF(694&lt;=COUNTA(半紙!$B$11:$B$310)+COUNTA(条幅!$B$11:$B$310),INDEX(条幅!$G$11:$G$310,694-COUNTA(半紙!$B$11:$B$310)),IF(694&lt;=COUNTA(半紙!$B$11:$B$310)+COUNTA(条幅!$B$11:$B$310)+COUNTA(条幅4分の1!$B$11:$B$310),INDEX(条幅4分の1!$G$11:$G$310,694-COUNTA(半紙!$B$11:$B$310)-COUNTA(条幅!$B$11:$B$310)),"")))=0,"",IF(694&lt;=COUNTA(半紙!$B$11:$B$310),INDEX(半紙!$G$11:$G$310,694),IF(694&lt;=COUNTA(半紙!$B$11:$B$310)+COUNTA(条幅!$B$11:$B$310),INDEX(条幅!$G$11:$G$310,694-COUNTA(半紙!$B$11:$B$310)),IF(694&lt;=COUNTA(半紙!$B$11:$B$310)+COUNTA(条幅!$B$11:$B$310)+COUNTA(条幅4分の1!$B$11:$B$310),INDEX(条幅4分の1!$G$11:$G$310,694-COUNTA(半紙!$B$11:$B$310)-COUNTA(条幅!$B$11:$B$310)),""))))</f>
        <v/>
      </c>
      <c r="H699" s="38" t="str">
        <f>IF(IF(694&lt;=COUNTA(半紙!$B$11:$B$310),INDEX(半紙!$H$11:$H$310,694),IF(694&lt;=COUNTA(半紙!$B$11:$B$310)+COUNTA(条幅!$B$11:$B$310),INDEX(条幅!$H$11:$H$310,694-COUNTA(半紙!$B$11:$B$310)),IF(694&lt;=COUNTA(半紙!$B$11:$B$310)+COUNTA(条幅!$B$11:$B$310)+COUNTA(条幅4分の1!$B$11:$B$310),INDEX(条幅4分の1!$H$11:$H$310,694-COUNTA(半紙!$B$11:$B$310)-COUNTA(条幅!$B$11:$B$310)),"")))=0,"",IF(694&lt;=COUNTA(半紙!$B$11:$B$310),INDEX(半紙!$H$11:$H$310,694),IF(694&lt;=COUNTA(半紙!$B$11:$B$310)+COUNTA(条幅!$B$11:$B$310),INDEX(条幅!$H$11:$H$310,694-COUNTA(半紙!$B$11:$B$310)),IF(694&lt;=COUNTA(半紙!$B$11:$B$310)+COUNTA(条幅!$B$11:$B$310)+COUNTA(条幅4分の1!$B$11:$B$310),INDEX(条幅4分の1!$H$11:$H$310,694-COUNTA(半紙!$B$11:$B$310)-COUNTA(条幅!$B$11:$B$310)),""))))</f>
        <v/>
      </c>
      <c r="I699" s="38" t="str">
        <f>IF(IF(694&lt;=COUNTA(半紙!$B$11:$B$310),INDEX(半紙!$I$11:$I$310,694),IF(694&lt;=COUNTA(半紙!$B$11:$B$310)+COUNTA(条幅!$B$11:$B$310),INDEX(条幅!$I$11:$I$310,694-COUNTA(半紙!$B$11:$B$310)),IF(694&lt;=COUNTA(半紙!$B$11:$B$310)+COUNTA(条幅!$B$11:$B$310)+COUNTA(条幅4分の1!$B$11:$B$310),INDEX(条幅4分の1!$I$11:$I$310,694-COUNTA(半紙!$B$11:$B$310)-COUNTA(条幅!$B$11:$B$310)),"")))=0,"",IF(694&lt;=COUNTA(半紙!$B$11:$B$310),INDEX(半紙!$I$11:$I$310,694),IF(694&lt;=COUNTA(半紙!$B$11:$B$310)+COUNTA(条幅!$B$11:$B$310),INDEX(条幅!$I$11:$I$310,694-COUNTA(半紙!$B$11:$B$310)),IF(694&lt;=COUNTA(半紙!$B$11:$B$310)+COUNTA(条幅!$B$11:$B$310)+COUNTA(条幅4分の1!$B$11:$B$310),INDEX(条幅4分の1!$I$11:$I$310,694-COUNTA(半紙!$B$11:$B$310)-COUNTA(条幅!$B$11:$B$310)),""))))</f>
        <v/>
      </c>
      <c r="J699" s="38" t="str">
        <f>IF(IF(694&lt;=COUNTA(半紙!$B$11:$B$310),INDEX(半紙!$J$11:$J$310,694),IF(694&lt;=COUNTA(半紙!$B$11:$B$310)+COUNTA(条幅!$B$11:$B$310),INDEX(条幅!$J$11:$J$310,694-COUNTA(半紙!$B$11:$B$310)),IF(694&lt;=COUNTA(半紙!$B$11:$B$310)+COUNTA(条幅!$B$11:$B$310)+COUNTA(条幅4分の1!$B$11:$B$310),INDEX(条幅4分の1!$J$11:$J$310,694-COUNTA(半紙!$B$11:$B$310)-COUNTA(条幅!$B$11:$B$310)),"")))=0,"",IF(694&lt;=COUNTA(半紙!$B$11:$B$310),INDEX(半紙!$J$11:$J$310,694),IF(694&lt;=COUNTA(半紙!$B$11:$B$310)+COUNTA(条幅!$B$11:$B$310),INDEX(条幅!$J$11:$J$310,694-COUNTA(半紙!$B$11:$B$310)),IF(694&lt;=COUNTA(半紙!$B$11:$B$310)+COUNTA(条幅!$B$11:$B$310)+COUNTA(条幅4分の1!$B$11:$B$310),INDEX(条幅4分の1!$J$11:$J$310,694-COUNTA(半紙!$B$11:$B$310)-COUNTA(条幅!$B$11:$B$310)),""))))</f>
        <v/>
      </c>
      <c r="K699" s="38" t="str">
        <f>IF(IF(694&lt;=COUNTA(半紙!$B$11:$B$310),INDEX(半紙!$K$11:$K$310,694),IF(694&lt;=COUNTA(半紙!$B$11:$B$310)+COUNTA(条幅!$B$11:$B$310),INDEX(条幅!$K$11:$K$310,694-COUNTA(半紙!$B$11:$B$310)),IF(694&lt;=COUNTA(半紙!$B$11:$B$310)+COUNTA(条幅!$B$11:$B$310)+COUNTA(条幅4分の1!$B$11:$B$310),INDEX(条幅4分の1!$K$11:$K$310,694-COUNTA(半紙!$B$11:$B$310)-COUNTA(条幅!$B$11:$B$310)),"")))=0,"",IF(694&lt;=COUNTA(半紙!$B$11:$B$310),INDEX(半紙!$K$11:$K$310,694),IF(694&lt;=COUNTA(半紙!$B$11:$B$310)+COUNTA(条幅!$B$11:$B$310),INDEX(条幅!$K$11:$K$310,694-COUNTA(半紙!$B$11:$B$310)),IF(694&lt;=COUNTA(半紙!$B$11:$B$310)+COUNTA(条幅!$B$11:$B$310)+COUNTA(条幅4分の1!$B$11:$B$310),INDEX(条幅4分の1!$K$11:$K$310,694-COUNTA(半紙!$B$11:$B$310)-COUNTA(条幅!$B$11:$B$310)),""))))</f>
        <v/>
      </c>
      <c r="L699" s="48" t="str">
        <f>IF($B699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694))</f>
        <v/>
      </c>
    </row>
    <row r="700" spans="1:12" ht="15" customHeight="1">
      <c r="A700" s="37" t="str">
        <f>IF(695&lt;=COUNTA(半紙!$B$11:$B$310),"半紙",IF(695&lt;=COUNTA(半紙!$B$11:$B$310)+COUNTA(条幅!$B$11:$B$310),"条幅(半切)",IF(695&lt;=COUNTA(半紙!$B$11:$B$310)+COUNTA(条幅!$B$11:$B$310)+COUNTA(条幅4分の1!$B$11:$B$310),"条幅(1/4)","")))</f>
        <v/>
      </c>
      <c r="B700" s="38" t="str">
        <f>IF(IF(695&lt;=COUNTA(半紙!$B$11:$B$310),INDEX(半紙!$B$11:$B$310,695),IF(695&lt;=COUNTA(半紙!$B$11:$B$310)+COUNTA(条幅!$B$11:$B$310),INDEX(条幅!$B$11:$B$310,695-COUNTA(半紙!$B$11:$B$310)),IF(695&lt;=COUNTA(半紙!$B$11:$B$310)+COUNTA(条幅!$B$11:$B$310)+COUNTA(条幅4分の1!$B$11:$B$310),INDEX(条幅4分の1!$B$11:$B$310,695-COUNTA(半紙!$B$11:$B$310)-COUNTA(条幅!$B$11:$B$310)),"")))=0,"",IF(695&lt;=COUNTA(半紙!$B$11:$B$310),INDEX(半紙!$B$11:$B$310,695),IF(695&lt;=COUNTA(半紙!$B$11:$B$310)+COUNTA(条幅!$B$11:$B$310),INDEX(条幅!$B$11:$B$310,695-COUNTA(半紙!$B$11:$B$310)),IF(695&lt;=COUNTA(半紙!$B$11:$B$310)+COUNTA(条幅!$B$11:$B$310)+COUNTA(条幅4分の1!$B$11:$B$310),INDEX(条幅4分の1!$B$11:$B$310,695-COUNTA(半紙!$B$11:$B$310)-COUNTA(条幅!$B$11:$B$310)),""))))</f>
        <v/>
      </c>
      <c r="C700" s="38" t="str">
        <f>IF(IF(695&lt;=COUNTA(半紙!$B$11:$B$310),INDEX(半紙!$C$11:$C$310,695),IF(695&lt;=COUNTA(半紙!$B$11:$B$310)+COUNTA(条幅!$B$11:$B$310),INDEX(条幅!$C$11:$C$310,695-COUNTA(半紙!$B$11:$B$310)),IF(695&lt;=COUNTA(半紙!$B$11:$B$310)+COUNTA(条幅!$B$11:$B$310)+COUNTA(条幅4分の1!$B$11:$B$310),INDEX(条幅4分の1!$C$11:$C$310,695-COUNTA(半紙!$B$11:$B$310)-COUNTA(条幅!$B$11:$B$310)),"")))=0,"",IF(695&lt;=COUNTA(半紙!$B$11:$B$310),INDEX(半紙!$C$11:$C$310,695),IF(695&lt;=COUNTA(半紙!$B$11:$B$310)+COUNTA(条幅!$B$11:$B$310),INDEX(条幅!$C$11:$C$310,695-COUNTA(半紙!$B$11:$B$310)),IF(695&lt;=COUNTA(半紙!$B$11:$B$310)+COUNTA(条幅!$B$11:$B$310)+COUNTA(条幅4分の1!$B$11:$B$310),INDEX(条幅4分の1!$C$11:$C$310,695-COUNTA(半紙!$B$11:$B$310)-COUNTA(条幅!$B$11:$B$310)),""))))</f>
        <v/>
      </c>
      <c r="D700" s="38" t="str">
        <f>IF(IF(695&lt;=COUNTA(半紙!$B$11:$B$310),INDEX(半紙!$D$11:$D$310,695),IF(695&lt;=COUNTA(半紙!$B$11:$B$310)+COUNTA(条幅!$B$11:$B$310),INDEX(条幅!$D$11:$D$310,695-COUNTA(半紙!$B$11:$B$310)),IF(695&lt;=COUNTA(半紙!$B$11:$B$310)+COUNTA(条幅!$B$11:$B$310)+COUNTA(条幅4分の1!$B$11:$B$310),INDEX(条幅4分の1!$D$11:$D$310,695-COUNTA(半紙!$B$11:$B$310)-COUNTA(条幅!$B$11:$B$310)),"")))=0,"",IF(695&lt;=COUNTA(半紙!$B$11:$B$310),INDEX(半紙!$D$11:$D$310,695),IF(695&lt;=COUNTA(半紙!$B$11:$B$310)+COUNTA(条幅!$B$11:$B$310),INDEX(条幅!$D$11:$D$310,695-COUNTA(半紙!$B$11:$B$310)),IF(695&lt;=COUNTA(半紙!$B$11:$B$310)+COUNTA(条幅!$B$11:$B$310)+COUNTA(条幅4分の1!$B$11:$B$310),INDEX(条幅4分の1!$D$11:$D$310,695-COUNTA(半紙!$B$11:$B$310)-COUNTA(条幅!$B$11:$B$310)),""))))</f>
        <v/>
      </c>
      <c r="E700" s="38" t="str">
        <f>IF(IF(695&lt;=COUNTA(半紙!$B$11:$B$310),INDEX(半紙!$E$11:$E$310,695),IF(695&lt;=COUNTA(半紙!$B$11:$B$310)+COUNTA(条幅!$B$11:$B$310),INDEX(条幅!$E$11:$E$310,695-COUNTA(半紙!$B$11:$B$310)),IF(695&lt;=COUNTA(半紙!$B$11:$B$310)+COUNTA(条幅!$B$11:$B$310)+COUNTA(条幅4分の1!$B$11:$B$310),INDEX(条幅4分の1!$E$11:$E$310,695-COUNTA(半紙!$B$11:$B$310)-COUNTA(条幅!$B$11:$B$310)),"")))=0,"",IF(695&lt;=COUNTA(半紙!$B$11:$B$310),INDEX(半紙!$E$11:$E$310,695),IF(695&lt;=COUNTA(半紙!$B$11:$B$310)+COUNTA(条幅!$B$11:$B$310),INDEX(条幅!$E$11:$E$310,695-COUNTA(半紙!$B$11:$B$310)),IF(695&lt;=COUNTA(半紙!$B$11:$B$310)+COUNTA(条幅!$B$11:$B$310)+COUNTA(条幅4分の1!$B$11:$B$310),INDEX(条幅4分の1!$E$11:$E$310,695-COUNTA(半紙!$B$11:$B$310)-COUNTA(条幅!$B$11:$B$310)),""))))</f>
        <v/>
      </c>
      <c r="F700" s="38" t="str">
        <f>IF(IF(695&lt;=COUNTA(半紙!$B$11:$B$310),INDEX(半紙!$F$11:$F$310,695),IF(695&lt;=COUNTA(半紙!$B$11:$B$310)+COUNTA(条幅!$B$11:$B$310),INDEX(条幅!$F$11:$F$310,695-COUNTA(半紙!$B$11:$B$310)),IF(695&lt;=COUNTA(半紙!$B$11:$B$310)+COUNTA(条幅!$B$11:$B$310)+COUNTA(条幅4分の1!$B$11:$B$310),INDEX(条幅4分の1!$F$11:$F$310,695-COUNTA(半紙!$B$11:$B$310)-COUNTA(条幅!$B$11:$B$310)),"")))=0,"",IF(695&lt;=COUNTA(半紙!$B$11:$B$310),INDEX(半紙!$F$11:$F$310,695),IF(695&lt;=COUNTA(半紙!$B$11:$B$310)+COUNTA(条幅!$B$11:$B$310),INDEX(条幅!$F$11:$F$310,695-COUNTA(半紙!$B$11:$B$310)),IF(695&lt;=COUNTA(半紙!$B$11:$B$310)+COUNTA(条幅!$B$11:$B$310)+COUNTA(条幅4分の1!$B$11:$B$310),INDEX(条幅4分の1!$F$11:$F$310,695-COUNTA(半紙!$B$11:$B$310)-COUNTA(条幅!$B$11:$B$310)),""))))</f>
        <v/>
      </c>
      <c r="G700" s="38" t="str">
        <f>IF(IF(695&lt;=COUNTA(半紙!$B$11:$B$310),INDEX(半紙!$G$11:$G$310,695),IF(695&lt;=COUNTA(半紙!$B$11:$B$310)+COUNTA(条幅!$B$11:$B$310),INDEX(条幅!$G$11:$G$310,695-COUNTA(半紙!$B$11:$B$310)),IF(695&lt;=COUNTA(半紙!$B$11:$B$310)+COUNTA(条幅!$B$11:$B$310)+COUNTA(条幅4分の1!$B$11:$B$310),INDEX(条幅4分の1!$G$11:$G$310,695-COUNTA(半紙!$B$11:$B$310)-COUNTA(条幅!$B$11:$B$310)),"")))=0,"",IF(695&lt;=COUNTA(半紙!$B$11:$B$310),INDEX(半紙!$G$11:$G$310,695),IF(695&lt;=COUNTA(半紙!$B$11:$B$310)+COUNTA(条幅!$B$11:$B$310),INDEX(条幅!$G$11:$G$310,695-COUNTA(半紙!$B$11:$B$310)),IF(695&lt;=COUNTA(半紙!$B$11:$B$310)+COUNTA(条幅!$B$11:$B$310)+COUNTA(条幅4分の1!$B$11:$B$310),INDEX(条幅4分の1!$G$11:$G$310,695-COUNTA(半紙!$B$11:$B$310)-COUNTA(条幅!$B$11:$B$310)),""))))</f>
        <v/>
      </c>
      <c r="H700" s="38" t="str">
        <f>IF(IF(695&lt;=COUNTA(半紙!$B$11:$B$310),INDEX(半紙!$H$11:$H$310,695),IF(695&lt;=COUNTA(半紙!$B$11:$B$310)+COUNTA(条幅!$B$11:$B$310),INDEX(条幅!$H$11:$H$310,695-COUNTA(半紙!$B$11:$B$310)),IF(695&lt;=COUNTA(半紙!$B$11:$B$310)+COUNTA(条幅!$B$11:$B$310)+COUNTA(条幅4分の1!$B$11:$B$310),INDEX(条幅4分の1!$H$11:$H$310,695-COUNTA(半紙!$B$11:$B$310)-COUNTA(条幅!$B$11:$B$310)),"")))=0,"",IF(695&lt;=COUNTA(半紙!$B$11:$B$310),INDEX(半紙!$H$11:$H$310,695),IF(695&lt;=COUNTA(半紙!$B$11:$B$310)+COUNTA(条幅!$B$11:$B$310),INDEX(条幅!$H$11:$H$310,695-COUNTA(半紙!$B$11:$B$310)),IF(695&lt;=COUNTA(半紙!$B$11:$B$310)+COUNTA(条幅!$B$11:$B$310)+COUNTA(条幅4分の1!$B$11:$B$310),INDEX(条幅4分の1!$H$11:$H$310,695-COUNTA(半紙!$B$11:$B$310)-COUNTA(条幅!$B$11:$B$310)),""))))</f>
        <v/>
      </c>
      <c r="I700" s="38" t="str">
        <f>IF(IF(695&lt;=COUNTA(半紙!$B$11:$B$310),INDEX(半紙!$I$11:$I$310,695),IF(695&lt;=COUNTA(半紙!$B$11:$B$310)+COUNTA(条幅!$B$11:$B$310),INDEX(条幅!$I$11:$I$310,695-COUNTA(半紙!$B$11:$B$310)),IF(695&lt;=COUNTA(半紙!$B$11:$B$310)+COUNTA(条幅!$B$11:$B$310)+COUNTA(条幅4分の1!$B$11:$B$310),INDEX(条幅4分の1!$I$11:$I$310,695-COUNTA(半紙!$B$11:$B$310)-COUNTA(条幅!$B$11:$B$310)),"")))=0,"",IF(695&lt;=COUNTA(半紙!$B$11:$B$310),INDEX(半紙!$I$11:$I$310,695),IF(695&lt;=COUNTA(半紙!$B$11:$B$310)+COUNTA(条幅!$B$11:$B$310),INDEX(条幅!$I$11:$I$310,695-COUNTA(半紙!$B$11:$B$310)),IF(695&lt;=COUNTA(半紙!$B$11:$B$310)+COUNTA(条幅!$B$11:$B$310)+COUNTA(条幅4分の1!$B$11:$B$310),INDEX(条幅4分の1!$I$11:$I$310,695-COUNTA(半紙!$B$11:$B$310)-COUNTA(条幅!$B$11:$B$310)),""))))</f>
        <v/>
      </c>
      <c r="J700" s="38" t="str">
        <f>IF(IF(695&lt;=COUNTA(半紙!$B$11:$B$310),INDEX(半紙!$J$11:$J$310,695),IF(695&lt;=COUNTA(半紙!$B$11:$B$310)+COUNTA(条幅!$B$11:$B$310),INDEX(条幅!$J$11:$J$310,695-COUNTA(半紙!$B$11:$B$310)),IF(695&lt;=COUNTA(半紙!$B$11:$B$310)+COUNTA(条幅!$B$11:$B$310)+COUNTA(条幅4分の1!$B$11:$B$310),INDEX(条幅4分の1!$J$11:$J$310,695-COUNTA(半紙!$B$11:$B$310)-COUNTA(条幅!$B$11:$B$310)),"")))=0,"",IF(695&lt;=COUNTA(半紙!$B$11:$B$310),INDEX(半紙!$J$11:$J$310,695),IF(695&lt;=COUNTA(半紙!$B$11:$B$310)+COUNTA(条幅!$B$11:$B$310),INDEX(条幅!$J$11:$J$310,695-COUNTA(半紙!$B$11:$B$310)),IF(695&lt;=COUNTA(半紙!$B$11:$B$310)+COUNTA(条幅!$B$11:$B$310)+COUNTA(条幅4分の1!$B$11:$B$310),INDEX(条幅4分の1!$J$11:$J$310,695-COUNTA(半紙!$B$11:$B$310)-COUNTA(条幅!$B$11:$B$310)),""))))</f>
        <v/>
      </c>
      <c r="K700" s="38" t="str">
        <f>IF(IF(695&lt;=COUNTA(半紙!$B$11:$B$310),INDEX(半紙!$K$11:$K$310,695),IF(695&lt;=COUNTA(半紙!$B$11:$B$310)+COUNTA(条幅!$B$11:$B$310),INDEX(条幅!$K$11:$K$310,695-COUNTA(半紙!$B$11:$B$310)),IF(695&lt;=COUNTA(半紙!$B$11:$B$310)+COUNTA(条幅!$B$11:$B$310)+COUNTA(条幅4分の1!$B$11:$B$310),INDEX(条幅4分の1!$K$11:$K$310,695-COUNTA(半紙!$B$11:$B$310)-COUNTA(条幅!$B$11:$B$310)),"")))=0,"",IF(695&lt;=COUNTA(半紙!$B$11:$B$310),INDEX(半紙!$K$11:$K$310,695),IF(695&lt;=COUNTA(半紙!$B$11:$B$310)+COUNTA(条幅!$B$11:$B$310),INDEX(条幅!$K$11:$K$310,695-COUNTA(半紙!$B$11:$B$310)),IF(695&lt;=COUNTA(半紙!$B$11:$B$310)+COUNTA(条幅!$B$11:$B$310)+COUNTA(条幅4分の1!$B$11:$B$310),INDEX(条幅4分の1!$K$11:$K$310,695-COUNTA(半紙!$B$11:$B$310)-COUNTA(条幅!$B$11:$B$310)),""))))</f>
        <v/>
      </c>
      <c r="L700" s="48" t="str">
        <f>IF($B700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695))</f>
        <v/>
      </c>
    </row>
    <row r="701" spans="1:12" ht="15" customHeight="1">
      <c r="A701" s="37" t="str">
        <f>IF(696&lt;=COUNTA(半紙!$B$11:$B$310),"半紙",IF(696&lt;=COUNTA(半紙!$B$11:$B$310)+COUNTA(条幅!$B$11:$B$310),"条幅(半切)",IF(696&lt;=COUNTA(半紙!$B$11:$B$310)+COUNTA(条幅!$B$11:$B$310)+COUNTA(条幅4分の1!$B$11:$B$310),"条幅(1/4)","")))</f>
        <v/>
      </c>
      <c r="B701" s="38" t="str">
        <f>IF(IF(696&lt;=COUNTA(半紙!$B$11:$B$310),INDEX(半紙!$B$11:$B$310,696),IF(696&lt;=COUNTA(半紙!$B$11:$B$310)+COUNTA(条幅!$B$11:$B$310),INDEX(条幅!$B$11:$B$310,696-COUNTA(半紙!$B$11:$B$310)),IF(696&lt;=COUNTA(半紙!$B$11:$B$310)+COUNTA(条幅!$B$11:$B$310)+COUNTA(条幅4分の1!$B$11:$B$310),INDEX(条幅4分の1!$B$11:$B$310,696-COUNTA(半紙!$B$11:$B$310)-COUNTA(条幅!$B$11:$B$310)),"")))=0,"",IF(696&lt;=COUNTA(半紙!$B$11:$B$310),INDEX(半紙!$B$11:$B$310,696),IF(696&lt;=COUNTA(半紙!$B$11:$B$310)+COUNTA(条幅!$B$11:$B$310),INDEX(条幅!$B$11:$B$310,696-COUNTA(半紙!$B$11:$B$310)),IF(696&lt;=COUNTA(半紙!$B$11:$B$310)+COUNTA(条幅!$B$11:$B$310)+COUNTA(条幅4分の1!$B$11:$B$310),INDEX(条幅4分の1!$B$11:$B$310,696-COUNTA(半紙!$B$11:$B$310)-COUNTA(条幅!$B$11:$B$310)),""))))</f>
        <v/>
      </c>
      <c r="C701" s="38" t="str">
        <f>IF(IF(696&lt;=COUNTA(半紙!$B$11:$B$310),INDEX(半紙!$C$11:$C$310,696),IF(696&lt;=COUNTA(半紙!$B$11:$B$310)+COUNTA(条幅!$B$11:$B$310),INDEX(条幅!$C$11:$C$310,696-COUNTA(半紙!$B$11:$B$310)),IF(696&lt;=COUNTA(半紙!$B$11:$B$310)+COUNTA(条幅!$B$11:$B$310)+COUNTA(条幅4分の1!$B$11:$B$310),INDEX(条幅4分の1!$C$11:$C$310,696-COUNTA(半紙!$B$11:$B$310)-COUNTA(条幅!$B$11:$B$310)),"")))=0,"",IF(696&lt;=COUNTA(半紙!$B$11:$B$310),INDEX(半紙!$C$11:$C$310,696),IF(696&lt;=COUNTA(半紙!$B$11:$B$310)+COUNTA(条幅!$B$11:$B$310),INDEX(条幅!$C$11:$C$310,696-COUNTA(半紙!$B$11:$B$310)),IF(696&lt;=COUNTA(半紙!$B$11:$B$310)+COUNTA(条幅!$B$11:$B$310)+COUNTA(条幅4分の1!$B$11:$B$310),INDEX(条幅4分の1!$C$11:$C$310,696-COUNTA(半紙!$B$11:$B$310)-COUNTA(条幅!$B$11:$B$310)),""))))</f>
        <v/>
      </c>
      <c r="D701" s="38" t="str">
        <f>IF(IF(696&lt;=COUNTA(半紙!$B$11:$B$310),INDEX(半紙!$D$11:$D$310,696),IF(696&lt;=COUNTA(半紙!$B$11:$B$310)+COUNTA(条幅!$B$11:$B$310),INDEX(条幅!$D$11:$D$310,696-COUNTA(半紙!$B$11:$B$310)),IF(696&lt;=COUNTA(半紙!$B$11:$B$310)+COUNTA(条幅!$B$11:$B$310)+COUNTA(条幅4分の1!$B$11:$B$310),INDEX(条幅4分の1!$D$11:$D$310,696-COUNTA(半紙!$B$11:$B$310)-COUNTA(条幅!$B$11:$B$310)),"")))=0,"",IF(696&lt;=COUNTA(半紙!$B$11:$B$310),INDEX(半紙!$D$11:$D$310,696),IF(696&lt;=COUNTA(半紙!$B$11:$B$310)+COUNTA(条幅!$B$11:$B$310),INDEX(条幅!$D$11:$D$310,696-COUNTA(半紙!$B$11:$B$310)),IF(696&lt;=COUNTA(半紙!$B$11:$B$310)+COUNTA(条幅!$B$11:$B$310)+COUNTA(条幅4分の1!$B$11:$B$310),INDEX(条幅4分の1!$D$11:$D$310,696-COUNTA(半紙!$B$11:$B$310)-COUNTA(条幅!$B$11:$B$310)),""))))</f>
        <v/>
      </c>
      <c r="E701" s="38" t="str">
        <f>IF(IF(696&lt;=COUNTA(半紙!$B$11:$B$310),INDEX(半紙!$E$11:$E$310,696),IF(696&lt;=COUNTA(半紙!$B$11:$B$310)+COUNTA(条幅!$B$11:$B$310),INDEX(条幅!$E$11:$E$310,696-COUNTA(半紙!$B$11:$B$310)),IF(696&lt;=COUNTA(半紙!$B$11:$B$310)+COUNTA(条幅!$B$11:$B$310)+COUNTA(条幅4分の1!$B$11:$B$310),INDEX(条幅4分の1!$E$11:$E$310,696-COUNTA(半紙!$B$11:$B$310)-COUNTA(条幅!$B$11:$B$310)),"")))=0,"",IF(696&lt;=COUNTA(半紙!$B$11:$B$310),INDEX(半紙!$E$11:$E$310,696),IF(696&lt;=COUNTA(半紙!$B$11:$B$310)+COUNTA(条幅!$B$11:$B$310),INDEX(条幅!$E$11:$E$310,696-COUNTA(半紙!$B$11:$B$310)),IF(696&lt;=COUNTA(半紙!$B$11:$B$310)+COUNTA(条幅!$B$11:$B$310)+COUNTA(条幅4分の1!$B$11:$B$310),INDEX(条幅4分の1!$E$11:$E$310,696-COUNTA(半紙!$B$11:$B$310)-COUNTA(条幅!$B$11:$B$310)),""))))</f>
        <v/>
      </c>
      <c r="F701" s="38" t="str">
        <f>IF(IF(696&lt;=COUNTA(半紙!$B$11:$B$310),INDEX(半紙!$F$11:$F$310,696),IF(696&lt;=COUNTA(半紙!$B$11:$B$310)+COUNTA(条幅!$B$11:$B$310),INDEX(条幅!$F$11:$F$310,696-COUNTA(半紙!$B$11:$B$310)),IF(696&lt;=COUNTA(半紙!$B$11:$B$310)+COUNTA(条幅!$B$11:$B$310)+COUNTA(条幅4分の1!$B$11:$B$310),INDEX(条幅4分の1!$F$11:$F$310,696-COUNTA(半紙!$B$11:$B$310)-COUNTA(条幅!$B$11:$B$310)),"")))=0,"",IF(696&lt;=COUNTA(半紙!$B$11:$B$310),INDEX(半紙!$F$11:$F$310,696),IF(696&lt;=COUNTA(半紙!$B$11:$B$310)+COUNTA(条幅!$B$11:$B$310),INDEX(条幅!$F$11:$F$310,696-COUNTA(半紙!$B$11:$B$310)),IF(696&lt;=COUNTA(半紙!$B$11:$B$310)+COUNTA(条幅!$B$11:$B$310)+COUNTA(条幅4分の1!$B$11:$B$310),INDEX(条幅4分の1!$F$11:$F$310,696-COUNTA(半紙!$B$11:$B$310)-COUNTA(条幅!$B$11:$B$310)),""))))</f>
        <v/>
      </c>
      <c r="G701" s="38" t="str">
        <f>IF(IF(696&lt;=COUNTA(半紙!$B$11:$B$310),INDEX(半紙!$G$11:$G$310,696),IF(696&lt;=COUNTA(半紙!$B$11:$B$310)+COUNTA(条幅!$B$11:$B$310),INDEX(条幅!$G$11:$G$310,696-COUNTA(半紙!$B$11:$B$310)),IF(696&lt;=COUNTA(半紙!$B$11:$B$310)+COUNTA(条幅!$B$11:$B$310)+COUNTA(条幅4分の1!$B$11:$B$310),INDEX(条幅4分の1!$G$11:$G$310,696-COUNTA(半紙!$B$11:$B$310)-COUNTA(条幅!$B$11:$B$310)),"")))=0,"",IF(696&lt;=COUNTA(半紙!$B$11:$B$310),INDEX(半紙!$G$11:$G$310,696),IF(696&lt;=COUNTA(半紙!$B$11:$B$310)+COUNTA(条幅!$B$11:$B$310),INDEX(条幅!$G$11:$G$310,696-COUNTA(半紙!$B$11:$B$310)),IF(696&lt;=COUNTA(半紙!$B$11:$B$310)+COUNTA(条幅!$B$11:$B$310)+COUNTA(条幅4分の1!$B$11:$B$310),INDEX(条幅4分の1!$G$11:$G$310,696-COUNTA(半紙!$B$11:$B$310)-COUNTA(条幅!$B$11:$B$310)),""))))</f>
        <v/>
      </c>
      <c r="H701" s="38" t="str">
        <f>IF(IF(696&lt;=COUNTA(半紙!$B$11:$B$310),INDEX(半紙!$H$11:$H$310,696),IF(696&lt;=COUNTA(半紙!$B$11:$B$310)+COUNTA(条幅!$B$11:$B$310),INDEX(条幅!$H$11:$H$310,696-COUNTA(半紙!$B$11:$B$310)),IF(696&lt;=COUNTA(半紙!$B$11:$B$310)+COUNTA(条幅!$B$11:$B$310)+COUNTA(条幅4分の1!$B$11:$B$310),INDEX(条幅4分の1!$H$11:$H$310,696-COUNTA(半紙!$B$11:$B$310)-COUNTA(条幅!$B$11:$B$310)),"")))=0,"",IF(696&lt;=COUNTA(半紙!$B$11:$B$310),INDEX(半紙!$H$11:$H$310,696),IF(696&lt;=COUNTA(半紙!$B$11:$B$310)+COUNTA(条幅!$B$11:$B$310),INDEX(条幅!$H$11:$H$310,696-COUNTA(半紙!$B$11:$B$310)),IF(696&lt;=COUNTA(半紙!$B$11:$B$310)+COUNTA(条幅!$B$11:$B$310)+COUNTA(条幅4分の1!$B$11:$B$310),INDEX(条幅4分の1!$H$11:$H$310,696-COUNTA(半紙!$B$11:$B$310)-COUNTA(条幅!$B$11:$B$310)),""))))</f>
        <v/>
      </c>
      <c r="I701" s="38" t="str">
        <f>IF(IF(696&lt;=COUNTA(半紙!$B$11:$B$310),INDEX(半紙!$I$11:$I$310,696),IF(696&lt;=COUNTA(半紙!$B$11:$B$310)+COUNTA(条幅!$B$11:$B$310),INDEX(条幅!$I$11:$I$310,696-COUNTA(半紙!$B$11:$B$310)),IF(696&lt;=COUNTA(半紙!$B$11:$B$310)+COUNTA(条幅!$B$11:$B$310)+COUNTA(条幅4分の1!$B$11:$B$310),INDEX(条幅4分の1!$I$11:$I$310,696-COUNTA(半紙!$B$11:$B$310)-COUNTA(条幅!$B$11:$B$310)),"")))=0,"",IF(696&lt;=COUNTA(半紙!$B$11:$B$310),INDEX(半紙!$I$11:$I$310,696),IF(696&lt;=COUNTA(半紙!$B$11:$B$310)+COUNTA(条幅!$B$11:$B$310),INDEX(条幅!$I$11:$I$310,696-COUNTA(半紙!$B$11:$B$310)),IF(696&lt;=COUNTA(半紙!$B$11:$B$310)+COUNTA(条幅!$B$11:$B$310)+COUNTA(条幅4分の1!$B$11:$B$310),INDEX(条幅4分の1!$I$11:$I$310,696-COUNTA(半紙!$B$11:$B$310)-COUNTA(条幅!$B$11:$B$310)),""))))</f>
        <v/>
      </c>
      <c r="J701" s="38" t="str">
        <f>IF(IF(696&lt;=COUNTA(半紙!$B$11:$B$310),INDEX(半紙!$J$11:$J$310,696),IF(696&lt;=COUNTA(半紙!$B$11:$B$310)+COUNTA(条幅!$B$11:$B$310),INDEX(条幅!$J$11:$J$310,696-COUNTA(半紙!$B$11:$B$310)),IF(696&lt;=COUNTA(半紙!$B$11:$B$310)+COUNTA(条幅!$B$11:$B$310)+COUNTA(条幅4分の1!$B$11:$B$310),INDEX(条幅4分の1!$J$11:$J$310,696-COUNTA(半紙!$B$11:$B$310)-COUNTA(条幅!$B$11:$B$310)),"")))=0,"",IF(696&lt;=COUNTA(半紙!$B$11:$B$310),INDEX(半紙!$J$11:$J$310,696),IF(696&lt;=COUNTA(半紙!$B$11:$B$310)+COUNTA(条幅!$B$11:$B$310),INDEX(条幅!$J$11:$J$310,696-COUNTA(半紙!$B$11:$B$310)),IF(696&lt;=COUNTA(半紙!$B$11:$B$310)+COUNTA(条幅!$B$11:$B$310)+COUNTA(条幅4分の1!$B$11:$B$310),INDEX(条幅4分の1!$J$11:$J$310,696-COUNTA(半紙!$B$11:$B$310)-COUNTA(条幅!$B$11:$B$310)),""))))</f>
        <v/>
      </c>
      <c r="K701" s="38" t="str">
        <f>IF(IF(696&lt;=COUNTA(半紙!$B$11:$B$310),INDEX(半紙!$K$11:$K$310,696),IF(696&lt;=COUNTA(半紙!$B$11:$B$310)+COUNTA(条幅!$B$11:$B$310),INDEX(条幅!$K$11:$K$310,696-COUNTA(半紙!$B$11:$B$310)),IF(696&lt;=COUNTA(半紙!$B$11:$B$310)+COUNTA(条幅!$B$11:$B$310)+COUNTA(条幅4分の1!$B$11:$B$310),INDEX(条幅4分の1!$K$11:$K$310,696-COUNTA(半紙!$B$11:$B$310)-COUNTA(条幅!$B$11:$B$310)),"")))=0,"",IF(696&lt;=COUNTA(半紙!$B$11:$B$310),INDEX(半紙!$K$11:$K$310,696),IF(696&lt;=COUNTA(半紙!$B$11:$B$310)+COUNTA(条幅!$B$11:$B$310),INDEX(条幅!$K$11:$K$310,696-COUNTA(半紙!$B$11:$B$310)),IF(696&lt;=COUNTA(半紙!$B$11:$B$310)+COUNTA(条幅!$B$11:$B$310)+COUNTA(条幅4分の1!$B$11:$B$310),INDEX(条幅4分の1!$K$11:$K$310,696-COUNTA(半紙!$B$11:$B$310)-COUNTA(条幅!$B$11:$B$310)),""))))</f>
        <v/>
      </c>
      <c r="L701" s="48" t="str">
        <f>IF($B701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696))</f>
        <v/>
      </c>
    </row>
    <row r="702" spans="1:12" ht="15" customHeight="1">
      <c r="A702" s="37" t="str">
        <f>IF(697&lt;=COUNTA(半紙!$B$11:$B$310),"半紙",IF(697&lt;=COUNTA(半紙!$B$11:$B$310)+COUNTA(条幅!$B$11:$B$310),"条幅(半切)",IF(697&lt;=COUNTA(半紙!$B$11:$B$310)+COUNTA(条幅!$B$11:$B$310)+COUNTA(条幅4分の1!$B$11:$B$310),"条幅(1/4)","")))</f>
        <v/>
      </c>
      <c r="B702" s="38" t="str">
        <f>IF(IF(697&lt;=COUNTA(半紙!$B$11:$B$310),INDEX(半紙!$B$11:$B$310,697),IF(697&lt;=COUNTA(半紙!$B$11:$B$310)+COUNTA(条幅!$B$11:$B$310),INDEX(条幅!$B$11:$B$310,697-COUNTA(半紙!$B$11:$B$310)),IF(697&lt;=COUNTA(半紙!$B$11:$B$310)+COUNTA(条幅!$B$11:$B$310)+COUNTA(条幅4分の1!$B$11:$B$310),INDEX(条幅4分の1!$B$11:$B$310,697-COUNTA(半紙!$B$11:$B$310)-COUNTA(条幅!$B$11:$B$310)),"")))=0,"",IF(697&lt;=COUNTA(半紙!$B$11:$B$310),INDEX(半紙!$B$11:$B$310,697),IF(697&lt;=COUNTA(半紙!$B$11:$B$310)+COUNTA(条幅!$B$11:$B$310),INDEX(条幅!$B$11:$B$310,697-COUNTA(半紙!$B$11:$B$310)),IF(697&lt;=COUNTA(半紙!$B$11:$B$310)+COUNTA(条幅!$B$11:$B$310)+COUNTA(条幅4分の1!$B$11:$B$310),INDEX(条幅4分の1!$B$11:$B$310,697-COUNTA(半紙!$B$11:$B$310)-COUNTA(条幅!$B$11:$B$310)),""))))</f>
        <v/>
      </c>
      <c r="C702" s="38" t="str">
        <f>IF(IF(697&lt;=COUNTA(半紙!$B$11:$B$310),INDEX(半紙!$C$11:$C$310,697),IF(697&lt;=COUNTA(半紙!$B$11:$B$310)+COUNTA(条幅!$B$11:$B$310),INDEX(条幅!$C$11:$C$310,697-COUNTA(半紙!$B$11:$B$310)),IF(697&lt;=COUNTA(半紙!$B$11:$B$310)+COUNTA(条幅!$B$11:$B$310)+COUNTA(条幅4分の1!$B$11:$B$310),INDEX(条幅4分の1!$C$11:$C$310,697-COUNTA(半紙!$B$11:$B$310)-COUNTA(条幅!$B$11:$B$310)),"")))=0,"",IF(697&lt;=COUNTA(半紙!$B$11:$B$310),INDEX(半紙!$C$11:$C$310,697),IF(697&lt;=COUNTA(半紙!$B$11:$B$310)+COUNTA(条幅!$B$11:$B$310),INDEX(条幅!$C$11:$C$310,697-COUNTA(半紙!$B$11:$B$310)),IF(697&lt;=COUNTA(半紙!$B$11:$B$310)+COUNTA(条幅!$B$11:$B$310)+COUNTA(条幅4分の1!$B$11:$B$310),INDEX(条幅4分の1!$C$11:$C$310,697-COUNTA(半紙!$B$11:$B$310)-COUNTA(条幅!$B$11:$B$310)),""))))</f>
        <v/>
      </c>
      <c r="D702" s="38" t="str">
        <f>IF(IF(697&lt;=COUNTA(半紙!$B$11:$B$310),INDEX(半紙!$D$11:$D$310,697),IF(697&lt;=COUNTA(半紙!$B$11:$B$310)+COUNTA(条幅!$B$11:$B$310),INDEX(条幅!$D$11:$D$310,697-COUNTA(半紙!$B$11:$B$310)),IF(697&lt;=COUNTA(半紙!$B$11:$B$310)+COUNTA(条幅!$B$11:$B$310)+COUNTA(条幅4分の1!$B$11:$B$310),INDEX(条幅4分の1!$D$11:$D$310,697-COUNTA(半紙!$B$11:$B$310)-COUNTA(条幅!$B$11:$B$310)),"")))=0,"",IF(697&lt;=COUNTA(半紙!$B$11:$B$310),INDEX(半紙!$D$11:$D$310,697),IF(697&lt;=COUNTA(半紙!$B$11:$B$310)+COUNTA(条幅!$B$11:$B$310),INDEX(条幅!$D$11:$D$310,697-COUNTA(半紙!$B$11:$B$310)),IF(697&lt;=COUNTA(半紙!$B$11:$B$310)+COUNTA(条幅!$B$11:$B$310)+COUNTA(条幅4分の1!$B$11:$B$310),INDEX(条幅4分の1!$D$11:$D$310,697-COUNTA(半紙!$B$11:$B$310)-COUNTA(条幅!$B$11:$B$310)),""))))</f>
        <v/>
      </c>
      <c r="E702" s="38" t="str">
        <f>IF(IF(697&lt;=COUNTA(半紙!$B$11:$B$310),INDEX(半紙!$E$11:$E$310,697),IF(697&lt;=COUNTA(半紙!$B$11:$B$310)+COUNTA(条幅!$B$11:$B$310),INDEX(条幅!$E$11:$E$310,697-COUNTA(半紙!$B$11:$B$310)),IF(697&lt;=COUNTA(半紙!$B$11:$B$310)+COUNTA(条幅!$B$11:$B$310)+COUNTA(条幅4分の1!$B$11:$B$310),INDEX(条幅4分の1!$E$11:$E$310,697-COUNTA(半紙!$B$11:$B$310)-COUNTA(条幅!$B$11:$B$310)),"")))=0,"",IF(697&lt;=COUNTA(半紙!$B$11:$B$310),INDEX(半紙!$E$11:$E$310,697),IF(697&lt;=COUNTA(半紙!$B$11:$B$310)+COUNTA(条幅!$B$11:$B$310),INDEX(条幅!$E$11:$E$310,697-COUNTA(半紙!$B$11:$B$310)),IF(697&lt;=COUNTA(半紙!$B$11:$B$310)+COUNTA(条幅!$B$11:$B$310)+COUNTA(条幅4分の1!$B$11:$B$310),INDEX(条幅4分の1!$E$11:$E$310,697-COUNTA(半紙!$B$11:$B$310)-COUNTA(条幅!$B$11:$B$310)),""))))</f>
        <v/>
      </c>
      <c r="F702" s="38" t="str">
        <f>IF(IF(697&lt;=COUNTA(半紙!$B$11:$B$310),INDEX(半紙!$F$11:$F$310,697),IF(697&lt;=COUNTA(半紙!$B$11:$B$310)+COUNTA(条幅!$B$11:$B$310),INDEX(条幅!$F$11:$F$310,697-COUNTA(半紙!$B$11:$B$310)),IF(697&lt;=COUNTA(半紙!$B$11:$B$310)+COUNTA(条幅!$B$11:$B$310)+COUNTA(条幅4分の1!$B$11:$B$310),INDEX(条幅4分の1!$F$11:$F$310,697-COUNTA(半紙!$B$11:$B$310)-COUNTA(条幅!$B$11:$B$310)),"")))=0,"",IF(697&lt;=COUNTA(半紙!$B$11:$B$310),INDEX(半紙!$F$11:$F$310,697),IF(697&lt;=COUNTA(半紙!$B$11:$B$310)+COUNTA(条幅!$B$11:$B$310),INDEX(条幅!$F$11:$F$310,697-COUNTA(半紙!$B$11:$B$310)),IF(697&lt;=COUNTA(半紙!$B$11:$B$310)+COUNTA(条幅!$B$11:$B$310)+COUNTA(条幅4分の1!$B$11:$B$310),INDEX(条幅4分の1!$F$11:$F$310,697-COUNTA(半紙!$B$11:$B$310)-COUNTA(条幅!$B$11:$B$310)),""))))</f>
        <v/>
      </c>
      <c r="G702" s="38" t="str">
        <f>IF(IF(697&lt;=COUNTA(半紙!$B$11:$B$310),INDEX(半紙!$G$11:$G$310,697),IF(697&lt;=COUNTA(半紙!$B$11:$B$310)+COUNTA(条幅!$B$11:$B$310),INDEX(条幅!$G$11:$G$310,697-COUNTA(半紙!$B$11:$B$310)),IF(697&lt;=COUNTA(半紙!$B$11:$B$310)+COUNTA(条幅!$B$11:$B$310)+COUNTA(条幅4分の1!$B$11:$B$310),INDEX(条幅4分の1!$G$11:$G$310,697-COUNTA(半紙!$B$11:$B$310)-COUNTA(条幅!$B$11:$B$310)),"")))=0,"",IF(697&lt;=COUNTA(半紙!$B$11:$B$310),INDEX(半紙!$G$11:$G$310,697),IF(697&lt;=COUNTA(半紙!$B$11:$B$310)+COUNTA(条幅!$B$11:$B$310),INDEX(条幅!$G$11:$G$310,697-COUNTA(半紙!$B$11:$B$310)),IF(697&lt;=COUNTA(半紙!$B$11:$B$310)+COUNTA(条幅!$B$11:$B$310)+COUNTA(条幅4分の1!$B$11:$B$310),INDEX(条幅4分の1!$G$11:$G$310,697-COUNTA(半紙!$B$11:$B$310)-COUNTA(条幅!$B$11:$B$310)),""))))</f>
        <v/>
      </c>
      <c r="H702" s="38" t="str">
        <f>IF(IF(697&lt;=COUNTA(半紙!$B$11:$B$310),INDEX(半紙!$H$11:$H$310,697),IF(697&lt;=COUNTA(半紙!$B$11:$B$310)+COUNTA(条幅!$B$11:$B$310),INDEX(条幅!$H$11:$H$310,697-COUNTA(半紙!$B$11:$B$310)),IF(697&lt;=COUNTA(半紙!$B$11:$B$310)+COUNTA(条幅!$B$11:$B$310)+COUNTA(条幅4分の1!$B$11:$B$310),INDEX(条幅4分の1!$H$11:$H$310,697-COUNTA(半紙!$B$11:$B$310)-COUNTA(条幅!$B$11:$B$310)),"")))=0,"",IF(697&lt;=COUNTA(半紙!$B$11:$B$310),INDEX(半紙!$H$11:$H$310,697),IF(697&lt;=COUNTA(半紙!$B$11:$B$310)+COUNTA(条幅!$B$11:$B$310),INDEX(条幅!$H$11:$H$310,697-COUNTA(半紙!$B$11:$B$310)),IF(697&lt;=COUNTA(半紙!$B$11:$B$310)+COUNTA(条幅!$B$11:$B$310)+COUNTA(条幅4分の1!$B$11:$B$310),INDEX(条幅4分の1!$H$11:$H$310,697-COUNTA(半紙!$B$11:$B$310)-COUNTA(条幅!$B$11:$B$310)),""))))</f>
        <v/>
      </c>
      <c r="I702" s="38" t="str">
        <f>IF(IF(697&lt;=COUNTA(半紙!$B$11:$B$310),INDEX(半紙!$I$11:$I$310,697),IF(697&lt;=COUNTA(半紙!$B$11:$B$310)+COUNTA(条幅!$B$11:$B$310),INDEX(条幅!$I$11:$I$310,697-COUNTA(半紙!$B$11:$B$310)),IF(697&lt;=COUNTA(半紙!$B$11:$B$310)+COUNTA(条幅!$B$11:$B$310)+COUNTA(条幅4分の1!$B$11:$B$310),INDEX(条幅4分の1!$I$11:$I$310,697-COUNTA(半紙!$B$11:$B$310)-COUNTA(条幅!$B$11:$B$310)),"")))=0,"",IF(697&lt;=COUNTA(半紙!$B$11:$B$310),INDEX(半紙!$I$11:$I$310,697),IF(697&lt;=COUNTA(半紙!$B$11:$B$310)+COUNTA(条幅!$B$11:$B$310),INDEX(条幅!$I$11:$I$310,697-COUNTA(半紙!$B$11:$B$310)),IF(697&lt;=COUNTA(半紙!$B$11:$B$310)+COUNTA(条幅!$B$11:$B$310)+COUNTA(条幅4分の1!$B$11:$B$310),INDEX(条幅4分の1!$I$11:$I$310,697-COUNTA(半紙!$B$11:$B$310)-COUNTA(条幅!$B$11:$B$310)),""))))</f>
        <v/>
      </c>
      <c r="J702" s="38" t="str">
        <f>IF(IF(697&lt;=COUNTA(半紙!$B$11:$B$310),INDEX(半紙!$J$11:$J$310,697),IF(697&lt;=COUNTA(半紙!$B$11:$B$310)+COUNTA(条幅!$B$11:$B$310),INDEX(条幅!$J$11:$J$310,697-COUNTA(半紙!$B$11:$B$310)),IF(697&lt;=COUNTA(半紙!$B$11:$B$310)+COUNTA(条幅!$B$11:$B$310)+COUNTA(条幅4分の1!$B$11:$B$310),INDEX(条幅4分の1!$J$11:$J$310,697-COUNTA(半紙!$B$11:$B$310)-COUNTA(条幅!$B$11:$B$310)),"")))=0,"",IF(697&lt;=COUNTA(半紙!$B$11:$B$310),INDEX(半紙!$J$11:$J$310,697),IF(697&lt;=COUNTA(半紙!$B$11:$B$310)+COUNTA(条幅!$B$11:$B$310),INDEX(条幅!$J$11:$J$310,697-COUNTA(半紙!$B$11:$B$310)),IF(697&lt;=COUNTA(半紙!$B$11:$B$310)+COUNTA(条幅!$B$11:$B$310)+COUNTA(条幅4分の1!$B$11:$B$310),INDEX(条幅4分の1!$J$11:$J$310,697-COUNTA(半紙!$B$11:$B$310)-COUNTA(条幅!$B$11:$B$310)),""))))</f>
        <v/>
      </c>
      <c r="K702" s="38" t="str">
        <f>IF(IF(697&lt;=COUNTA(半紙!$B$11:$B$310),INDEX(半紙!$K$11:$K$310,697),IF(697&lt;=COUNTA(半紙!$B$11:$B$310)+COUNTA(条幅!$B$11:$B$310),INDEX(条幅!$K$11:$K$310,697-COUNTA(半紙!$B$11:$B$310)),IF(697&lt;=COUNTA(半紙!$B$11:$B$310)+COUNTA(条幅!$B$11:$B$310)+COUNTA(条幅4分の1!$B$11:$B$310),INDEX(条幅4分の1!$K$11:$K$310,697-COUNTA(半紙!$B$11:$B$310)-COUNTA(条幅!$B$11:$B$310)),"")))=0,"",IF(697&lt;=COUNTA(半紙!$B$11:$B$310),INDEX(半紙!$K$11:$K$310,697),IF(697&lt;=COUNTA(半紙!$B$11:$B$310)+COUNTA(条幅!$B$11:$B$310),INDEX(条幅!$K$11:$K$310,697-COUNTA(半紙!$B$11:$B$310)),IF(697&lt;=COUNTA(半紙!$B$11:$B$310)+COUNTA(条幅!$B$11:$B$310)+COUNTA(条幅4分の1!$B$11:$B$310),INDEX(条幅4分の1!$K$11:$K$310,697-COUNTA(半紙!$B$11:$B$310)-COUNTA(条幅!$B$11:$B$310)),""))))</f>
        <v/>
      </c>
      <c r="L702" s="48" t="str">
        <f>IF($B702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697))</f>
        <v/>
      </c>
    </row>
    <row r="703" spans="1:12" ht="15" customHeight="1">
      <c r="A703" s="37" t="str">
        <f>IF(698&lt;=COUNTA(半紙!$B$11:$B$310),"半紙",IF(698&lt;=COUNTA(半紙!$B$11:$B$310)+COUNTA(条幅!$B$11:$B$310),"条幅(半切)",IF(698&lt;=COUNTA(半紙!$B$11:$B$310)+COUNTA(条幅!$B$11:$B$310)+COUNTA(条幅4分の1!$B$11:$B$310),"条幅(1/4)","")))</f>
        <v/>
      </c>
      <c r="B703" s="38" t="str">
        <f>IF(IF(698&lt;=COUNTA(半紙!$B$11:$B$310),INDEX(半紙!$B$11:$B$310,698),IF(698&lt;=COUNTA(半紙!$B$11:$B$310)+COUNTA(条幅!$B$11:$B$310),INDEX(条幅!$B$11:$B$310,698-COUNTA(半紙!$B$11:$B$310)),IF(698&lt;=COUNTA(半紙!$B$11:$B$310)+COUNTA(条幅!$B$11:$B$310)+COUNTA(条幅4分の1!$B$11:$B$310),INDEX(条幅4分の1!$B$11:$B$310,698-COUNTA(半紙!$B$11:$B$310)-COUNTA(条幅!$B$11:$B$310)),"")))=0,"",IF(698&lt;=COUNTA(半紙!$B$11:$B$310),INDEX(半紙!$B$11:$B$310,698),IF(698&lt;=COUNTA(半紙!$B$11:$B$310)+COUNTA(条幅!$B$11:$B$310),INDEX(条幅!$B$11:$B$310,698-COUNTA(半紙!$B$11:$B$310)),IF(698&lt;=COUNTA(半紙!$B$11:$B$310)+COUNTA(条幅!$B$11:$B$310)+COUNTA(条幅4分の1!$B$11:$B$310),INDEX(条幅4分の1!$B$11:$B$310,698-COUNTA(半紙!$B$11:$B$310)-COUNTA(条幅!$B$11:$B$310)),""))))</f>
        <v/>
      </c>
      <c r="C703" s="38" t="str">
        <f>IF(IF(698&lt;=COUNTA(半紙!$B$11:$B$310),INDEX(半紙!$C$11:$C$310,698),IF(698&lt;=COUNTA(半紙!$B$11:$B$310)+COUNTA(条幅!$B$11:$B$310),INDEX(条幅!$C$11:$C$310,698-COUNTA(半紙!$B$11:$B$310)),IF(698&lt;=COUNTA(半紙!$B$11:$B$310)+COUNTA(条幅!$B$11:$B$310)+COUNTA(条幅4分の1!$B$11:$B$310),INDEX(条幅4分の1!$C$11:$C$310,698-COUNTA(半紙!$B$11:$B$310)-COUNTA(条幅!$B$11:$B$310)),"")))=0,"",IF(698&lt;=COUNTA(半紙!$B$11:$B$310),INDEX(半紙!$C$11:$C$310,698),IF(698&lt;=COUNTA(半紙!$B$11:$B$310)+COUNTA(条幅!$B$11:$B$310),INDEX(条幅!$C$11:$C$310,698-COUNTA(半紙!$B$11:$B$310)),IF(698&lt;=COUNTA(半紙!$B$11:$B$310)+COUNTA(条幅!$B$11:$B$310)+COUNTA(条幅4分の1!$B$11:$B$310),INDEX(条幅4分の1!$C$11:$C$310,698-COUNTA(半紙!$B$11:$B$310)-COUNTA(条幅!$B$11:$B$310)),""))))</f>
        <v/>
      </c>
      <c r="D703" s="38" t="str">
        <f>IF(IF(698&lt;=COUNTA(半紙!$B$11:$B$310),INDEX(半紙!$D$11:$D$310,698),IF(698&lt;=COUNTA(半紙!$B$11:$B$310)+COUNTA(条幅!$B$11:$B$310),INDEX(条幅!$D$11:$D$310,698-COUNTA(半紙!$B$11:$B$310)),IF(698&lt;=COUNTA(半紙!$B$11:$B$310)+COUNTA(条幅!$B$11:$B$310)+COUNTA(条幅4分の1!$B$11:$B$310),INDEX(条幅4分の1!$D$11:$D$310,698-COUNTA(半紙!$B$11:$B$310)-COUNTA(条幅!$B$11:$B$310)),"")))=0,"",IF(698&lt;=COUNTA(半紙!$B$11:$B$310),INDEX(半紙!$D$11:$D$310,698),IF(698&lt;=COUNTA(半紙!$B$11:$B$310)+COUNTA(条幅!$B$11:$B$310),INDEX(条幅!$D$11:$D$310,698-COUNTA(半紙!$B$11:$B$310)),IF(698&lt;=COUNTA(半紙!$B$11:$B$310)+COUNTA(条幅!$B$11:$B$310)+COUNTA(条幅4分の1!$B$11:$B$310),INDEX(条幅4分の1!$D$11:$D$310,698-COUNTA(半紙!$B$11:$B$310)-COUNTA(条幅!$B$11:$B$310)),""))))</f>
        <v/>
      </c>
      <c r="E703" s="38" t="str">
        <f>IF(IF(698&lt;=COUNTA(半紙!$B$11:$B$310),INDEX(半紙!$E$11:$E$310,698),IF(698&lt;=COUNTA(半紙!$B$11:$B$310)+COUNTA(条幅!$B$11:$B$310),INDEX(条幅!$E$11:$E$310,698-COUNTA(半紙!$B$11:$B$310)),IF(698&lt;=COUNTA(半紙!$B$11:$B$310)+COUNTA(条幅!$B$11:$B$310)+COUNTA(条幅4分の1!$B$11:$B$310),INDEX(条幅4分の1!$E$11:$E$310,698-COUNTA(半紙!$B$11:$B$310)-COUNTA(条幅!$B$11:$B$310)),"")))=0,"",IF(698&lt;=COUNTA(半紙!$B$11:$B$310),INDEX(半紙!$E$11:$E$310,698),IF(698&lt;=COUNTA(半紙!$B$11:$B$310)+COUNTA(条幅!$B$11:$B$310),INDEX(条幅!$E$11:$E$310,698-COUNTA(半紙!$B$11:$B$310)),IF(698&lt;=COUNTA(半紙!$B$11:$B$310)+COUNTA(条幅!$B$11:$B$310)+COUNTA(条幅4分の1!$B$11:$B$310),INDEX(条幅4分の1!$E$11:$E$310,698-COUNTA(半紙!$B$11:$B$310)-COUNTA(条幅!$B$11:$B$310)),""))))</f>
        <v/>
      </c>
      <c r="F703" s="38" t="str">
        <f>IF(IF(698&lt;=COUNTA(半紙!$B$11:$B$310),INDEX(半紙!$F$11:$F$310,698),IF(698&lt;=COUNTA(半紙!$B$11:$B$310)+COUNTA(条幅!$B$11:$B$310),INDEX(条幅!$F$11:$F$310,698-COUNTA(半紙!$B$11:$B$310)),IF(698&lt;=COUNTA(半紙!$B$11:$B$310)+COUNTA(条幅!$B$11:$B$310)+COUNTA(条幅4分の1!$B$11:$B$310),INDEX(条幅4分の1!$F$11:$F$310,698-COUNTA(半紙!$B$11:$B$310)-COUNTA(条幅!$B$11:$B$310)),"")))=0,"",IF(698&lt;=COUNTA(半紙!$B$11:$B$310),INDEX(半紙!$F$11:$F$310,698),IF(698&lt;=COUNTA(半紙!$B$11:$B$310)+COUNTA(条幅!$B$11:$B$310),INDEX(条幅!$F$11:$F$310,698-COUNTA(半紙!$B$11:$B$310)),IF(698&lt;=COUNTA(半紙!$B$11:$B$310)+COUNTA(条幅!$B$11:$B$310)+COUNTA(条幅4分の1!$B$11:$B$310),INDEX(条幅4分の1!$F$11:$F$310,698-COUNTA(半紙!$B$11:$B$310)-COUNTA(条幅!$B$11:$B$310)),""))))</f>
        <v/>
      </c>
      <c r="G703" s="38" t="str">
        <f>IF(IF(698&lt;=COUNTA(半紙!$B$11:$B$310),INDEX(半紙!$G$11:$G$310,698),IF(698&lt;=COUNTA(半紙!$B$11:$B$310)+COUNTA(条幅!$B$11:$B$310),INDEX(条幅!$G$11:$G$310,698-COUNTA(半紙!$B$11:$B$310)),IF(698&lt;=COUNTA(半紙!$B$11:$B$310)+COUNTA(条幅!$B$11:$B$310)+COUNTA(条幅4分の1!$B$11:$B$310),INDEX(条幅4分の1!$G$11:$G$310,698-COUNTA(半紙!$B$11:$B$310)-COUNTA(条幅!$B$11:$B$310)),"")))=0,"",IF(698&lt;=COUNTA(半紙!$B$11:$B$310),INDEX(半紙!$G$11:$G$310,698),IF(698&lt;=COUNTA(半紙!$B$11:$B$310)+COUNTA(条幅!$B$11:$B$310),INDEX(条幅!$G$11:$G$310,698-COUNTA(半紙!$B$11:$B$310)),IF(698&lt;=COUNTA(半紙!$B$11:$B$310)+COUNTA(条幅!$B$11:$B$310)+COUNTA(条幅4分の1!$B$11:$B$310),INDEX(条幅4分の1!$G$11:$G$310,698-COUNTA(半紙!$B$11:$B$310)-COUNTA(条幅!$B$11:$B$310)),""))))</f>
        <v/>
      </c>
      <c r="H703" s="38" t="str">
        <f>IF(IF(698&lt;=COUNTA(半紙!$B$11:$B$310),INDEX(半紙!$H$11:$H$310,698),IF(698&lt;=COUNTA(半紙!$B$11:$B$310)+COUNTA(条幅!$B$11:$B$310),INDEX(条幅!$H$11:$H$310,698-COUNTA(半紙!$B$11:$B$310)),IF(698&lt;=COUNTA(半紙!$B$11:$B$310)+COUNTA(条幅!$B$11:$B$310)+COUNTA(条幅4分の1!$B$11:$B$310),INDEX(条幅4分の1!$H$11:$H$310,698-COUNTA(半紙!$B$11:$B$310)-COUNTA(条幅!$B$11:$B$310)),"")))=0,"",IF(698&lt;=COUNTA(半紙!$B$11:$B$310),INDEX(半紙!$H$11:$H$310,698),IF(698&lt;=COUNTA(半紙!$B$11:$B$310)+COUNTA(条幅!$B$11:$B$310),INDEX(条幅!$H$11:$H$310,698-COUNTA(半紙!$B$11:$B$310)),IF(698&lt;=COUNTA(半紙!$B$11:$B$310)+COUNTA(条幅!$B$11:$B$310)+COUNTA(条幅4分の1!$B$11:$B$310),INDEX(条幅4分の1!$H$11:$H$310,698-COUNTA(半紙!$B$11:$B$310)-COUNTA(条幅!$B$11:$B$310)),""))))</f>
        <v/>
      </c>
      <c r="I703" s="38" t="str">
        <f>IF(IF(698&lt;=COUNTA(半紙!$B$11:$B$310),INDEX(半紙!$I$11:$I$310,698),IF(698&lt;=COUNTA(半紙!$B$11:$B$310)+COUNTA(条幅!$B$11:$B$310),INDEX(条幅!$I$11:$I$310,698-COUNTA(半紙!$B$11:$B$310)),IF(698&lt;=COUNTA(半紙!$B$11:$B$310)+COUNTA(条幅!$B$11:$B$310)+COUNTA(条幅4分の1!$B$11:$B$310),INDEX(条幅4分の1!$I$11:$I$310,698-COUNTA(半紙!$B$11:$B$310)-COUNTA(条幅!$B$11:$B$310)),"")))=0,"",IF(698&lt;=COUNTA(半紙!$B$11:$B$310),INDEX(半紙!$I$11:$I$310,698),IF(698&lt;=COUNTA(半紙!$B$11:$B$310)+COUNTA(条幅!$B$11:$B$310),INDEX(条幅!$I$11:$I$310,698-COUNTA(半紙!$B$11:$B$310)),IF(698&lt;=COUNTA(半紙!$B$11:$B$310)+COUNTA(条幅!$B$11:$B$310)+COUNTA(条幅4分の1!$B$11:$B$310),INDEX(条幅4分の1!$I$11:$I$310,698-COUNTA(半紙!$B$11:$B$310)-COUNTA(条幅!$B$11:$B$310)),""))))</f>
        <v/>
      </c>
      <c r="J703" s="38" t="str">
        <f>IF(IF(698&lt;=COUNTA(半紙!$B$11:$B$310),INDEX(半紙!$J$11:$J$310,698),IF(698&lt;=COUNTA(半紙!$B$11:$B$310)+COUNTA(条幅!$B$11:$B$310),INDEX(条幅!$J$11:$J$310,698-COUNTA(半紙!$B$11:$B$310)),IF(698&lt;=COUNTA(半紙!$B$11:$B$310)+COUNTA(条幅!$B$11:$B$310)+COUNTA(条幅4分の1!$B$11:$B$310),INDEX(条幅4分の1!$J$11:$J$310,698-COUNTA(半紙!$B$11:$B$310)-COUNTA(条幅!$B$11:$B$310)),"")))=0,"",IF(698&lt;=COUNTA(半紙!$B$11:$B$310),INDEX(半紙!$J$11:$J$310,698),IF(698&lt;=COUNTA(半紙!$B$11:$B$310)+COUNTA(条幅!$B$11:$B$310),INDEX(条幅!$J$11:$J$310,698-COUNTA(半紙!$B$11:$B$310)),IF(698&lt;=COUNTA(半紙!$B$11:$B$310)+COUNTA(条幅!$B$11:$B$310)+COUNTA(条幅4分の1!$B$11:$B$310),INDEX(条幅4分の1!$J$11:$J$310,698-COUNTA(半紙!$B$11:$B$310)-COUNTA(条幅!$B$11:$B$310)),""))))</f>
        <v/>
      </c>
      <c r="K703" s="38" t="str">
        <f>IF(IF(698&lt;=COUNTA(半紙!$B$11:$B$310),INDEX(半紙!$K$11:$K$310,698),IF(698&lt;=COUNTA(半紙!$B$11:$B$310)+COUNTA(条幅!$B$11:$B$310),INDEX(条幅!$K$11:$K$310,698-COUNTA(半紙!$B$11:$B$310)),IF(698&lt;=COUNTA(半紙!$B$11:$B$310)+COUNTA(条幅!$B$11:$B$310)+COUNTA(条幅4分の1!$B$11:$B$310),INDEX(条幅4分の1!$K$11:$K$310,698-COUNTA(半紙!$B$11:$B$310)-COUNTA(条幅!$B$11:$B$310)),"")))=0,"",IF(698&lt;=COUNTA(半紙!$B$11:$B$310),INDEX(半紙!$K$11:$K$310,698),IF(698&lt;=COUNTA(半紙!$B$11:$B$310)+COUNTA(条幅!$B$11:$B$310),INDEX(条幅!$K$11:$K$310,698-COUNTA(半紙!$B$11:$B$310)),IF(698&lt;=COUNTA(半紙!$B$11:$B$310)+COUNTA(条幅!$B$11:$B$310)+COUNTA(条幅4分の1!$B$11:$B$310),INDEX(条幅4分の1!$K$11:$K$310,698-COUNTA(半紙!$B$11:$B$310)-COUNTA(条幅!$B$11:$B$310)),""))))</f>
        <v/>
      </c>
      <c r="L703" s="48" t="str">
        <f>IF($B703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698))</f>
        <v/>
      </c>
    </row>
    <row r="704" spans="1:12" ht="15" customHeight="1">
      <c r="A704" s="37" t="str">
        <f>IF(699&lt;=COUNTA(半紙!$B$11:$B$310),"半紙",IF(699&lt;=COUNTA(半紙!$B$11:$B$310)+COUNTA(条幅!$B$11:$B$310),"条幅(半切)",IF(699&lt;=COUNTA(半紙!$B$11:$B$310)+COUNTA(条幅!$B$11:$B$310)+COUNTA(条幅4分の1!$B$11:$B$310),"条幅(1/4)","")))</f>
        <v/>
      </c>
      <c r="B704" s="38" t="str">
        <f>IF(IF(699&lt;=COUNTA(半紙!$B$11:$B$310),INDEX(半紙!$B$11:$B$310,699),IF(699&lt;=COUNTA(半紙!$B$11:$B$310)+COUNTA(条幅!$B$11:$B$310),INDEX(条幅!$B$11:$B$310,699-COUNTA(半紙!$B$11:$B$310)),IF(699&lt;=COUNTA(半紙!$B$11:$B$310)+COUNTA(条幅!$B$11:$B$310)+COUNTA(条幅4分の1!$B$11:$B$310),INDEX(条幅4分の1!$B$11:$B$310,699-COUNTA(半紙!$B$11:$B$310)-COUNTA(条幅!$B$11:$B$310)),"")))=0,"",IF(699&lt;=COUNTA(半紙!$B$11:$B$310),INDEX(半紙!$B$11:$B$310,699),IF(699&lt;=COUNTA(半紙!$B$11:$B$310)+COUNTA(条幅!$B$11:$B$310),INDEX(条幅!$B$11:$B$310,699-COUNTA(半紙!$B$11:$B$310)),IF(699&lt;=COUNTA(半紙!$B$11:$B$310)+COUNTA(条幅!$B$11:$B$310)+COUNTA(条幅4分の1!$B$11:$B$310),INDEX(条幅4分の1!$B$11:$B$310,699-COUNTA(半紙!$B$11:$B$310)-COUNTA(条幅!$B$11:$B$310)),""))))</f>
        <v/>
      </c>
      <c r="C704" s="38" t="str">
        <f>IF(IF(699&lt;=COUNTA(半紙!$B$11:$B$310),INDEX(半紙!$C$11:$C$310,699),IF(699&lt;=COUNTA(半紙!$B$11:$B$310)+COUNTA(条幅!$B$11:$B$310),INDEX(条幅!$C$11:$C$310,699-COUNTA(半紙!$B$11:$B$310)),IF(699&lt;=COUNTA(半紙!$B$11:$B$310)+COUNTA(条幅!$B$11:$B$310)+COUNTA(条幅4分の1!$B$11:$B$310),INDEX(条幅4分の1!$C$11:$C$310,699-COUNTA(半紙!$B$11:$B$310)-COUNTA(条幅!$B$11:$B$310)),"")))=0,"",IF(699&lt;=COUNTA(半紙!$B$11:$B$310),INDEX(半紙!$C$11:$C$310,699),IF(699&lt;=COUNTA(半紙!$B$11:$B$310)+COUNTA(条幅!$B$11:$B$310),INDEX(条幅!$C$11:$C$310,699-COUNTA(半紙!$B$11:$B$310)),IF(699&lt;=COUNTA(半紙!$B$11:$B$310)+COUNTA(条幅!$B$11:$B$310)+COUNTA(条幅4分の1!$B$11:$B$310),INDEX(条幅4分の1!$C$11:$C$310,699-COUNTA(半紙!$B$11:$B$310)-COUNTA(条幅!$B$11:$B$310)),""))))</f>
        <v/>
      </c>
      <c r="D704" s="38" t="str">
        <f>IF(IF(699&lt;=COUNTA(半紙!$B$11:$B$310),INDEX(半紙!$D$11:$D$310,699),IF(699&lt;=COUNTA(半紙!$B$11:$B$310)+COUNTA(条幅!$B$11:$B$310),INDEX(条幅!$D$11:$D$310,699-COUNTA(半紙!$B$11:$B$310)),IF(699&lt;=COUNTA(半紙!$B$11:$B$310)+COUNTA(条幅!$B$11:$B$310)+COUNTA(条幅4分の1!$B$11:$B$310),INDEX(条幅4分の1!$D$11:$D$310,699-COUNTA(半紙!$B$11:$B$310)-COUNTA(条幅!$B$11:$B$310)),"")))=0,"",IF(699&lt;=COUNTA(半紙!$B$11:$B$310),INDEX(半紙!$D$11:$D$310,699),IF(699&lt;=COUNTA(半紙!$B$11:$B$310)+COUNTA(条幅!$B$11:$B$310),INDEX(条幅!$D$11:$D$310,699-COUNTA(半紙!$B$11:$B$310)),IF(699&lt;=COUNTA(半紙!$B$11:$B$310)+COUNTA(条幅!$B$11:$B$310)+COUNTA(条幅4分の1!$B$11:$B$310),INDEX(条幅4分の1!$D$11:$D$310,699-COUNTA(半紙!$B$11:$B$310)-COUNTA(条幅!$B$11:$B$310)),""))))</f>
        <v/>
      </c>
      <c r="E704" s="38" t="str">
        <f>IF(IF(699&lt;=COUNTA(半紙!$B$11:$B$310),INDEX(半紙!$E$11:$E$310,699),IF(699&lt;=COUNTA(半紙!$B$11:$B$310)+COUNTA(条幅!$B$11:$B$310),INDEX(条幅!$E$11:$E$310,699-COUNTA(半紙!$B$11:$B$310)),IF(699&lt;=COUNTA(半紙!$B$11:$B$310)+COUNTA(条幅!$B$11:$B$310)+COUNTA(条幅4分の1!$B$11:$B$310),INDEX(条幅4分の1!$E$11:$E$310,699-COUNTA(半紙!$B$11:$B$310)-COUNTA(条幅!$B$11:$B$310)),"")))=0,"",IF(699&lt;=COUNTA(半紙!$B$11:$B$310),INDEX(半紙!$E$11:$E$310,699),IF(699&lt;=COUNTA(半紙!$B$11:$B$310)+COUNTA(条幅!$B$11:$B$310),INDEX(条幅!$E$11:$E$310,699-COUNTA(半紙!$B$11:$B$310)),IF(699&lt;=COUNTA(半紙!$B$11:$B$310)+COUNTA(条幅!$B$11:$B$310)+COUNTA(条幅4分の1!$B$11:$B$310),INDEX(条幅4分の1!$E$11:$E$310,699-COUNTA(半紙!$B$11:$B$310)-COUNTA(条幅!$B$11:$B$310)),""))))</f>
        <v/>
      </c>
      <c r="F704" s="38" t="str">
        <f>IF(IF(699&lt;=COUNTA(半紙!$B$11:$B$310),INDEX(半紙!$F$11:$F$310,699),IF(699&lt;=COUNTA(半紙!$B$11:$B$310)+COUNTA(条幅!$B$11:$B$310),INDEX(条幅!$F$11:$F$310,699-COUNTA(半紙!$B$11:$B$310)),IF(699&lt;=COUNTA(半紙!$B$11:$B$310)+COUNTA(条幅!$B$11:$B$310)+COUNTA(条幅4分の1!$B$11:$B$310),INDEX(条幅4分の1!$F$11:$F$310,699-COUNTA(半紙!$B$11:$B$310)-COUNTA(条幅!$B$11:$B$310)),"")))=0,"",IF(699&lt;=COUNTA(半紙!$B$11:$B$310),INDEX(半紙!$F$11:$F$310,699),IF(699&lt;=COUNTA(半紙!$B$11:$B$310)+COUNTA(条幅!$B$11:$B$310),INDEX(条幅!$F$11:$F$310,699-COUNTA(半紙!$B$11:$B$310)),IF(699&lt;=COUNTA(半紙!$B$11:$B$310)+COUNTA(条幅!$B$11:$B$310)+COUNTA(条幅4分の1!$B$11:$B$310),INDEX(条幅4分の1!$F$11:$F$310,699-COUNTA(半紙!$B$11:$B$310)-COUNTA(条幅!$B$11:$B$310)),""))))</f>
        <v/>
      </c>
      <c r="G704" s="38" t="str">
        <f>IF(IF(699&lt;=COUNTA(半紙!$B$11:$B$310),INDEX(半紙!$G$11:$G$310,699),IF(699&lt;=COUNTA(半紙!$B$11:$B$310)+COUNTA(条幅!$B$11:$B$310),INDEX(条幅!$G$11:$G$310,699-COUNTA(半紙!$B$11:$B$310)),IF(699&lt;=COUNTA(半紙!$B$11:$B$310)+COUNTA(条幅!$B$11:$B$310)+COUNTA(条幅4分の1!$B$11:$B$310),INDEX(条幅4分の1!$G$11:$G$310,699-COUNTA(半紙!$B$11:$B$310)-COUNTA(条幅!$B$11:$B$310)),"")))=0,"",IF(699&lt;=COUNTA(半紙!$B$11:$B$310),INDEX(半紙!$G$11:$G$310,699),IF(699&lt;=COUNTA(半紙!$B$11:$B$310)+COUNTA(条幅!$B$11:$B$310),INDEX(条幅!$G$11:$G$310,699-COUNTA(半紙!$B$11:$B$310)),IF(699&lt;=COUNTA(半紙!$B$11:$B$310)+COUNTA(条幅!$B$11:$B$310)+COUNTA(条幅4分の1!$B$11:$B$310),INDEX(条幅4分の1!$G$11:$G$310,699-COUNTA(半紙!$B$11:$B$310)-COUNTA(条幅!$B$11:$B$310)),""))))</f>
        <v/>
      </c>
      <c r="H704" s="38" t="str">
        <f>IF(IF(699&lt;=COUNTA(半紙!$B$11:$B$310),INDEX(半紙!$H$11:$H$310,699),IF(699&lt;=COUNTA(半紙!$B$11:$B$310)+COUNTA(条幅!$B$11:$B$310),INDEX(条幅!$H$11:$H$310,699-COUNTA(半紙!$B$11:$B$310)),IF(699&lt;=COUNTA(半紙!$B$11:$B$310)+COUNTA(条幅!$B$11:$B$310)+COUNTA(条幅4分の1!$B$11:$B$310),INDEX(条幅4分の1!$H$11:$H$310,699-COUNTA(半紙!$B$11:$B$310)-COUNTA(条幅!$B$11:$B$310)),"")))=0,"",IF(699&lt;=COUNTA(半紙!$B$11:$B$310),INDEX(半紙!$H$11:$H$310,699),IF(699&lt;=COUNTA(半紙!$B$11:$B$310)+COUNTA(条幅!$B$11:$B$310),INDEX(条幅!$H$11:$H$310,699-COUNTA(半紙!$B$11:$B$310)),IF(699&lt;=COUNTA(半紙!$B$11:$B$310)+COUNTA(条幅!$B$11:$B$310)+COUNTA(条幅4分の1!$B$11:$B$310),INDEX(条幅4分の1!$H$11:$H$310,699-COUNTA(半紙!$B$11:$B$310)-COUNTA(条幅!$B$11:$B$310)),""))))</f>
        <v/>
      </c>
      <c r="I704" s="38" t="str">
        <f>IF(IF(699&lt;=COUNTA(半紙!$B$11:$B$310),INDEX(半紙!$I$11:$I$310,699),IF(699&lt;=COUNTA(半紙!$B$11:$B$310)+COUNTA(条幅!$B$11:$B$310),INDEX(条幅!$I$11:$I$310,699-COUNTA(半紙!$B$11:$B$310)),IF(699&lt;=COUNTA(半紙!$B$11:$B$310)+COUNTA(条幅!$B$11:$B$310)+COUNTA(条幅4分の1!$B$11:$B$310),INDEX(条幅4分の1!$I$11:$I$310,699-COUNTA(半紙!$B$11:$B$310)-COUNTA(条幅!$B$11:$B$310)),"")))=0,"",IF(699&lt;=COUNTA(半紙!$B$11:$B$310),INDEX(半紙!$I$11:$I$310,699),IF(699&lt;=COUNTA(半紙!$B$11:$B$310)+COUNTA(条幅!$B$11:$B$310),INDEX(条幅!$I$11:$I$310,699-COUNTA(半紙!$B$11:$B$310)),IF(699&lt;=COUNTA(半紙!$B$11:$B$310)+COUNTA(条幅!$B$11:$B$310)+COUNTA(条幅4分の1!$B$11:$B$310),INDEX(条幅4分の1!$I$11:$I$310,699-COUNTA(半紙!$B$11:$B$310)-COUNTA(条幅!$B$11:$B$310)),""))))</f>
        <v/>
      </c>
      <c r="J704" s="38" t="str">
        <f>IF(IF(699&lt;=COUNTA(半紙!$B$11:$B$310),INDEX(半紙!$J$11:$J$310,699),IF(699&lt;=COUNTA(半紙!$B$11:$B$310)+COUNTA(条幅!$B$11:$B$310),INDEX(条幅!$J$11:$J$310,699-COUNTA(半紙!$B$11:$B$310)),IF(699&lt;=COUNTA(半紙!$B$11:$B$310)+COUNTA(条幅!$B$11:$B$310)+COUNTA(条幅4分の1!$B$11:$B$310),INDEX(条幅4分の1!$J$11:$J$310,699-COUNTA(半紙!$B$11:$B$310)-COUNTA(条幅!$B$11:$B$310)),"")))=0,"",IF(699&lt;=COUNTA(半紙!$B$11:$B$310),INDEX(半紙!$J$11:$J$310,699),IF(699&lt;=COUNTA(半紙!$B$11:$B$310)+COUNTA(条幅!$B$11:$B$310),INDEX(条幅!$J$11:$J$310,699-COUNTA(半紙!$B$11:$B$310)),IF(699&lt;=COUNTA(半紙!$B$11:$B$310)+COUNTA(条幅!$B$11:$B$310)+COUNTA(条幅4分の1!$B$11:$B$310),INDEX(条幅4分の1!$J$11:$J$310,699-COUNTA(半紙!$B$11:$B$310)-COUNTA(条幅!$B$11:$B$310)),""))))</f>
        <v/>
      </c>
      <c r="K704" s="38" t="str">
        <f>IF(IF(699&lt;=COUNTA(半紙!$B$11:$B$310),INDEX(半紙!$K$11:$K$310,699),IF(699&lt;=COUNTA(半紙!$B$11:$B$310)+COUNTA(条幅!$B$11:$B$310),INDEX(条幅!$K$11:$K$310,699-COUNTA(半紙!$B$11:$B$310)),IF(699&lt;=COUNTA(半紙!$B$11:$B$310)+COUNTA(条幅!$B$11:$B$310)+COUNTA(条幅4分の1!$B$11:$B$310),INDEX(条幅4分の1!$K$11:$K$310,699-COUNTA(半紙!$B$11:$B$310)-COUNTA(条幅!$B$11:$B$310)),"")))=0,"",IF(699&lt;=COUNTA(半紙!$B$11:$B$310),INDEX(半紙!$K$11:$K$310,699),IF(699&lt;=COUNTA(半紙!$B$11:$B$310)+COUNTA(条幅!$B$11:$B$310),INDEX(条幅!$K$11:$K$310,699-COUNTA(半紙!$B$11:$B$310)),IF(699&lt;=COUNTA(半紙!$B$11:$B$310)+COUNTA(条幅!$B$11:$B$310)+COUNTA(条幅4分の1!$B$11:$B$310),INDEX(条幅4分の1!$K$11:$K$310,699-COUNTA(半紙!$B$11:$B$310)-COUNTA(条幅!$B$11:$B$310)),""))))</f>
        <v/>
      </c>
      <c r="L704" s="48" t="str">
        <f>IF($B704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699))</f>
        <v/>
      </c>
    </row>
    <row r="705" spans="1:12" ht="15" customHeight="1">
      <c r="A705" s="37" t="str">
        <f>IF(700&lt;=COUNTA(半紙!$B$11:$B$310),"半紙",IF(700&lt;=COUNTA(半紙!$B$11:$B$310)+COUNTA(条幅!$B$11:$B$310),"条幅(半切)",IF(700&lt;=COUNTA(半紙!$B$11:$B$310)+COUNTA(条幅!$B$11:$B$310)+COUNTA(条幅4分の1!$B$11:$B$310),"条幅(1/4)","")))</f>
        <v/>
      </c>
      <c r="B705" s="38" t="str">
        <f>IF(IF(700&lt;=COUNTA(半紙!$B$11:$B$310),INDEX(半紙!$B$11:$B$310,700),IF(700&lt;=COUNTA(半紙!$B$11:$B$310)+COUNTA(条幅!$B$11:$B$310),INDEX(条幅!$B$11:$B$310,700-COUNTA(半紙!$B$11:$B$310)),IF(700&lt;=COUNTA(半紙!$B$11:$B$310)+COUNTA(条幅!$B$11:$B$310)+COUNTA(条幅4分の1!$B$11:$B$310),INDEX(条幅4分の1!$B$11:$B$310,700-COUNTA(半紙!$B$11:$B$310)-COUNTA(条幅!$B$11:$B$310)),"")))=0,"",IF(700&lt;=COUNTA(半紙!$B$11:$B$310),INDEX(半紙!$B$11:$B$310,700),IF(700&lt;=COUNTA(半紙!$B$11:$B$310)+COUNTA(条幅!$B$11:$B$310),INDEX(条幅!$B$11:$B$310,700-COUNTA(半紙!$B$11:$B$310)),IF(700&lt;=COUNTA(半紙!$B$11:$B$310)+COUNTA(条幅!$B$11:$B$310)+COUNTA(条幅4分の1!$B$11:$B$310),INDEX(条幅4分の1!$B$11:$B$310,700-COUNTA(半紙!$B$11:$B$310)-COUNTA(条幅!$B$11:$B$310)),""))))</f>
        <v/>
      </c>
      <c r="C705" s="38" t="str">
        <f>IF(IF(700&lt;=COUNTA(半紙!$B$11:$B$310),INDEX(半紙!$C$11:$C$310,700),IF(700&lt;=COUNTA(半紙!$B$11:$B$310)+COUNTA(条幅!$B$11:$B$310),INDEX(条幅!$C$11:$C$310,700-COUNTA(半紙!$B$11:$B$310)),IF(700&lt;=COUNTA(半紙!$B$11:$B$310)+COUNTA(条幅!$B$11:$B$310)+COUNTA(条幅4分の1!$B$11:$B$310),INDEX(条幅4分の1!$C$11:$C$310,700-COUNTA(半紙!$B$11:$B$310)-COUNTA(条幅!$B$11:$B$310)),"")))=0,"",IF(700&lt;=COUNTA(半紙!$B$11:$B$310),INDEX(半紙!$C$11:$C$310,700),IF(700&lt;=COUNTA(半紙!$B$11:$B$310)+COUNTA(条幅!$B$11:$B$310),INDEX(条幅!$C$11:$C$310,700-COUNTA(半紙!$B$11:$B$310)),IF(700&lt;=COUNTA(半紙!$B$11:$B$310)+COUNTA(条幅!$B$11:$B$310)+COUNTA(条幅4分の1!$B$11:$B$310),INDEX(条幅4分の1!$C$11:$C$310,700-COUNTA(半紙!$B$11:$B$310)-COUNTA(条幅!$B$11:$B$310)),""))))</f>
        <v/>
      </c>
      <c r="D705" s="38" t="str">
        <f>IF(IF(700&lt;=COUNTA(半紙!$B$11:$B$310),INDEX(半紙!$D$11:$D$310,700),IF(700&lt;=COUNTA(半紙!$B$11:$B$310)+COUNTA(条幅!$B$11:$B$310),INDEX(条幅!$D$11:$D$310,700-COUNTA(半紙!$B$11:$B$310)),IF(700&lt;=COUNTA(半紙!$B$11:$B$310)+COUNTA(条幅!$B$11:$B$310)+COUNTA(条幅4分の1!$B$11:$B$310),INDEX(条幅4分の1!$D$11:$D$310,700-COUNTA(半紙!$B$11:$B$310)-COUNTA(条幅!$B$11:$B$310)),"")))=0,"",IF(700&lt;=COUNTA(半紙!$B$11:$B$310),INDEX(半紙!$D$11:$D$310,700),IF(700&lt;=COUNTA(半紙!$B$11:$B$310)+COUNTA(条幅!$B$11:$B$310),INDEX(条幅!$D$11:$D$310,700-COUNTA(半紙!$B$11:$B$310)),IF(700&lt;=COUNTA(半紙!$B$11:$B$310)+COUNTA(条幅!$B$11:$B$310)+COUNTA(条幅4分の1!$B$11:$B$310),INDEX(条幅4分の1!$D$11:$D$310,700-COUNTA(半紙!$B$11:$B$310)-COUNTA(条幅!$B$11:$B$310)),""))))</f>
        <v/>
      </c>
      <c r="E705" s="38" t="str">
        <f>IF(IF(700&lt;=COUNTA(半紙!$B$11:$B$310),INDEX(半紙!$E$11:$E$310,700),IF(700&lt;=COUNTA(半紙!$B$11:$B$310)+COUNTA(条幅!$B$11:$B$310),INDEX(条幅!$E$11:$E$310,700-COUNTA(半紙!$B$11:$B$310)),IF(700&lt;=COUNTA(半紙!$B$11:$B$310)+COUNTA(条幅!$B$11:$B$310)+COUNTA(条幅4分の1!$B$11:$B$310),INDEX(条幅4分の1!$E$11:$E$310,700-COUNTA(半紙!$B$11:$B$310)-COUNTA(条幅!$B$11:$B$310)),"")))=0,"",IF(700&lt;=COUNTA(半紙!$B$11:$B$310),INDEX(半紙!$E$11:$E$310,700),IF(700&lt;=COUNTA(半紙!$B$11:$B$310)+COUNTA(条幅!$B$11:$B$310),INDEX(条幅!$E$11:$E$310,700-COUNTA(半紙!$B$11:$B$310)),IF(700&lt;=COUNTA(半紙!$B$11:$B$310)+COUNTA(条幅!$B$11:$B$310)+COUNTA(条幅4分の1!$B$11:$B$310),INDEX(条幅4分の1!$E$11:$E$310,700-COUNTA(半紙!$B$11:$B$310)-COUNTA(条幅!$B$11:$B$310)),""))))</f>
        <v/>
      </c>
      <c r="F705" s="38" t="str">
        <f>IF(IF(700&lt;=COUNTA(半紙!$B$11:$B$310),INDEX(半紙!$F$11:$F$310,700),IF(700&lt;=COUNTA(半紙!$B$11:$B$310)+COUNTA(条幅!$B$11:$B$310),INDEX(条幅!$F$11:$F$310,700-COUNTA(半紙!$B$11:$B$310)),IF(700&lt;=COUNTA(半紙!$B$11:$B$310)+COUNTA(条幅!$B$11:$B$310)+COUNTA(条幅4分の1!$B$11:$B$310),INDEX(条幅4分の1!$F$11:$F$310,700-COUNTA(半紙!$B$11:$B$310)-COUNTA(条幅!$B$11:$B$310)),"")))=0,"",IF(700&lt;=COUNTA(半紙!$B$11:$B$310),INDEX(半紙!$F$11:$F$310,700),IF(700&lt;=COUNTA(半紙!$B$11:$B$310)+COUNTA(条幅!$B$11:$B$310),INDEX(条幅!$F$11:$F$310,700-COUNTA(半紙!$B$11:$B$310)),IF(700&lt;=COUNTA(半紙!$B$11:$B$310)+COUNTA(条幅!$B$11:$B$310)+COUNTA(条幅4分の1!$B$11:$B$310),INDEX(条幅4分の1!$F$11:$F$310,700-COUNTA(半紙!$B$11:$B$310)-COUNTA(条幅!$B$11:$B$310)),""))))</f>
        <v/>
      </c>
      <c r="G705" s="38" t="str">
        <f>IF(IF(700&lt;=COUNTA(半紙!$B$11:$B$310),INDEX(半紙!$G$11:$G$310,700),IF(700&lt;=COUNTA(半紙!$B$11:$B$310)+COUNTA(条幅!$B$11:$B$310),INDEX(条幅!$G$11:$G$310,700-COUNTA(半紙!$B$11:$B$310)),IF(700&lt;=COUNTA(半紙!$B$11:$B$310)+COUNTA(条幅!$B$11:$B$310)+COUNTA(条幅4分の1!$B$11:$B$310),INDEX(条幅4分の1!$G$11:$G$310,700-COUNTA(半紙!$B$11:$B$310)-COUNTA(条幅!$B$11:$B$310)),"")))=0,"",IF(700&lt;=COUNTA(半紙!$B$11:$B$310),INDEX(半紙!$G$11:$G$310,700),IF(700&lt;=COUNTA(半紙!$B$11:$B$310)+COUNTA(条幅!$B$11:$B$310),INDEX(条幅!$G$11:$G$310,700-COUNTA(半紙!$B$11:$B$310)),IF(700&lt;=COUNTA(半紙!$B$11:$B$310)+COUNTA(条幅!$B$11:$B$310)+COUNTA(条幅4分の1!$B$11:$B$310),INDEX(条幅4分の1!$G$11:$G$310,700-COUNTA(半紙!$B$11:$B$310)-COUNTA(条幅!$B$11:$B$310)),""))))</f>
        <v/>
      </c>
      <c r="H705" s="38" t="str">
        <f>IF(IF(700&lt;=COUNTA(半紙!$B$11:$B$310),INDEX(半紙!$H$11:$H$310,700),IF(700&lt;=COUNTA(半紙!$B$11:$B$310)+COUNTA(条幅!$B$11:$B$310),INDEX(条幅!$H$11:$H$310,700-COUNTA(半紙!$B$11:$B$310)),IF(700&lt;=COUNTA(半紙!$B$11:$B$310)+COUNTA(条幅!$B$11:$B$310)+COUNTA(条幅4分の1!$B$11:$B$310),INDEX(条幅4分の1!$H$11:$H$310,700-COUNTA(半紙!$B$11:$B$310)-COUNTA(条幅!$B$11:$B$310)),"")))=0,"",IF(700&lt;=COUNTA(半紙!$B$11:$B$310),INDEX(半紙!$H$11:$H$310,700),IF(700&lt;=COUNTA(半紙!$B$11:$B$310)+COUNTA(条幅!$B$11:$B$310),INDEX(条幅!$H$11:$H$310,700-COUNTA(半紙!$B$11:$B$310)),IF(700&lt;=COUNTA(半紙!$B$11:$B$310)+COUNTA(条幅!$B$11:$B$310)+COUNTA(条幅4分の1!$B$11:$B$310),INDEX(条幅4分の1!$H$11:$H$310,700-COUNTA(半紙!$B$11:$B$310)-COUNTA(条幅!$B$11:$B$310)),""))))</f>
        <v/>
      </c>
      <c r="I705" s="38" t="str">
        <f>IF(IF(700&lt;=COUNTA(半紙!$B$11:$B$310),INDEX(半紙!$I$11:$I$310,700),IF(700&lt;=COUNTA(半紙!$B$11:$B$310)+COUNTA(条幅!$B$11:$B$310),INDEX(条幅!$I$11:$I$310,700-COUNTA(半紙!$B$11:$B$310)),IF(700&lt;=COUNTA(半紙!$B$11:$B$310)+COUNTA(条幅!$B$11:$B$310)+COUNTA(条幅4分の1!$B$11:$B$310),INDEX(条幅4分の1!$I$11:$I$310,700-COUNTA(半紙!$B$11:$B$310)-COUNTA(条幅!$B$11:$B$310)),"")))=0,"",IF(700&lt;=COUNTA(半紙!$B$11:$B$310),INDEX(半紙!$I$11:$I$310,700),IF(700&lt;=COUNTA(半紙!$B$11:$B$310)+COUNTA(条幅!$B$11:$B$310),INDEX(条幅!$I$11:$I$310,700-COUNTA(半紙!$B$11:$B$310)),IF(700&lt;=COUNTA(半紙!$B$11:$B$310)+COUNTA(条幅!$B$11:$B$310)+COUNTA(条幅4分の1!$B$11:$B$310),INDEX(条幅4分の1!$I$11:$I$310,700-COUNTA(半紙!$B$11:$B$310)-COUNTA(条幅!$B$11:$B$310)),""))))</f>
        <v/>
      </c>
      <c r="J705" s="38" t="str">
        <f>IF(IF(700&lt;=COUNTA(半紙!$B$11:$B$310),INDEX(半紙!$J$11:$J$310,700),IF(700&lt;=COUNTA(半紙!$B$11:$B$310)+COUNTA(条幅!$B$11:$B$310),INDEX(条幅!$J$11:$J$310,700-COUNTA(半紙!$B$11:$B$310)),IF(700&lt;=COUNTA(半紙!$B$11:$B$310)+COUNTA(条幅!$B$11:$B$310)+COUNTA(条幅4分の1!$B$11:$B$310),INDEX(条幅4分の1!$J$11:$J$310,700-COUNTA(半紙!$B$11:$B$310)-COUNTA(条幅!$B$11:$B$310)),"")))=0,"",IF(700&lt;=COUNTA(半紙!$B$11:$B$310),INDEX(半紙!$J$11:$J$310,700),IF(700&lt;=COUNTA(半紙!$B$11:$B$310)+COUNTA(条幅!$B$11:$B$310),INDEX(条幅!$J$11:$J$310,700-COUNTA(半紙!$B$11:$B$310)),IF(700&lt;=COUNTA(半紙!$B$11:$B$310)+COUNTA(条幅!$B$11:$B$310)+COUNTA(条幅4分の1!$B$11:$B$310),INDEX(条幅4分の1!$J$11:$J$310,700-COUNTA(半紙!$B$11:$B$310)-COUNTA(条幅!$B$11:$B$310)),""))))</f>
        <v/>
      </c>
      <c r="K705" s="38" t="str">
        <f>IF(IF(700&lt;=COUNTA(半紙!$B$11:$B$310),INDEX(半紙!$K$11:$K$310,700),IF(700&lt;=COUNTA(半紙!$B$11:$B$310)+COUNTA(条幅!$B$11:$B$310),INDEX(条幅!$K$11:$K$310,700-COUNTA(半紙!$B$11:$B$310)),IF(700&lt;=COUNTA(半紙!$B$11:$B$310)+COUNTA(条幅!$B$11:$B$310)+COUNTA(条幅4分の1!$B$11:$B$310),INDEX(条幅4分の1!$K$11:$K$310,700-COUNTA(半紙!$B$11:$B$310)-COUNTA(条幅!$B$11:$B$310)),"")))=0,"",IF(700&lt;=COUNTA(半紙!$B$11:$B$310),INDEX(半紙!$K$11:$K$310,700),IF(700&lt;=COUNTA(半紙!$B$11:$B$310)+COUNTA(条幅!$B$11:$B$310),INDEX(条幅!$K$11:$K$310,700-COUNTA(半紙!$B$11:$B$310)),IF(700&lt;=COUNTA(半紙!$B$11:$B$310)+COUNTA(条幅!$B$11:$B$310)+COUNTA(条幅4分の1!$B$11:$B$310),INDEX(条幅4分の1!$K$11:$K$310,700-COUNTA(半紙!$B$11:$B$310)-COUNTA(条幅!$B$11:$B$310)),""))))</f>
        <v/>
      </c>
      <c r="L705" s="48" t="str">
        <f>IF($B705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700))</f>
        <v/>
      </c>
    </row>
    <row r="706" spans="1:12" ht="15" customHeight="1">
      <c r="A706" s="37" t="str">
        <f>IF(701&lt;=COUNTA(半紙!$B$11:$B$310),"半紙",IF(701&lt;=COUNTA(半紙!$B$11:$B$310)+COUNTA(条幅!$B$11:$B$310),"条幅(半切)",IF(701&lt;=COUNTA(半紙!$B$11:$B$310)+COUNTA(条幅!$B$11:$B$310)+COUNTA(条幅4分の1!$B$11:$B$310),"条幅(1/4)","")))</f>
        <v/>
      </c>
      <c r="B706" s="38" t="str">
        <f>IF(IF(701&lt;=COUNTA(半紙!$B$11:$B$310),INDEX(半紙!$B$11:$B$310,701),IF(701&lt;=COUNTA(半紙!$B$11:$B$310)+COUNTA(条幅!$B$11:$B$310),INDEX(条幅!$B$11:$B$310,701-COUNTA(半紙!$B$11:$B$310)),IF(701&lt;=COUNTA(半紙!$B$11:$B$310)+COUNTA(条幅!$B$11:$B$310)+COUNTA(条幅4分の1!$B$11:$B$310),INDEX(条幅4分の1!$B$11:$B$310,701-COUNTA(半紙!$B$11:$B$310)-COUNTA(条幅!$B$11:$B$310)),"")))=0,"",IF(701&lt;=COUNTA(半紙!$B$11:$B$310),INDEX(半紙!$B$11:$B$310,701),IF(701&lt;=COUNTA(半紙!$B$11:$B$310)+COUNTA(条幅!$B$11:$B$310),INDEX(条幅!$B$11:$B$310,701-COUNTA(半紙!$B$11:$B$310)),IF(701&lt;=COUNTA(半紙!$B$11:$B$310)+COUNTA(条幅!$B$11:$B$310)+COUNTA(条幅4分の1!$B$11:$B$310),INDEX(条幅4分の1!$B$11:$B$310,701-COUNTA(半紙!$B$11:$B$310)-COUNTA(条幅!$B$11:$B$310)),""))))</f>
        <v/>
      </c>
      <c r="C706" s="38" t="str">
        <f>IF(IF(701&lt;=COUNTA(半紙!$B$11:$B$310),INDEX(半紙!$C$11:$C$310,701),IF(701&lt;=COUNTA(半紙!$B$11:$B$310)+COUNTA(条幅!$B$11:$B$310),INDEX(条幅!$C$11:$C$310,701-COUNTA(半紙!$B$11:$B$310)),IF(701&lt;=COUNTA(半紙!$B$11:$B$310)+COUNTA(条幅!$B$11:$B$310)+COUNTA(条幅4分の1!$B$11:$B$310),INDEX(条幅4分の1!$C$11:$C$310,701-COUNTA(半紙!$B$11:$B$310)-COUNTA(条幅!$B$11:$B$310)),"")))=0,"",IF(701&lt;=COUNTA(半紙!$B$11:$B$310),INDEX(半紙!$C$11:$C$310,701),IF(701&lt;=COUNTA(半紙!$B$11:$B$310)+COUNTA(条幅!$B$11:$B$310),INDEX(条幅!$C$11:$C$310,701-COUNTA(半紙!$B$11:$B$310)),IF(701&lt;=COUNTA(半紙!$B$11:$B$310)+COUNTA(条幅!$B$11:$B$310)+COUNTA(条幅4分の1!$B$11:$B$310),INDEX(条幅4分の1!$C$11:$C$310,701-COUNTA(半紙!$B$11:$B$310)-COUNTA(条幅!$B$11:$B$310)),""))))</f>
        <v/>
      </c>
      <c r="D706" s="38" t="str">
        <f>IF(IF(701&lt;=COUNTA(半紙!$B$11:$B$310),INDEX(半紙!$D$11:$D$310,701),IF(701&lt;=COUNTA(半紙!$B$11:$B$310)+COUNTA(条幅!$B$11:$B$310),INDEX(条幅!$D$11:$D$310,701-COUNTA(半紙!$B$11:$B$310)),IF(701&lt;=COUNTA(半紙!$B$11:$B$310)+COUNTA(条幅!$B$11:$B$310)+COUNTA(条幅4分の1!$B$11:$B$310),INDEX(条幅4分の1!$D$11:$D$310,701-COUNTA(半紙!$B$11:$B$310)-COUNTA(条幅!$B$11:$B$310)),"")))=0,"",IF(701&lt;=COUNTA(半紙!$B$11:$B$310),INDEX(半紙!$D$11:$D$310,701),IF(701&lt;=COUNTA(半紙!$B$11:$B$310)+COUNTA(条幅!$B$11:$B$310),INDEX(条幅!$D$11:$D$310,701-COUNTA(半紙!$B$11:$B$310)),IF(701&lt;=COUNTA(半紙!$B$11:$B$310)+COUNTA(条幅!$B$11:$B$310)+COUNTA(条幅4分の1!$B$11:$B$310),INDEX(条幅4分の1!$D$11:$D$310,701-COUNTA(半紙!$B$11:$B$310)-COUNTA(条幅!$B$11:$B$310)),""))))</f>
        <v/>
      </c>
      <c r="E706" s="38" t="str">
        <f>IF(IF(701&lt;=COUNTA(半紙!$B$11:$B$310),INDEX(半紙!$E$11:$E$310,701),IF(701&lt;=COUNTA(半紙!$B$11:$B$310)+COUNTA(条幅!$B$11:$B$310),INDEX(条幅!$E$11:$E$310,701-COUNTA(半紙!$B$11:$B$310)),IF(701&lt;=COUNTA(半紙!$B$11:$B$310)+COUNTA(条幅!$B$11:$B$310)+COUNTA(条幅4分の1!$B$11:$B$310),INDEX(条幅4分の1!$E$11:$E$310,701-COUNTA(半紙!$B$11:$B$310)-COUNTA(条幅!$B$11:$B$310)),"")))=0,"",IF(701&lt;=COUNTA(半紙!$B$11:$B$310),INDEX(半紙!$E$11:$E$310,701),IF(701&lt;=COUNTA(半紙!$B$11:$B$310)+COUNTA(条幅!$B$11:$B$310),INDEX(条幅!$E$11:$E$310,701-COUNTA(半紙!$B$11:$B$310)),IF(701&lt;=COUNTA(半紙!$B$11:$B$310)+COUNTA(条幅!$B$11:$B$310)+COUNTA(条幅4分の1!$B$11:$B$310),INDEX(条幅4分の1!$E$11:$E$310,701-COUNTA(半紙!$B$11:$B$310)-COUNTA(条幅!$B$11:$B$310)),""))))</f>
        <v/>
      </c>
      <c r="F706" s="38" t="str">
        <f>IF(IF(701&lt;=COUNTA(半紙!$B$11:$B$310),INDEX(半紙!$F$11:$F$310,701),IF(701&lt;=COUNTA(半紙!$B$11:$B$310)+COUNTA(条幅!$B$11:$B$310),INDEX(条幅!$F$11:$F$310,701-COUNTA(半紙!$B$11:$B$310)),IF(701&lt;=COUNTA(半紙!$B$11:$B$310)+COUNTA(条幅!$B$11:$B$310)+COUNTA(条幅4分の1!$B$11:$B$310),INDEX(条幅4分の1!$F$11:$F$310,701-COUNTA(半紙!$B$11:$B$310)-COUNTA(条幅!$B$11:$B$310)),"")))=0,"",IF(701&lt;=COUNTA(半紙!$B$11:$B$310),INDEX(半紙!$F$11:$F$310,701),IF(701&lt;=COUNTA(半紙!$B$11:$B$310)+COUNTA(条幅!$B$11:$B$310),INDEX(条幅!$F$11:$F$310,701-COUNTA(半紙!$B$11:$B$310)),IF(701&lt;=COUNTA(半紙!$B$11:$B$310)+COUNTA(条幅!$B$11:$B$310)+COUNTA(条幅4分の1!$B$11:$B$310),INDEX(条幅4分の1!$F$11:$F$310,701-COUNTA(半紙!$B$11:$B$310)-COUNTA(条幅!$B$11:$B$310)),""))))</f>
        <v/>
      </c>
      <c r="G706" s="38" t="str">
        <f>IF(IF(701&lt;=COUNTA(半紙!$B$11:$B$310),INDEX(半紙!$G$11:$G$310,701),IF(701&lt;=COUNTA(半紙!$B$11:$B$310)+COUNTA(条幅!$B$11:$B$310),INDEX(条幅!$G$11:$G$310,701-COUNTA(半紙!$B$11:$B$310)),IF(701&lt;=COUNTA(半紙!$B$11:$B$310)+COUNTA(条幅!$B$11:$B$310)+COUNTA(条幅4分の1!$B$11:$B$310),INDEX(条幅4分の1!$G$11:$G$310,701-COUNTA(半紙!$B$11:$B$310)-COUNTA(条幅!$B$11:$B$310)),"")))=0,"",IF(701&lt;=COUNTA(半紙!$B$11:$B$310),INDEX(半紙!$G$11:$G$310,701),IF(701&lt;=COUNTA(半紙!$B$11:$B$310)+COUNTA(条幅!$B$11:$B$310),INDEX(条幅!$G$11:$G$310,701-COUNTA(半紙!$B$11:$B$310)),IF(701&lt;=COUNTA(半紙!$B$11:$B$310)+COUNTA(条幅!$B$11:$B$310)+COUNTA(条幅4分の1!$B$11:$B$310),INDEX(条幅4分の1!$G$11:$G$310,701-COUNTA(半紙!$B$11:$B$310)-COUNTA(条幅!$B$11:$B$310)),""))))</f>
        <v/>
      </c>
      <c r="H706" s="38" t="str">
        <f>IF(IF(701&lt;=COUNTA(半紙!$B$11:$B$310),INDEX(半紙!$H$11:$H$310,701),IF(701&lt;=COUNTA(半紙!$B$11:$B$310)+COUNTA(条幅!$B$11:$B$310),INDEX(条幅!$H$11:$H$310,701-COUNTA(半紙!$B$11:$B$310)),IF(701&lt;=COUNTA(半紙!$B$11:$B$310)+COUNTA(条幅!$B$11:$B$310)+COUNTA(条幅4分の1!$B$11:$B$310),INDEX(条幅4分の1!$H$11:$H$310,701-COUNTA(半紙!$B$11:$B$310)-COUNTA(条幅!$B$11:$B$310)),"")))=0,"",IF(701&lt;=COUNTA(半紙!$B$11:$B$310),INDEX(半紙!$H$11:$H$310,701),IF(701&lt;=COUNTA(半紙!$B$11:$B$310)+COUNTA(条幅!$B$11:$B$310),INDEX(条幅!$H$11:$H$310,701-COUNTA(半紙!$B$11:$B$310)),IF(701&lt;=COUNTA(半紙!$B$11:$B$310)+COUNTA(条幅!$B$11:$B$310)+COUNTA(条幅4分の1!$B$11:$B$310),INDEX(条幅4分の1!$H$11:$H$310,701-COUNTA(半紙!$B$11:$B$310)-COUNTA(条幅!$B$11:$B$310)),""))))</f>
        <v/>
      </c>
      <c r="I706" s="38" t="str">
        <f>IF(IF(701&lt;=COUNTA(半紙!$B$11:$B$310),INDEX(半紙!$I$11:$I$310,701),IF(701&lt;=COUNTA(半紙!$B$11:$B$310)+COUNTA(条幅!$B$11:$B$310),INDEX(条幅!$I$11:$I$310,701-COUNTA(半紙!$B$11:$B$310)),IF(701&lt;=COUNTA(半紙!$B$11:$B$310)+COUNTA(条幅!$B$11:$B$310)+COUNTA(条幅4分の1!$B$11:$B$310),INDEX(条幅4分の1!$I$11:$I$310,701-COUNTA(半紙!$B$11:$B$310)-COUNTA(条幅!$B$11:$B$310)),"")))=0,"",IF(701&lt;=COUNTA(半紙!$B$11:$B$310),INDEX(半紙!$I$11:$I$310,701),IF(701&lt;=COUNTA(半紙!$B$11:$B$310)+COUNTA(条幅!$B$11:$B$310),INDEX(条幅!$I$11:$I$310,701-COUNTA(半紙!$B$11:$B$310)),IF(701&lt;=COUNTA(半紙!$B$11:$B$310)+COUNTA(条幅!$B$11:$B$310)+COUNTA(条幅4分の1!$B$11:$B$310),INDEX(条幅4分の1!$I$11:$I$310,701-COUNTA(半紙!$B$11:$B$310)-COUNTA(条幅!$B$11:$B$310)),""))))</f>
        <v/>
      </c>
      <c r="J706" s="38" t="str">
        <f>IF(IF(701&lt;=COUNTA(半紙!$B$11:$B$310),INDEX(半紙!$J$11:$J$310,701),IF(701&lt;=COUNTA(半紙!$B$11:$B$310)+COUNTA(条幅!$B$11:$B$310),INDEX(条幅!$J$11:$J$310,701-COUNTA(半紙!$B$11:$B$310)),IF(701&lt;=COUNTA(半紙!$B$11:$B$310)+COUNTA(条幅!$B$11:$B$310)+COUNTA(条幅4分の1!$B$11:$B$310),INDEX(条幅4分の1!$J$11:$J$310,701-COUNTA(半紙!$B$11:$B$310)-COUNTA(条幅!$B$11:$B$310)),"")))=0,"",IF(701&lt;=COUNTA(半紙!$B$11:$B$310),INDEX(半紙!$J$11:$J$310,701),IF(701&lt;=COUNTA(半紙!$B$11:$B$310)+COUNTA(条幅!$B$11:$B$310),INDEX(条幅!$J$11:$J$310,701-COUNTA(半紙!$B$11:$B$310)),IF(701&lt;=COUNTA(半紙!$B$11:$B$310)+COUNTA(条幅!$B$11:$B$310)+COUNTA(条幅4分の1!$B$11:$B$310),INDEX(条幅4分の1!$J$11:$J$310,701-COUNTA(半紙!$B$11:$B$310)-COUNTA(条幅!$B$11:$B$310)),""))))</f>
        <v/>
      </c>
      <c r="K706" s="38" t="str">
        <f>IF(IF(701&lt;=COUNTA(半紙!$B$11:$B$310),INDEX(半紙!$K$11:$K$310,701),IF(701&lt;=COUNTA(半紙!$B$11:$B$310)+COUNTA(条幅!$B$11:$B$310),INDEX(条幅!$K$11:$K$310,701-COUNTA(半紙!$B$11:$B$310)),IF(701&lt;=COUNTA(半紙!$B$11:$B$310)+COUNTA(条幅!$B$11:$B$310)+COUNTA(条幅4分の1!$B$11:$B$310),INDEX(条幅4分の1!$K$11:$K$310,701-COUNTA(半紙!$B$11:$B$310)-COUNTA(条幅!$B$11:$B$310)),"")))=0,"",IF(701&lt;=COUNTA(半紙!$B$11:$B$310),INDEX(半紙!$K$11:$K$310,701),IF(701&lt;=COUNTA(半紙!$B$11:$B$310)+COUNTA(条幅!$B$11:$B$310),INDEX(条幅!$K$11:$K$310,701-COUNTA(半紙!$B$11:$B$310)),IF(701&lt;=COUNTA(半紙!$B$11:$B$310)+COUNTA(条幅!$B$11:$B$310)+COUNTA(条幅4分の1!$B$11:$B$310),INDEX(条幅4分の1!$K$11:$K$310,701-COUNTA(半紙!$B$11:$B$310)-COUNTA(条幅!$B$11:$B$310)),""))))</f>
        <v/>
      </c>
      <c r="L706" s="48" t="str">
        <f>IF($B706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701))</f>
        <v/>
      </c>
    </row>
    <row r="707" spans="1:12" ht="15" customHeight="1">
      <c r="A707" s="37" t="str">
        <f>IF(702&lt;=COUNTA(半紙!$B$11:$B$310),"半紙",IF(702&lt;=COUNTA(半紙!$B$11:$B$310)+COUNTA(条幅!$B$11:$B$310),"条幅(半切)",IF(702&lt;=COUNTA(半紙!$B$11:$B$310)+COUNTA(条幅!$B$11:$B$310)+COUNTA(条幅4分の1!$B$11:$B$310),"条幅(1/4)","")))</f>
        <v/>
      </c>
      <c r="B707" s="38" t="str">
        <f>IF(IF(702&lt;=COUNTA(半紙!$B$11:$B$310),INDEX(半紙!$B$11:$B$310,702),IF(702&lt;=COUNTA(半紙!$B$11:$B$310)+COUNTA(条幅!$B$11:$B$310),INDEX(条幅!$B$11:$B$310,702-COUNTA(半紙!$B$11:$B$310)),IF(702&lt;=COUNTA(半紙!$B$11:$B$310)+COUNTA(条幅!$B$11:$B$310)+COUNTA(条幅4分の1!$B$11:$B$310),INDEX(条幅4分の1!$B$11:$B$310,702-COUNTA(半紙!$B$11:$B$310)-COUNTA(条幅!$B$11:$B$310)),"")))=0,"",IF(702&lt;=COUNTA(半紙!$B$11:$B$310),INDEX(半紙!$B$11:$B$310,702),IF(702&lt;=COUNTA(半紙!$B$11:$B$310)+COUNTA(条幅!$B$11:$B$310),INDEX(条幅!$B$11:$B$310,702-COUNTA(半紙!$B$11:$B$310)),IF(702&lt;=COUNTA(半紙!$B$11:$B$310)+COUNTA(条幅!$B$11:$B$310)+COUNTA(条幅4分の1!$B$11:$B$310),INDEX(条幅4分の1!$B$11:$B$310,702-COUNTA(半紙!$B$11:$B$310)-COUNTA(条幅!$B$11:$B$310)),""))))</f>
        <v/>
      </c>
      <c r="C707" s="38" t="str">
        <f>IF(IF(702&lt;=COUNTA(半紙!$B$11:$B$310),INDEX(半紙!$C$11:$C$310,702),IF(702&lt;=COUNTA(半紙!$B$11:$B$310)+COUNTA(条幅!$B$11:$B$310),INDEX(条幅!$C$11:$C$310,702-COUNTA(半紙!$B$11:$B$310)),IF(702&lt;=COUNTA(半紙!$B$11:$B$310)+COUNTA(条幅!$B$11:$B$310)+COUNTA(条幅4分の1!$B$11:$B$310),INDEX(条幅4分の1!$C$11:$C$310,702-COUNTA(半紙!$B$11:$B$310)-COUNTA(条幅!$B$11:$B$310)),"")))=0,"",IF(702&lt;=COUNTA(半紙!$B$11:$B$310),INDEX(半紙!$C$11:$C$310,702),IF(702&lt;=COUNTA(半紙!$B$11:$B$310)+COUNTA(条幅!$B$11:$B$310),INDEX(条幅!$C$11:$C$310,702-COUNTA(半紙!$B$11:$B$310)),IF(702&lt;=COUNTA(半紙!$B$11:$B$310)+COUNTA(条幅!$B$11:$B$310)+COUNTA(条幅4分の1!$B$11:$B$310),INDEX(条幅4分の1!$C$11:$C$310,702-COUNTA(半紙!$B$11:$B$310)-COUNTA(条幅!$B$11:$B$310)),""))))</f>
        <v/>
      </c>
      <c r="D707" s="38" t="str">
        <f>IF(IF(702&lt;=COUNTA(半紙!$B$11:$B$310),INDEX(半紙!$D$11:$D$310,702),IF(702&lt;=COUNTA(半紙!$B$11:$B$310)+COUNTA(条幅!$B$11:$B$310),INDEX(条幅!$D$11:$D$310,702-COUNTA(半紙!$B$11:$B$310)),IF(702&lt;=COUNTA(半紙!$B$11:$B$310)+COUNTA(条幅!$B$11:$B$310)+COUNTA(条幅4分の1!$B$11:$B$310),INDEX(条幅4分の1!$D$11:$D$310,702-COUNTA(半紙!$B$11:$B$310)-COUNTA(条幅!$B$11:$B$310)),"")))=0,"",IF(702&lt;=COUNTA(半紙!$B$11:$B$310),INDEX(半紙!$D$11:$D$310,702),IF(702&lt;=COUNTA(半紙!$B$11:$B$310)+COUNTA(条幅!$B$11:$B$310),INDEX(条幅!$D$11:$D$310,702-COUNTA(半紙!$B$11:$B$310)),IF(702&lt;=COUNTA(半紙!$B$11:$B$310)+COUNTA(条幅!$B$11:$B$310)+COUNTA(条幅4分の1!$B$11:$B$310),INDEX(条幅4分の1!$D$11:$D$310,702-COUNTA(半紙!$B$11:$B$310)-COUNTA(条幅!$B$11:$B$310)),""))))</f>
        <v/>
      </c>
      <c r="E707" s="38" t="str">
        <f>IF(IF(702&lt;=COUNTA(半紙!$B$11:$B$310),INDEX(半紙!$E$11:$E$310,702),IF(702&lt;=COUNTA(半紙!$B$11:$B$310)+COUNTA(条幅!$B$11:$B$310),INDEX(条幅!$E$11:$E$310,702-COUNTA(半紙!$B$11:$B$310)),IF(702&lt;=COUNTA(半紙!$B$11:$B$310)+COUNTA(条幅!$B$11:$B$310)+COUNTA(条幅4分の1!$B$11:$B$310),INDEX(条幅4分の1!$E$11:$E$310,702-COUNTA(半紙!$B$11:$B$310)-COUNTA(条幅!$B$11:$B$310)),"")))=0,"",IF(702&lt;=COUNTA(半紙!$B$11:$B$310),INDEX(半紙!$E$11:$E$310,702),IF(702&lt;=COUNTA(半紙!$B$11:$B$310)+COUNTA(条幅!$B$11:$B$310),INDEX(条幅!$E$11:$E$310,702-COUNTA(半紙!$B$11:$B$310)),IF(702&lt;=COUNTA(半紙!$B$11:$B$310)+COUNTA(条幅!$B$11:$B$310)+COUNTA(条幅4分の1!$B$11:$B$310),INDEX(条幅4分の1!$E$11:$E$310,702-COUNTA(半紙!$B$11:$B$310)-COUNTA(条幅!$B$11:$B$310)),""))))</f>
        <v/>
      </c>
      <c r="F707" s="38" t="str">
        <f>IF(IF(702&lt;=COUNTA(半紙!$B$11:$B$310),INDEX(半紙!$F$11:$F$310,702),IF(702&lt;=COUNTA(半紙!$B$11:$B$310)+COUNTA(条幅!$B$11:$B$310),INDEX(条幅!$F$11:$F$310,702-COUNTA(半紙!$B$11:$B$310)),IF(702&lt;=COUNTA(半紙!$B$11:$B$310)+COUNTA(条幅!$B$11:$B$310)+COUNTA(条幅4分の1!$B$11:$B$310),INDEX(条幅4分の1!$F$11:$F$310,702-COUNTA(半紙!$B$11:$B$310)-COUNTA(条幅!$B$11:$B$310)),"")))=0,"",IF(702&lt;=COUNTA(半紙!$B$11:$B$310),INDEX(半紙!$F$11:$F$310,702),IF(702&lt;=COUNTA(半紙!$B$11:$B$310)+COUNTA(条幅!$B$11:$B$310),INDEX(条幅!$F$11:$F$310,702-COUNTA(半紙!$B$11:$B$310)),IF(702&lt;=COUNTA(半紙!$B$11:$B$310)+COUNTA(条幅!$B$11:$B$310)+COUNTA(条幅4分の1!$B$11:$B$310),INDEX(条幅4分の1!$F$11:$F$310,702-COUNTA(半紙!$B$11:$B$310)-COUNTA(条幅!$B$11:$B$310)),""))))</f>
        <v/>
      </c>
      <c r="G707" s="38" t="str">
        <f>IF(IF(702&lt;=COUNTA(半紙!$B$11:$B$310),INDEX(半紙!$G$11:$G$310,702),IF(702&lt;=COUNTA(半紙!$B$11:$B$310)+COUNTA(条幅!$B$11:$B$310),INDEX(条幅!$G$11:$G$310,702-COUNTA(半紙!$B$11:$B$310)),IF(702&lt;=COUNTA(半紙!$B$11:$B$310)+COUNTA(条幅!$B$11:$B$310)+COUNTA(条幅4分の1!$B$11:$B$310),INDEX(条幅4分の1!$G$11:$G$310,702-COUNTA(半紙!$B$11:$B$310)-COUNTA(条幅!$B$11:$B$310)),"")))=0,"",IF(702&lt;=COUNTA(半紙!$B$11:$B$310),INDEX(半紙!$G$11:$G$310,702),IF(702&lt;=COUNTA(半紙!$B$11:$B$310)+COUNTA(条幅!$B$11:$B$310),INDEX(条幅!$G$11:$G$310,702-COUNTA(半紙!$B$11:$B$310)),IF(702&lt;=COUNTA(半紙!$B$11:$B$310)+COUNTA(条幅!$B$11:$B$310)+COUNTA(条幅4分の1!$B$11:$B$310),INDEX(条幅4分の1!$G$11:$G$310,702-COUNTA(半紙!$B$11:$B$310)-COUNTA(条幅!$B$11:$B$310)),""))))</f>
        <v/>
      </c>
      <c r="H707" s="38" t="str">
        <f>IF(IF(702&lt;=COUNTA(半紙!$B$11:$B$310),INDEX(半紙!$H$11:$H$310,702),IF(702&lt;=COUNTA(半紙!$B$11:$B$310)+COUNTA(条幅!$B$11:$B$310),INDEX(条幅!$H$11:$H$310,702-COUNTA(半紙!$B$11:$B$310)),IF(702&lt;=COUNTA(半紙!$B$11:$B$310)+COUNTA(条幅!$B$11:$B$310)+COUNTA(条幅4分の1!$B$11:$B$310),INDEX(条幅4分の1!$H$11:$H$310,702-COUNTA(半紙!$B$11:$B$310)-COUNTA(条幅!$B$11:$B$310)),"")))=0,"",IF(702&lt;=COUNTA(半紙!$B$11:$B$310),INDEX(半紙!$H$11:$H$310,702),IF(702&lt;=COUNTA(半紙!$B$11:$B$310)+COUNTA(条幅!$B$11:$B$310),INDEX(条幅!$H$11:$H$310,702-COUNTA(半紙!$B$11:$B$310)),IF(702&lt;=COUNTA(半紙!$B$11:$B$310)+COUNTA(条幅!$B$11:$B$310)+COUNTA(条幅4分の1!$B$11:$B$310),INDEX(条幅4分の1!$H$11:$H$310,702-COUNTA(半紙!$B$11:$B$310)-COUNTA(条幅!$B$11:$B$310)),""))))</f>
        <v/>
      </c>
      <c r="I707" s="38" t="str">
        <f>IF(IF(702&lt;=COUNTA(半紙!$B$11:$B$310),INDEX(半紙!$I$11:$I$310,702),IF(702&lt;=COUNTA(半紙!$B$11:$B$310)+COUNTA(条幅!$B$11:$B$310),INDEX(条幅!$I$11:$I$310,702-COUNTA(半紙!$B$11:$B$310)),IF(702&lt;=COUNTA(半紙!$B$11:$B$310)+COUNTA(条幅!$B$11:$B$310)+COUNTA(条幅4分の1!$B$11:$B$310),INDEX(条幅4分の1!$I$11:$I$310,702-COUNTA(半紙!$B$11:$B$310)-COUNTA(条幅!$B$11:$B$310)),"")))=0,"",IF(702&lt;=COUNTA(半紙!$B$11:$B$310),INDEX(半紙!$I$11:$I$310,702),IF(702&lt;=COUNTA(半紙!$B$11:$B$310)+COUNTA(条幅!$B$11:$B$310),INDEX(条幅!$I$11:$I$310,702-COUNTA(半紙!$B$11:$B$310)),IF(702&lt;=COUNTA(半紙!$B$11:$B$310)+COUNTA(条幅!$B$11:$B$310)+COUNTA(条幅4分の1!$B$11:$B$310),INDEX(条幅4分の1!$I$11:$I$310,702-COUNTA(半紙!$B$11:$B$310)-COUNTA(条幅!$B$11:$B$310)),""))))</f>
        <v/>
      </c>
      <c r="J707" s="38" t="str">
        <f>IF(IF(702&lt;=COUNTA(半紙!$B$11:$B$310),INDEX(半紙!$J$11:$J$310,702),IF(702&lt;=COUNTA(半紙!$B$11:$B$310)+COUNTA(条幅!$B$11:$B$310),INDEX(条幅!$J$11:$J$310,702-COUNTA(半紙!$B$11:$B$310)),IF(702&lt;=COUNTA(半紙!$B$11:$B$310)+COUNTA(条幅!$B$11:$B$310)+COUNTA(条幅4分の1!$B$11:$B$310),INDEX(条幅4分の1!$J$11:$J$310,702-COUNTA(半紙!$B$11:$B$310)-COUNTA(条幅!$B$11:$B$310)),"")))=0,"",IF(702&lt;=COUNTA(半紙!$B$11:$B$310),INDEX(半紙!$J$11:$J$310,702),IF(702&lt;=COUNTA(半紙!$B$11:$B$310)+COUNTA(条幅!$B$11:$B$310),INDEX(条幅!$J$11:$J$310,702-COUNTA(半紙!$B$11:$B$310)),IF(702&lt;=COUNTA(半紙!$B$11:$B$310)+COUNTA(条幅!$B$11:$B$310)+COUNTA(条幅4分の1!$B$11:$B$310),INDEX(条幅4分の1!$J$11:$J$310,702-COUNTA(半紙!$B$11:$B$310)-COUNTA(条幅!$B$11:$B$310)),""))))</f>
        <v/>
      </c>
      <c r="K707" s="38" t="str">
        <f>IF(IF(702&lt;=COUNTA(半紙!$B$11:$B$310),INDEX(半紙!$K$11:$K$310,702),IF(702&lt;=COUNTA(半紙!$B$11:$B$310)+COUNTA(条幅!$B$11:$B$310),INDEX(条幅!$K$11:$K$310,702-COUNTA(半紙!$B$11:$B$310)),IF(702&lt;=COUNTA(半紙!$B$11:$B$310)+COUNTA(条幅!$B$11:$B$310)+COUNTA(条幅4分の1!$B$11:$B$310),INDEX(条幅4分の1!$K$11:$K$310,702-COUNTA(半紙!$B$11:$B$310)-COUNTA(条幅!$B$11:$B$310)),"")))=0,"",IF(702&lt;=COUNTA(半紙!$B$11:$B$310),INDEX(半紙!$K$11:$K$310,702),IF(702&lt;=COUNTA(半紙!$B$11:$B$310)+COUNTA(条幅!$B$11:$B$310),INDEX(条幅!$K$11:$K$310,702-COUNTA(半紙!$B$11:$B$310)),IF(702&lt;=COUNTA(半紙!$B$11:$B$310)+COUNTA(条幅!$B$11:$B$310)+COUNTA(条幅4分の1!$B$11:$B$310),INDEX(条幅4分の1!$K$11:$K$310,702-COUNTA(半紙!$B$11:$B$310)-COUNTA(条幅!$B$11:$B$310)),""))))</f>
        <v/>
      </c>
      <c r="L707" s="48" t="str">
        <f>IF($B707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702))</f>
        <v/>
      </c>
    </row>
    <row r="708" spans="1:12" ht="15" customHeight="1">
      <c r="A708" s="37" t="str">
        <f>IF(703&lt;=COUNTA(半紙!$B$11:$B$310),"半紙",IF(703&lt;=COUNTA(半紙!$B$11:$B$310)+COUNTA(条幅!$B$11:$B$310),"条幅(半切)",IF(703&lt;=COUNTA(半紙!$B$11:$B$310)+COUNTA(条幅!$B$11:$B$310)+COUNTA(条幅4分の1!$B$11:$B$310),"条幅(1/4)","")))</f>
        <v/>
      </c>
      <c r="B708" s="38" t="str">
        <f>IF(IF(703&lt;=COUNTA(半紙!$B$11:$B$310),INDEX(半紙!$B$11:$B$310,703),IF(703&lt;=COUNTA(半紙!$B$11:$B$310)+COUNTA(条幅!$B$11:$B$310),INDEX(条幅!$B$11:$B$310,703-COUNTA(半紙!$B$11:$B$310)),IF(703&lt;=COUNTA(半紙!$B$11:$B$310)+COUNTA(条幅!$B$11:$B$310)+COUNTA(条幅4分の1!$B$11:$B$310),INDEX(条幅4分の1!$B$11:$B$310,703-COUNTA(半紙!$B$11:$B$310)-COUNTA(条幅!$B$11:$B$310)),"")))=0,"",IF(703&lt;=COUNTA(半紙!$B$11:$B$310),INDEX(半紙!$B$11:$B$310,703),IF(703&lt;=COUNTA(半紙!$B$11:$B$310)+COUNTA(条幅!$B$11:$B$310),INDEX(条幅!$B$11:$B$310,703-COUNTA(半紙!$B$11:$B$310)),IF(703&lt;=COUNTA(半紙!$B$11:$B$310)+COUNTA(条幅!$B$11:$B$310)+COUNTA(条幅4分の1!$B$11:$B$310),INDEX(条幅4分の1!$B$11:$B$310,703-COUNTA(半紙!$B$11:$B$310)-COUNTA(条幅!$B$11:$B$310)),""))))</f>
        <v/>
      </c>
      <c r="C708" s="38" t="str">
        <f>IF(IF(703&lt;=COUNTA(半紙!$B$11:$B$310),INDEX(半紙!$C$11:$C$310,703),IF(703&lt;=COUNTA(半紙!$B$11:$B$310)+COUNTA(条幅!$B$11:$B$310),INDEX(条幅!$C$11:$C$310,703-COUNTA(半紙!$B$11:$B$310)),IF(703&lt;=COUNTA(半紙!$B$11:$B$310)+COUNTA(条幅!$B$11:$B$310)+COUNTA(条幅4分の1!$B$11:$B$310),INDEX(条幅4分の1!$C$11:$C$310,703-COUNTA(半紙!$B$11:$B$310)-COUNTA(条幅!$B$11:$B$310)),"")))=0,"",IF(703&lt;=COUNTA(半紙!$B$11:$B$310),INDEX(半紙!$C$11:$C$310,703),IF(703&lt;=COUNTA(半紙!$B$11:$B$310)+COUNTA(条幅!$B$11:$B$310),INDEX(条幅!$C$11:$C$310,703-COUNTA(半紙!$B$11:$B$310)),IF(703&lt;=COUNTA(半紙!$B$11:$B$310)+COUNTA(条幅!$B$11:$B$310)+COUNTA(条幅4分の1!$B$11:$B$310),INDEX(条幅4分の1!$C$11:$C$310,703-COUNTA(半紙!$B$11:$B$310)-COUNTA(条幅!$B$11:$B$310)),""))))</f>
        <v/>
      </c>
      <c r="D708" s="38" t="str">
        <f>IF(IF(703&lt;=COUNTA(半紙!$B$11:$B$310),INDEX(半紙!$D$11:$D$310,703),IF(703&lt;=COUNTA(半紙!$B$11:$B$310)+COUNTA(条幅!$B$11:$B$310),INDEX(条幅!$D$11:$D$310,703-COUNTA(半紙!$B$11:$B$310)),IF(703&lt;=COUNTA(半紙!$B$11:$B$310)+COUNTA(条幅!$B$11:$B$310)+COUNTA(条幅4分の1!$B$11:$B$310),INDEX(条幅4分の1!$D$11:$D$310,703-COUNTA(半紙!$B$11:$B$310)-COUNTA(条幅!$B$11:$B$310)),"")))=0,"",IF(703&lt;=COUNTA(半紙!$B$11:$B$310),INDEX(半紙!$D$11:$D$310,703),IF(703&lt;=COUNTA(半紙!$B$11:$B$310)+COUNTA(条幅!$B$11:$B$310),INDEX(条幅!$D$11:$D$310,703-COUNTA(半紙!$B$11:$B$310)),IF(703&lt;=COUNTA(半紙!$B$11:$B$310)+COUNTA(条幅!$B$11:$B$310)+COUNTA(条幅4分の1!$B$11:$B$310),INDEX(条幅4分の1!$D$11:$D$310,703-COUNTA(半紙!$B$11:$B$310)-COUNTA(条幅!$B$11:$B$310)),""))))</f>
        <v/>
      </c>
      <c r="E708" s="38" t="str">
        <f>IF(IF(703&lt;=COUNTA(半紙!$B$11:$B$310),INDEX(半紙!$E$11:$E$310,703),IF(703&lt;=COUNTA(半紙!$B$11:$B$310)+COUNTA(条幅!$B$11:$B$310),INDEX(条幅!$E$11:$E$310,703-COUNTA(半紙!$B$11:$B$310)),IF(703&lt;=COUNTA(半紙!$B$11:$B$310)+COUNTA(条幅!$B$11:$B$310)+COUNTA(条幅4分の1!$B$11:$B$310),INDEX(条幅4分の1!$E$11:$E$310,703-COUNTA(半紙!$B$11:$B$310)-COUNTA(条幅!$B$11:$B$310)),"")))=0,"",IF(703&lt;=COUNTA(半紙!$B$11:$B$310),INDEX(半紙!$E$11:$E$310,703),IF(703&lt;=COUNTA(半紙!$B$11:$B$310)+COUNTA(条幅!$B$11:$B$310),INDEX(条幅!$E$11:$E$310,703-COUNTA(半紙!$B$11:$B$310)),IF(703&lt;=COUNTA(半紙!$B$11:$B$310)+COUNTA(条幅!$B$11:$B$310)+COUNTA(条幅4分の1!$B$11:$B$310),INDEX(条幅4分の1!$E$11:$E$310,703-COUNTA(半紙!$B$11:$B$310)-COUNTA(条幅!$B$11:$B$310)),""))))</f>
        <v/>
      </c>
      <c r="F708" s="38" t="str">
        <f>IF(IF(703&lt;=COUNTA(半紙!$B$11:$B$310),INDEX(半紙!$F$11:$F$310,703),IF(703&lt;=COUNTA(半紙!$B$11:$B$310)+COUNTA(条幅!$B$11:$B$310),INDEX(条幅!$F$11:$F$310,703-COUNTA(半紙!$B$11:$B$310)),IF(703&lt;=COUNTA(半紙!$B$11:$B$310)+COUNTA(条幅!$B$11:$B$310)+COUNTA(条幅4分の1!$B$11:$B$310),INDEX(条幅4分の1!$F$11:$F$310,703-COUNTA(半紙!$B$11:$B$310)-COUNTA(条幅!$B$11:$B$310)),"")))=0,"",IF(703&lt;=COUNTA(半紙!$B$11:$B$310),INDEX(半紙!$F$11:$F$310,703),IF(703&lt;=COUNTA(半紙!$B$11:$B$310)+COUNTA(条幅!$B$11:$B$310),INDEX(条幅!$F$11:$F$310,703-COUNTA(半紙!$B$11:$B$310)),IF(703&lt;=COUNTA(半紙!$B$11:$B$310)+COUNTA(条幅!$B$11:$B$310)+COUNTA(条幅4分の1!$B$11:$B$310),INDEX(条幅4分の1!$F$11:$F$310,703-COUNTA(半紙!$B$11:$B$310)-COUNTA(条幅!$B$11:$B$310)),""))))</f>
        <v/>
      </c>
      <c r="G708" s="38" t="str">
        <f>IF(IF(703&lt;=COUNTA(半紙!$B$11:$B$310),INDEX(半紙!$G$11:$G$310,703),IF(703&lt;=COUNTA(半紙!$B$11:$B$310)+COUNTA(条幅!$B$11:$B$310),INDEX(条幅!$G$11:$G$310,703-COUNTA(半紙!$B$11:$B$310)),IF(703&lt;=COUNTA(半紙!$B$11:$B$310)+COUNTA(条幅!$B$11:$B$310)+COUNTA(条幅4分の1!$B$11:$B$310),INDEX(条幅4分の1!$G$11:$G$310,703-COUNTA(半紙!$B$11:$B$310)-COUNTA(条幅!$B$11:$B$310)),"")))=0,"",IF(703&lt;=COUNTA(半紙!$B$11:$B$310),INDEX(半紙!$G$11:$G$310,703),IF(703&lt;=COUNTA(半紙!$B$11:$B$310)+COUNTA(条幅!$B$11:$B$310),INDEX(条幅!$G$11:$G$310,703-COUNTA(半紙!$B$11:$B$310)),IF(703&lt;=COUNTA(半紙!$B$11:$B$310)+COUNTA(条幅!$B$11:$B$310)+COUNTA(条幅4分の1!$B$11:$B$310),INDEX(条幅4分の1!$G$11:$G$310,703-COUNTA(半紙!$B$11:$B$310)-COUNTA(条幅!$B$11:$B$310)),""))))</f>
        <v/>
      </c>
      <c r="H708" s="38" t="str">
        <f>IF(IF(703&lt;=COUNTA(半紙!$B$11:$B$310),INDEX(半紙!$H$11:$H$310,703),IF(703&lt;=COUNTA(半紙!$B$11:$B$310)+COUNTA(条幅!$B$11:$B$310),INDEX(条幅!$H$11:$H$310,703-COUNTA(半紙!$B$11:$B$310)),IF(703&lt;=COUNTA(半紙!$B$11:$B$310)+COUNTA(条幅!$B$11:$B$310)+COUNTA(条幅4分の1!$B$11:$B$310),INDEX(条幅4分の1!$H$11:$H$310,703-COUNTA(半紙!$B$11:$B$310)-COUNTA(条幅!$B$11:$B$310)),"")))=0,"",IF(703&lt;=COUNTA(半紙!$B$11:$B$310),INDEX(半紙!$H$11:$H$310,703),IF(703&lt;=COUNTA(半紙!$B$11:$B$310)+COUNTA(条幅!$B$11:$B$310),INDEX(条幅!$H$11:$H$310,703-COUNTA(半紙!$B$11:$B$310)),IF(703&lt;=COUNTA(半紙!$B$11:$B$310)+COUNTA(条幅!$B$11:$B$310)+COUNTA(条幅4分の1!$B$11:$B$310),INDEX(条幅4分の1!$H$11:$H$310,703-COUNTA(半紙!$B$11:$B$310)-COUNTA(条幅!$B$11:$B$310)),""))))</f>
        <v/>
      </c>
      <c r="I708" s="38" t="str">
        <f>IF(IF(703&lt;=COUNTA(半紙!$B$11:$B$310),INDEX(半紙!$I$11:$I$310,703),IF(703&lt;=COUNTA(半紙!$B$11:$B$310)+COUNTA(条幅!$B$11:$B$310),INDEX(条幅!$I$11:$I$310,703-COUNTA(半紙!$B$11:$B$310)),IF(703&lt;=COUNTA(半紙!$B$11:$B$310)+COUNTA(条幅!$B$11:$B$310)+COUNTA(条幅4分の1!$B$11:$B$310),INDEX(条幅4分の1!$I$11:$I$310,703-COUNTA(半紙!$B$11:$B$310)-COUNTA(条幅!$B$11:$B$310)),"")))=0,"",IF(703&lt;=COUNTA(半紙!$B$11:$B$310),INDEX(半紙!$I$11:$I$310,703),IF(703&lt;=COUNTA(半紙!$B$11:$B$310)+COUNTA(条幅!$B$11:$B$310),INDEX(条幅!$I$11:$I$310,703-COUNTA(半紙!$B$11:$B$310)),IF(703&lt;=COUNTA(半紙!$B$11:$B$310)+COUNTA(条幅!$B$11:$B$310)+COUNTA(条幅4分の1!$B$11:$B$310),INDEX(条幅4分の1!$I$11:$I$310,703-COUNTA(半紙!$B$11:$B$310)-COUNTA(条幅!$B$11:$B$310)),""))))</f>
        <v/>
      </c>
      <c r="J708" s="38" t="str">
        <f>IF(IF(703&lt;=COUNTA(半紙!$B$11:$B$310),INDEX(半紙!$J$11:$J$310,703),IF(703&lt;=COUNTA(半紙!$B$11:$B$310)+COUNTA(条幅!$B$11:$B$310),INDEX(条幅!$J$11:$J$310,703-COUNTA(半紙!$B$11:$B$310)),IF(703&lt;=COUNTA(半紙!$B$11:$B$310)+COUNTA(条幅!$B$11:$B$310)+COUNTA(条幅4分の1!$B$11:$B$310),INDEX(条幅4分の1!$J$11:$J$310,703-COUNTA(半紙!$B$11:$B$310)-COUNTA(条幅!$B$11:$B$310)),"")))=0,"",IF(703&lt;=COUNTA(半紙!$B$11:$B$310),INDEX(半紙!$J$11:$J$310,703),IF(703&lt;=COUNTA(半紙!$B$11:$B$310)+COUNTA(条幅!$B$11:$B$310),INDEX(条幅!$J$11:$J$310,703-COUNTA(半紙!$B$11:$B$310)),IF(703&lt;=COUNTA(半紙!$B$11:$B$310)+COUNTA(条幅!$B$11:$B$310)+COUNTA(条幅4分の1!$B$11:$B$310),INDEX(条幅4分の1!$J$11:$J$310,703-COUNTA(半紙!$B$11:$B$310)-COUNTA(条幅!$B$11:$B$310)),""))))</f>
        <v/>
      </c>
      <c r="K708" s="38" t="str">
        <f>IF(IF(703&lt;=COUNTA(半紙!$B$11:$B$310),INDEX(半紙!$K$11:$K$310,703),IF(703&lt;=COUNTA(半紙!$B$11:$B$310)+COUNTA(条幅!$B$11:$B$310),INDEX(条幅!$K$11:$K$310,703-COUNTA(半紙!$B$11:$B$310)),IF(703&lt;=COUNTA(半紙!$B$11:$B$310)+COUNTA(条幅!$B$11:$B$310)+COUNTA(条幅4分の1!$B$11:$B$310),INDEX(条幅4分の1!$K$11:$K$310,703-COUNTA(半紙!$B$11:$B$310)-COUNTA(条幅!$B$11:$B$310)),"")))=0,"",IF(703&lt;=COUNTA(半紙!$B$11:$B$310),INDEX(半紙!$K$11:$K$310,703),IF(703&lt;=COUNTA(半紙!$B$11:$B$310)+COUNTA(条幅!$B$11:$B$310),INDEX(条幅!$K$11:$K$310,703-COUNTA(半紙!$B$11:$B$310)),IF(703&lt;=COUNTA(半紙!$B$11:$B$310)+COUNTA(条幅!$B$11:$B$310)+COUNTA(条幅4分の1!$B$11:$B$310),INDEX(条幅4分の1!$K$11:$K$310,703-COUNTA(半紙!$B$11:$B$310)-COUNTA(条幅!$B$11:$B$310)),""))))</f>
        <v/>
      </c>
      <c r="L708" s="48" t="str">
        <f>IF($B708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703))</f>
        <v/>
      </c>
    </row>
    <row r="709" spans="1:12" ht="15" customHeight="1">
      <c r="A709" s="37" t="str">
        <f>IF(704&lt;=COUNTA(半紙!$B$11:$B$310),"半紙",IF(704&lt;=COUNTA(半紙!$B$11:$B$310)+COUNTA(条幅!$B$11:$B$310),"条幅(半切)",IF(704&lt;=COUNTA(半紙!$B$11:$B$310)+COUNTA(条幅!$B$11:$B$310)+COUNTA(条幅4分の1!$B$11:$B$310),"条幅(1/4)","")))</f>
        <v/>
      </c>
      <c r="B709" s="38" t="str">
        <f>IF(IF(704&lt;=COUNTA(半紙!$B$11:$B$310),INDEX(半紙!$B$11:$B$310,704),IF(704&lt;=COUNTA(半紙!$B$11:$B$310)+COUNTA(条幅!$B$11:$B$310),INDEX(条幅!$B$11:$B$310,704-COUNTA(半紙!$B$11:$B$310)),IF(704&lt;=COUNTA(半紙!$B$11:$B$310)+COUNTA(条幅!$B$11:$B$310)+COUNTA(条幅4分の1!$B$11:$B$310),INDEX(条幅4分の1!$B$11:$B$310,704-COUNTA(半紙!$B$11:$B$310)-COUNTA(条幅!$B$11:$B$310)),"")))=0,"",IF(704&lt;=COUNTA(半紙!$B$11:$B$310),INDEX(半紙!$B$11:$B$310,704),IF(704&lt;=COUNTA(半紙!$B$11:$B$310)+COUNTA(条幅!$B$11:$B$310),INDEX(条幅!$B$11:$B$310,704-COUNTA(半紙!$B$11:$B$310)),IF(704&lt;=COUNTA(半紙!$B$11:$B$310)+COUNTA(条幅!$B$11:$B$310)+COUNTA(条幅4分の1!$B$11:$B$310),INDEX(条幅4分の1!$B$11:$B$310,704-COUNTA(半紙!$B$11:$B$310)-COUNTA(条幅!$B$11:$B$310)),""))))</f>
        <v/>
      </c>
      <c r="C709" s="38" t="str">
        <f>IF(IF(704&lt;=COUNTA(半紙!$B$11:$B$310),INDEX(半紙!$C$11:$C$310,704),IF(704&lt;=COUNTA(半紙!$B$11:$B$310)+COUNTA(条幅!$B$11:$B$310),INDEX(条幅!$C$11:$C$310,704-COUNTA(半紙!$B$11:$B$310)),IF(704&lt;=COUNTA(半紙!$B$11:$B$310)+COUNTA(条幅!$B$11:$B$310)+COUNTA(条幅4分の1!$B$11:$B$310),INDEX(条幅4分の1!$C$11:$C$310,704-COUNTA(半紙!$B$11:$B$310)-COUNTA(条幅!$B$11:$B$310)),"")))=0,"",IF(704&lt;=COUNTA(半紙!$B$11:$B$310),INDEX(半紙!$C$11:$C$310,704),IF(704&lt;=COUNTA(半紙!$B$11:$B$310)+COUNTA(条幅!$B$11:$B$310),INDEX(条幅!$C$11:$C$310,704-COUNTA(半紙!$B$11:$B$310)),IF(704&lt;=COUNTA(半紙!$B$11:$B$310)+COUNTA(条幅!$B$11:$B$310)+COUNTA(条幅4分の1!$B$11:$B$310),INDEX(条幅4分の1!$C$11:$C$310,704-COUNTA(半紙!$B$11:$B$310)-COUNTA(条幅!$B$11:$B$310)),""))))</f>
        <v/>
      </c>
      <c r="D709" s="38" t="str">
        <f>IF(IF(704&lt;=COUNTA(半紙!$B$11:$B$310),INDEX(半紙!$D$11:$D$310,704),IF(704&lt;=COUNTA(半紙!$B$11:$B$310)+COUNTA(条幅!$B$11:$B$310),INDEX(条幅!$D$11:$D$310,704-COUNTA(半紙!$B$11:$B$310)),IF(704&lt;=COUNTA(半紙!$B$11:$B$310)+COUNTA(条幅!$B$11:$B$310)+COUNTA(条幅4分の1!$B$11:$B$310),INDEX(条幅4分の1!$D$11:$D$310,704-COUNTA(半紙!$B$11:$B$310)-COUNTA(条幅!$B$11:$B$310)),"")))=0,"",IF(704&lt;=COUNTA(半紙!$B$11:$B$310),INDEX(半紙!$D$11:$D$310,704),IF(704&lt;=COUNTA(半紙!$B$11:$B$310)+COUNTA(条幅!$B$11:$B$310),INDEX(条幅!$D$11:$D$310,704-COUNTA(半紙!$B$11:$B$310)),IF(704&lt;=COUNTA(半紙!$B$11:$B$310)+COUNTA(条幅!$B$11:$B$310)+COUNTA(条幅4分の1!$B$11:$B$310),INDEX(条幅4分の1!$D$11:$D$310,704-COUNTA(半紙!$B$11:$B$310)-COUNTA(条幅!$B$11:$B$310)),""))))</f>
        <v/>
      </c>
      <c r="E709" s="38" t="str">
        <f>IF(IF(704&lt;=COUNTA(半紙!$B$11:$B$310),INDEX(半紙!$E$11:$E$310,704),IF(704&lt;=COUNTA(半紙!$B$11:$B$310)+COUNTA(条幅!$B$11:$B$310),INDEX(条幅!$E$11:$E$310,704-COUNTA(半紙!$B$11:$B$310)),IF(704&lt;=COUNTA(半紙!$B$11:$B$310)+COUNTA(条幅!$B$11:$B$310)+COUNTA(条幅4分の1!$B$11:$B$310),INDEX(条幅4分の1!$E$11:$E$310,704-COUNTA(半紙!$B$11:$B$310)-COUNTA(条幅!$B$11:$B$310)),"")))=0,"",IF(704&lt;=COUNTA(半紙!$B$11:$B$310),INDEX(半紙!$E$11:$E$310,704),IF(704&lt;=COUNTA(半紙!$B$11:$B$310)+COUNTA(条幅!$B$11:$B$310),INDEX(条幅!$E$11:$E$310,704-COUNTA(半紙!$B$11:$B$310)),IF(704&lt;=COUNTA(半紙!$B$11:$B$310)+COUNTA(条幅!$B$11:$B$310)+COUNTA(条幅4分の1!$B$11:$B$310),INDEX(条幅4分の1!$E$11:$E$310,704-COUNTA(半紙!$B$11:$B$310)-COUNTA(条幅!$B$11:$B$310)),""))))</f>
        <v/>
      </c>
      <c r="F709" s="38" t="str">
        <f>IF(IF(704&lt;=COUNTA(半紙!$B$11:$B$310),INDEX(半紙!$F$11:$F$310,704),IF(704&lt;=COUNTA(半紙!$B$11:$B$310)+COUNTA(条幅!$B$11:$B$310),INDEX(条幅!$F$11:$F$310,704-COUNTA(半紙!$B$11:$B$310)),IF(704&lt;=COUNTA(半紙!$B$11:$B$310)+COUNTA(条幅!$B$11:$B$310)+COUNTA(条幅4分の1!$B$11:$B$310),INDEX(条幅4分の1!$F$11:$F$310,704-COUNTA(半紙!$B$11:$B$310)-COUNTA(条幅!$B$11:$B$310)),"")))=0,"",IF(704&lt;=COUNTA(半紙!$B$11:$B$310),INDEX(半紙!$F$11:$F$310,704),IF(704&lt;=COUNTA(半紙!$B$11:$B$310)+COUNTA(条幅!$B$11:$B$310),INDEX(条幅!$F$11:$F$310,704-COUNTA(半紙!$B$11:$B$310)),IF(704&lt;=COUNTA(半紙!$B$11:$B$310)+COUNTA(条幅!$B$11:$B$310)+COUNTA(条幅4分の1!$B$11:$B$310),INDEX(条幅4分の1!$F$11:$F$310,704-COUNTA(半紙!$B$11:$B$310)-COUNTA(条幅!$B$11:$B$310)),""))))</f>
        <v/>
      </c>
      <c r="G709" s="38" t="str">
        <f>IF(IF(704&lt;=COUNTA(半紙!$B$11:$B$310),INDEX(半紙!$G$11:$G$310,704),IF(704&lt;=COUNTA(半紙!$B$11:$B$310)+COUNTA(条幅!$B$11:$B$310),INDEX(条幅!$G$11:$G$310,704-COUNTA(半紙!$B$11:$B$310)),IF(704&lt;=COUNTA(半紙!$B$11:$B$310)+COUNTA(条幅!$B$11:$B$310)+COUNTA(条幅4分の1!$B$11:$B$310),INDEX(条幅4分の1!$G$11:$G$310,704-COUNTA(半紙!$B$11:$B$310)-COUNTA(条幅!$B$11:$B$310)),"")))=0,"",IF(704&lt;=COUNTA(半紙!$B$11:$B$310),INDEX(半紙!$G$11:$G$310,704),IF(704&lt;=COUNTA(半紙!$B$11:$B$310)+COUNTA(条幅!$B$11:$B$310),INDEX(条幅!$G$11:$G$310,704-COUNTA(半紙!$B$11:$B$310)),IF(704&lt;=COUNTA(半紙!$B$11:$B$310)+COUNTA(条幅!$B$11:$B$310)+COUNTA(条幅4分の1!$B$11:$B$310),INDEX(条幅4分の1!$G$11:$G$310,704-COUNTA(半紙!$B$11:$B$310)-COUNTA(条幅!$B$11:$B$310)),""))))</f>
        <v/>
      </c>
      <c r="H709" s="38" t="str">
        <f>IF(IF(704&lt;=COUNTA(半紙!$B$11:$B$310),INDEX(半紙!$H$11:$H$310,704),IF(704&lt;=COUNTA(半紙!$B$11:$B$310)+COUNTA(条幅!$B$11:$B$310),INDEX(条幅!$H$11:$H$310,704-COUNTA(半紙!$B$11:$B$310)),IF(704&lt;=COUNTA(半紙!$B$11:$B$310)+COUNTA(条幅!$B$11:$B$310)+COUNTA(条幅4分の1!$B$11:$B$310),INDEX(条幅4分の1!$H$11:$H$310,704-COUNTA(半紙!$B$11:$B$310)-COUNTA(条幅!$B$11:$B$310)),"")))=0,"",IF(704&lt;=COUNTA(半紙!$B$11:$B$310),INDEX(半紙!$H$11:$H$310,704),IF(704&lt;=COUNTA(半紙!$B$11:$B$310)+COUNTA(条幅!$B$11:$B$310),INDEX(条幅!$H$11:$H$310,704-COUNTA(半紙!$B$11:$B$310)),IF(704&lt;=COUNTA(半紙!$B$11:$B$310)+COUNTA(条幅!$B$11:$B$310)+COUNTA(条幅4分の1!$B$11:$B$310),INDEX(条幅4分の1!$H$11:$H$310,704-COUNTA(半紙!$B$11:$B$310)-COUNTA(条幅!$B$11:$B$310)),""))))</f>
        <v/>
      </c>
      <c r="I709" s="38" t="str">
        <f>IF(IF(704&lt;=COUNTA(半紙!$B$11:$B$310),INDEX(半紙!$I$11:$I$310,704),IF(704&lt;=COUNTA(半紙!$B$11:$B$310)+COUNTA(条幅!$B$11:$B$310),INDEX(条幅!$I$11:$I$310,704-COUNTA(半紙!$B$11:$B$310)),IF(704&lt;=COUNTA(半紙!$B$11:$B$310)+COUNTA(条幅!$B$11:$B$310)+COUNTA(条幅4分の1!$B$11:$B$310),INDEX(条幅4分の1!$I$11:$I$310,704-COUNTA(半紙!$B$11:$B$310)-COUNTA(条幅!$B$11:$B$310)),"")))=0,"",IF(704&lt;=COUNTA(半紙!$B$11:$B$310),INDEX(半紙!$I$11:$I$310,704),IF(704&lt;=COUNTA(半紙!$B$11:$B$310)+COUNTA(条幅!$B$11:$B$310),INDEX(条幅!$I$11:$I$310,704-COUNTA(半紙!$B$11:$B$310)),IF(704&lt;=COUNTA(半紙!$B$11:$B$310)+COUNTA(条幅!$B$11:$B$310)+COUNTA(条幅4分の1!$B$11:$B$310),INDEX(条幅4分の1!$I$11:$I$310,704-COUNTA(半紙!$B$11:$B$310)-COUNTA(条幅!$B$11:$B$310)),""))))</f>
        <v/>
      </c>
      <c r="J709" s="38" t="str">
        <f>IF(IF(704&lt;=COUNTA(半紙!$B$11:$B$310),INDEX(半紙!$J$11:$J$310,704),IF(704&lt;=COUNTA(半紙!$B$11:$B$310)+COUNTA(条幅!$B$11:$B$310),INDEX(条幅!$J$11:$J$310,704-COUNTA(半紙!$B$11:$B$310)),IF(704&lt;=COUNTA(半紙!$B$11:$B$310)+COUNTA(条幅!$B$11:$B$310)+COUNTA(条幅4分の1!$B$11:$B$310),INDEX(条幅4分の1!$J$11:$J$310,704-COUNTA(半紙!$B$11:$B$310)-COUNTA(条幅!$B$11:$B$310)),"")))=0,"",IF(704&lt;=COUNTA(半紙!$B$11:$B$310),INDEX(半紙!$J$11:$J$310,704),IF(704&lt;=COUNTA(半紙!$B$11:$B$310)+COUNTA(条幅!$B$11:$B$310),INDEX(条幅!$J$11:$J$310,704-COUNTA(半紙!$B$11:$B$310)),IF(704&lt;=COUNTA(半紙!$B$11:$B$310)+COUNTA(条幅!$B$11:$B$310)+COUNTA(条幅4分の1!$B$11:$B$310),INDEX(条幅4分の1!$J$11:$J$310,704-COUNTA(半紙!$B$11:$B$310)-COUNTA(条幅!$B$11:$B$310)),""))))</f>
        <v/>
      </c>
      <c r="K709" s="38" t="str">
        <f>IF(IF(704&lt;=COUNTA(半紙!$B$11:$B$310),INDEX(半紙!$K$11:$K$310,704),IF(704&lt;=COUNTA(半紙!$B$11:$B$310)+COUNTA(条幅!$B$11:$B$310),INDEX(条幅!$K$11:$K$310,704-COUNTA(半紙!$B$11:$B$310)),IF(704&lt;=COUNTA(半紙!$B$11:$B$310)+COUNTA(条幅!$B$11:$B$310)+COUNTA(条幅4分の1!$B$11:$B$310),INDEX(条幅4分の1!$K$11:$K$310,704-COUNTA(半紙!$B$11:$B$310)-COUNTA(条幅!$B$11:$B$310)),"")))=0,"",IF(704&lt;=COUNTA(半紙!$B$11:$B$310),INDEX(半紙!$K$11:$K$310,704),IF(704&lt;=COUNTA(半紙!$B$11:$B$310)+COUNTA(条幅!$B$11:$B$310),INDEX(条幅!$K$11:$K$310,704-COUNTA(半紙!$B$11:$B$310)),IF(704&lt;=COUNTA(半紙!$B$11:$B$310)+COUNTA(条幅!$B$11:$B$310)+COUNTA(条幅4分の1!$B$11:$B$310),INDEX(条幅4分の1!$K$11:$K$310,704-COUNTA(半紙!$B$11:$B$310)-COUNTA(条幅!$B$11:$B$310)),""))))</f>
        <v/>
      </c>
      <c r="L709" s="48" t="str">
        <f>IF($B709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704))</f>
        <v/>
      </c>
    </row>
    <row r="710" spans="1:12" ht="15" customHeight="1">
      <c r="A710" s="37" t="str">
        <f>IF(705&lt;=COUNTA(半紙!$B$11:$B$310),"半紙",IF(705&lt;=COUNTA(半紙!$B$11:$B$310)+COUNTA(条幅!$B$11:$B$310),"条幅(半切)",IF(705&lt;=COUNTA(半紙!$B$11:$B$310)+COUNTA(条幅!$B$11:$B$310)+COUNTA(条幅4分の1!$B$11:$B$310),"条幅(1/4)","")))</f>
        <v/>
      </c>
      <c r="B710" s="38" t="str">
        <f>IF(IF(705&lt;=COUNTA(半紙!$B$11:$B$310),INDEX(半紙!$B$11:$B$310,705),IF(705&lt;=COUNTA(半紙!$B$11:$B$310)+COUNTA(条幅!$B$11:$B$310),INDEX(条幅!$B$11:$B$310,705-COUNTA(半紙!$B$11:$B$310)),IF(705&lt;=COUNTA(半紙!$B$11:$B$310)+COUNTA(条幅!$B$11:$B$310)+COUNTA(条幅4分の1!$B$11:$B$310),INDEX(条幅4分の1!$B$11:$B$310,705-COUNTA(半紙!$B$11:$B$310)-COUNTA(条幅!$B$11:$B$310)),"")))=0,"",IF(705&lt;=COUNTA(半紙!$B$11:$B$310),INDEX(半紙!$B$11:$B$310,705),IF(705&lt;=COUNTA(半紙!$B$11:$B$310)+COUNTA(条幅!$B$11:$B$310),INDEX(条幅!$B$11:$B$310,705-COUNTA(半紙!$B$11:$B$310)),IF(705&lt;=COUNTA(半紙!$B$11:$B$310)+COUNTA(条幅!$B$11:$B$310)+COUNTA(条幅4分の1!$B$11:$B$310),INDEX(条幅4分の1!$B$11:$B$310,705-COUNTA(半紙!$B$11:$B$310)-COUNTA(条幅!$B$11:$B$310)),""))))</f>
        <v/>
      </c>
      <c r="C710" s="38" t="str">
        <f>IF(IF(705&lt;=COUNTA(半紙!$B$11:$B$310),INDEX(半紙!$C$11:$C$310,705),IF(705&lt;=COUNTA(半紙!$B$11:$B$310)+COUNTA(条幅!$B$11:$B$310),INDEX(条幅!$C$11:$C$310,705-COUNTA(半紙!$B$11:$B$310)),IF(705&lt;=COUNTA(半紙!$B$11:$B$310)+COUNTA(条幅!$B$11:$B$310)+COUNTA(条幅4分の1!$B$11:$B$310),INDEX(条幅4分の1!$C$11:$C$310,705-COUNTA(半紙!$B$11:$B$310)-COUNTA(条幅!$B$11:$B$310)),"")))=0,"",IF(705&lt;=COUNTA(半紙!$B$11:$B$310),INDEX(半紙!$C$11:$C$310,705),IF(705&lt;=COUNTA(半紙!$B$11:$B$310)+COUNTA(条幅!$B$11:$B$310),INDEX(条幅!$C$11:$C$310,705-COUNTA(半紙!$B$11:$B$310)),IF(705&lt;=COUNTA(半紙!$B$11:$B$310)+COUNTA(条幅!$B$11:$B$310)+COUNTA(条幅4分の1!$B$11:$B$310),INDEX(条幅4分の1!$C$11:$C$310,705-COUNTA(半紙!$B$11:$B$310)-COUNTA(条幅!$B$11:$B$310)),""))))</f>
        <v/>
      </c>
      <c r="D710" s="38" t="str">
        <f>IF(IF(705&lt;=COUNTA(半紙!$B$11:$B$310),INDEX(半紙!$D$11:$D$310,705),IF(705&lt;=COUNTA(半紙!$B$11:$B$310)+COUNTA(条幅!$B$11:$B$310),INDEX(条幅!$D$11:$D$310,705-COUNTA(半紙!$B$11:$B$310)),IF(705&lt;=COUNTA(半紙!$B$11:$B$310)+COUNTA(条幅!$B$11:$B$310)+COUNTA(条幅4分の1!$B$11:$B$310),INDEX(条幅4分の1!$D$11:$D$310,705-COUNTA(半紙!$B$11:$B$310)-COUNTA(条幅!$B$11:$B$310)),"")))=0,"",IF(705&lt;=COUNTA(半紙!$B$11:$B$310),INDEX(半紙!$D$11:$D$310,705),IF(705&lt;=COUNTA(半紙!$B$11:$B$310)+COUNTA(条幅!$B$11:$B$310),INDEX(条幅!$D$11:$D$310,705-COUNTA(半紙!$B$11:$B$310)),IF(705&lt;=COUNTA(半紙!$B$11:$B$310)+COUNTA(条幅!$B$11:$B$310)+COUNTA(条幅4分の1!$B$11:$B$310),INDEX(条幅4分の1!$D$11:$D$310,705-COUNTA(半紙!$B$11:$B$310)-COUNTA(条幅!$B$11:$B$310)),""))))</f>
        <v/>
      </c>
      <c r="E710" s="38" t="str">
        <f>IF(IF(705&lt;=COUNTA(半紙!$B$11:$B$310),INDEX(半紙!$E$11:$E$310,705),IF(705&lt;=COUNTA(半紙!$B$11:$B$310)+COUNTA(条幅!$B$11:$B$310),INDEX(条幅!$E$11:$E$310,705-COUNTA(半紙!$B$11:$B$310)),IF(705&lt;=COUNTA(半紙!$B$11:$B$310)+COUNTA(条幅!$B$11:$B$310)+COUNTA(条幅4分の1!$B$11:$B$310),INDEX(条幅4分の1!$E$11:$E$310,705-COUNTA(半紙!$B$11:$B$310)-COUNTA(条幅!$B$11:$B$310)),"")))=0,"",IF(705&lt;=COUNTA(半紙!$B$11:$B$310),INDEX(半紙!$E$11:$E$310,705),IF(705&lt;=COUNTA(半紙!$B$11:$B$310)+COUNTA(条幅!$B$11:$B$310),INDEX(条幅!$E$11:$E$310,705-COUNTA(半紙!$B$11:$B$310)),IF(705&lt;=COUNTA(半紙!$B$11:$B$310)+COUNTA(条幅!$B$11:$B$310)+COUNTA(条幅4分の1!$B$11:$B$310),INDEX(条幅4分の1!$E$11:$E$310,705-COUNTA(半紙!$B$11:$B$310)-COUNTA(条幅!$B$11:$B$310)),""))))</f>
        <v/>
      </c>
      <c r="F710" s="38" t="str">
        <f>IF(IF(705&lt;=COUNTA(半紙!$B$11:$B$310),INDEX(半紙!$F$11:$F$310,705),IF(705&lt;=COUNTA(半紙!$B$11:$B$310)+COUNTA(条幅!$B$11:$B$310),INDEX(条幅!$F$11:$F$310,705-COUNTA(半紙!$B$11:$B$310)),IF(705&lt;=COUNTA(半紙!$B$11:$B$310)+COUNTA(条幅!$B$11:$B$310)+COUNTA(条幅4分の1!$B$11:$B$310),INDEX(条幅4分の1!$F$11:$F$310,705-COUNTA(半紙!$B$11:$B$310)-COUNTA(条幅!$B$11:$B$310)),"")))=0,"",IF(705&lt;=COUNTA(半紙!$B$11:$B$310),INDEX(半紙!$F$11:$F$310,705),IF(705&lt;=COUNTA(半紙!$B$11:$B$310)+COUNTA(条幅!$B$11:$B$310),INDEX(条幅!$F$11:$F$310,705-COUNTA(半紙!$B$11:$B$310)),IF(705&lt;=COUNTA(半紙!$B$11:$B$310)+COUNTA(条幅!$B$11:$B$310)+COUNTA(条幅4分の1!$B$11:$B$310),INDEX(条幅4分の1!$F$11:$F$310,705-COUNTA(半紙!$B$11:$B$310)-COUNTA(条幅!$B$11:$B$310)),""))))</f>
        <v/>
      </c>
      <c r="G710" s="38" t="str">
        <f>IF(IF(705&lt;=COUNTA(半紙!$B$11:$B$310),INDEX(半紙!$G$11:$G$310,705),IF(705&lt;=COUNTA(半紙!$B$11:$B$310)+COUNTA(条幅!$B$11:$B$310),INDEX(条幅!$G$11:$G$310,705-COUNTA(半紙!$B$11:$B$310)),IF(705&lt;=COUNTA(半紙!$B$11:$B$310)+COUNTA(条幅!$B$11:$B$310)+COUNTA(条幅4分の1!$B$11:$B$310),INDEX(条幅4分の1!$G$11:$G$310,705-COUNTA(半紙!$B$11:$B$310)-COUNTA(条幅!$B$11:$B$310)),"")))=0,"",IF(705&lt;=COUNTA(半紙!$B$11:$B$310),INDEX(半紙!$G$11:$G$310,705),IF(705&lt;=COUNTA(半紙!$B$11:$B$310)+COUNTA(条幅!$B$11:$B$310),INDEX(条幅!$G$11:$G$310,705-COUNTA(半紙!$B$11:$B$310)),IF(705&lt;=COUNTA(半紙!$B$11:$B$310)+COUNTA(条幅!$B$11:$B$310)+COUNTA(条幅4分の1!$B$11:$B$310),INDEX(条幅4分の1!$G$11:$G$310,705-COUNTA(半紙!$B$11:$B$310)-COUNTA(条幅!$B$11:$B$310)),""))))</f>
        <v/>
      </c>
      <c r="H710" s="38" t="str">
        <f>IF(IF(705&lt;=COUNTA(半紙!$B$11:$B$310),INDEX(半紙!$H$11:$H$310,705),IF(705&lt;=COUNTA(半紙!$B$11:$B$310)+COUNTA(条幅!$B$11:$B$310),INDEX(条幅!$H$11:$H$310,705-COUNTA(半紙!$B$11:$B$310)),IF(705&lt;=COUNTA(半紙!$B$11:$B$310)+COUNTA(条幅!$B$11:$B$310)+COUNTA(条幅4分の1!$B$11:$B$310),INDEX(条幅4分の1!$H$11:$H$310,705-COUNTA(半紙!$B$11:$B$310)-COUNTA(条幅!$B$11:$B$310)),"")))=0,"",IF(705&lt;=COUNTA(半紙!$B$11:$B$310),INDEX(半紙!$H$11:$H$310,705),IF(705&lt;=COUNTA(半紙!$B$11:$B$310)+COUNTA(条幅!$B$11:$B$310),INDEX(条幅!$H$11:$H$310,705-COUNTA(半紙!$B$11:$B$310)),IF(705&lt;=COUNTA(半紙!$B$11:$B$310)+COUNTA(条幅!$B$11:$B$310)+COUNTA(条幅4分の1!$B$11:$B$310),INDEX(条幅4分の1!$H$11:$H$310,705-COUNTA(半紙!$B$11:$B$310)-COUNTA(条幅!$B$11:$B$310)),""))))</f>
        <v/>
      </c>
      <c r="I710" s="38" t="str">
        <f>IF(IF(705&lt;=COUNTA(半紙!$B$11:$B$310),INDEX(半紙!$I$11:$I$310,705),IF(705&lt;=COUNTA(半紙!$B$11:$B$310)+COUNTA(条幅!$B$11:$B$310),INDEX(条幅!$I$11:$I$310,705-COUNTA(半紙!$B$11:$B$310)),IF(705&lt;=COUNTA(半紙!$B$11:$B$310)+COUNTA(条幅!$B$11:$B$310)+COUNTA(条幅4分の1!$B$11:$B$310),INDEX(条幅4分の1!$I$11:$I$310,705-COUNTA(半紙!$B$11:$B$310)-COUNTA(条幅!$B$11:$B$310)),"")))=0,"",IF(705&lt;=COUNTA(半紙!$B$11:$B$310),INDEX(半紙!$I$11:$I$310,705),IF(705&lt;=COUNTA(半紙!$B$11:$B$310)+COUNTA(条幅!$B$11:$B$310),INDEX(条幅!$I$11:$I$310,705-COUNTA(半紙!$B$11:$B$310)),IF(705&lt;=COUNTA(半紙!$B$11:$B$310)+COUNTA(条幅!$B$11:$B$310)+COUNTA(条幅4分の1!$B$11:$B$310),INDEX(条幅4分の1!$I$11:$I$310,705-COUNTA(半紙!$B$11:$B$310)-COUNTA(条幅!$B$11:$B$310)),""))))</f>
        <v/>
      </c>
      <c r="J710" s="38" t="str">
        <f>IF(IF(705&lt;=COUNTA(半紙!$B$11:$B$310),INDEX(半紙!$J$11:$J$310,705),IF(705&lt;=COUNTA(半紙!$B$11:$B$310)+COUNTA(条幅!$B$11:$B$310),INDEX(条幅!$J$11:$J$310,705-COUNTA(半紙!$B$11:$B$310)),IF(705&lt;=COUNTA(半紙!$B$11:$B$310)+COUNTA(条幅!$B$11:$B$310)+COUNTA(条幅4分の1!$B$11:$B$310),INDEX(条幅4分の1!$J$11:$J$310,705-COUNTA(半紙!$B$11:$B$310)-COUNTA(条幅!$B$11:$B$310)),"")))=0,"",IF(705&lt;=COUNTA(半紙!$B$11:$B$310),INDEX(半紙!$J$11:$J$310,705),IF(705&lt;=COUNTA(半紙!$B$11:$B$310)+COUNTA(条幅!$B$11:$B$310),INDEX(条幅!$J$11:$J$310,705-COUNTA(半紙!$B$11:$B$310)),IF(705&lt;=COUNTA(半紙!$B$11:$B$310)+COUNTA(条幅!$B$11:$B$310)+COUNTA(条幅4分の1!$B$11:$B$310),INDEX(条幅4分の1!$J$11:$J$310,705-COUNTA(半紙!$B$11:$B$310)-COUNTA(条幅!$B$11:$B$310)),""))))</f>
        <v/>
      </c>
      <c r="K710" s="38" t="str">
        <f>IF(IF(705&lt;=COUNTA(半紙!$B$11:$B$310),INDEX(半紙!$K$11:$K$310,705),IF(705&lt;=COUNTA(半紙!$B$11:$B$310)+COUNTA(条幅!$B$11:$B$310),INDEX(条幅!$K$11:$K$310,705-COUNTA(半紙!$B$11:$B$310)),IF(705&lt;=COUNTA(半紙!$B$11:$B$310)+COUNTA(条幅!$B$11:$B$310)+COUNTA(条幅4分の1!$B$11:$B$310),INDEX(条幅4分の1!$K$11:$K$310,705-COUNTA(半紙!$B$11:$B$310)-COUNTA(条幅!$B$11:$B$310)),"")))=0,"",IF(705&lt;=COUNTA(半紙!$B$11:$B$310),INDEX(半紙!$K$11:$K$310,705),IF(705&lt;=COUNTA(半紙!$B$11:$B$310)+COUNTA(条幅!$B$11:$B$310),INDEX(条幅!$K$11:$K$310,705-COUNTA(半紙!$B$11:$B$310)),IF(705&lt;=COUNTA(半紙!$B$11:$B$310)+COUNTA(条幅!$B$11:$B$310)+COUNTA(条幅4分の1!$B$11:$B$310),INDEX(条幅4分の1!$K$11:$K$310,705-COUNTA(半紙!$B$11:$B$310)-COUNTA(条幅!$B$11:$B$310)),""))))</f>
        <v/>
      </c>
      <c r="L710" s="48" t="str">
        <f>IF($B710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705))</f>
        <v/>
      </c>
    </row>
    <row r="711" spans="1:12" ht="15" customHeight="1">
      <c r="A711" s="37" t="str">
        <f>IF(706&lt;=COUNTA(半紙!$B$11:$B$310),"半紙",IF(706&lt;=COUNTA(半紙!$B$11:$B$310)+COUNTA(条幅!$B$11:$B$310),"条幅(半切)",IF(706&lt;=COUNTA(半紙!$B$11:$B$310)+COUNTA(条幅!$B$11:$B$310)+COUNTA(条幅4分の1!$B$11:$B$310),"条幅(1/4)","")))</f>
        <v/>
      </c>
      <c r="B711" s="38" t="str">
        <f>IF(IF(706&lt;=COUNTA(半紙!$B$11:$B$310),INDEX(半紙!$B$11:$B$310,706),IF(706&lt;=COUNTA(半紙!$B$11:$B$310)+COUNTA(条幅!$B$11:$B$310),INDEX(条幅!$B$11:$B$310,706-COUNTA(半紙!$B$11:$B$310)),IF(706&lt;=COUNTA(半紙!$B$11:$B$310)+COUNTA(条幅!$B$11:$B$310)+COUNTA(条幅4分の1!$B$11:$B$310),INDEX(条幅4分の1!$B$11:$B$310,706-COUNTA(半紙!$B$11:$B$310)-COUNTA(条幅!$B$11:$B$310)),"")))=0,"",IF(706&lt;=COUNTA(半紙!$B$11:$B$310),INDEX(半紙!$B$11:$B$310,706),IF(706&lt;=COUNTA(半紙!$B$11:$B$310)+COUNTA(条幅!$B$11:$B$310),INDEX(条幅!$B$11:$B$310,706-COUNTA(半紙!$B$11:$B$310)),IF(706&lt;=COUNTA(半紙!$B$11:$B$310)+COUNTA(条幅!$B$11:$B$310)+COUNTA(条幅4分の1!$B$11:$B$310),INDEX(条幅4分の1!$B$11:$B$310,706-COUNTA(半紙!$B$11:$B$310)-COUNTA(条幅!$B$11:$B$310)),""))))</f>
        <v/>
      </c>
      <c r="C711" s="38" t="str">
        <f>IF(IF(706&lt;=COUNTA(半紙!$B$11:$B$310),INDEX(半紙!$C$11:$C$310,706),IF(706&lt;=COUNTA(半紙!$B$11:$B$310)+COUNTA(条幅!$B$11:$B$310),INDEX(条幅!$C$11:$C$310,706-COUNTA(半紙!$B$11:$B$310)),IF(706&lt;=COUNTA(半紙!$B$11:$B$310)+COUNTA(条幅!$B$11:$B$310)+COUNTA(条幅4分の1!$B$11:$B$310),INDEX(条幅4分の1!$C$11:$C$310,706-COUNTA(半紙!$B$11:$B$310)-COUNTA(条幅!$B$11:$B$310)),"")))=0,"",IF(706&lt;=COUNTA(半紙!$B$11:$B$310),INDEX(半紙!$C$11:$C$310,706),IF(706&lt;=COUNTA(半紙!$B$11:$B$310)+COUNTA(条幅!$B$11:$B$310),INDEX(条幅!$C$11:$C$310,706-COUNTA(半紙!$B$11:$B$310)),IF(706&lt;=COUNTA(半紙!$B$11:$B$310)+COUNTA(条幅!$B$11:$B$310)+COUNTA(条幅4分の1!$B$11:$B$310),INDEX(条幅4分の1!$C$11:$C$310,706-COUNTA(半紙!$B$11:$B$310)-COUNTA(条幅!$B$11:$B$310)),""))))</f>
        <v/>
      </c>
      <c r="D711" s="38" t="str">
        <f>IF(IF(706&lt;=COUNTA(半紙!$B$11:$B$310),INDEX(半紙!$D$11:$D$310,706),IF(706&lt;=COUNTA(半紙!$B$11:$B$310)+COUNTA(条幅!$B$11:$B$310),INDEX(条幅!$D$11:$D$310,706-COUNTA(半紙!$B$11:$B$310)),IF(706&lt;=COUNTA(半紙!$B$11:$B$310)+COUNTA(条幅!$B$11:$B$310)+COUNTA(条幅4分の1!$B$11:$B$310),INDEX(条幅4分の1!$D$11:$D$310,706-COUNTA(半紙!$B$11:$B$310)-COUNTA(条幅!$B$11:$B$310)),"")))=0,"",IF(706&lt;=COUNTA(半紙!$B$11:$B$310),INDEX(半紙!$D$11:$D$310,706),IF(706&lt;=COUNTA(半紙!$B$11:$B$310)+COUNTA(条幅!$B$11:$B$310),INDEX(条幅!$D$11:$D$310,706-COUNTA(半紙!$B$11:$B$310)),IF(706&lt;=COUNTA(半紙!$B$11:$B$310)+COUNTA(条幅!$B$11:$B$310)+COUNTA(条幅4分の1!$B$11:$B$310),INDEX(条幅4分の1!$D$11:$D$310,706-COUNTA(半紙!$B$11:$B$310)-COUNTA(条幅!$B$11:$B$310)),""))))</f>
        <v/>
      </c>
      <c r="E711" s="38" t="str">
        <f>IF(IF(706&lt;=COUNTA(半紙!$B$11:$B$310),INDEX(半紙!$E$11:$E$310,706),IF(706&lt;=COUNTA(半紙!$B$11:$B$310)+COUNTA(条幅!$B$11:$B$310),INDEX(条幅!$E$11:$E$310,706-COUNTA(半紙!$B$11:$B$310)),IF(706&lt;=COUNTA(半紙!$B$11:$B$310)+COUNTA(条幅!$B$11:$B$310)+COUNTA(条幅4分の1!$B$11:$B$310),INDEX(条幅4分の1!$E$11:$E$310,706-COUNTA(半紙!$B$11:$B$310)-COUNTA(条幅!$B$11:$B$310)),"")))=0,"",IF(706&lt;=COUNTA(半紙!$B$11:$B$310),INDEX(半紙!$E$11:$E$310,706),IF(706&lt;=COUNTA(半紙!$B$11:$B$310)+COUNTA(条幅!$B$11:$B$310),INDEX(条幅!$E$11:$E$310,706-COUNTA(半紙!$B$11:$B$310)),IF(706&lt;=COUNTA(半紙!$B$11:$B$310)+COUNTA(条幅!$B$11:$B$310)+COUNTA(条幅4分の1!$B$11:$B$310),INDEX(条幅4分の1!$E$11:$E$310,706-COUNTA(半紙!$B$11:$B$310)-COUNTA(条幅!$B$11:$B$310)),""))))</f>
        <v/>
      </c>
      <c r="F711" s="38" t="str">
        <f>IF(IF(706&lt;=COUNTA(半紙!$B$11:$B$310),INDEX(半紙!$F$11:$F$310,706),IF(706&lt;=COUNTA(半紙!$B$11:$B$310)+COUNTA(条幅!$B$11:$B$310),INDEX(条幅!$F$11:$F$310,706-COUNTA(半紙!$B$11:$B$310)),IF(706&lt;=COUNTA(半紙!$B$11:$B$310)+COUNTA(条幅!$B$11:$B$310)+COUNTA(条幅4分の1!$B$11:$B$310),INDEX(条幅4分の1!$F$11:$F$310,706-COUNTA(半紙!$B$11:$B$310)-COUNTA(条幅!$B$11:$B$310)),"")))=0,"",IF(706&lt;=COUNTA(半紙!$B$11:$B$310),INDEX(半紙!$F$11:$F$310,706),IF(706&lt;=COUNTA(半紙!$B$11:$B$310)+COUNTA(条幅!$B$11:$B$310),INDEX(条幅!$F$11:$F$310,706-COUNTA(半紙!$B$11:$B$310)),IF(706&lt;=COUNTA(半紙!$B$11:$B$310)+COUNTA(条幅!$B$11:$B$310)+COUNTA(条幅4分の1!$B$11:$B$310),INDEX(条幅4分の1!$F$11:$F$310,706-COUNTA(半紙!$B$11:$B$310)-COUNTA(条幅!$B$11:$B$310)),""))))</f>
        <v/>
      </c>
      <c r="G711" s="38" t="str">
        <f>IF(IF(706&lt;=COUNTA(半紙!$B$11:$B$310),INDEX(半紙!$G$11:$G$310,706),IF(706&lt;=COUNTA(半紙!$B$11:$B$310)+COUNTA(条幅!$B$11:$B$310),INDEX(条幅!$G$11:$G$310,706-COUNTA(半紙!$B$11:$B$310)),IF(706&lt;=COUNTA(半紙!$B$11:$B$310)+COUNTA(条幅!$B$11:$B$310)+COUNTA(条幅4分の1!$B$11:$B$310),INDEX(条幅4分の1!$G$11:$G$310,706-COUNTA(半紙!$B$11:$B$310)-COUNTA(条幅!$B$11:$B$310)),"")))=0,"",IF(706&lt;=COUNTA(半紙!$B$11:$B$310),INDEX(半紙!$G$11:$G$310,706),IF(706&lt;=COUNTA(半紙!$B$11:$B$310)+COUNTA(条幅!$B$11:$B$310),INDEX(条幅!$G$11:$G$310,706-COUNTA(半紙!$B$11:$B$310)),IF(706&lt;=COUNTA(半紙!$B$11:$B$310)+COUNTA(条幅!$B$11:$B$310)+COUNTA(条幅4分の1!$B$11:$B$310),INDEX(条幅4分の1!$G$11:$G$310,706-COUNTA(半紙!$B$11:$B$310)-COUNTA(条幅!$B$11:$B$310)),""))))</f>
        <v/>
      </c>
      <c r="H711" s="38" t="str">
        <f>IF(IF(706&lt;=COUNTA(半紙!$B$11:$B$310),INDEX(半紙!$H$11:$H$310,706),IF(706&lt;=COUNTA(半紙!$B$11:$B$310)+COUNTA(条幅!$B$11:$B$310),INDEX(条幅!$H$11:$H$310,706-COUNTA(半紙!$B$11:$B$310)),IF(706&lt;=COUNTA(半紙!$B$11:$B$310)+COUNTA(条幅!$B$11:$B$310)+COUNTA(条幅4分の1!$B$11:$B$310),INDEX(条幅4分の1!$H$11:$H$310,706-COUNTA(半紙!$B$11:$B$310)-COUNTA(条幅!$B$11:$B$310)),"")))=0,"",IF(706&lt;=COUNTA(半紙!$B$11:$B$310),INDEX(半紙!$H$11:$H$310,706),IF(706&lt;=COUNTA(半紙!$B$11:$B$310)+COUNTA(条幅!$B$11:$B$310),INDEX(条幅!$H$11:$H$310,706-COUNTA(半紙!$B$11:$B$310)),IF(706&lt;=COUNTA(半紙!$B$11:$B$310)+COUNTA(条幅!$B$11:$B$310)+COUNTA(条幅4分の1!$B$11:$B$310),INDEX(条幅4分の1!$H$11:$H$310,706-COUNTA(半紙!$B$11:$B$310)-COUNTA(条幅!$B$11:$B$310)),""))))</f>
        <v/>
      </c>
      <c r="I711" s="38" t="str">
        <f>IF(IF(706&lt;=COUNTA(半紙!$B$11:$B$310),INDEX(半紙!$I$11:$I$310,706),IF(706&lt;=COUNTA(半紙!$B$11:$B$310)+COUNTA(条幅!$B$11:$B$310),INDEX(条幅!$I$11:$I$310,706-COUNTA(半紙!$B$11:$B$310)),IF(706&lt;=COUNTA(半紙!$B$11:$B$310)+COUNTA(条幅!$B$11:$B$310)+COUNTA(条幅4分の1!$B$11:$B$310),INDEX(条幅4分の1!$I$11:$I$310,706-COUNTA(半紙!$B$11:$B$310)-COUNTA(条幅!$B$11:$B$310)),"")))=0,"",IF(706&lt;=COUNTA(半紙!$B$11:$B$310),INDEX(半紙!$I$11:$I$310,706),IF(706&lt;=COUNTA(半紙!$B$11:$B$310)+COUNTA(条幅!$B$11:$B$310),INDEX(条幅!$I$11:$I$310,706-COUNTA(半紙!$B$11:$B$310)),IF(706&lt;=COUNTA(半紙!$B$11:$B$310)+COUNTA(条幅!$B$11:$B$310)+COUNTA(条幅4分の1!$B$11:$B$310),INDEX(条幅4分の1!$I$11:$I$310,706-COUNTA(半紙!$B$11:$B$310)-COUNTA(条幅!$B$11:$B$310)),""))))</f>
        <v/>
      </c>
      <c r="J711" s="38" t="str">
        <f>IF(IF(706&lt;=COUNTA(半紙!$B$11:$B$310),INDEX(半紙!$J$11:$J$310,706),IF(706&lt;=COUNTA(半紙!$B$11:$B$310)+COUNTA(条幅!$B$11:$B$310),INDEX(条幅!$J$11:$J$310,706-COUNTA(半紙!$B$11:$B$310)),IF(706&lt;=COUNTA(半紙!$B$11:$B$310)+COUNTA(条幅!$B$11:$B$310)+COUNTA(条幅4分の1!$B$11:$B$310),INDEX(条幅4分の1!$J$11:$J$310,706-COUNTA(半紙!$B$11:$B$310)-COUNTA(条幅!$B$11:$B$310)),"")))=0,"",IF(706&lt;=COUNTA(半紙!$B$11:$B$310),INDEX(半紙!$J$11:$J$310,706),IF(706&lt;=COUNTA(半紙!$B$11:$B$310)+COUNTA(条幅!$B$11:$B$310),INDEX(条幅!$J$11:$J$310,706-COUNTA(半紙!$B$11:$B$310)),IF(706&lt;=COUNTA(半紙!$B$11:$B$310)+COUNTA(条幅!$B$11:$B$310)+COUNTA(条幅4分の1!$B$11:$B$310),INDEX(条幅4分の1!$J$11:$J$310,706-COUNTA(半紙!$B$11:$B$310)-COUNTA(条幅!$B$11:$B$310)),""))))</f>
        <v/>
      </c>
      <c r="K711" s="38" t="str">
        <f>IF(IF(706&lt;=COUNTA(半紙!$B$11:$B$310),INDEX(半紙!$K$11:$K$310,706),IF(706&lt;=COUNTA(半紙!$B$11:$B$310)+COUNTA(条幅!$B$11:$B$310),INDEX(条幅!$K$11:$K$310,706-COUNTA(半紙!$B$11:$B$310)),IF(706&lt;=COUNTA(半紙!$B$11:$B$310)+COUNTA(条幅!$B$11:$B$310)+COUNTA(条幅4分の1!$B$11:$B$310),INDEX(条幅4分の1!$K$11:$K$310,706-COUNTA(半紙!$B$11:$B$310)-COUNTA(条幅!$B$11:$B$310)),"")))=0,"",IF(706&lt;=COUNTA(半紙!$B$11:$B$310),INDEX(半紙!$K$11:$K$310,706),IF(706&lt;=COUNTA(半紙!$B$11:$B$310)+COUNTA(条幅!$B$11:$B$310),INDEX(条幅!$K$11:$K$310,706-COUNTA(半紙!$B$11:$B$310)),IF(706&lt;=COUNTA(半紙!$B$11:$B$310)+COUNTA(条幅!$B$11:$B$310)+COUNTA(条幅4分の1!$B$11:$B$310),INDEX(条幅4分の1!$K$11:$K$310,706-COUNTA(半紙!$B$11:$B$310)-COUNTA(条幅!$B$11:$B$310)),""))))</f>
        <v/>
      </c>
      <c r="L711" s="48" t="str">
        <f>IF($B711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706))</f>
        <v/>
      </c>
    </row>
    <row r="712" spans="1:12" ht="15" customHeight="1">
      <c r="A712" s="37" t="str">
        <f>IF(707&lt;=COUNTA(半紙!$B$11:$B$310),"半紙",IF(707&lt;=COUNTA(半紙!$B$11:$B$310)+COUNTA(条幅!$B$11:$B$310),"条幅(半切)",IF(707&lt;=COUNTA(半紙!$B$11:$B$310)+COUNTA(条幅!$B$11:$B$310)+COUNTA(条幅4分の1!$B$11:$B$310),"条幅(1/4)","")))</f>
        <v/>
      </c>
      <c r="B712" s="38" t="str">
        <f>IF(IF(707&lt;=COUNTA(半紙!$B$11:$B$310),INDEX(半紙!$B$11:$B$310,707),IF(707&lt;=COUNTA(半紙!$B$11:$B$310)+COUNTA(条幅!$B$11:$B$310),INDEX(条幅!$B$11:$B$310,707-COUNTA(半紙!$B$11:$B$310)),IF(707&lt;=COUNTA(半紙!$B$11:$B$310)+COUNTA(条幅!$B$11:$B$310)+COUNTA(条幅4分の1!$B$11:$B$310),INDEX(条幅4分の1!$B$11:$B$310,707-COUNTA(半紙!$B$11:$B$310)-COUNTA(条幅!$B$11:$B$310)),"")))=0,"",IF(707&lt;=COUNTA(半紙!$B$11:$B$310),INDEX(半紙!$B$11:$B$310,707),IF(707&lt;=COUNTA(半紙!$B$11:$B$310)+COUNTA(条幅!$B$11:$B$310),INDEX(条幅!$B$11:$B$310,707-COUNTA(半紙!$B$11:$B$310)),IF(707&lt;=COUNTA(半紙!$B$11:$B$310)+COUNTA(条幅!$B$11:$B$310)+COUNTA(条幅4分の1!$B$11:$B$310),INDEX(条幅4分の1!$B$11:$B$310,707-COUNTA(半紙!$B$11:$B$310)-COUNTA(条幅!$B$11:$B$310)),""))))</f>
        <v/>
      </c>
      <c r="C712" s="38" t="str">
        <f>IF(IF(707&lt;=COUNTA(半紙!$B$11:$B$310),INDEX(半紙!$C$11:$C$310,707),IF(707&lt;=COUNTA(半紙!$B$11:$B$310)+COUNTA(条幅!$B$11:$B$310),INDEX(条幅!$C$11:$C$310,707-COUNTA(半紙!$B$11:$B$310)),IF(707&lt;=COUNTA(半紙!$B$11:$B$310)+COUNTA(条幅!$B$11:$B$310)+COUNTA(条幅4分の1!$B$11:$B$310),INDEX(条幅4分の1!$C$11:$C$310,707-COUNTA(半紙!$B$11:$B$310)-COUNTA(条幅!$B$11:$B$310)),"")))=0,"",IF(707&lt;=COUNTA(半紙!$B$11:$B$310),INDEX(半紙!$C$11:$C$310,707),IF(707&lt;=COUNTA(半紙!$B$11:$B$310)+COUNTA(条幅!$B$11:$B$310),INDEX(条幅!$C$11:$C$310,707-COUNTA(半紙!$B$11:$B$310)),IF(707&lt;=COUNTA(半紙!$B$11:$B$310)+COUNTA(条幅!$B$11:$B$310)+COUNTA(条幅4分の1!$B$11:$B$310),INDEX(条幅4分の1!$C$11:$C$310,707-COUNTA(半紙!$B$11:$B$310)-COUNTA(条幅!$B$11:$B$310)),""))))</f>
        <v/>
      </c>
      <c r="D712" s="38" t="str">
        <f>IF(IF(707&lt;=COUNTA(半紙!$B$11:$B$310),INDEX(半紙!$D$11:$D$310,707),IF(707&lt;=COUNTA(半紙!$B$11:$B$310)+COUNTA(条幅!$B$11:$B$310),INDEX(条幅!$D$11:$D$310,707-COUNTA(半紙!$B$11:$B$310)),IF(707&lt;=COUNTA(半紙!$B$11:$B$310)+COUNTA(条幅!$B$11:$B$310)+COUNTA(条幅4分の1!$B$11:$B$310),INDEX(条幅4分の1!$D$11:$D$310,707-COUNTA(半紙!$B$11:$B$310)-COUNTA(条幅!$B$11:$B$310)),"")))=0,"",IF(707&lt;=COUNTA(半紙!$B$11:$B$310),INDEX(半紙!$D$11:$D$310,707),IF(707&lt;=COUNTA(半紙!$B$11:$B$310)+COUNTA(条幅!$B$11:$B$310),INDEX(条幅!$D$11:$D$310,707-COUNTA(半紙!$B$11:$B$310)),IF(707&lt;=COUNTA(半紙!$B$11:$B$310)+COUNTA(条幅!$B$11:$B$310)+COUNTA(条幅4分の1!$B$11:$B$310),INDEX(条幅4分の1!$D$11:$D$310,707-COUNTA(半紙!$B$11:$B$310)-COUNTA(条幅!$B$11:$B$310)),""))))</f>
        <v/>
      </c>
      <c r="E712" s="38" t="str">
        <f>IF(IF(707&lt;=COUNTA(半紙!$B$11:$B$310),INDEX(半紙!$E$11:$E$310,707),IF(707&lt;=COUNTA(半紙!$B$11:$B$310)+COUNTA(条幅!$B$11:$B$310),INDEX(条幅!$E$11:$E$310,707-COUNTA(半紙!$B$11:$B$310)),IF(707&lt;=COUNTA(半紙!$B$11:$B$310)+COUNTA(条幅!$B$11:$B$310)+COUNTA(条幅4分の1!$B$11:$B$310),INDEX(条幅4分の1!$E$11:$E$310,707-COUNTA(半紙!$B$11:$B$310)-COUNTA(条幅!$B$11:$B$310)),"")))=0,"",IF(707&lt;=COUNTA(半紙!$B$11:$B$310),INDEX(半紙!$E$11:$E$310,707),IF(707&lt;=COUNTA(半紙!$B$11:$B$310)+COUNTA(条幅!$B$11:$B$310),INDEX(条幅!$E$11:$E$310,707-COUNTA(半紙!$B$11:$B$310)),IF(707&lt;=COUNTA(半紙!$B$11:$B$310)+COUNTA(条幅!$B$11:$B$310)+COUNTA(条幅4分の1!$B$11:$B$310),INDEX(条幅4分の1!$E$11:$E$310,707-COUNTA(半紙!$B$11:$B$310)-COUNTA(条幅!$B$11:$B$310)),""))))</f>
        <v/>
      </c>
      <c r="F712" s="38" t="str">
        <f>IF(IF(707&lt;=COUNTA(半紙!$B$11:$B$310),INDEX(半紙!$F$11:$F$310,707),IF(707&lt;=COUNTA(半紙!$B$11:$B$310)+COUNTA(条幅!$B$11:$B$310),INDEX(条幅!$F$11:$F$310,707-COUNTA(半紙!$B$11:$B$310)),IF(707&lt;=COUNTA(半紙!$B$11:$B$310)+COUNTA(条幅!$B$11:$B$310)+COUNTA(条幅4分の1!$B$11:$B$310),INDEX(条幅4分の1!$F$11:$F$310,707-COUNTA(半紙!$B$11:$B$310)-COUNTA(条幅!$B$11:$B$310)),"")))=0,"",IF(707&lt;=COUNTA(半紙!$B$11:$B$310),INDEX(半紙!$F$11:$F$310,707),IF(707&lt;=COUNTA(半紙!$B$11:$B$310)+COUNTA(条幅!$B$11:$B$310),INDEX(条幅!$F$11:$F$310,707-COUNTA(半紙!$B$11:$B$310)),IF(707&lt;=COUNTA(半紙!$B$11:$B$310)+COUNTA(条幅!$B$11:$B$310)+COUNTA(条幅4分の1!$B$11:$B$310),INDEX(条幅4分の1!$F$11:$F$310,707-COUNTA(半紙!$B$11:$B$310)-COUNTA(条幅!$B$11:$B$310)),""))))</f>
        <v/>
      </c>
      <c r="G712" s="38" t="str">
        <f>IF(IF(707&lt;=COUNTA(半紙!$B$11:$B$310),INDEX(半紙!$G$11:$G$310,707),IF(707&lt;=COUNTA(半紙!$B$11:$B$310)+COUNTA(条幅!$B$11:$B$310),INDEX(条幅!$G$11:$G$310,707-COUNTA(半紙!$B$11:$B$310)),IF(707&lt;=COUNTA(半紙!$B$11:$B$310)+COUNTA(条幅!$B$11:$B$310)+COUNTA(条幅4分の1!$B$11:$B$310),INDEX(条幅4分の1!$G$11:$G$310,707-COUNTA(半紙!$B$11:$B$310)-COUNTA(条幅!$B$11:$B$310)),"")))=0,"",IF(707&lt;=COUNTA(半紙!$B$11:$B$310),INDEX(半紙!$G$11:$G$310,707),IF(707&lt;=COUNTA(半紙!$B$11:$B$310)+COUNTA(条幅!$B$11:$B$310),INDEX(条幅!$G$11:$G$310,707-COUNTA(半紙!$B$11:$B$310)),IF(707&lt;=COUNTA(半紙!$B$11:$B$310)+COUNTA(条幅!$B$11:$B$310)+COUNTA(条幅4分の1!$B$11:$B$310),INDEX(条幅4分の1!$G$11:$G$310,707-COUNTA(半紙!$B$11:$B$310)-COUNTA(条幅!$B$11:$B$310)),""))))</f>
        <v/>
      </c>
      <c r="H712" s="38" t="str">
        <f>IF(IF(707&lt;=COUNTA(半紙!$B$11:$B$310),INDEX(半紙!$H$11:$H$310,707),IF(707&lt;=COUNTA(半紙!$B$11:$B$310)+COUNTA(条幅!$B$11:$B$310),INDEX(条幅!$H$11:$H$310,707-COUNTA(半紙!$B$11:$B$310)),IF(707&lt;=COUNTA(半紙!$B$11:$B$310)+COUNTA(条幅!$B$11:$B$310)+COUNTA(条幅4分の1!$B$11:$B$310),INDEX(条幅4分の1!$H$11:$H$310,707-COUNTA(半紙!$B$11:$B$310)-COUNTA(条幅!$B$11:$B$310)),"")))=0,"",IF(707&lt;=COUNTA(半紙!$B$11:$B$310),INDEX(半紙!$H$11:$H$310,707),IF(707&lt;=COUNTA(半紙!$B$11:$B$310)+COUNTA(条幅!$B$11:$B$310),INDEX(条幅!$H$11:$H$310,707-COUNTA(半紙!$B$11:$B$310)),IF(707&lt;=COUNTA(半紙!$B$11:$B$310)+COUNTA(条幅!$B$11:$B$310)+COUNTA(条幅4分の1!$B$11:$B$310),INDEX(条幅4分の1!$H$11:$H$310,707-COUNTA(半紙!$B$11:$B$310)-COUNTA(条幅!$B$11:$B$310)),""))))</f>
        <v/>
      </c>
      <c r="I712" s="38" t="str">
        <f>IF(IF(707&lt;=COUNTA(半紙!$B$11:$B$310),INDEX(半紙!$I$11:$I$310,707),IF(707&lt;=COUNTA(半紙!$B$11:$B$310)+COUNTA(条幅!$B$11:$B$310),INDEX(条幅!$I$11:$I$310,707-COUNTA(半紙!$B$11:$B$310)),IF(707&lt;=COUNTA(半紙!$B$11:$B$310)+COUNTA(条幅!$B$11:$B$310)+COUNTA(条幅4分の1!$B$11:$B$310),INDEX(条幅4分の1!$I$11:$I$310,707-COUNTA(半紙!$B$11:$B$310)-COUNTA(条幅!$B$11:$B$310)),"")))=0,"",IF(707&lt;=COUNTA(半紙!$B$11:$B$310),INDEX(半紙!$I$11:$I$310,707),IF(707&lt;=COUNTA(半紙!$B$11:$B$310)+COUNTA(条幅!$B$11:$B$310),INDEX(条幅!$I$11:$I$310,707-COUNTA(半紙!$B$11:$B$310)),IF(707&lt;=COUNTA(半紙!$B$11:$B$310)+COUNTA(条幅!$B$11:$B$310)+COUNTA(条幅4分の1!$B$11:$B$310),INDEX(条幅4分の1!$I$11:$I$310,707-COUNTA(半紙!$B$11:$B$310)-COUNTA(条幅!$B$11:$B$310)),""))))</f>
        <v/>
      </c>
      <c r="J712" s="38" t="str">
        <f>IF(IF(707&lt;=COUNTA(半紙!$B$11:$B$310),INDEX(半紙!$J$11:$J$310,707),IF(707&lt;=COUNTA(半紙!$B$11:$B$310)+COUNTA(条幅!$B$11:$B$310),INDEX(条幅!$J$11:$J$310,707-COUNTA(半紙!$B$11:$B$310)),IF(707&lt;=COUNTA(半紙!$B$11:$B$310)+COUNTA(条幅!$B$11:$B$310)+COUNTA(条幅4分の1!$B$11:$B$310),INDEX(条幅4分の1!$J$11:$J$310,707-COUNTA(半紙!$B$11:$B$310)-COUNTA(条幅!$B$11:$B$310)),"")))=0,"",IF(707&lt;=COUNTA(半紙!$B$11:$B$310),INDEX(半紙!$J$11:$J$310,707),IF(707&lt;=COUNTA(半紙!$B$11:$B$310)+COUNTA(条幅!$B$11:$B$310),INDEX(条幅!$J$11:$J$310,707-COUNTA(半紙!$B$11:$B$310)),IF(707&lt;=COUNTA(半紙!$B$11:$B$310)+COUNTA(条幅!$B$11:$B$310)+COUNTA(条幅4分の1!$B$11:$B$310),INDEX(条幅4分の1!$J$11:$J$310,707-COUNTA(半紙!$B$11:$B$310)-COUNTA(条幅!$B$11:$B$310)),""))))</f>
        <v/>
      </c>
      <c r="K712" s="38" t="str">
        <f>IF(IF(707&lt;=COUNTA(半紙!$B$11:$B$310),INDEX(半紙!$K$11:$K$310,707),IF(707&lt;=COUNTA(半紙!$B$11:$B$310)+COUNTA(条幅!$B$11:$B$310),INDEX(条幅!$K$11:$K$310,707-COUNTA(半紙!$B$11:$B$310)),IF(707&lt;=COUNTA(半紙!$B$11:$B$310)+COUNTA(条幅!$B$11:$B$310)+COUNTA(条幅4分の1!$B$11:$B$310),INDEX(条幅4分の1!$K$11:$K$310,707-COUNTA(半紙!$B$11:$B$310)-COUNTA(条幅!$B$11:$B$310)),"")))=0,"",IF(707&lt;=COUNTA(半紙!$B$11:$B$310),INDEX(半紙!$K$11:$K$310,707),IF(707&lt;=COUNTA(半紙!$B$11:$B$310)+COUNTA(条幅!$B$11:$B$310),INDEX(条幅!$K$11:$K$310,707-COUNTA(半紙!$B$11:$B$310)),IF(707&lt;=COUNTA(半紙!$B$11:$B$310)+COUNTA(条幅!$B$11:$B$310)+COUNTA(条幅4分の1!$B$11:$B$310),INDEX(条幅4分の1!$K$11:$K$310,707-COUNTA(半紙!$B$11:$B$310)-COUNTA(条幅!$B$11:$B$310)),""))))</f>
        <v/>
      </c>
      <c r="L712" s="48" t="str">
        <f>IF($B712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707))</f>
        <v/>
      </c>
    </row>
    <row r="713" spans="1:12" ht="15" customHeight="1">
      <c r="A713" s="37" t="str">
        <f>IF(708&lt;=COUNTA(半紙!$B$11:$B$310),"半紙",IF(708&lt;=COUNTA(半紙!$B$11:$B$310)+COUNTA(条幅!$B$11:$B$310),"条幅(半切)",IF(708&lt;=COUNTA(半紙!$B$11:$B$310)+COUNTA(条幅!$B$11:$B$310)+COUNTA(条幅4分の1!$B$11:$B$310),"条幅(1/4)","")))</f>
        <v/>
      </c>
      <c r="B713" s="38" t="str">
        <f>IF(IF(708&lt;=COUNTA(半紙!$B$11:$B$310),INDEX(半紙!$B$11:$B$310,708),IF(708&lt;=COUNTA(半紙!$B$11:$B$310)+COUNTA(条幅!$B$11:$B$310),INDEX(条幅!$B$11:$B$310,708-COUNTA(半紙!$B$11:$B$310)),IF(708&lt;=COUNTA(半紙!$B$11:$B$310)+COUNTA(条幅!$B$11:$B$310)+COUNTA(条幅4分の1!$B$11:$B$310),INDEX(条幅4分の1!$B$11:$B$310,708-COUNTA(半紙!$B$11:$B$310)-COUNTA(条幅!$B$11:$B$310)),"")))=0,"",IF(708&lt;=COUNTA(半紙!$B$11:$B$310),INDEX(半紙!$B$11:$B$310,708),IF(708&lt;=COUNTA(半紙!$B$11:$B$310)+COUNTA(条幅!$B$11:$B$310),INDEX(条幅!$B$11:$B$310,708-COUNTA(半紙!$B$11:$B$310)),IF(708&lt;=COUNTA(半紙!$B$11:$B$310)+COUNTA(条幅!$B$11:$B$310)+COUNTA(条幅4分の1!$B$11:$B$310),INDEX(条幅4分の1!$B$11:$B$310,708-COUNTA(半紙!$B$11:$B$310)-COUNTA(条幅!$B$11:$B$310)),""))))</f>
        <v/>
      </c>
      <c r="C713" s="38" t="str">
        <f>IF(IF(708&lt;=COUNTA(半紙!$B$11:$B$310),INDEX(半紙!$C$11:$C$310,708),IF(708&lt;=COUNTA(半紙!$B$11:$B$310)+COUNTA(条幅!$B$11:$B$310),INDEX(条幅!$C$11:$C$310,708-COUNTA(半紙!$B$11:$B$310)),IF(708&lt;=COUNTA(半紙!$B$11:$B$310)+COUNTA(条幅!$B$11:$B$310)+COUNTA(条幅4分の1!$B$11:$B$310),INDEX(条幅4分の1!$C$11:$C$310,708-COUNTA(半紙!$B$11:$B$310)-COUNTA(条幅!$B$11:$B$310)),"")))=0,"",IF(708&lt;=COUNTA(半紙!$B$11:$B$310),INDEX(半紙!$C$11:$C$310,708),IF(708&lt;=COUNTA(半紙!$B$11:$B$310)+COUNTA(条幅!$B$11:$B$310),INDEX(条幅!$C$11:$C$310,708-COUNTA(半紙!$B$11:$B$310)),IF(708&lt;=COUNTA(半紙!$B$11:$B$310)+COUNTA(条幅!$B$11:$B$310)+COUNTA(条幅4分の1!$B$11:$B$310),INDEX(条幅4分の1!$C$11:$C$310,708-COUNTA(半紙!$B$11:$B$310)-COUNTA(条幅!$B$11:$B$310)),""))))</f>
        <v/>
      </c>
      <c r="D713" s="38" t="str">
        <f>IF(IF(708&lt;=COUNTA(半紙!$B$11:$B$310),INDEX(半紙!$D$11:$D$310,708),IF(708&lt;=COUNTA(半紙!$B$11:$B$310)+COUNTA(条幅!$B$11:$B$310),INDEX(条幅!$D$11:$D$310,708-COUNTA(半紙!$B$11:$B$310)),IF(708&lt;=COUNTA(半紙!$B$11:$B$310)+COUNTA(条幅!$B$11:$B$310)+COUNTA(条幅4分の1!$B$11:$B$310),INDEX(条幅4分の1!$D$11:$D$310,708-COUNTA(半紙!$B$11:$B$310)-COUNTA(条幅!$B$11:$B$310)),"")))=0,"",IF(708&lt;=COUNTA(半紙!$B$11:$B$310),INDEX(半紙!$D$11:$D$310,708),IF(708&lt;=COUNTA(半紙!$B$11:$B$310)+COUNTA(条幅!$B$11:$B$310),INDEX(条幅!$D$11:$D$310,708-COUNTA(半紙!$B$11:$B$310)),IF(708&lt;=COUNTA(半紙!$B$11:$B$310)+COUNTA(条幅!$B$11:$B$310)+COUNTA(条幅4分の1!$B$11:$B$310),INDEX(条幅4分の1!$D$11:$D$310,708-COUNTA(半紙!$B$11:$B$310)-COUNTA(条幅!$B$11:$B$310)),""))))</f>
        <v/>
      </c>
      <c r="E713" s="38" t="str">
        <f>IF(IF(708&lt;=COUNTA(半紙!$B$11:$B$310),INDEX(半紙!$E$11:$E$310,708),IF(708&lt;=COUNTA(半紙!$B$11:$B$310)+COUNTA(条幅!$B$11:$B$310),INDEX(条幅!$E$11:$E$310,708-COUNTA(半紙!$B$11:$B$310)),IF(708&lt;=COUNTA(半紙!$B$11:$B$310)+COUNTA(条幅!$B$11:$B$310)+COUNTA(条幅4分の1!$B$11:$B$310),INDEX(条幅4分の1!$E$11:$E$310,708-COUNTA(半紙!$B$11:$B$310)-COUNTA(条幅!$B$11:$B$310)),"")))=0,"",IF(708&lt;=COUNTA(半紙!$B$11:$B$310),INDEX(半紙!$E$11:$E$310,708),IF(708&lt;=COUNTA(半紙!$B$11:$B$310)+COUNTA(条幅!$B$11:$B$310),INDEX(条幅!$E$11:$E$310,708-COUNTA(半紙!$B$11:$B$310)),IF(708&lt;=COUNTA(半紙!$B$11:$B$310)+COUNTA(条幅!$B$11:$B$310)+COUNTA(条幅4分の1!$B$11:$B$310),INDEX(条幅4分の1!$E$11:$E$310,708-COUNTA(半紙!$B$11:$B$310)-COUNTA(条幅!$B$11:$B$310)),""))))</f>
        <v/>
      </c>
      <c r="F713" s="38" t="str">
        <f>IF(IF(708&lt;=COUNTA(半紙!$B$11:$B$310),INDEX(半紙!$F$11:$F$310,708),IF(708&lt;=COUNTA(半紙!$B$11:$B$310)+COUNTA(条幅!$B$11:$B$310),INDEX(条幅!$F$11:$F$310,708-COUNTA(半紙!$B$11:$B$310)),IF(708&lt;=COUNTA(半紙!$B$11:$B$310)+COUNTA(条幅!$B$11:$B$310)+COUNTA(条幅4分の1!$B$11:$B$310),INDEX(条幅4分の1!$F$11:$F$310,708-COUNTA(半紙!$B$11:$B$310)-COUNTA(条幅!$B$11:$B$310)),"")))=0,"",IF(708&lt;=COUNTA(半紙!$B$11:$B$310),INDEX(半紙!$F$11:$F$310,708),IF(708&lt;=COUNTA(半紙!$B$11:$B$310)+COUNTA(条幅!$B$11:$B$310),INDEX(条幅!$F$11:$F$310,708-COUNTA(半紙!$B$11:$B$310)),IF(708&lt;=COUNTA(半紙!$B$11:$B$310)+COUNTA(条幅!$B$11:$B$310)+COUNTA(条幅4分の1!$B$11:$B$310),INDEX(条幅4分の1!$F$11:$F$310,708-COUNTA(半紙!$B$11:$B$310)-COUNTA(条幅!$B$11:$B$310)),""))))</f>
        <v/>
      </c>
      <c r="G713" s="38" t="str">
        <f>IF(IF(708&lt;=COUNTA(半紙!$B$11:$B$310),INDEX(半紙!$G$11:$G$310,708),IF(708&lt;=COUNTA(半紙!$B$11:$B$310)+COUNTA(条幅!$B$11:$B$310),INDEX(条幅!$G$11:$G$310,708-COUNTA(半紙!$B$11:$B$310)),IF(708&lt;=COUNTA(半紙!$B$11:$B$310)+COUNTA(条幅!$B$11:$B$310)+COUNTA(条幅4分の1!$B$11:$B$310),INDEX(条幅4分の1!$G$11:$G$310,708-COUNTA(半紙!$B$11:$B$310)-COUNTA(条幅!$B$11:$B$310)),"")))=0,"",IF(708&lt;=COUNTA(半紙!$B$11:$B$310),INDEX(半紙!$G$11:$G$310,708),IF(708&lt;=COUNTA(半紙!$B$11:$B$310)+COUNTA(条幅!$B$11:$B$310),INDEX(条幅!$G$11:$G$310,708-COUNTA(半紙!$B$11:$B$310)),IF(708&lt;=COUNTA(半紙!$B$11:$B$310)+COUNTA(条幅!$B$11:$B$310)+COUNTA(条幅4分の1!$B$11:$B$310),INDEX(条幅4分の1!$G$11:$G$310,708-COUNTA(半紙!$B$11:$B$310)-COUNTA(条幅!$B$11:$B$310)),""))))</f>
        <v/>
      </c>
      <c r="H713" s="38" t="str">
        <f>IF(IF(708&lt;=COUNTA(半紙!$B$11:$B$310),INDEX(半紙!$H$11:$H$310,708),IF(708&lt;=COUNTA(半紙!$B$11:$B$310)+COUNTA(条幅!$B$11:$B$310),INDEX(条幅!$H$11:$H$310,708-COUNTA(半紙!$B$11:$B$310)),IF(708&lt;=COUNTA(半紙!$B$11:$B$310)+COUNTA(条幅!$B$11:$B$310)+COUNTA(条幅4分の1!$B$11:$B$310),INDEX(条幅4分の1!$H$11:$H$310,708-COUNTA(半紙!$B$11:$B$310)-COUNTA(条幅!$B$11:$B$310)),"")))=0,"",IF(708&lt;=COUNTA(半紙!$B$11:$B$310),INDEX(半紙!$H$11:$H$310,708),IF(708&lt;=COUNTA(半紙!$B$11:$B$310)+COUNTA(条幅!$B$11:$B$310),INDEX(条幅!$H$11:$H$310,708-COUNTA(半紙!$B$11:$B$310)),IF(708&lt;=COUNTA(半紙!$B$11:$B$310)+COUNTA(条幅!$B$11:$B$310)+COUNTA(条幅4分の1!$B$11:$B$310),INDEX(条幅4分の1!$H$11:$H$310,708-COUNTA(半紙!$B$11:$B$310)-COUNTA(条幅!$B$11:$B$310)),""))))</f>
        <v/>
      </c>
      <c r="I713" s="38" t="str">
        <f>IF(IF(708&lt;=COUNTA(半紙!$B$11:$B$310),INDEX(半紙!$I$11:$I$310,708),IF(708&lt;=COUNTA(半紙!$B$11:$B$310)+COUNTA(条幅!$B$11:$B$310),INDEX(条幅!$I$11:$I$310,708-COUNTA(半紙!$B$11:$B$310)),IF(708&lt;=COUNTA(半紙!$B$11:$B$310)+COUNTA(条幅!$B$11:$B$310)+COUNTA(条幅4分の1!$B$11:$B$310),INDEX(条幅4分の1!$I$11:$I$310,708-COUNTA(半紙!$B$11:$B$310)-COUNTA(条幅!$B$11:$B$310)),"")))=0,"",IF(708&lt;=COUNTA(半紙!$B$11:$B$310),INDEX(半紙!$I$11:$I$310,708),IF(708&lt;=COUNTA(半紙!$B$11:$B$310)+COUNTA(条幅!$B$11:$B$310),INDEX(条幅!$I$11:$I$310,708-COUNTA(半紙!$B$11:$B$310)),IF(708&lt;=COUNTA(半紙!$B$11:$B$310)+COUNTA(条幅!$B$11:$B$310)+COUNTA(条幅4分の1!$B$11:$B$310),INDEX(条幅4分の1!$I$11:$I$310,708-COUNTA(半紙!$B$11:$B$310)-COUNTA(条幅!$B$11:$B$310)),""))))</f>
        <v/>
      </c>
      <c r="J713" s="38" t="str">
        <f>IF(IF(708&lt;=COUNTA(半紙!$B$11:$B$310),INDEX(半紙!$J$11:$J$310,708),IF(708&lt;=COUNTA(半紙!$B$11:$B$310)+COUNTA(条幅!$B$11:$B$310),INDEX(条幅!$J$11:$J$310,708-COUNTA(半紙!$B$11:$B$310)),IF(708&lt;=COUNTA(半紙!$B$11:$B$310)+COUNTA(条幅!$B$11:$B$310)+COUNTA(条幅4分の1!$B$11:$B$310),INDEX(条幅4分の1!$J$11:$J$310,708-COUNTA(半紙!$B$11:$B$310)-COUNTA(条幅!$B$11:$B$310)),"")))=0,"",IF(708&lt;=COUNTA(半紙!$B$11:$B$310),INDEX(半紙!$J$11:$J$310,708),IF(708&lt;=COUNTA(半紙!$B$11:$B$310)+COUNTA(条幅!$B$11:$B$310),INDEX(条幅!$J$11:$J$310,708-COUNTA(半紙!$B$11:$B$310)),IF(708&lt;=COUNTA(半紙!$B$11:$B$310)+COUNTA(条幅!$B$11:$B$310)+COUNTA(条幅4分の1!$B$11:$B$310),INDEX(条幅4分の1!$J$11:$J$310,708-COUNTA(半紙!$B$11:$B$310)-COUNTA(条幅!$B$11:$B$310)),""))))</f>
        <v/>
      </c>
      <c r="K713" s="38" t="str">
        <f>IF(IF(708&lt;=COUNTA(半紙!$B$11:$B$310),INDEX(半紙!$K$11:$K$310,708),IF(708&lt;=COUNTA(半紙!$B$11:$B$310)+COUNTA(条幅!$B$11:$B$310),INDEX(条幅!$K$11:$K$310,708-COUNTA(半紙!$B$11:$B$310)),IF(708&lt;=COUNTA(半紙!$B$11:$B$310)+COUNTA(条幅!$B$11:$B$310)+COUNTA(条幅4分の1!$B$11:$B$310),INDEX(条幅4分の1!$K$11:$K$310,708-COUNTA(半紙!$B$11:$B$310)-COUNTA(条幅!$B$11:$B$310)),"")))=0,"",IF(708&lt;=COUNTA(半紙!$B$11:$B$310),INDEX(半紙!$K$11:$K$310,708),IF(708&lt;=COUNTA(半紙!$B$11:$B$310)+COUNTA(条幅!$B$11:$B$310),INDEX(条幅!$K$11:$K$310,708-COUNTA(半紙!$B$11:$B$310)),IF(708&lt;=COUNTA(半紙!$B$11:$B$310)+COUNTA(条幅!$B$11:$B$310)+COUNTA(条幅4分の1!$B$11:$B$310),INDEX(条幅4分の1!$K$11:$K$310,708-COUNTA(半紙!$B$11:$B$310)-COUNTA(条幅!$B$11:$B$310)),""))))</f>
        <v/>
      </c>
      <c r="L713" s="48" t="str">
        <f>IF($B713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708))</f>
        <v/>
      </c>
    </row>
    <row r="714" spans="1:12" ht="15" customHeight="1">
      <c r="A714" s="37" t="str">
        <f>IF(709&lt;=COUNTA(半紙!$B$11:$B$310),"半紙",IF(709&lt;=COUNTA(半紙!$B$11:$B$310)+COUNTA(条幅!$B$11:$B$310),"条幅(半切)",IF(709&lt;=COUNTA(半紙!$B$11:$B$310)+COUNTA(条幅!$B$11:$B$310)+COUNTA(条幅4分の1!$B$11:$B$310),"条幅(1/4)","")))</f>
        <v/>
      </c>
      <c r="B714" s="38" t="str">
        <f>IF(IF(709&lt;=COUNTA(半紙!$B$11:$B$310),INDEX(半紙!$B$11:$B$310,709),IF(709&lt;=COUNTA(半紙!$B$11:$B$310)+COUNTA(条幅!$B$11:$B$310),INDEX(条幅!$B$11:$B$310,709-COUNTA(半紙!$B$11:$B$310)),IF(709&lt;=COUNTA(半紙!$B$11:$B$310)+COUNTA(条幅!$B$11:$B$310)+COUNTA(条幅4分の1!$B$11:$B$310),INDEX(条幅4分の1!$B$11:$B$310,709-COUNTA(半紙!$B$11:$B$310)-COUNTA(条幅!$B$11:$B$310)),"")))=0,"",IF(709&lt;=COUNTA(半紙!$B$11:$B$310),INDEX(半紙!$B$11:$B$310,709),IF(709&lt;=COUNTA(半紙!$B$11:$B$310)+COUNTA(条幅!$B$11:$B$310),INDEX(条幅!$B$11:$B$310,709-COUNTA(半紙!$B$11:$B$310)),IF(709&lt;=COUNTA(半紙!$B$11:$B$310)+COUNTA(条幅!$B$11:$B$310)+COUNTA(条幅4分の1!$B$11:$B$310),INDEX(条幅4分の1!$B$11:$B$310,709-COUNTA(半紙!$B$11:$B$310)-COUNTA(条幅!$B$11:$B$310)),""))))</f>
        <v/>
      </c>
      <c r="C714" s="38" t="str">
        <f>IF(IF(709&lt;=COUNTA(半紙!$B$11:$B$310),INDEX(半紙!$C$11:$C$310,709),IF(709&lt;=COUNTA(半紙!$B$11:$B$310)+COUNTA(条幅!$B$11:$B$310),INDEX(条幅!$C$11:$C$310,709-COUNTA(半紙!$B$11:$B$310)),IF(709&lt;=COUNTA(半紙!$B$11:$B$310)+COUNTA(条幅!$B$11:$B$310)+COUNTA(条幅4分の1!$B$11:$B$310),INDEX(条幅4分の1!$C$11:$C$310,709-COUNTA(半紙!$B$11:$B$310)-COUNTA(条幅!$B$11:$B$310)),"")))=0,"",IF(709&lt;=COUNTA(半紙!$B$11:$B$310),INDEX(半紙!$C$11:$C$310,709),IF(709&lt;=COUNTA(半紙!$B$11:$B$310)+COUNTA(条幅!$B$11:$B$310),INDEX(条幅!$C$11:$C$310,709-COUNTA(半紙!$B$11:$B$310)),IF(709&lt;=COUNTA(半紙!$B$11:$B$310)+COUNTA(条幅!$B$11:$B$310)+COUNTA(条幅4分の1!$B$11:$B$310),INDEX(条幅4分の1!$C$11:$C$310,709-COUNTA(半紙!$B$11:$B$310)-COUNTA(条幅!$B$11:$B$310)),""))))</f>
        <v/>
      </c>
      <c r="D714" s="38" t="str">
        <f>IF(IF(709&lt;=COUNTA(半紙!$B$11:$B$310),INDEX(半紙!$D$11:$D$310,709),IF(709&lt;=COUNTA(半紙!$B$11:$B$310)+COUNTA(条幅!$B$11:$B$310),INDEX(条幅!$D$11:$D$310,709-COUNTA(半紙!$B$11:$B$310)),IF(709&lt;=COUNTA(半紙!$B$11:$B$310)+COUNTA(条幅!$B$11:$B$310)+COUNTA(条幅4分の1!$B$11:$B$310),INDEX(条幅4分の1!$D$11:$D$310,709-COUNTA(半紙!$B$11:$B$310)-COUNTA(条幅!$B$11:$B$310)),"")))=0,"",IF(709&lt;=COUNTA(半紙!$B$11:$B$310),INDEX(半紙!$D$11:$D$310,709),IF(709&lt;=COUNTA(半紙!$B$11:$B$310)+COUNTA(条幅!$B$11:$B$310),INDEX(条幅!$D$11:$D$310,709-COUNTA(半紙!$B$11:$B$310)),IF(709&lt;=COUNTA(半紙!$B$11:$B$310)+COUNTA(条幅!$B$11:$B$310)+COUNTA(条幅4分の1!$B$11:$B$310),INDEX(条幅4分の1!$D$11:$D$310,709-COUNTA(半紙!$B$11:$B$310)-COUNTA(条幅!$B$11:$B$310)),""))))</f>
        <v/>
      </c>
      <c r="E714" s="38" t="str">
        <f>IF(IF(709&lt;=COUNTA(半紙!$B$11:$B$310),INDEX(半紙!$E$11:$E$310,709),IF(709&lt;=COUNTA(半紙!$B$11:$B$310)+COUNTA(条幅!$B$11:$B$310),INDEX(条幅!$E$11:$E$310,709-COUNTA(半紙!$B$11:$B$310)),IF(709&lt;=COUNTA(半紙!$B$11:$B$310)+COUNTA(条幅!$B$11:$B$310)+COUNTA(条幅4分の1!$B$11:$B$310),INDEX(条幅4分の1!$E$11:$E$310,709-COUNTA(半紙!$B$11:$B$310)-COUNTA(条幅!$B$11:$B$310)),"")))=0,"",IF(709&lt;=COUNTA(半紙!$B$11:$B$310),INDEX(半紙!$E$11:$E$310,709),IF(709&lt;=COUNTA(半紙!$B$11:$B$310)+COUNTA(条幅!$B$11:$B$310),INDEX(条幅!$E$11:$E$310,709-COUNTA(半紙!$B$11:$B$310)),IF(709&lt;=COUNTA(半紙!$B$11:$B$310)+COUNTA(条幅!$B$11:$B$310)+COUNTA(条幅4分の1!$B$11:$B$310),INDEX(条幅4分の1!$E$11:$E$310,709-COUNTA(半紙!$B$11:$B$310)-COUNTA(条幅!$B$11:$B$310)),""))))</f>
        <v/>
      </c>
      <c r="F714" s="38" t="str">
        <f>IF(IF(709&lt;=COUNTA(半紙!$B$11:$B$310),INDEX(半紙!$F$11:$F$310,709),IF(709&lt;=COUNTA(半紙!$B$11:$B$310)+COUNTA(条幅!$B$11:$B$310),INDEX(条幅!$F$11:$F$310,709-COUNTA(半紙!$B$11:$B$310)),IF(709&lt;=COUNTA(半紙!$B$11:$B$310)+COUNTA(条幅!$B$11:$B$310)+COUNTA(条幅4分の1!$B$11:$B$310),INDEX(条幅4分の1!$F$11:$F$310,709-COUNTA(半紙!$B$11:$B$310)-COUNTA(条幅!$B$11:$B$310)),"")))=0,"",IF(709&lt;=COUNTA(半紙!$B$11:$B$310),INDEX(半紙!$F$11:$F$310,709),IF(709&lt;=COUNTA(半紙!$B$11:$B$310)+COUNTA(条幅!$B$11:$B$310),INDEX(条幅!$F$11:$F$310,709-COUNTA(半紙!$B$11:$B$310)),IF(709&lt;=COUNTA(半紙!$B$11:$B$310)+COUNTA(条幅!$B$11:$B$310)+COUNTA(条幅4分の1!$B$11:$B$310),INDEX(条幅4分の1!$F$11:$F$310,709-COUNTA(半紙!$B$11:$B$310)-COUNTA(条幅!$B$11:$B$310)),""))))</f>
        <v/>
      </c>
      <c r="G714" s="38" t="str">
        <f>IF(IF(709&lt;=COUNTA(半紙!$B$11:$B$310),INDEX(半紙!$G$11:$G$310,709),IF(709&lt;=COUNTA(半紙!$B$11:$B$310)+COUNTA(条幅!$B$11:$B$310),INDEX(条幅!$G$11:$G$310,709-COUNTA(半紙!$B$11:$B$310)),IF(709&lt;=COUNTA(半紙!$B$11:$B$310)+COUNTA(条幅!$B$11:$B$310)+COUNTA(条幅4分の1!$B$11:$B$310),INDEX(条幅4分の1!$G$11:$G$310,709-COUNTA(半紙!$B$11:$B$310)-COUNTA(条幅!$B$11:$B$310)),"")))=0,"",IF(709&lt;=COUNTA(半紙!$B$11:$B$310),INDEX(半紙!$G$11:$G$310,709),IF(709&lt;=COUNTA(半紙!$B$11:$B$310)+COUNTA(条幅!$B$11:$B$310),INDEX(条幅!$G$11:$G$310,709-COUNTA(半紙!$B$11:$B$310)),IF(709&lt;=COUNTA(半紙!$B$11:$B$310)+COUNTA(条幅!$B$11:$B$310)+COUNTA(条幅4分の1!$B$11:$B$310),INDEX(条幅4分の1!$G$11:$G$310,709-COUNTA(半紙!$B$11:$B$310)-COUNTA(条幅!$B$11:$B$310)),""))))</f>
        <v/>
      </c>
      <c r="H714" s="38" t="str">
        <f>IF(IF(709&lt;=COUNTA(半紙!$B$11:$B$310),INDEX(半紙!$H$11:$H$310,709),IF(709&lt;=COUNTA(半紙!$B$11:$B$310)+COUNTA(条幅!$B$11:$B$310),INDEX(条幅!$H$11:$H$310,709-COUNTA(半紙!$B$11:$B$310)),IF(709&lt;=COUNTA(半紙!$B$11:$B$310)+COUNTA(条幅!$B$11:$B$310)+COUNTA(条幅4分の1!$B$11:$B$310),INDEX(条幅4分の1!$H$11:$H$310,709-COUNTA(半紙!$B$11:$B$310)-COUNTA(条幅!$B$11:$B$310)),"")))=0,"",IF(709&lt;=COUNTA(半紙!$B$11:$B$310),INDEX(半紙!$H$11:$H$310,709),IF(709&lt;=COUNTA(半紙!$B$11:$B$310)+COUNTA(条幅!$B$11:$B$310),INDEX(条幅!$H$11:$H$310,709-COUNTA(半紙!$B$11:$B$310)),IF(709&lt;=COUNTA(半紙!$B$11:$B$310)+COUNTA(条幅!$B$11:$B$310)+COUNTA(条幅4分の1!$B$11:$B$310),INDEX(条幅4分の1!$H$11:$H$310,709-COUNTA(半紙!$B$11:$B$310)-COUNTA(条幅!$B$11:$B$310)),""))))</f>
        <v/>
      </c>
      <c r="I714" s="38" t="str">
        <f>IF(IF(709&lt;=COUNTA(半紙!$B$11:$B$310),INDEX(半紙!$I$11:$I$310,709),IF(709&lt;=COUNTA(半紙!$B$11:$B$310)+COUNTA(条幅!$B$11:$B$310),INDEX(条幅!$I$11:$I$310,709-COUNTA(半紙!$B$11:$B$310)),IF(709&lt;=COUNTA(半紙!$B$11:$B$310)+COUNTA(条幅!$B$11:$B$310)+COUNTA(条幅4分の1!$B$11:$B$310),INDEX(条幅4分の1!$I$11:$I$310,709-COUNTA(半紙!$B$11:$B$310)-COUNTA(条幅!$B$11:$B$310)),"")))=0,"",IF(709&lt;=COUNTA(半紙!$B$11:$B$310),INDEX(半紙!$I$11:$I$310,709),IF(709&lt;=COUNTA(半紙!$B$11:$B$310)+COUNTA(条幅!$B$11:$B$310),INDEX(条幅!$I$11:$I$310,709-COUNTA(半紙!$B$11:$B$310)),IF(709&lt;=COUNTA(半紙!$B$11:$B$310)+COUNTA(条幅!$B$11:$B$310)+COUNTA(条幅4分の1!$B$11:$B$310),INDEX(条幅4分の1!$I$11:$I$310,709-COUNTA(半紙!$B$11:$B$310)-COUNTA(条幅!$B$11:$B$310)),""))))</f>
        <v/>
      </c>
      <c r="J714" s="38" t="str">
        <f>IF(IF(709&lt;=COUNTA(半紙!$B$11:$B$310),INDEX(半紙!$J$11:$J$310,709),IF(709&lt;=COUNTA(半紙!$B$11:$B$310)+COUNTA(条幅!$B$11:$B$310),INDEX(条幅!$J$11:$J$310,709-COUNTA(半紙!$B$11:$B$310)),IF(709&lt;=COUNTA(半紙!$B$11:$B$310)+COUNTA(条幅!$B$11:$B$310)+COUNTA(条幅4分の1!$B$11:$B$310),INDEX(条幅4分の1!$J$11:$J$310,709-COUNTA(半紙!$B$11:$B$310)-COUNTA(条幅!$B$11:$B$310)),"")))=0,"",IF(709&lt;=COUNTA(半紙!$B$11:$B$310),INDEX(半紙!$J$11:$J$310,709),IF(709&lt;=COUNTA(半紙!$B$11:$B$310)+COUNTA(条幅!$B$11:$B$310),INDEX(条幅!$J$11:$J$310,709-COUNTA(半紙!$B$11:$B$310)),IF(709&lt;=COUNTA(半紙!$B$11:$B$310)+COUNTA(条幅!$B$11:$B$310)+COUNTA(条幅4分の1!$B$11:$B$310),INDEX(条幅4分の1!$J$11:$J$310,709-COUNTA(半紙!$B$11:$B$310)-COUNTA(条幅!$B$11:$B$310)),""))))</f>
        <v/>
      </c>
      <c r="K714" s="38" t="str">
        <f>IF(IF(709&lt;=COUNTA(半紙!$B$11:$B$310),INDEX(半紙!$K$11:$K$310,709),IF(709&lt;=COUNTA(半紙!$B$11:$B$310)+COUNTA(条幅!$B$11:$B$310),INDEX(条幅!$K$11:$K$310,709-COUNTA(半紙!$B$11:$B$310)),IF(709&lt;=COUNTA(半紙!$B$11:$B$310)+COUNTA(条幅!$B$11:$B$310)+COUNTA(条幅4分の1!$B$11:$B$310),INDEX(条幅4分の1!$K$11:$K$310,709-COUNTA(半紙!$B$11:$B$310)-COUNTA(条幅!$B$11:$B$310)),"")))=0,"",IF(709&lt;=COUNTA(半紙!$B$11:$B$310),INDEX(半紙!$K$11:$K$310,709),IF(709&lt;=COUNTA(半紙!$B$11:$B$310)+COUNTA(条幅!$B$11:$B$310),INDEX(条幅!$K$11:$K$310,709-COUNTA(半紙!$B$11:$B$310)),IF(709&lt;=COUNTA(半紙!$B$11:$B$310)+COUNTA(条幅!$B$11:$B$310)+COUNTA(条幅4分の1!$B$11:$B$310),INDEX(条幅4分の1!$K$11:$K$310,709-COUNTA(半紙!$B$11:$B$310)-COUNTA(条幅!$B$11:$B$310)),""))))</f>
        <v/>
      </c>
      <c r="L714" s="48" t="str">
        <f>IF($B714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709))</f>
        <v/>
      </c>
    </row>
    <row r="715" spans="1:12" ht="15" customHeight="1">
      <c r="A715" s="37" t="str">
        <f>IF(710&lt;=COUNTA(半紙!$B$11:$B$310),"半紙",IF(710&lt;=COUNTA(半紙!$B$11:$B$310)+COUNTA(条幅!$B$11:$B$310),"条幅(半切)",IF(710&lt;=COUNTA(半紙!$B$11:$B$310)+COUNTA(条幅!$B$11:$B$310)+COUNTA(条幅4分の1!$B$11:$B$310),"条幅(1/4)","")))</f>
        <v/>
      </c>
      <c r="B715" s="38" t="str">
        <f>IF(IF(710&lt;=COUNTA(半紙!$B$11:$B$310),INDEX(半紙!$B$11:$B$310,710),IF(710&lt;=COUNTA(半紙!$B$11:$B$310)+COUNTA(条幅!$B$11:$B$310),INDEX(条幅!$B$11:$B$310,710-COUNTA(半紙!$B$11:$B$310)),IF(710&lt;=COUNTA(半紙!$B$11:$B$310)+COUNTA(条幅!$B$11:$B$310)+COUNTA(条幅4分の1!$B$11:$B$310),INDEX(条幅4分の1!$B$11:$B$310,710-COUNTA(半紙!$B$11:$B$310)-COUNTA(条幅!$B$11:$B$310)),"")))=0,"",IF(710&lt;=COUNTA(半紙!$B$11:$B$310),INDEX(半紙!$B$11:$B$310,710),IF(710&lt;=COUNTA(半紙!$B$11:$B$310)+COUNTA(条幅!$B$11:$B$310),INDEX(条幅!$B$11:$B$310,710-COUNTA(半紙!$B$11:$B$310)),IF(710&lt;=COUNTA(半紙!$B$11:$B$310)+COUNTA(条幅!$B$11:$B$310)+COUNTA(条幅4分の1!$B$11:$B$310),INDEX(条幅4分の1!$B$11:$B$310,710-COUNTA(半紙!$B$11:$B$310)-COUNTA(条幅!$B$11:$B$310)),""))))</f>
        <v/>
      </c>
      <c r="C715" s="38" t="str">
        <f>IF(IF(710&lt;=COUNTA(半紙!$B$11:$B$310),INDEX(半紙!$C$11:$C$310,710),IF(710&lt;=COUNTA(半紙!$B$11:$B$310)+COUNTA(条幅!$B$11:$B$310),INDEX(条幅!$C$11:$C$310,710-COUNTA(半紙!$B$11:$B$310)),IF(710&lt;=COUNTA(半紙!$B$11:$B$310)+COUNTA(条幅!$B$11:$B$310)+COUNTA(条幅4分の1!$B$11:$B$310),INDEX(条幅4分の1!$C$11:$C$310,710-COUNTA(半紙!$B$11:$B$310)-COUNTA(条幅!$B$11:$B$310)),"")))=0,"",IF(710&lt;=COUNTA(半紙!$B$11:$B$310),INDEX(半紙!$C$11:$C$310,710),IF(710&lt;=COUNTA(半紙!$B$11:$B$310)+COUNTA(条幅!$B$11:$B$310),INDEX(条幅!$C$11:$C$310,710-COUNTA(半紙!$B$11:$B$310)),IF(710&lt;=COUNTA(半紙!$B$11:$B$310)+COUNTA(条幅!$B$11:$B$310)+COUNTA(条幅4分の1!$B$11:$B$310),INDEX(条幅4分の1!$C$11:$C$310,710-COUNTA(半紙!$B$11:$B$310)-COUNTA(条幅!$B$11:$B$310)),""))))</f>
        <v/>
      </c>
      <c r="D715" s="38" t="str">
        <f>IF(IF(710&lt;=COUNTA(半紙!$B$11:$B$310),INDEX(半紙!$D$11:$D$310,710),IF(710&lt;=COUNTA(半紙!$B$11:$B$310)+COUNTA(条幅!$B$11:$B$310),INDEX(条幅!$D$11:$D$310,710-COUNTA(半紙!$B$11:$B$310)),IF(710&lt;=COUNTA(半紙!$B$11:$B$310)+COUNTA(条幅!$B$11:$B$310)+COUNTA(条幅4分の1!$B$11:$B$310),INDEX(条幅4分の1!$D$11:$D$310,710-COUNTA(半紙!$B$11:$B$310)-COUNTA(条幅!$B$11:$B$310)),"")))=0,"",IF(710&lt;=COUNTA(半紙!$B$11:$B$310),INDEX(半紙!$D$11:$D$310,710),IF(710&lt;=COUNTA(半紙!$B$11:$B$310)+COUNTA(条幅!$B$11:$B$310),INDEX(条幅!$D$11:$D$310,710-COUNTA(半紙!$B$11:$B$310)),IF(710&lt;=COUNTA(半紙!$B$11:$B$310)+COUNTA(条幅!$B$11:$B$310)+COUNTA(条幅4分の1!$B$11:$B$310),INDEX(条幅4分の1!$D$11:$D$310,710-COUNTA(半紙!$B$11:$B$310)-COUNTA(条幅!$B$11:$B$310)),""))))</f>
        <v/>
      </c>
      <c r="E715" s="38" t="str">
        <f>IF(IF(710&lt;=COUNTA(半紙!$B$11:$B$310),INDEX(半紙!$E$11:$E$310,710),IF(710&lt;=COUNTA(半紙!$B$11:$B$310)+COUNTA(条幅!$B$11:$B$310),INDEX(条幅!$E$11:$E$310,710-COUNTA(半紙!$B$11:$B$310)),IF(710&lt;=COUNTA(半紙!$B$11:$B$310)+COUNTA(条幅!$B$11:$B$310)+COUNTA(条幅4分の1!$B$11:$B$310),INDEX(条幅4分の1!$E$11:$E$310,710-COUNTA(半紙!$B$11:$B$310)-COUNTA(条幅!$B$11:$B$310)),"")))=0,"",IF(710&lt;=COUNTA(半紙!$B$11:$B$310),INDEX(半紙!$E$11:$E$310,710),IF(710&lt;=COUNTA(半紙!$B$11:$B$310)+COUNTA(条幅!$B$11:$B$310),INDEX(条幅!$E$11:$E$310,710-COUNTA(半紙!$B$11:$B$310)),IF(710&lt;=COUNTA(半紙!$B$11:$B$310)+COUNTA(条幅!$B$11:$B$310)+COUNTA(条幅4分の1!$B$11:$B$310),INDEX(条幅4分の1!$E$11:$E$310,710-COUNTA(半紙!$B$11:$B$310)-COUNTA(条幅!$B$11:$B$310)),""))))</f>
        <v/>
      </c>
      <c r="F715" s="38" t="str">
        <f>IF(IF(710&lt;=COUNTA(半紙!$B$11:$B$310),INDEX(半紙!$F$11:$F$310,710),IF(710&lt;=COUNTA(半紙!$B$11:$B$310)+COUNTA(条幅!$B$11:$B$310),INDEX(条幅!$F$11:$F$310,710-COUNTA(半紙!$B$11:$B$310)),IF(710&lt;=COUNTA(半紙!$B$11:$B$310)+COUNTA(条幅!$B$11:$B$310)+COUNTA(条幅4分の1!$B$11:$B$310),INDEX(条幅4分の1!$F$11:$F$310,710-COUNTA(半紙!$B$11:$B$310)-COUNTA(条幅!$B$11:$B$310)),"")))=0,"",IF(710&lt;=COUNTA(半紙!$B$11:$B$310),INDEX(半紙!$F$11:$F$310,710),IF(710&lt;=COUNTA(半紙!$B$11:$B$310)+COUNTA(条幅!$B$11:$B$310),INDEX(条幅!$F$11:$F$310,710-COUNTA(半紙!$B$11:$B$310)),IF(710&lt;=COUNTA(半紙!$B$11:$B$310)+COUNTA(条幅!$B$11:$B$310)+COUNTA(条幅4分の1!$B$11:$B$310),INDEX(条幅4分の1!$F$11:$F$310,710-COUNTA(半紙!$B$11:$B$310)-COUNTA(条幅!$B$11:$B$310)),""))))</f>
        <v/>
      </c>
      <c r="G715" s="38" t="str">
        <f>IF(IF(710&lt;=COUNTA(半紙!$B$11:$B$310),INDEX(半紙!$G$11:$G$310,710),IF(710&lt;=COUNTA(半紙!$B$11:$B$310)+COUNTA(条幅!$B$11:$B$310),INDEX(条幅!$G$11:$G$310,710-COUNTA(半紙!$B$11:$B$310)),IF(710&lt;=COUNTA(半紙!$B$11:$B$310)+COUNTA(条幅!$B$11:$B$310)+COUNTA(条幅4分の1!$B$11:$B$310),INDEX(条幅4分の1!$G$11:$G$310,710-COUNTA(半紙!$B$11:$B$310)-COUNTA(条幅!$B$11:$B$310)),"")))=0,"",IF(710&lt;=COUNTA(半紙!$B$11:$B$310),INDEX(半紙!$G$11:$G$310,710),IF(710&lt;=COUNTA(半紙!$B$11:$B$310)+COUNTA(条幅!$B$11:$B$310),INDEX(条幅!$G$11:$G$310,710-COUNTA(半紙!$B$11:$B$310)),IF(710&lt;=COUNTA(半紙!$B$11:$B$310)+COUNTA(条幅!$B$11:$B$310)+COUNTA(条幅4分の1!$B$11:$B$310),INDEX(条幅4分の1!$G$11:$G$310,710-COUNTA(半紙!$B$11:$B$310)-COUNTA(条幅!$B$11:$B$310)),""))))</f>
        <v/>
      </c>
      <c r="H715" s="38" t="str">
        <f>IF(IF(710&lt;=COUNTA(半紙!$B$11:$B$310),INDEX(半紙!$H$11:$H$310,710),IF(710&lt;=COUNTA(半紙!$B$11:$B$310)+COUNTA(条幅!$B$11:$B$310),INDEX(条幅!$H$11:$H$310,710-COUNTA(半紙!$B$11:$B$310)),IF(710&lt;=COUNTA(半紙!$B$11:$B$310)+COUNTA(条幅!$B$11:$B$310)+COUNTA(条幅4分の1!$B$11:$B$310),INDEX(条幅4分の1!$H$11:$H$310,710-COUNTA(半紙!$B$11:$B$310)-COUNTA(条幅!$B$11:$B$310)),"")))=0,"",IF(710&lt;=COUNTA(半紙!$B$11:$B$310),INDEX(半紙!$H$11:$H$310,710),IF(710&lt;=COUNTA(半紙!$B$11:$B$310)+COUNTA(条幅!$B$11:$B$310),INDEX(条幅!$H$11:$H$310,710-COUNTA(半紙!$B$11:$B$310)),IF(710&lt;=COUNTA(半紙!$B$11:$B$310)+COUNTA(条幅!$B$11:$B$310)+COUNTA(条幅4分の1!$B$11:$B$310),INDEX(条幅4分の1!$H$11:$H$310,710-COUNTA(半紙!$B$11:$B$310)-COUNTA(条幅!$B$11:$B$310)),""))))</f>
        <v/>
      </c>
      <c r="I715" s="38" t="str">
        <f>IF(IF(710&lt;=COUNTA(半紙!$B$11:$B$310),INDEX(半紙!$I$11:$I$310,710),IF(710&lt;=COUNTA(半紙!$B$11:$B$310)+COUNTA(条幅!$B$11:$B$310),INDEX(条幅!$I$11:$I$310,710-COUNTA(半紙!$B$11:$B$310)),IF(710&lt;=COUNTA(半紙!$B$11:$B$310)+COUNTA(条幅!$B$11:$B$310)+COUNTA(条幅4分の1!$B$11:$B$310),INDEX(条幅4分の1!$I$11:$I$310,710-COUNTA(半紙!$B$11:$B$310)-COUNTA(条幅!$B$11:$B$310)),"")))=0,"",IF(710&lt;=COUNTA(半紙!$B$11:$B$310),INDEX(半紙!$I$11:$I$310,710),IF(710&lt;=COUNTA(半紙!$B$11:$B$310)+COUNTA(条幅!$B$11:$B$310),INDEX(条幅!$I$11:$I$310,710-COUNTA(半紙!$B$11:$B$310)),IF(710&lt;=COUNTA(半紙!$B$11:$B$310)+COUNTA(条幅!$B$11:$B$310)+COUNTA(条幅4分の1!$B$11:$B$310),INDEX(条幅4分の1!$I$11:$I$310,710-COUNTA(半紙!$B$11:$B$310)-COUNTA(条幅!$B$11:$B$310)),""))))</f>
        <v/>
      </c>
      <c r="J715" s="38" t="str">
        <f>IF(IF(710&lt;=COUNTA(半紙!$B$11:$B$310),INDEX(半紙!$J$11:$J$310,710),IF(710&lt;=COUNTA(半紙!$B$11:$B$310)+COUNTA(条幅!$B$11:$B$310),INDEX(条幅!$J$11:$J$310,710-COUNTA(半紙!$B$11:$B$310)),IF(710&lt;=COUNTA(半紙!$B$11:$B$310)+COUNTA(条幅!$B$11:$B$310)+COUNTA(条幅4分の1!$B$11:$B$310),INDEX(条幅4分の1!$J$11:$J$310,710-COUNTA(半紙!$B$11:$B$310)-COUNTA(条幅!$B$11:$B$310)),"")))=0,"",IF(710&lt;=COUNTA(半紙!$B$11:$B$310),INDEX(半紙!$J$11:$J$310,710),IF(710&lt;=COUNTA(半紙!$B$11:$B$310)+COUNTA(条幅!$B$11:$B$310),INDEX(条幅!$J$11:$J$310,710-COUNTA(半紙!$B$11:$B$310)),IF(710&lt;=COUNTA(半紙!$B$11:$B$310)+COUNTA(条幅!$B$11:$B$310)+COUNTA(条幅4分の1!$B$11:$B$310),INDEX(条幅4分の1!$J$11:$J$310,710-COUNTA(半紙!$B$11:$B$310)-COUNTA(条幅!$B$11:$B$310)),""))))</f>
        <v/>
      </c>
      <c r="K715" s="38" t="str">
        <f>IF(IF(710&lt;=COUNTA(半紙!$B$11:$B$310),INDEX(半紙!$K$11:$K$310,710),IF(710&lt;=COUNTA(半紙!$B$11:$B$310)+COUNTA(条幅!$B$11:$B$310),INDEX(条幅!$K$11:$K$310,710-COUNTA(半紙!$B$11:$B$310)),IF(710&lt;=COUNTA(半紙!$B$11:$B$310)+COUNTA(条幅!$B$11:$B$310)+COUNTA(条幅4分の1!$B$11:$B$310),INDEX(条幅4分の1!$K$11:$K$310,710-COUNTA(半紙!$B$11:$B$310)-COUNTA(条幅!$B$11:$B$310)),"")))=0,"",IF(710&lt;=COUNTA(半紙!$B$11:$B$310),INDEX(半紙!$K$11:$K$310,710),IF(710&lt;=COUNTA(半紙!$B$11:$B$310)+COUNTA(条幅!$B$11:$B$310),INDEX(条幅!$K$11:$K$310,710-COUNTA(半紙!$B$11:$B$310)),IF(710&lt;=COUNTA(半紙!$B$11:$B$310)+COUNTA(条幅!$B$11:$B$310)+COUNTA(条幅4分の1!$B$11:$B$310),INDEX(条幅4分の1!$K$11:$K$310,710-COUNTA(半紙!$B$11:$B$310)-COUNTA(条幅!$B$11:$B$310)),""))))</f>
        <v/>
      </c>
      <c r="L715" s="48" t="str">
        <f>IF($B715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710))</f>
        <v/>
      </c>
    </row>
    <row r="716" spans="1:12" ht="15" customHeight="1">
      <c r="A716" s="37" t="str">
        <f>IF(711&lt;=COUNTA(半紙!$B$11:$B$310),"半紙",IF(711&lt;=COUNTA(半紙!$B$11:$B$310)+COUNTA(条幅!$B$11:$B$310),"条幅(半切)",IF(711&lt;=COUNTA(半紙!$B$11:$B$310)+COUNTA(条幅!$B$11:$B$310)+COUNTA(条幅4分の1!$B$11:$B$310),"条幅(1/4)","")))</f>
        <v/>
      </c>
      <c r="B716" s="38" t="str">
        <f>IF(IF(711&lt;=COUNTA(半紙!$B$11:$B$310),INDEX(半紙!$B$11:$B$310,711),IF(711&lt;=COUNTA(半紙!$B$11:$B$310)+COUNTA(条幅!$B$11:$B$310),INDEX(条幅!$B$11:$B$310,711-COUNTA(半紙!$B$11:$B$310)),IF(711&lt;=COUNTA(半紙!$B$11:$B$310)+COUNTA(条幅!$B$11:$B$310)+COUNTA(条幅4分の1!$B$11:$B$310),INDEX(条幅4分の1!$B$11:$B$310,711-COUNTA(半紙!$B$11:$B$310)-COUNTA(条幅!$B$11:$B$310)),"")))=0,"",IF(711&lt;=COUNTA(半紙!$B$11:$B$310),INDEX(半紙!$B$11:$B$310,711),IF(711&lt;=COUNTA(半紙!$B$11:$B$310)+COUNTA(条幅!$B$11:$B$310),INDEX(条幅!$B$11:$B$310,711-COUNTA(半紙!$B$11:$B$310)),IF(711&lt;=COUNTA(半紙!$B$11:$B$310)+COUNTA(条幅!$B$11:$B$310)+COUNTA(条幅4分の1!$B$11:$B$310),INDEX(条幅4分の1!$B$11:$B$310,711-COUNTA(半紙!$B$11:$B$310)-COUNTA(条幅!$B$11:$B$310)),""))))</f>
        <v/>
      </c>
      <c r="C716" s="38" t="str">
        <f>IF(IF(711&lt;=COUNTA(半紙!$B$11:$B$310),INDEX(半紙!$C$11:$C$310,711),IF(711&lt;=COUNTA(半紙!$B$11:$B$310)+COUNTA(条幅!$B$11:$B$310),INDEX(条幅!$C$11:$C$310,711-COUNTA(半紙!$B$11:$B$310)),IF(711&lt;=COUNTA(半紙!$B$11:$B$310)+COUNTA(条幅!$B$11:$B$310)+COUNTA(条幅4分の1!$B$11:$B$310),INDEX(条幅4分の1!$C$11:$C$310,711-COUNTA(半紙!$B$11:$B$310)-COUNTA(条幅!$B$11:$B$310)),"")))=0,"",IF(711&lt;=COUNTA(半紙!$B$11:$B$310),INDEX(半紙!$C$11:$C$310,711),IF(711&lt;=COUNTA(半紙!$B$11:$B$310)+COUNTA(条幅!$B$11:$B$310),INDEX(条幅!$C$11:$C$310,711-COUNTA(半紙!$B$11:$B$310)),IF(711&lt;=COUNTA(半紙!$B$11:$B$310)+COUNTA(条幅!$B$11:$B$310)+COUNTA(条幅4分の1!$B$11:$B$310),INDEX(条幅4分の1!$C$11:$C$310,711-COUNTA(半紙!$B$11:$B$310)-COUNTA(条幅!$B$11:$B$310)),""))))</f>
        <v/>
      </c>
      <c r="D716" s="38" t="str">
        <f>IF(IF(711&lt;=COUNTA(半紙!$B$11:$B$310),INDEX(半紙!$D$11:$D$310,711),IF(711&lt;=COUNTA(半紙!$B$11:$B$310)+COUNTA(条幅!$B$11:$B$310),INDEX(条幅!$D$11:$D$310,711-COUNTA(半紙!$B$11:$B$310)),IF(711&lt;=COUNTA(半紙!$B$11:$B$310)+COUNTA(条幅!$B$11:$B$310)+COUNTA(条幅4分の1!$B$11:$B$310),INDEX(条幅4分の1!$D$11:$D$310,711-COUNTA(半紙!$B$11:$B$310)-COUNTA(条幅!$B$11:$B$310)),"")))=0,"",IF(711&lt;=COUNTA(半紙!$B$11:$B$310),INDEX(半紙!$D$11:$D$310,711),IF(711&lt;=COUNTA(半紙!$B$11:$B$310)+COUNTA(条幅!$B$11:$B$310),INDEX(条幅!$D$11:$D$310,711-COUNTA(半紙!$B$11:$B$310)),IF(711&lt;=COUNTA(半紙!$B$11:$B$310)+COUNTA(条幅!$B$11:$B$310)+COUNTA(条幅4分の1!$B$11:$B$310),INDEX(条幅4分の1!$D$11:$D$310,711-COUNTA(半紙!$B$11:$B$310)-COUNTA(条幅!$B$11:$B$310)),""))))</f>
        <v/>
      </c>
      <c r="E716" s="38" t="str">
        <f>IF(IF(711&lt;=COUNTA(半紙!$B$11:$B$310),INDEX(半紙!$E$11:$E$310,711),IF(711&lt;=COUNTA(半紙!$B$11:$B$310)+COUNTA(条幅!$B$11:$B$310),INDEX(条幅!$E$11:$E$310,711-COUNTA(半紙!$B$11:$B$310)),IF(711&lt;=COUNTA(半紙!$B$11:$B$310)+COUNTA(条幅!$B$11:$B$310)+COUNTA(条幅4分の1!$B$11:$B$310),INDEX(条幅4分の1!$E$11:$E$310,711-COUNTA(半紙!$B$11:$B$310)-COUNTA(条幅!$B$11:$B$310)),"")))=0,"",IF(711&lt;=COUNTA(半紙!$B$11:$B$310),INDEX(半紙!$E$11:$E$310,711),IF(711&lt;=COUNTA(半紙!$B$11:$B$310)+COUNTA(条幅!$B$11:$B$310),INDEX(条幅!$E$11:$E$310,711-COUNTA(半紙!$B$11:$B$310)),IF(711&lt;=COUNTA(半紙!$B$11:$B$310)+COUNTA(条幅!$B$11:$B$310)+COUNTA(条幅4分の1!$B$11:$B$310),INDEX(条幅4分の1!$E$11:$E$310,711-COUNTA(半紙!$B$11:$B$310)-COUNTA(条幅!$B$11:$B$310)),""))))</f>
        <v/>
      </c>
      <c r="F716" s="38" t="str">
        <f>IF(IF(711&lt;=COUNTA(半紙!$B$11:$B$310),INDEX(半紙!$F$11:$F$310,711),IF(711&lt;=COUNTA(半紙!$B$11:$B$310)+COUNTA(条幅!$B$11:$B$310),INDEX(条幅!$F$11:$F$310,711-COUNTA(半紙!$B$11:$B$310)),IF(711&lt;=COUNTA(半紙!$B$11:$B$310)+COUNTA(条幅!$B$11:$B$310)+COUNTA(条幅4分の1!$B$11:$B$310),INDEX(条幅4分の1!$F$11:$F$310,711-COUNTA(半紙!$B$11:$B$310)-COUNTA(条幅!$B$11:$B$310)),"")))=0,"",IF(711&lt;=COUNTA(半紙!$B$11:$B$310),INDEX(半紙!$F$11:$F$310,711),IF(711&lt;=COUNTA(半紙!$B$11:$B$310)+COUNTA(条幅!$B$11:$B$310),INDEX(条幅!$F$11:$F$310,711-COUNTA(半紙!$B$11:$B$310)),IF(711&lt;=COUNTA(半紙!$B$11:$B$310)+COUNTA(条幅!$B$11:$B$310)+COUNTA(条幅4分の1!$B$11:$B$310),INDEX(条幅4分の1!$F$11:$F$310,711-COUNTA(半紙!$B$11:$B$310)-COUNTA(条幅!$B$11:$B$310)),""))))</f>
        <v/>
      </c>
      <c r="G716" s="38" t="str">
        <f>IF(IF(711&lt;=COUNTA(半紙!$B$11:$B$310),INDEX(半紙!$G$11:$G$310,711),IF(711&lt;=COUNTA(半紙!$B$11:$B$310)+COUNTA(条幅!$B$11:$B$310),INDEX(条幅!$G$11:$G$310,711-COUNTA(半紙!$B$11:$B$310)),IF(711&lt;=COUNTA(半紙!$B$11:$B$310)+COUNTA(条幅!$B$11:$B$310)+COUNTA(条幅4分の1!$B$11:$B$310),INDEX(条幅4分の1!$G$11:$G$310,711-COUNTA(半紙!$B$11:$B$310)-COUNTA(条幅!$B$11:$B$310)),"")))=0,"",IF(711&lt;=COUNTA(半紙!$B$11:$B$310),INDEX(半紙!$G$11:$G$310,711),IF(711&lt;=COUNTA(半紙!$B$11:$B$310)+COUNTA(条幅!$B$11:$B$310),INDEX(条幅!$G$11:$G$310,711-COUNTA(半紙!$B$11:$B$310)),IF(711&lt;=COUNTA(半紙!$B$11:$B$310)+COUNTA(条幅!$B$11:$B$310)+COUNTA(条幅4分の1!$B$11:$B$310),INDEX(条幅4分の1!$G$11:$G$310,711-COUNTA(半紙!$B$11:$B$310)-COUNTA(条幅!$B$11:$B$310)),""))))</f>
        <v/>
      </c>
      <c r="H716" s="38" t="str">
        <f>IF(IF(711&lt;=COUNTA(半紙!$B$11:$B$310),INDEX(半紙!$H$11:$H$310,711),IF(711&lt;=COUNTA(半紙!$B$11:$B$310)+COUNTA(条幅!$B$11:$B$310),INDEX(条幅!$H$11:$H$310,711-COUNTA(半紙!$B$11:$B$310)),IF(711&lt;=COUNTA(半紙!$B$11:$B$310)+COUNTA(条幅!$B$11:$B$310)+COUNTA(条幅4分の1!$B$11:$B$310),INDEX(条幅4分の1!$H$11:$H$310,711-COUNTA(半紙!$B$11:$B$310)-COUNTA(条幅!$B$11:$B$310)),"")))=0,"",IF(711&lt;=COUNTA(半紙!$B$11:$B$310),INDEX(半紙!$H$11:$H$310,711),IF(711&lt;=COUNTA(半紙!$B$11:$B$310)+COUNTA(条幅!$B$11:$B$310),INDEX(条幅!$H$11:$H$310,711-COUNTA(半紙!$B$11:$B$310)),IF(711&lt;=COUNTA(半紙!$B$11:$B$310)+COUNTA(条幅!$B$11:$B$310)+COUNTA(条幅4分の1!$B$11:$B$310),INDEX(条幅4分の1!$H$11:$H$310,711-COUNTA(半紙!$B$11:$B$310)-COUNTA(条幅!$B$11:$B$310)),""))))</f>
        <v/>
      </c>
      <c r="I716" s="38" t="str">
        <f>IF(IF(711&lt;=COUNTA(半紙!$B$11:$B$310),INDEX(半紙!$I$11:$I$310,711),IF(711&lt;=COUNTA(半紙!$B$11:$B$310)+COUNTA(条幅!$B$11:$B$310),INDEX(条幅!$I$11:$I$310,711-COUNTA(半紙!$B$11:$B$310)),IF(711&lt;=COUNTA(半紙!$B$11:$B$310)+COUNTA(条幅!$B$11:$B$310)+COUNTA(条幅4分の1!$B$11:$B$310),INDEX(条幅4分の1!$I$11:$I$310,711-COUNTA(半紙!$B$11:$B$310)-COUNTA(条幅!$B$11:$B$310)),"")))=0,"",IF(711&lt;=COUNTA(半紙!$B$11:$B$310),INDEX(半紙!$I$11:$I$310,711),IF(711&lt;=COUNTA(半紙!$B$11:$B$310)+COUNTA(条幅!$B$11:$B$310),INDEX(条幅!$I$11:$I$310,711-COUNTA(半紙!$B$11:$B$310)),IF(711&lt;=COUNTA(半紙!$B$11:$B$310)+COUNTA(条幅!$B$11:$B$310)+COUNTA(条幅4分の1!$B$11:$B$310),INDEX(条幅4分の1!$I$11:$I$310,711-COUNTA(半紙!$B$11:$B$310)-COUNTA(条幅!$B$11:$B$310)),""))))</f>
        <v/>
      </c>
      <c r="J716" s="38" t="str">
        <f>IF(IF(711&lt;=COUNTA(半紙!$B$11:$B$310),INDEX(半紙!$J$11:$J$310,711),IF(711&lt;=COUNTA(半紙!$B$11:$B$310)+COUNTA(条幅!$B$11:$B$310),INDEX(条幅!$J$11:$J$310,711-COUNTA(半紙!$B$11:$B$310)),IF(711&lt;=COUNTA(半紙!$B$11:$B$310)+COUNTA(条幅!$B$11:$B$310)+COUNTA(条幅4分の1!$B$11:$B$310),INDEX(条幅4分の1!$J$11:$J$310,711-COUNTA(半紙!$B$11:$B$310)-COUNTA(条幅!$B$11:$B$310)),"")))=0,"",IF(711&lt;=COUNTA(半紙!$B$11:$B$310),INDEX(半紙!$J$11:$J$310,711),IF(711&lt;=COUNTA(半紙!$B$11:$B$310)+COUNTA(条幅!$B$11:$B$310),INDEX(条幅!$J$11:$J$310,711-COUNTA(半紙!$B$11:$B$310)),IF(711&lt;=COUNTA(半紙!$B$11:$B$310)+COUNTA(条幅!$B$11:$B$310)+COUNTA(条幅4分の1!$B$11:$B$310),INDEX(条幅4分の1!$J$11:$J$310,711-COUNTA(半紙!$B$11:$B$310)-COUNTA(条幅!$B$11:$B$310)),""))))</f>
        <v/>
      </c>
      <c r="K716" s="38" t="str">
        <f>IF(IF(711&lt;=COUNTA(半紙!$B$11:$B$310),INDEX(半紙!$K$11:$K$310,711),IF(711&lt;=COUNTA(半紙!$B$11:$B$310)+COUNTA(条幅!$B$11:$B$310),INDEX(条幅!$K$11:$K$310,711-COUNTA(半紙!$B$11:$B$310)),IF(711&lt;=COUNTA(半紙!$B$11:$B$310)+COUNTA(条幅!$B$11:$B$310)+COUNTA(条幅4分の1!$B$11:$B$310),INDEX(条幅4分の1!$K$11:$K$310,711-COUNTA(半紙!$B$11:$B$310)-COUNTA(条幅!$B$11:$B$310)),"")))=0,"",IF(711&lt;=COUNTA(半紙!$B$11:$B$310),INDEX(半紙!$K$11:$K$310,711),IF(711&lt;=COUNTA(半紙!$B$11:$B$310)+COUNTA(条幅!$B$11:$B$310),INDEX(条幅!$K$11:$K$310,711-COUNTA(半紙!$B$11:$B$310)),IF(711&lt;=COUNTA(半紙!$B$11:$B$310)+COUNTA(条幅!$B$11:$B$310)+COUNTA(条幅4分の1!$B$11:$B$310),INDEX(条幅4分の1!$K$11:$K$310,711-COUNTA(半紙!$B$11:$B$310)-COUNTA(条幅!$B$11:$B$310)),""))))</f>
        <v/>
      </c>
      <c r="L716" s="48" t="str">
        <f>IF($B716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711))</f>
        <v/>
      </c>
    </row>
    <row r="717" spans="1:12" ht="15" customHeight="1">
      <c r="A717" s="37" t="str">
        <f>IF(712&lt;=COUNTA(半紙!$B$11:$B$310),"半紙",IF(712&lt;=COUNTA(半紙!$B$11:$B$310)+COUNTA(条幅!$B$11:$B$310),"条幅(半切)",IF(712&lt;=COUNTA(半紙!$B$11:$B$310)+COUNTA(条幅!$B$11:$B$310)+COUNTA(条幅4分の1!$B$11:$B$310),"条幅(1/4)","")))</f>
        <v/>
      </c>
      <c r="B717" s="38" t="str">
        <f>IF(IF(712&lt;=COUNTA(半紙!$B$11:$B$310),INDEX(半紙!$B$11:$B$310,712),IF(712&lt;=COUNTA(半紙!$B$11:$B$310)+COUNTA(条幅!$B$11:$B$310),INDEX(条幅!$B$11:$B$310,712-COUNTA(半紙!$B$11:$B$310)),IF(712&lt;=COUNTA(半紙!$B$11:$B$310)+COUNTA(条幅!$B$11:$B$310)+COUNTA(条幅4分の1!$B$11:$B$310),INDEX(条幅4分の1!$B$11:$B$310,712-COUNTA(半紙!$B$11:$B$310)-COUNTA(条幅!$B$11:$B$310)),"")))=0,"",IF(712&lt;=COUNTA(半紙!$B$11:$B$310),INDEX(半紙!$B$11:$B$310,712),IF(712&lt;=COUNTA(半紙!$B$11:$B$310)+COUNTA(条幅!$B$11:$B$310),INDEX(条幅!$B$11:$B$310,712-COUNTA(半紙!$B$11:$B$310)),IF(712&lt;=COUNTA(半紙!$B$11:$B$310)+COUNTA(条幅!$B$11:$B$310)+COUNTA(条幅4分の1!$B$11:$B$310),INDEX(条幅4分の1!$B$11:$B$310,712-COUNTA(半紙!$B$11:$B$310)-COUNTA(条幅!$B$11:$B$310)),""))))</f>
        <v/>
      </c>
      <c r="C717" s="38" t="str">
        <f>IF(IF(712&lt;=COUNTA(半紙!$B$11:$B$310),INDEX(半紙!$C$11:$C$310,712),IF(712&lt;=COUNTA(半紙!$B$11:$B$310)+COUNTA(条幅!$B$11:$B$310),INDEX(条幅!$C$11:$C$310,712-COUNTA(半紙!$B$11:$B$310)),IF(712&lt;=COUNTA(半紙!$B$11:$B$310)+COUNTA(条幅!$B$11:$B$310)+COUNTA(条幅4分の1!$B$11:$B$310),INDEX(条幅4分の1!$C$11:$C$310,712-COUNTA(半紙!$B$11:$B$310)-COUNTA(条幅!$B$11:$B$310)),"")))=0,"",IF(712&lt;=COUNTA(半紙!$B$11:$B$310),INDEX(半紙!$C$11:$C$310,712),IF(712&lt;=COUNTA(半紙!$B$11:$B$310)+COUNTA(条幅!$B$11:$B$310),INDEX(条幅!$C$11:$C$310,712-COUNTA(半紙!$B$11:$B$310)),IF(712&lt;=COUNTA(半紙!$B$11:$B$310)+COUNTA(条幅!$B$11:$B$310)+COUNTA(条幅4分の1!$B$11:$B$310),INDEX(条幅4分の1!$C$11:$C$310,712-COUNTA(半紙!$B$11:$B$310)-COUNTA(条幅!$B$11:$B$310)),""))))</f>
        <v/>
      </c>
      <c r="D717" s="38" t="str">
        <f>IF(IF(712&lt;=COUNTA(半紙!$B$11:$B$310),INDEX(半紙!$D$11:$D$310,712),IF(712&lt;=COUNTA(半紙!$B$11:$B$310)+COUNTA(条幅!$B$11:$B$310),INDEX(条幅!$D$11:$D$310,712-COUNTA(半紙!$B$11:$B$310)),IF(712&lt;=COUNTA(半紙!$B$11:$B$310)+COUNTA(条幅!$B$11:$B$310)+COUNTA(条幅4分の1!$B$11:$B$310),INDEX(条幅4分の1!$D$11:$D$310,712-COUNTA(半紙!$B$11:$B$310)-COUNTA(条幅!$B$11:$B$310)),"")))=0,"",IF(712&lt;=COUNTA(半紙!$B$11:$B$310),INDEX(半紙!$D$11:$D$310,712),IF(712&lt;=COUNTA(半紙!$B$11:$B$310)+COUNTA(条幅!$B$11:$B$310),INDEX(条幅!$D$11:$D$310,712-COUNTA(半紙!$B$11:$B$310)),IF(712&lt;=COUNTA(半紙!$B$11:$B$310)+COUNTA(条幅!$B$11:$B$310)+COUNTA(条幅4分の1!$B$11:$B$310),INDEX(条幅4分の1!$D$11:$D$310,712-COUNTA(半紙!$B$11:$B$310)-COUNTA(条幅!$B$11:$B$310)),""))))</f>
        <v/>
      </c>
      <c r="E717" s="38" t="str">
        <f>IF(IF(712&lt;=COUNTA(半紙!$B$11:$B$310),INDEX(半紙!$E$11:$E$310,712),IF(712&lt;=COUNTA(半紙!$B$11:$B$310)+COUNTA(条幅!$B$11:$B$310),INDEX(条幅!$E$11:$E$310,712-COUNTA(半紙!$B$11:$B$310)),IF(712&lt;=COUNTA(半紙!$B$11:$B$310)+COUNTA(条幅!$B$11:$B$310)+COUNTA(条幅4分の1!$B$11:$B$310),INDEX(条幅4分の1!$E$11:$E$310,712-COUNTA(半紙!$B$11:$B$310)-COUNTA(条幅!$B$11:$B$310)),"")))=0,"",IF(712&lt;=COUNTA(半紙!$B$11:$B$310),INDEX(半紙!$E$11:$E$310,712),IF(712&lt;=COUNTA(半紙!$B$11:$B$310)+COUNTA(条幅!$B$11:$B$310),INDEX(条幅!$E$11:$E$310,712-COUNTA(半紙!$B$11:$B$310)),IF(712&lt;=COUNTA(半紙!$B$11:$B$310)+COUNTA(条幅!$B$11:$B$310)+COUNTA(条幅4分の1!$B$11:$B$310),INDEX(条幅4分の1!$E$11:$E$310,712-COUNTA(半紙!$B$11:$B$310)-COUNTA(条幅!$B$11:$B$310)),""))))</f>
        <v/>
      </c>
      <c r="F717" s="38" t="str">
        <f>IF(IF(712&lt;=COUNTA(半紙!$B$11:$B$310),INDEX(半紙!$F$11:$F$310,712),IF(712&lt;=COUNTA(半紙!$B$11:$B$310)+COUNTA(条幅!$B$11:$B$310),INDEX(条幅!$F$11:$F$310,712-COUNTA(半紙!$B$11:$B$310)),IF(712&lt;=COUNTA(半紙!$B$11:$B$310)+COUNTA(条幅!$B$11:$B$310)+COUNTA(条幅4分の1!$B$11:$B$310),INDEX(条幅4分の1!$F$11:$F$310,712-COUNTA(半紙!$B$11:$B$310)-COUNTA(条幅!$B$11:$B$310)),"")))=0,"",IF(712&lt;=COUNTA(半紙!$B$11:$B$310),INDEX(半紙!$F$11:$F$310,712),IF(712&lt;=COUNTA(半紙!$B$11:$B$310)+COUNTA(条幅!$B$11:$B$310),INDEX(条幅!$F$11:$F$310,712-COUNTA(半紙!$B$11:$B$310)),IF(712&lt;=COUNTA(半紙!$B$11:$B$310)+COUNTA(条幅!$B$11:$B$310)+COUNTA(条幅4分の1!$B$11:$B$310),INDEX(条幅4分の1!$F$11:$F$310,712-COUNTA(半紙!$B$11:$B$310)-COUNTA(条幅!$B$11:$B$310)),""))))</f>
        <v/>
      </c>
      <c r="G717" s="38" t="str">
        <f>IF(IF(712&lt;=COUNTA(半紙!$B$11:$B$310),INDEX(半紙!$G$11:$G$310,712),IF(712&lt;=COUNTA(半紙!$B$11:$B$310)+COUNTA(条幅!$B$11:$B$310),INDEX(条幅!$G$11:$G$310,712-COUNTA(半紙!$B$11:$B$310)),IF(712&lt;=COUNTA(半紙!$B$11:$B$310)+COUNTA(条幅!$B$11:$B$310)+COUNTA(条幅4分の1!$B$11:$B$310),INDEX(条幅4分の1!$G$11:$G$310,712-COUNTA(半紙!$B$11:$B$310)-COUNTA(条幅!$B$11:$B$310)),"")))=0,"",IF(712&lt;=COUNTA(半紙!$B$11:$B$310),INDEX(半紙!$G$11:$G$310,712),IF(712&lt;=COUNTA(半紙!$B$11:$B$310)+COUNTA(条幅!$B$11:$B$310),INDEX(条幅!$G$11:$G$310,712-COUNTA(半紙!$B$11:$B$310)),IF(712&lt;=COUNTA(半紙!$B$11:$B$310)+COUNTA(条幅!$B$11:$B$310)+COUNTA(条幅4分の1!$B$11:$B$310),INDEX(条幅4分の1!$G$11:$G$310,712-COUNTA(半紙!$B$11:$B$310)-COUNTA(条幅!$B$11:$B$310)),""))))</f>
        <v/>
      </c>
      <c r="H717" s="38" t="str">
        <f>IF(IF(712&lt;=COUNTA(半紙!$B$11:$B$310),INDEX(半紙!$H$11:$H$310,712),IF(712&lt;=COUNTA(半紙!$B$11:$B$310)+COUNTA(条幅!$B$11:$B$310),INDEX(条幅!$H$11:$H$310,712-COUNTA(半紙!$B$11:$B$310)),IF(712&lt;=COUNTA(半紙!$B$11:$B$310)+COUNTA(条幅!$B$11:$B$310)+COUNTA(条幅4分の1!$B$11:$B$310),INDEX(条幅4分の1!$H$11:$H$310,712-COUNTA(半紙!$B$11:$B$310)-COUNTA(条幅!$B$11:$B$310)),"")))=0,"",IF(712&lt;=COUNTA(半紙!$B$11:$B$310),INDEX(半紙!$H$11:$H$310,712),IF(712&lt;=COUNTA(半紙!$B$11:$B$310)+COUNTA(条幅!$B$11:$B$310),INDEX(条幅!$H$11:$H$310,712-COUNTA(半紙!$B$11:$B$310)),IF(712&lt;=COUNTA(半紙!$B$11:$B$310)+COUNTA(条幅!$B$11:$B$310)+COUNTA(条幅4分の1!$B$11:$B$310),INDEX(条幅4分の1!$H$11:$H$310,712-COUNTA(半紙!$B$11:$B$310)-COUNTA(条幅!$B$11:$B$310)),""))))</f>
        <v/>
      </c>
      <c r="I717" s="38" t="str">
        <f>IF(IF(712&lt;=COUNTA(半紙!$B$11:$B$310),INDEX(半紙!$I$11:$I$310,712),IF(712&lt;=COUNTA(半紙!$B$11:$B$310)+COUNTA(条幅!$B$11:$B$310),INDEX(条幅!$I$11:$I$310,712-COUNTA(半紙!$B$11:$B$310)),IF(712&lt;=COUNTA(半紙!$B$11:$B$310)+COUNTA(条幅!$B$11:$B$310)+COUNTA(条幅4分の1!$B$11:$B$310),INDEX(条幅4分の1!$I$11:$I$310,712-COUNTA(半紙!$B$11:$B$310)-COUNTA(条幅!$B$11:$B$310)),"")))=0,"",IF(712&lt;=COUNTA(半紙!$B$11:$B$310),INDEX(半紙!$I$11:$I$310,712),IF(712&lt;=COUNTA(半紙!$B$11:$B$310)+COUNTA(条幅!$B$11:$B$310),INDEX(条幅!$I$11:$I$310,712-COUNTA(半紙!$B$11:$B$310)),IF(712&lt;=COUNTA(半紙!$B$11:$B$310)+COUNTA(条幅!$B$11:$B$310)+COUNTA(条幅4分の1!$B$11:$B$310),INDEX(条幅4分の1!$I$11:$I$310,712-COUNTA(半紙!$B$11:$B$310)-COUNTA(条幅!$B$11:$B$310)),""))))</f>
        <v/>
      </c>
      <c r="J717" s="38" t="str">
        <f>IF(IF(712&lt;=COUNTA(半紙!$B$11:$B$310),INDEX(半紙!$J$11:$J$310,712),IF(712&lt;=COUNTA(半紙!$B$11:$B$310)+COUNTA(条幅!$B$11:$B$310),INDEX(条幅!$J$11:$J$310,712-COUNTA(半紙!$B$11:$B$310)),IF(712&lt;=COUNTA(半紙!$B$11:$B$310)+COUNTA(条幅!$B$11:$B$310)+COUNTA(条幅4分の1!$B$11:$B$310),INDEX(条幅4分の1!$J$11:$J$310,712-COUNTA(半紙!$B$11:$B$310)-COUNTA(条幅!$B$11:$B$310)),"")))=0,"",IF(712&lt;=COUNTA(半紙!$B$11:$B$310),INDEX(半紙!$J$11:$J$310,712),IF(712&lt;=COUNTA(半紙!$B$11:$B$310)+COUNTA(条幅!$B$11:$B$310),INDEX(条幅!$J$11:$J$310,712-COUNTA(半紙!$B$11:$B$310)),IF(712&lt;=COUNTA(半紙!$B$11:$B$310)+COUNTA(条幅!$B$11:$B$310)+COUNTA(条幅4分の1!$B$11:$B$310),INDEX(条幅4分の1!$J$11:$J$310,712-COUNTA(半紙!$B$11:$B$310)-COUNTA(条幅!$B$11:$B$310)),""))))</f>
        <v/>
      </c>
      <c r="K717" s="38" t="str">
        <f>IF(IF(712&lt;=COUNTA(半紙!$B$11:$B$310),INDEX(半紙!$K$11:$K$310,712),IF(712&lt;=COUNTA(半紙!$B$11:$B$310)+COUNTA(条幅!$B$11:$B$310),INDEX(条幅!$K$11:$K$310,712-COUNTA(半紙!$B$11:$B$310)),IF(712&lt;=COUNTA(半紙!$B$11:$B$310)+COUNTA(条幅!$B$11:$B$310)+COUNTA(条幅4分の1!$B$11:$B$310),INDEX(条幅4分の1!$K$11:$K$310,712-COUNTA(半紙!$B$11:$B$310)-COUNTA(条幅!$B$11:$B$310)),"")))=0,"",IF(712&lt;=COUNTA(半紙!$B$11:$B$310),INDEX(半紙!$K$11:$K$310,712),IF(712&lt;=COUNTA(半紙!$B$11:$B$310)+COUNTA(条幅!$B$11:$B$310),INDEX(条幅!$K$11:$K$310,712-COUNTA(半紙!$B$11:$B$310)),IF(712&lt;=COUNTA(半紙!$B$11:$B$310)+COUNTA(条幅!$B$11:$B$310)+COUNTA(条幅4分の1!$B$11:$B$310),INDEX(条幅4分の1!$K$11:$K$310,712-COUNTA(半紙!$B$11:$B$310)-COUNTA(条幅!$B$11:$B$310)),""))))</f>
        <v/>
      </c>
      <c r="L717" s="48" t="str">
        <f>IF($B717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712))</f>
        <v/>
      </c>
    </row>
    <row r="718" spans="1:12" ht="15" customHeight="1">
      <c r="A718" s="37" t="str">
        <f>IF(713&lt;=COUNTA(半紙!$B$11:$B$310),"半紙",IF(713&lt;=COUNTA(半紙!$B$11:$B$310)+COUNTA(条幅!$B$11:$B$310),"条幅(半切)",IF(713&lt;=COUNTA(半紙!$B$11:$B$310)+COUNTA(条幅!$B$11:$B$310)+COUNTA(条幅4分の1!$B$11:$B$310),"条幅(1/4)","")))</f>
        <v/>
      </c>
      <c r="B718" s="38" t="str">
        <f>IF(IF(713&lt;=COUNTA(半紙!$B$11:$B$310),INDEX(半紙!$B$11:$B$310,713),IF(713&lt;=COUNTA(半紙!$B$11:$B$310)+COUNTA(条幅!$B$11:$B$310),INDEX(条幅!$B$11:$B$310,713-COUNTA(半紙!$B$11:$B$310)),IF(713&lt;=COUNTA(半紙!$B$11:$B$310)+COUNTA(条幅!$B$11:$B$310)+COUNTA(条幅4分の1!$B$11:$B$310),INDEX(条幅4分の1!$B$11:$B$310,713-COUNTA(半紙!$B$11:$B$310)-COUNTA(条幅!$B$11:$B$310)),"")))=0,"",IF(713&lt;=COUNTA(半紙!$B$11:$B$310),INDEX(半紙!$B$11:$B$310,713),IF(713&lt;=COUNTA(半紙!$B$11:$B$310)+COUNTA(条幅!$B$11:$B$310),INDEX(条幅!$B$11:$B$310,713-COUNTA(半紙!$B$11:$B$310)),IF(713&lt;=COUNTA(半紙!$B$11:$B$310)+COUNTA(条幅!$B$11:$B$310)+COUNTA(条幅4分の1!$B$11:$B$310),INDEX(条幅4分の1!$B$11:$B$310,713-COUNTA(半紙!$B$11:$B$310)-COUNTA(条幅!$B$11:$B$310)),""))))</f>
        <v/>
      </c>
      <c r="C718" s="38" t="str">
        <f>IF(IF(713&lt;=COUNTA(半紙!$B$11:$B$310),INDEX(半紙!$C$11:$C$310,713),IF(713&lt;=COUNTA(半紙!$B$11:$B$310)+COUNTA(条幅!$B$11:$B$310),INDEX(条幅!$C$11:$C$310,713-COUNTA(半紙!$B$11:$B$310)),IF(713&lt;=COUNTA(半紙!$B$11:$B$310)+COUNTA(条幅!$B$11:$B$310)+COUNTA(条幅4分の1!$B$11:$B$310),INDEX(条幅4分の1!$C$11:$C$310,713-COUNTA(半紙!$B$11:$B$310)-COUNTA(条幅!$B$11:$B$310)),"")))=0,"",IF(713&lt;=COUNTA(半紙!$B$11:$B$310),INDEX(半紙!$C$11:$C$310,713),IF(713&lt;=COUNTA(半紙!$B$11:$B$310)+COUNTA(条幅!$B$11:$B$310),INDEX(条幅!$C$11:$C$310,713-COUNTA(半紙!$B$11:$B$310)),IF(713&lt;=COUNTA(半紙!$B$11:$B$310)+COUNTA(条幅!$B$11:$B$310)+COUNTA(条幅4分の1!$B$11:$B$310),INDEX(条幅4分の1!$C$11:$C$310,713-COUNTA(半紙!$B$11:$B$310)-COUNTA(条幅!$B$11:$B$310)),""))))</f>
        <v/>
      </c>
      <c r="D718" s="38" t="str">
        <f>IF(IF(713&lt;=COUNTA(半紙!$B$11:$B$310),INDEX(半紙!$D$11:$D$310,713),IF(713&lt;=COUNTA(半紙!$B$11:$B$310)+COUNTA(条幅!$B$11:$B$310),INDEX(条幅!$D$11:$D$310,713-COUNTA(半紙!$B$11:$B$310)),IF(713&lt;=COUNTA(半紙!$B$11:$B$310)+COUNTA(条幅!$B$11:$B$310)+COUNTA(条幅4分の1!$B$11:$B$310),INDEX(条幅4分の1!$D$11:$D$310,713-COUNTA(半紙!$B$11:$B$310)-COUNTA(条幅!$B$11:$B$310)),"")))=0,"",IF(713&lt;=COUNTA(半紙!$B$11:$B$310),INDEX(半紙!$D$11:$D$310,713),IF(713&lt;=COUNTA(半紙!$B$11:$B$310)+COUNTA(条幅!$B$11:$B$310),INDEX(条幅!$D$11:$D$310,713-COUNTA(半紙!$B$11:$B$310)),IF(713&lt;=COUNTA(半紙!$B$11:$B$310)+COUNTA(条幅!$B$11:$B$310)+COUNTA(条幅4分の1!$B$11:$B$310),INDEX(条幅4分の1!$D$11:$D$310,713-COUNTA(半紙!$B$11:$B$310)-COUNTA(条幅!$B$11:$B$310)),""))))</f>
        <v/>
      </c>
      <c r="E718" s="38" t="str">
        <f>IF(IF(713&lt;=COUNTA(半紙!$B$11:$B$310),INDEX(半紙!$E$11:$E$310,713),IF(713&lt;=COUNTA(半紙!$B$11:$B$310)+COUNTA(条幅!$B$11:$B$310),INDEX(条幅!$E$11:$E$310,713-COUNTA(半紙!$B$11:$B$310)),IF(713&lt;=COUNTA(半紙!$B$11:$B$310)+COUNTA(条幅!$B$11:$B$310)+COUNTA(条幅4分の1!$B$11:$B$310),INDEX(条幅4分の1!$E$11:$E$310,713-COUNTA(半紙!$B$11:$B$310)-COUNTA(条幅!$B$11:$B$310)),"")))=0,"",IF(713&lt;=COUNTA(半紙!$B$11:$B$310),INDEX(半紙!$E$11:$E$310,713),IF(713&lt;=COUNTA(半紙!$B$11:$B$310)+COUNTA(条幅!$B$11:$B$310),INDEX(条幅!$E$11:$E$310,713-COUNTA(半紙!$B$11:$B$310)),IF(713&lt;=COUNTA(半紙!$B$11:$B$310)+COUNTA(条幅!$B$11:$B$310)+COUNTA(条幅4分の1!$B$11:$B$310),INDEX(条幅4分の1!$E$11:$E$310,713-COUNTA(半紙!$B$11:$B$310)-COUNTA(条幅!$B$11:$B$310)),""))))</f>
        <v/>
      </c>
      <c r="F718" s="38" t="str">
        <f>IF(IF(713&lt;=COUNTA(半紙!$B$11:$B$310),INDEX(半紙!$F$11:$F$310,713),IF(713&lt;=COUNTA(半紙!$B$11:$B$310)+COUNTA(条幅!$B$11:$B$310),INDEX(条幅!$F$11:$F$310,713-COUNTA(半紙!$B$11:$B$310)),IF(713&lt;=COUNTA(半紙!$B$11:$B$310)+COUNTA(条幅!$B$11:$B$310)+COUNTA(条幅4分の1!$B$11:$B$310),INDEX(条幅4分の1!$F$11:$F$310,713-COUNTA(半紙!$B$11:$B$310)-COUNTA(条幅!$B$11:$B$310)),"")))=0,"",IF(713&lt;=COUNTA(半紙!$B$11:$B$310),INDEX(半紙!$F$11:$F$310,713),IF(713&lt;=COUNTA(半紙!$B$11:$B$310)+COUNTA(条幅!$B$11:$B$310),INDEX(条幅!$F$11:$F$310,713-COUNTA(半紙!$B$11:$B$310)),IF(713&lt;=COUNTA(半紙!$B$11:$B$310)+COUNTA(条幅!$B$11:$B$310)+COUNTA(条幅4分の1!$B$11:$B$310),INDEX(条幅4分の1!$F$11:$F$310,713-COUNTA(半紙!$B$11:$B$310)-COUNTA(条幅!$B$11:$B$310)),""))))</f>
        <v/>
      </c>
      <c r="G718" s="38" t="str">
        <f>IF(IF(713&lt;=COUNTA(半紙!$B$11:$B$310),INDEX(半紙!$G$11:$G$310,713),IF(713&lt;=COUNTA(半紙!$B$11:$B$310)+COUNTA(条幅!$B$11:$B$310),INDEX(条幅!$G$11:$G$310,713-COUNTA(半紙!$B$11:$B$310)),IF(713&lt;=COUNTA(半紙!$B$11:$B$310)+COUNTA(条幅!$B$11:$B$310)+COUNTA(条幅4分の1!$B$11:$B$310),INDEX(条幅4分の1!$G$11:$G$310,713-COUNTA(半紙!$B$11:$B$310)-COUNTA(条幅!$B$11:$B$310)),"")))=0,"",IF(713&lt;=COUNTA(半紙!$B$11:$B$310),INDEX(半紙!$G$11:$G$310,713),IF(713&lt;=COUNTA(半紙!$B$11:$B$310)+COUNTA(条幅!$B$11:$B$310),INDEX(条幅!$G$11:$G$310,713-COUNTA(半紙!$B$11:$B$310)),IF(713&lt;=COUNTA(半紙!$B$11:$B$310)+COUNTA(条幅!$B$11:$B$310)+COUNTA(条幅4分の1!$B$11:$B$310),INDEX(条幅4分の1!$G$11:$G$310,713-COUNTA(半紙!$B$11:$B$310)-COUNTA(条幅!$B$11:$B$310)),""))))</f>
        <v/>
      </c>
      <c r="H718" s="38" t="str">
        <f>IF(IF(713&lt;=COUNTA(半紙!$B$11:$B$310),INDEX(半紙!$H$11:$H$310,713),IF(713&lt;=COUNTA(半紙!$B$11:$B$310)+COUNTA(条幅!$B$11:$B$310),INDEX(条幅!$H$11:$H$310,713-COUNTA(半紙!$B$11:$B$310)),IF(713&lt;=COUNTA(半紙!$B$11:$B$310)+COUNTA(条幅!$B$11:$B$310)+COUNTA(条幅4分の1!$B$11:$B$310),INDEX(条幅4分の1!$H$11:$H$310,713-COUNTA(半紙!$B$11:$B$310)-COUNTA(条幅!$B$11:$B$310)),"")))=0,"",IF(713&lt;=COUNTA(半紙!$B$11:$B$310),INDEX(半紙!$H$11:$H$310,713),IF(713&lt;=COUNTA(半紙!$B$11:$B$310)+COUNTA(条幅!$B$11:$B$310),INDEX(条幅!$H$11:$H$310,713-COUNTA(半紙!$B$11:$B$310)),IF(713&lt;=COUNTA(半紙!$B$11:$B$310)+COUNTA(条幅!$B$11:$B$310)+COUNTA(条幅4分の1!$B$11:$B$310),INDEX(条幅4分の1!$H$11:$H$310,713-COUNTA(半紙!$B$11:$B$310)-COUNTA(条幅!$B$11:$B$310)),""))))</f>
        <v/>
      </c>
      <c r="I718" s="38" t="str">
        <f>IF(IF(713&lt;=COUNTA(半紙!$B$11:$B$310),INDEX(半紙!$I$11:$I$310,713),IF(713&lt;=COUNTA(半紙!$B$11:$B$310)+COUNTA(条幅!$B$11:$B$310),INDEX(条幅!$I$11:$I$310,713-COUNTA(半紙!$B$11:$B$310)),IF(713&lt;=COUNTA(半紙!$B$11:$B$310)+COUNTA(条幅!$B$11:$B$310)+COUNTA(条幅4分の1!$B$11:$B$310),INDEX(条幅4分の1!$I$11:$I$310,713-COUNTA(半紙!$B$11:$B$310)-COUNTA(条幅!$B$11:$B$310)),"")))=0,"",IF(713&lt;=COUNTA(半紙!$B$11:$B$310),INDEX(半紙!$I$11:$I$310,713),IF(713&lt;=COUNTA(半紙!$B$11:$B$310)+COUNTA(条幅!$B$11:$B$310),INDEX(条幅!$I$11:$I$310,713-COUNTA(半紙!$B$11:$B$310)),IF(713&lt;=COUNTA(半紙!$B$11:$B$310)+COUNTA(条幅!$B$11:$B$310)+COUNTA(条幅4分の1!$B$11:$B$310),INDEX(条幅4分の1!$I$11:$I$310,713-COUNTA(半紙!$B$11:$B$310)-COUNTA(条幅!$B$11:$B$310)),""))))</f>
        <v/>
      </c>
      <c r="J718" s="38" t="str">
        <f>IF(IF(713&lt;=COUNTA(半紙!$B$11:$B$310),INDEX(半紙!$J$11:$J$310,713),IF(713&lt;=COUNTA(半紙!$B$11:$B$310)+COUNTA(条幅!$B$11:$B$310),INDEX(条幅!$J$11:$J$310,713-COUNTA(半紙!$B$11:$B$310)),IF(713&lt;=COUNTA(半紙!$B$11:$B$310)+COUNTA(条幅!$B$11:$B$310)+COUNTA(条幅4分の1!$B$11:$B$310),INDEX(条幅4分の1!$J$11:$J$310,713-COUNTA(半紙!$B$11:$B$310)-COUNTA(条幅!$B$11:$B$310)),"")))=0,"",IF(713&lt;=COUNTA(半紙!$B$11:$B$310),INDEX(半紙!$J$11:$J$310,713),IF(713&lt;=COUNTA(半紙!$B$11:$B$310)+COUNTA(条幅!$B$11:$B$310),INDEX(条幅!$J$11:$J$310,713-COUNTA(半紙!$B$11:$B$310)),IF(713&lt;=COUNTA(半紙!$B$11:$B$310)+COUNTA(条幅!$B$11:$B$310)+COUNTA(条幅4分の1!$B$11:$B$310),INDEX(条幅4分の1!$J$11:$J$310,713-COUNTA(半紙!$B$11:$B$310)-COUNTA(条幅!$B$11:$B$310)),""))))</f>
        <v/>
      </c>
      <c r="K718" s="38" t="str">
        <f>IF(IF(713&lt;=COUNTA(半紙!$B$11:$B$310),INDEX(半紙!$K$11:$K$310,713),IF(713&lt;=COUNTA(半紙!$B$11:$B$310)+COUNTA(条幅!$B$11:$B$310),INDEX(条幅!$K$11:$K$310,713-COUNTA(半紙!$B$11:$B$310)),IF(713&lt;=COUNTA(半紙!$B$11:$B$310)+COUNTA(条幅!$B$11:$B$310)+COUNTA(条幅4分の1!$B$11:$B$310),INDEX(条幅4分の1!$K$11:$K$310,713-COUNTA(半紙!$B$11:$B$310)-COUNTA(条幅!$B$11:$B$310)),"")))=0,"",IF(713&lt;=COUNTA(半紙!$B$11:$B$310),INDEX(半紙!$K$11:$K$310,713),IF(713&lt;=COUNTA(半紙!$B$11:$B$310)+COUNTA(条幅!$B$11:$B$310),INDEX(条幅!$K$11:$K$310,713-COUNTA(半紙!$B$11:$B$310)),IF(713&lt;=COUNTA(半紙!$B$11:$B$310)+COUNTA(条幅!$B$11:$B$310)+COUNTA(条幅4分の1!$B$11:$B$310),INDEX(条幅4分の1!$K$11:$K$310,713-COUNTA(半紙!$B$11:$B$310)-COUNTA(条幅!$B$11:$B$310)),""))))</f>
        <v/>
      </c>
      <c r="L718" s="48" t="str">
        <f>IF($B718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713))</f>
        <v/>
      </c>
    </row>
    <row r="719" spans="1:12" ht="15" customHeight="1">
      <c r="A719" s="37" t="str">
        <f>IF(714&lt;=COUNTA(半紙!$B$11:$B$310),"半紙",IF(714&lt;=COUNTA(半紙!$B$11:$B$310)+COUNTA(条幅!$B$11:$B$310),"条幅(半切)",IF(714&lt;=COUNTA(半紙!$B$11:$B$310)+COUNTA(条幅!$B$11:$B$310)+COUNTA(条幅4分の1!$B$11:$B$310),"条幅(1/4)","")))</f>
        <v/>
      </c>
      <c r="B719" s="38" t="str">
        <f>IF(IF(714&lt;=COUNTA(半紙!$B$11:$B$310),INDEX(半紙!$B$11:$B$310,714),IF(714&lt;=COUNTA(半紙!$B$11:$B$310)+COUNTA(条幅!$B$11:$B$310),INDEX(条幅!$B$11:$B$310,714-COUNTA(半紙!$B$11:$B$310)),IF(714&lt;=COUNTA(半紙!$B$11:$B$310)+COUNTA(条幅!$B$11:$B$310)+COUNTA(条幅4分の1!$B$11:$B$310),INDEX(条幅4分の1!$B$11:$B$310,714-COUNTA(半紙!$B$11:$B$310)-COUNTA(条幅!$B$11:$B$310)),"")))=0,"",IF(714&lt;=COUNTA(半紙!$B$11:$B$310),INDEX(半紙!$B$11:$B$310,714),IF(714&lt;=COUNTA(半紙!$B$11:$B$310)+COUNTA(条幅!$B$11:$B$310),INDEX(条幅!$B$11:$B$310,714-COUNTA(半紙!$B$11:$B$310)),IF(714&lt;=COUNTA(半紙!$B$11:$B$310)+COUNTA(条幅!$B$11:$B$310)+COUNTA(条幅4分の1!$B$11:$B$310),INDEX(条幅4分の1!$B$11:$B$310,714-COUNTA(半紙!$B$11:$B$310)-COUNTA(条幅!$B$11:$B$310)),""))))</f>
        <v/>
      </c>
      <c r="C719" s="38" t="str">
        <f>IF(IF(714&lt;=COUNTA(半紙!$B$11:$B$310),INDEX(半紙!$C$11:$C$310,714),IF(714&lt;=COUNTA(半紙!$B$11:$B$310)+COUNTA(条幅!$B$11:$B$310),INDEX(条幅!$C$11:$C$310,714-COUNTA(半紙!$B$11:$B$310)),IF(714&lt;=COUNTA(半紙!$B$11:$B$310)+COUNTA(条幅!$B$11:$B$310)+COUNTA(条幅4分の1!$B$11:$B$310),INDEX(条幅4分の1!$C$11:$C$310,714-COUNTA(半紙!$B$11:$B$310)-COUNTA(条幅!$B$11:$B$310)),"")))=0,"",IF(714&lt;=COUNTA(半紙!$B$11:$B$310),INDEX(半紙!$C$11:$C$310,714),IF(714&lt;=COUNTA(半紙!$B$11:$B$310)+COUNTA(条幅!$B$11:$B$310),INDEX(条幅!$C$11:$C$310,714-COUNTA(半紙!$B$11:$B$310)),IF(714&lt;=COUNTA(半紙!$B$11:$B$310)+COUNTA(条幅!$B$11:$B$310)+COUNTA(条幅4分の1!$B$11:$B$310),INDEX(条幅4分の1!$C$11:$C$310,714-COUNTA(半紙!$B$11:$B$310)-COUNTA(条幅!$B$11:$B$310)),""))))</f>
        <v/>
      </c>
      <c r="D719" s="38" t="str">
        <f>IF(IF(714&lt;=COUNTA(半紙!$B$11:$B$310),INDEX(半紙!$D$11:$D$310,714),IF(714&lt;=COUNTA(半紙!$B$11:$B$310)+COUNTA(条幅!$B$11:$B$310),INDEX(条幅!$D$11:$D$310,714-COUNTA(半紙!$B$11:$B$310)),IF(714&lt;=COUNTA(半紙!$B$11:$B$310)+COUNTA(条幅!$B$11:$B$310)+COUNTA(条幅4分の1!$B$11:$B$310),INDEX(条幅4分の1!$D$11:$D$310,714-COUNTA(半紙!$B$11:$B$310)-COUNTA(条幅!$B$11:$B$310)),"")))=0,"",IF(714&lt;=COUNTA(半紙!$B$11:$B$310),INDEX(半紙!$D$11:$D$310,714),IF(714&lt;=COUNTA(半紙!$B$11:$B$310)+COUNTA(条幅!$B$11:$B$310),INDEX(条幅!$D$11:$D$310,714-COUNTA(半紙!$B$11:$B$310)),IF(714&lt;=COUNTA(半紙!$B$11:$B$310)+COUNTA(条幅!$B$11:$B$310)+COUNTA(条幅4分の1!$B$11:$B$310),INDEX(条幅4分の1!$D$11:$D$310,714-COUNTA(半紙!$B$11:$B$310)-COUNTA(条幅!$B$11:$B$310)),""))))</f>
        <v/>
      </c>
      <c r="E719" s="38" t="str">
        <f>IF(IF(714&lt;=COUNTA(半紙!$B$11:$B$310),INDEX(半紙!$E$11:$E$310,714),IF(714&lt;=COUNTA(半紙!$B$11:$B$310)+COUNTA(条幅!$B$11:$B$310),INDEX(条幅!$E$11:$E$310,714-COUNTA(半紙!$B$11:$B$310)),IF(714&lt;=COUNTA(半紙!$B$11:$B$310)+COUNTA(条幅!$B$11:$B$310)+COUNTA(条幅4分の1!$B$11:$B$310),INDEX(条幅4分の1!$E$11:$E$310,714-COUNTA(半紙!$B$11:$B$310)-COUNTA(条幅!$B$11:$B$310)),"")))=0,"",IF(714&lt;=COUNTA(半紙!$B$11:$B$310),INDEX(半紙!$E$11:$E$310,714),IF(714&lt;=COUNTA(半紙!$B$11:$B$310)+COUNTA(条幅!$B$11:$B$310),INDEX(条幅!$E$11:$E$310,714-COUNTA(半紙!$B$11:$B$310)),IF(714&lt;=COUNTA(半紙!$B$11:$B$310)+COUNTA(条幅!$B$11:$B$310)+COUNTA(条幅4分の1!$B$11:$B$310),INDEX(条幅4分の1!$E$11:$E$310,714-COUNTA(半紙!$B$11:$B$310)-COUNTA(条幅!$B$11:$B$310)),""))))</f>
        <v/>
      </c>
      <c r="F719" s="38" t="str">
        <f>IF(IF(714&lt;=COUNTA(半紙!$B$11:$B$310),INDEX(半紙!$F$11:$F$310,714),IF(714&lt;=COUNTA(半紙!$B$11:$B$310)+COUNTA(条幅!$B$11:$B$310),INDEX(条幅!$F$11:$F$310,714-COUNTA(半紙!$B$11:$B$310)),IF(714&lt;=COUNTA(半紙!$B$11:$B$310)+COUNTA(条幅!$B$11:$B$310)+COUNTA(条幅4分の1!$B$11:$B$310),INDEX(条幅4分の1!$F$11:$F$310,714-COUNTA(半紙!$B$11:$B$310)-COUNTA(条幅!$B$11:$B$310)),"")))=0,"",IF(714&lt;=COUNTA(半紙!$B$11:$B$310),INDEX(半紙!$F$11:$F$310,714),IF(714&lt;=COUNTA(半紙!$B$11:$B$310)+COUNTA(条幅!$B$11:$B$310),INDEX(条幅!$F$11:$F$310,714-COUNTA(半紙!$B$11:$B$310)),IF(714&lt;=COUNTA(半紙!$B$11:$B$310)+COUNTA(条幅!$B$11:$B$310)+COUNTA(条幅4分の1!$B$11:$B$310),INDEX(条幅4分の1!$F$11:$F$310,714-COUNTA(半紙!$B$11:$B$310)-COUNTA(条幅!$B$11:$B$310)),""))))</f>
        <v/>
      </c>
      <c r="G719" s="38" t="str">
        <f>IF(IF(714&lt;=COUNTA(半紙!$B$11:$B$310),INDEX(半紙!$G$11:$G$310,714),IF(714&lt;=COUNTA(半紙!$B$11:$B$310)+COUNTA(条幅!$B$11:$B$310),INDEX(条幅!$G$11:$G$310,714-COUNTA(半紙!$B$11:$B$310)),IF(714&lt;=COUNTA(半紙!$B$11:$B$310)+COUNTA(条幅!$B$11:$B$310)+COUNTA(条幅4分の1!$B$11:$B$310),INDEX(条幅4分の1!$G$11:$G$310,714-COUNTA(半紙!$B$11:$B$310)-COUNTA(条幅!$B$11:$B$310)),"")))=0,"",IF(714&lt;=COUNTA(半紙!$B$11:$B$310),INDEX(半紙!$G$11:$G$310,714),IF(714&lt;=COUNTA(半紙!$B$11:$B$310)+COUNTA(条幅!$B$11:$B$310),INDEX(条幅!$G$11:$G$310,714-COUNTA(半紙!$B$11:$B$310)),IF(714&lt;=COUNTA(半紙!$B$11:$B$310)+COUNTA(条幅!$B$11:$B$310)+COUNTA(条幅4分の1!$B$11:$B$310),INDEX(条幅4分の1!$G$11:$G$310,714-COUNTA(半紙!$B$11:$B$310)-COUNTA(条幅!$B$11:$B$310)),""))))</f>
        <v/>
      </c>
      <c r="H719" s="38" t="str">
        <f>IF(IF(714&lt;=COUNTA(半紙!$B$11:$B$310),INDEX(半紙!$H$11:$H$310,714),IF(714&lt;=COUNTA(半紙!$B$11:$B$310)+COUNTA(条幅!$B$11:$B$310),INDEX(条幅!$H$11:$H$310,714-COUNTA(半紙!$B$11:$B$310)),IF(714&lt;=COUNTA(半紙!$B$11:$B$310)+COUNTA(条幅!$B$11:$B$310)+COUNTA(条幅4分の1!$B$11:$B$310),INDEX(条幅4分の1!$H$11:$H$310,714-COUNTA(半紙!$B$11:$B$310)-COUNTA(条幅!$B$11:$B$310)),"")))=0,"",IF(714&lt;=COUNTA(半紙!$B$11:$B$310),INDEX(半紙!$H$11:$H$310,714),IF(714&lt;=COUNTA(半紙!$B$11:$B$310)+COUNTA(条幅!$B$11:$B$310),INDEX(条幅!$H$11:$H$310,714-COUNTA(半紙!$B$11:$B$310)),IF(714&lt;=COUNTA(半紙!$B$11:$B$310)+COUNTA(条幅!$B$11:$B$310)+COUNTA(条幅4分の1!$B$11:$B$310),INDEX(条幅4分の1!$H$11:$H$310,714-COUNTA(半紙!$B$11:$B$310)-COUNTA(条幅!$B$11:$B$310)),""))))</f>
        <v/>
      </c>
      <c r="I719" s="38" t="str">
        <f>IF(IF(714&lt;=COUNTA(半紙!$B$11:$B$310),INDEX(半紙!$I$11:$I$310,714),IF(714&lt;=COUNTA(半紙!$B$11:$B$310)+COUNTA(条幅!$B$11:$B$310),INDEX(条幅!$I$11:$I$310,714-COUNTA(半紙!$B$11:$B$310)),IF(714&lt;=COUNTA(半紙!$B$11:$B$310)+COUNTA(条幅!$B$11:$B$310)+COUNTA(条幅4分の1!$B$11:$B$310),INDEX(条幅4分の1!$I$11:$I$310,714-COUNTA(半紙!$B$11:$B$310)-COUNTA(条幅!$B$11:$B$310)),"")))=0,"",IF(714&lt;=COUNTA(半紙!$B$11:$B$310),INDEX(半紙!$I$11:$I$310,714),IF(714&lt;=COUNTA(半紙!$B$11:$B$310)+COUNTA(条幅!$B$11:$B$310),INDEX(条幅!$I$11:$I$310,714-COUNTA(半紙!$B$11:$B$310)),IF(714&lt;=COUNTA(半紙!$B$11:$B$310)+COUNTA(条幅!$B$11:$B$310)+COUNTA(条幅4分の1!$B$11:$B$310),INDEX(条幅4分の1!$I$11:$I$310,714-COUNTA(半紙!$B$11:$B$310)-COUNTA(条幅!$B$11:$B$310)),""))))</f>
        <v/>
      </c>
      <c r="J719" s="38" t="str">
        <f>IF(IF(714&lt;=COUNTA(半紙!$B$11:$B$310),INDEX(半紙!$J$11:$J$310,714),IF(714&lt;=COUNTA(半紙!$B$11:$B$310)+COUNTA(条幅!$B$11:$B$310),INDEX(条幅!$J$11:$J$310,714-COUNTA(半紙!$B$11:$B$310)),IF(714&lt;=COUNTA(半紙!$B$11:$B$310)+COUNTA(条幅!$B$11:$B$310)+COUNTA(条幅4分の1!$B$11:$B$310),INDEX(条幅4分の1!$J$11:$J$310,714-COUNTA(半紙!$B$11:$B$310)-COUNTA(条幅!$B$11:$B$310)),"")))=0,"",IF(714&lt;=COUNTA(半紙!$B$11:$B$310),INDEX(半紙!$J$11:$J$310,714),IF(714&lt;=COUNTA(半紙!$B$11:$B$310)+COUNTA(条幅!$B$11:$B$310),INDEX(条幅!$J$11:$J$310,714-COUNTA(半紙!$B$11:$B$310)),IF(714&lt;=COUNTA(半紙!$B$11:$B$310)+COUNTA(条幅!$B$11:$B$310)+COUNTA(条幅4分の1!$B$11:$B$310),INDEX(条幅4分の1!$J$11:$J$310,714-COUNTA(半紙!$B$11:$B$310)-COUNTA(条幅!$B$11:$B$310)),""))))</f>
        <v/>
      </c>
      <c r="K719" s="38" t="str">
        <f>IF(IF(714&lt;=COUNTA(半紙!$B$11:$B$310),INDEX(半紙!$K$11:$K$310,714),IF(714&lt;=COUNTA(半紙!$B$11:$B$310)+COUNTA(条幅!$B$11:$B$310),INDEX(条幅!$K$11:$K$310,714-COUNTA(半紙!$B$11:$B$310)),IF(714&lt;=COUNTA(半紙!$B$11:$B$310)+COUNTA(条幅!$B$11:$B$310)+COUNTA(条幅4分の1!$B$11:$B$310),INDEX(条幅4分の1!$K$11:$K$310,714-COUNTA(半紙!$B$11:$B$310)-COUNTA(条幅!$B$11:$B$310)),"")))=0,"",IF(714&lt;=COUNTA(半紙!$B$11:$B$310),INDEX(半紙!$K$11:$K$310,714),IF(714&lt;=COUNTA(半紙!$B$11:$B$310)+COUNTA(条幅!$B$11:$B$310),INDEX(条幅!$K$11:$K$310,714-COUNTA(半紙!$B$11:$B$310)),IF(714&lt;=COUNTA(半紙!$B$11:$B$310)+COUNTA(条幅!$B$11:$B$310)+COUNTA(条幅4分の1!$B$11:$B$310),INDEX(条幅4分の1!$K$11:$K$310,714-COUNTA(半紙!$B$11:$B$310)-COUNTA(条幅!$B$11:$B$310)),""))))</f>
        <v/>
      </c>
      <c r="L719" s="48" t="str">
        <f>IF($B719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714))</f>
        <v/>
      </c>
    </row>
    <row r="720" spans="1:12" ht="15" customHeight="1">
      <c r="A720" s="37" t="str">
        <f>IF(715&lt;=COUNTA(半紙!$B$11:$B$310),"半紙",IF(715&lt;=COUNTA(半紙!$B$11:$B$310)+COUNTA(条幅!$B$11:$B$310),"条幅(半切)",IF(715&lt;=COUNTA(半紙!$B$11:$B$310)+COUNTA(条幅!$B$11:$B$310)+COUNTA(条幅4分の1!$B$11:$B$310),"条幅(1/4)","")))</f>
        <v/>
      </c>
      <c r="B720" s="38" t="str">
        <f>IF(IF(715&lt;=COUNTA(半紙!$B$11:$B$310),INDEX(半紙!$B$11:$B$310,715),IF(715&lt;=COUNTA(半紙!$B$11:$B$310)+COUNTA(条幅!$B$11:$B$310),INDEX(条幅!$B$11:$B$310,715-COUNTA(半紙!$B$11:$B$310)),IF(715&lt;=COUNTA(半紙!$B$11:$B$310)+COUNTA(条幅!$B$11:$B$310)+COUNTA(条幅4分の1!$B$11:$B$310),INDEX(条幅4分の1!$B$11:$B$310,715-COUNTA(半紙!$B$11:$B$310)-COUNTA(条幅!$B$11:$B$310)),"")))=0,"",IF(715&lt;=COUNTA(半紙!$B$11:$B$310),INDEX(半紙!$B$11:$B$310,715),IF(715&lt;=COUNTA(半紙!$B$11:$B$310)+COUNTA(条幅!$B$11:$B$310),INDEX(条幅!$B$11:$B$310,715-COUNTA(半紙!$B$11:$B$310)),IF(715&lt;=COUNTA(半紙!$B$11:$B$310)+COUNTA(条幅!$B$11:$B$310)+COUNTA(条幅4分の1!$B$11:$B$310),INDEX(条幅4分の1!$B$11:$B$310,715-COUNTA(半紙!$B$11:$B$310)-COUNTA(条幅!$B$11:$B$310)),""))))</f>
        <v/>
      </c>
      <c r="C720" s="38" t="str">
        <f>IF(IF(715&lt;=COUNTA(半紙!$B$11:$B$310),INDEX(半紙!$C$11:$C$310,715),IF(715&lt;=COUNTA(半紙!$B$11:$B$310)+COUNTA(条幅!$B$11:$B$310),INDEX(条幅!$C$11:$C$310,715-COUNTA(半紙!$B$11:$B$310)),IF(715&lt;=COUNTA(半紙!$B$11:$B$310)+COUNTA(条幅!$B$11:$B$310)+COUNTA(条幅4分の1!$B$11:$B$310),INDEX(条幅4分の1!$C$11:$C$310,715-COUNTA(半紙!$B$11:$B$310)-COUNTA(条幅!$B$11:$B$310)),"")))=0,"",IF(715&lt;=COUNTA(半紙!$B$11:$B$310),INDEX(半紙!$C$11:$C$310,715),IF(715&lt;=COUNTA(半紙!$B$11:$B$310)+COUNTA(条幅!$B$11:$B$310),INDEX(条幅!$C$11:$C$310,715-COUNTA(半紙!$B$11:$B$310)),IF(715&lt;=COUNTA(半紙!$B$11:$B$310)+COUNTA(条幅!$B$11:$B$310)+COUNTA(条幅4分の1!$B$11:$B$310),INDEX(条幅4分の1!$C$11:$C$310,715-COUNTA(半紙!$B$11:$B$310)-COUNTA(条幅!$B$11:$B$310)),""))))</f>
        <v/>
      </c>
      <c r="D720" s="38" t="str">
        <f>IF(IF(715&lt;=COUNTA(半紙!$B$11:$B$310),INDEX(半紙!$D$11:$D$310,715),IF(715&lt;=COUNTA(半紙!$B$11:$B$310)+COUNTA(条幅!$B$11:$B$310),INDEX(条幅!$D$11:$D$310,715-COUNTA(半紙!$B$11:$B$310)),IF(715&lt;=COUNTA(半紙!$B$11:$B$310)+COUNTA(条幅!$B$11:$B$310)+COUNTA(条幅4分の1!$B$11:$B$310),INDEX(条幅4分の1!$D$11:$D$310,715-COUNTA(半紙!$B$11:$B$310)-COUNTA(条幅!$B$11:$B$310)),"")))=0,"",IF(715&lt;=COUNTA(半紙!$B$11:$B$310),INDEX(半紙!$D$11:$D$310,715),IF(715&lt;=COUNTA(半紙!$B$11:$B$310)+COUNTA(条幅!$B$11:$B$310),INDEX(条幅!$D$11:$D$310,715-COUNTA(半紙!$B$11:$B$310)),IF(715&lt;=COUNTA(半紙!$B$11:$B$310)+COUNTA(条幅!$B$11:$B$310)+COUNTA(条幅4分の1!$B$11:$B$310),INDEX(条幅4分の1!$D$11:$D$310,715-COUNTA(半紙!$B$11:$B$310)-COUNTA(条幅!$B$11:$B$310)),""))))</f>
        <v/>
      </c>
      <c r="E720" s="38" t="str">
        <f>IF(IF(715&lt;=COUNTA(半紙!$B$11:$B$310),INDEX(半紙!$E$11:$E$310,715),IF(715&lt;=COUNTA(半紙!$B$11:$B$310)+COUNTA(条幅!$B$11:$B$310),INDEX(条幅!$E$11:$E$310,715-COUNTA(半紙!$B$11:$B$310)),IF(715&lt;=COUNTA(半紙!$B$11:$B$310)+COUNTA(条幅!$B$11:$B$310)+COUNTA(条幅4分の1!$B$11:$B$310),INDEX(条幅4分の1!$E$11:$E$310,715-COUNTA(半紙!$B$11:$B$310)-COUNTA(条幅!$B$11:$B$310)),"")))=0,"",IF(715&lt;=COUNTA(半紙!$B$11:$B$310),INDEX(半紙!$E$11:$E$310,715),IF(715&lt;=COUNTA(半紙!$B$11:$B$310)+COUNTA(条幅!$B$11:$B$310),INDEX(条幅!$E$11:$E$310,715-COUNTA(半紙!$B$11:$B$310)),IF(715&lt;=COUNTA(半紙!$B$11:$B$310)+COUNTA(条幅!$B$11:$B$310)+COUNTA(条幅4分の1!$B$11:$B$310),INDEX(条幅4分の1!$E$11:$E$310,715-COUNTA(半紙!$B$11:$B$310)-COUNTA(条幅!$B$11:$B$310)),""))))</f>
        <v/>
      </c>
      <c r="F720" s="38" t="str">
        <f>IF(IF(715&lt;=COUNTA(半紙!$B$11:$B$310),INDEX(半紙!$F$11:$F$310,715),IF(715&lt;=COUNTA(半紙!$B$11:$B$310)+COUNTA(条幅!$B$11:$B$310),INDEX(条幅!$F$11:$F$310,715-COUNTA(半紙!$B$11:$B$310)),IF(715&lt;=COUNTA(半紙!$B$11:$B$310)+COUNTA(条幅!$B$11:$B$310)+COUNTA(条幅4分の1!$B$11:$B$310),INDEX(条幅4分の1!$F$11:$F$310,715-COUNTA(半紙!$B$11:$B$310)-COUNTA(条幅!$B$11:$B$310)),"")))=0,"",IF(715&lt;=COUNTA(半紙!$B$11:$B$310),INDEX(半紙!$F$11:$F$310,715),IF(715&lt;=COUNTA(半紙!$B$11:$B$310)+COUNTA(条幅!$B$11:$B$310),INDEX(条幅!$F$11:$F$310,715-COUNTA(半紙!$B$11:$B$310)),IF(715&lt;=COUNTA(半紙!$B$11:$B$310)+COUNTA(条幅!$B$11:$B$310)+COUNTA(条幅4分の1!$B$11:$B$310),INDEX(条幅4分の1!$F$11:$F$310,715-COUNTA(半紙!$B$11:$B$310)-COUNTA(条幅!$B$11:$B$310)),""))))</f>
        <v/>
      </c>
      <c r="G720" s="38" t="str">
        <f>IF(IF(715&lt;=COUNTA(半紙!$B$11:$B$310),INDEX(半紙!$G$11:$G$310,715),IF(715&lt;=COUNTA(半紙!$B$11:$B$310)+COUNTA(条幅!$B$11:$B$310),INDEX(条幅!$G$11:$G$310,715-COUNTA(半紙!$B$11:$B$310)),IF(715&lt;=COUNTA(半紙!$B$11:$B$310)+COUNTA(条幅!$B$11:$B$310)+COUNTA(条幅4分の1!$B$11:$B$310),INDEX(条幅4分の1!$G$11:$G$310,715-COUNTA(半紙!$B$11:$B$310)-COUNTA(条幅!$B$11:$B$310)),"")))=0,"",IF(715&lt;=COUNTA(半紙!$B$11:$B$310),INDEX(半紙!$G$11:$G$310,715),IF(715&lt;=COUNTA(半紙!$B$11:$B$310)+COUNTA(条幅!$B$11:$B$310),INDEX(条幅!$G$11:$G$310,715-COUNTA(半紙!$B$11:$B$310)),IF(715&lt;=COUNTA(半紙!$B$11:$B$310)+COUNTA(条幅!$B$11:$B$310)+COUNTA(条幅4分の1!$B$11:$B$310),INDEX(条幅4分の1!$G$11:$G$310,715-COUNTA(半紙!$B$11:$B$310)-COUNTA(条幅!$B$11:$B$310)),""))))</f>
        <v/>
      </c>
      <c r="H720" s="38" t="str">
        <f>IF(IF(715&lt;=COUNTA(半紙!$B$11:$B$310),INDEX(半紙!$H$11:$H$310,715),IF(715&lt;=COUNTA(半紙!$B$11:$B$310)+COUNTA(条幅!$B$11:$B$310),INDEX(条幅!$H$11:$H$310,715-COUNTA(半紙!$B$11:$B$310)),IF(715&lt;=COUNTA(半紙!$B$11:$B$310)+COUNTA(条幅!$B$11:$B$310)+COUNTA(条幅4分の1!$B$11:$B$310),INDEX(条幅4分の1!$H$11:$H$310,715-COUNTA(半紙!$B$11:$B$310)-COUNTA(条幅!$B$11:$B$310)),"")))=0,"",IF(715&lt;=COUNTA(半紙!$B$11:$B$310),INDEX(半紙!$H$11:$H$310,715),IF(715&lt;=COUNTA(半紙!$B$11:$B$310)+COUNTA(条幅!$B$11:$B$310),INDEX(条幅!$H$11:$H$310,715-COUNTA(半紙!$B$11:$B$310)),IF(715&lt;=COUNTA(半紙!$B$11:$B$310)+COUNTA(条幅!$B$11:$B$310)+COUNTA(条幅4分の1!$B$11:$B$310),INDEX(条幅4分の1!$H$11:$H$310,715-COUNTA(半紙!$B$11:$B$310)-COUNTA(条幅!$B$11:$B$310)),""))))</f>
        <v/>
      </c>
      <c r="I720" s="38" t="str">
        <f>IF(IF(715&lt;=COUNTA(半紙!$B$11:$B$310),INDEX(半紙!$I$11:$I$310,715),IF(715&lt;=COUNTA(半紙!$B$11:$B$310)+COUNTA(条幅!$B$11:$B$310),INDEX(条幅!$I$11:$I$310,715-COUNTA(半紙!$B$11:$B$310)),IF(715&lt;=COUNTA(半紙!$B$11:$B$310)+COUNTA(条幅!$B$11:$B$310)+COUNTA(条幅4分の1!$B$11:$B$310),INDEX(条幅4分の1!$I$11:$I$310,715-COUNTA(半紙!$B$11:$B$310)-COUNTA(条幅!$B$11:$B$310)),"")))=0,"",IF(715&lt;=COUNTA(半紙!$B$11:$B$310),INDEX(半紙!$I$11:$I$310,715),IF(715&lt;=COUNTA(半紙!$B$11:$B$310)+COUNTA(条幅!$B$11:$B$310),INDEX(条幅!$I$11:$I$310,715-COUNTA(半紙!$B$11:$B$310)),IF(715&lt;=COUNTA(半紙!$B$11:$B$310)+COUNTA(条幅!$B$11:$B$310)+COUNTA(条幅4分の1!$B$11:$B$310),INDEX(条幅4分の1!$I$11:$I$310,715-COUNTA(半紙!$B$11:$B$310)-COUNTA(条幅!$B$11:$B$310)),""))))</f>
        <v/>
      </c>
      <c r="J720" s="38" t="str">
        <f>IF(IF(715&lt;=COUNTA(半紙!$B$11:$B$310),INDEX(半紙!$J$11:$J$310,715),IF(715&lt;=COUNTA(半紙!$B$11:$B$310)+COUNTA(条幅!$B$11:$B$310),INDEX(条幅!$J$11:$J$310,715-COUNTA(半紙!$B$11:$B$310)),IF(715&lt;=COUNTA(半紙!$B$11:$B$310)+COUNTA(条幅!$B$11:$B$310)+COUNTA(条幅4分の1!$B$11:$B$310),INDEX(条幅4分の1!$J$11:$J$310,715-COUNTA(半紙!$B$11:$B$310)-COUNTA(条幅!$B$11:$B$310)),"")))=0,"",IF(715&lt;=COUNTA(半紙!$B$11:$B$310),INDEX(半紙!$J$11:$J$310,715),IF(715&lt;=COUNTA(半紙!$B$11:$B$310)+COUNTA(条幅!$B$11:$B$310),INDEX(条幅!$J$11:$J$310,715-COUNTA(半紙!$B$11:$B$310)),IF(715&lt;=COUNTA(半紙!$B$11:$B$310)+COUNTA(条幅!$B$11:$B$310)+COUNTA(条幅4分の1!$B$11:$B$310),INDEX(条幅4分の1!$J$11:$J$310,715-COUNTA(半紙!$B$11:$B$310)-COUNTA(条幅!$B$11:$B$310)),""))))</f>
        <v/>
      </c>
      <c r="K720" s="38" t="str">
        <f>IF(IF(715&lt;=COUNTA(半紙!$B$11:$B$310),INDEX(半紙!$K$11:$K$310,715),IF(715&lt;=COUNTA(半紙!$B$11:$B$310)+COUNTA(条幅!$B$11:$B$310),INDEX(条幅!$K$11:$K$310,715-COUNTA(半紙!$B$11:$B$310)),IF(715&lt;=COUNTA(半紙!$B$11:$B$310)+COUNTA(条幅!$B$11:$B$310)+COUNTA(条幅4分の1!$B$11:$B$310),INDEX(条幅4分の1!$K$11:$K$310,715-COUNTA(半紙!$B$11:$B$310)-COUNTA(条幅!$B$11:$B$310)),"")))=0,"",IF(715&lt;=COUNTA(半紙!$B$11:$B$310),INDEX(半紙!$K$11:$K$310,715),IF(715&lt;=COUNTA(半紙!$B$11:$B$310)+COUNTA(条幅!$B$11:$B$310),INDEX(条幅!$K$11:$K$310,715-COUNTA(半紙!$B$11:$B$310)),IF(715&lt;=COUNTA(半紙!$B$11:$B$310)+COUNTA(条幅!$B$11:$B$310)+COUNTA(条幅4分の1!$B$11:$B$310),INDEX(条幅4分の1!$K$11:$K$310,715-COUNTA(半紙!$B$11:$B$310)-COUNTA(条幅!$B$11:$B$310)),""))))</f>
        <v/>
      </c>
      <c r="L720" s="48" t="str">
        <f>IF($B720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715))</f>
        <v/>
      </c>
    </row>
    <row r="721" spans="1:12" ht="15" customHeight="1">
      <c r="A721" s="37" t="str">
        <f>IF(716&lt;=COUNTA(半紙!$B$11:$B$310),"半紙",IF(716&lt;=COUNTA(半紙!$B$11:$B$310)+COUNTA(条幅!$B$11:$B$310),"条幅(半切)",IF(716&lt;=COUNTA(半紙!$B$11:$B$310)+COUNTA(条幅!$B$11:$B$310)+COUNTA(条幅4分の1!$B$11:$B$310),"条幅(1/4)","")))</f>
        <v/>
      </c>
      <c r="B721" s="38" t="str">
        <f>IF(IF(716&lt;=COUNTA(半紙!$B$11:$B$310),INDEX(半紙!$B$11:$B$310,716),IF(716&lt;=COUNTA(半紙!$B$11:$B$310)+COUNTA(条幅!$B$11:$B$310),INDEX(条幅!$B$11:$B$310,716-COUNTA(半紙!$B$11:$B$310)),IF(716&lt;=COUNTA(半紙!$B$11:$B$310)+COUNTA(条幅!$B$11:$B$310)+COUNTA(条幅4分の1!$B$11:$B$310),INDEX(条幅4分の1!$B$11:$B$310,716-COUNTA(半紙!$B$11:$B$310)-COUNTA(条幅!$B$11:$B$310)),"")))=0,"",IF(716&lt;=COUNTA(半紙!$B$11:$B$310),INDEX(半紙!$B$11:$B$310,716),IF(716&lt;=COUNTA(半紙!$B$11:$B$310)+COUNTA(条幅!$B$11:$B$310),INDEX(条幅!$B$11:$B$310,716-COUNTA(半紙!$B$11:$B$310)),IF(716&lt;=COUNTA(半紙!$B$11:$B$310)+COUNTA(条幅!$B$11:$B$310)+COUNTA(条幅4分の1!$B$11:$B$310),INDEX(条幅4分の1!$B$11:$B$310,716-COUNTA(半紙!$B$11:$B$310)-COUNTA(条幅!$B$11:$B$310)),""))))</f>
        <v/>
      </c>
      <c r="C721" s="38" t="str">
        <f>IF(IF(716&lt;=COUNTA(半紙!$B$11:$B$310),INDEX(半紙!$C$11:$C$310,716),IF(716&lt;=COUNTA(半紙!$B$11:$B$310)+COUNTA(条幅!$B$11:$B$310),INDEX(条幅!$C$11:$C$310,716-COUNTA(半紙!$B$11:$B$310)),IF(716&lt;=COUNTA(半紙!$B$11:$B$310)+COUNTA(条幅!$B$11:$B$310)+COUNTA(条幅4分の1!$B$11:$B$310),INDEX(条幅4分の1!$C$11:$C$310,716-COUNTA(半紙!$B$11:$B$310)-COUNTA(条幅!$B$11:$B$310)),"")))=0,"",IF(716&lt;=COUNTA(半紙!$B$11:$B$310),INDEX(半紙!$C$11:$C$310,716),IF(716&lt;=COUNTA(半紙!$B$11:$B$310)+COUNTA(条幅!$B$11:$B$310),INDEX(条幅!$C$11:$C$310,716-COUNTA(半紙!$B$11:$B$310)),IF(716&lt;=COUNTA(半紙!$B$11:$B$310)+COUNTA(条幅!$B$11:$B$310)+COUNTA(条幅4分の1!$B$11:$B$310),INDEX(条幅4分の1!$C$11:$C$310,716-COUNTA(半紙!$B$11:$B$310)-COUNTA(条幅!$B$11:$B$310)),""))))</f>
        <v/>
      </c>
      <c r="D721" s="38" t="str">
        <f>IF(IF(716&lt;=COUNTA(半紙!$B$11:$B$310),INDEX(半紙!$D$11:$D$310,716),IF(716&lt;=COUNTA(半紙!$B$11:$B$310)+COUNTA(条幅!$B$11:$B$310),INDEX(条幅!$D$11:$D$310,716-COUNTA(半紙!$B$11:$B$310)),IF(716&lt;=COUNTA(半紙!$B$11:$B$310)+COUNTA(条幅!$B$11:$B$310)+COUNTA(条幅4分の1!$B$11:$B$310),INDEX(条幅4分の1!$D$11:$D$310,716-COUNTA(半紙!$B$11:$B$310)-COUNTA(条幅!$B$11:$B$310)),"")))=0,"",IF(716&lt;=COUNTA(半紙!$B$11:$B$310),INDEX(半紙!$D$11:$D$310,716),IF(716&lt;=COUNTA(半紙!$B$11:$B$310)+COUNTA(条幅!$B$11:$B$310),INDEX(条幅!$D$11:$D$310,716-COUNTA(半紙!$B$11:$B$310)),IF(716&lt;=COUNTA(半紙!$B$11:$B$310)+COUNTA(条幅!$B$11:$B$310)+COUNTA(条幅4分の1!$B$11:$B$310),INDEX(条幅4分の1!$D$11:$D$310,716-COUNTA(半紙!$B$11:$B$310)-COUNTA(条幅!$B$11:$B$310)),""))))</f>
        <v/>
      </c>
      <c r="E721" s="38" t="str">
        <f>IF(IF(716&lt;=COUNTA(半紙!$B$11:$B$310),INDEX(半紙!$E$11:$E$310,716),IF(716&lt;=COUNTA(半紙!$B$11:$B$310)+COUNTA(条幅!$B$11:$B$310),INDEX(条幅!$E$11:$E$310,716-COUNTA(半紙!$B$11:$B$310)),IF(716&lt;=COUNTA(半紙!$B$11:$B$310)+COUNTA(条幅!$B$11:$B$310)+COUNTA(条幅4分の1!$B$11:$B$310),INDEX(条幅4分の1!$E$11:$E$310,716-COUNTA(半紙!$B$11:$B$310)-COUNTA(条幅!$B$11:$B$310)),"")))=0,"",IF(716&lt;=COUNTA(半紙!$B$11:$B$310),INDEX(半紙!$E$11:$E$310,716),IF(716&lt;=COUNTA(半紙!$B$11:$B$310)+COUNTA(条幅!$B$11:$B$310),INDEX(条幅!$E$11:$E$310,716-COUNTA(半紙!$B$11:$B$310)),IF(716&lt;=COUNTA(半紙!$B$11:$B$310)+COUNTA(条幅!$B$11:$B$310)+COUNTA(条幅4分の1!$B$11:$B$310),INDEX(条幅4分の1!$E$11:$E$310,716-COUNTA(半紙!$B$11:$B$310)-COUNTA(条幅!$B$11:$B$310)),""))))</f>
        <v/>
      </c>
      <c r="F721" s="38" t="str">
        <f>IF(IF(716&lt;=COUNTA(半紙!$B$11:$B$310),INDEX(半紙!$F$11:$F$310,716),IF(716&lt;=COUNTA(半紙!$B$11:$B$310)+COUNTA(条幅!$B$11:$B$310),INDEX(条幅!$F$11:$F$310,716-COUNTA(半紙!$B$11:$B$310)),IF(716&lt;=COUNTA(半紙!$B$11:$B$310)+COUNTA(条幅!$B$11:$B$310)+COUNTA(条幅4分の1!$B$11:$B$310),INDEX(条幅4分の1!$F$11:$F$310,716-COUNTA(半紙!$B$11:$B$310)-COUNTA(条幅!$B$11:$B$310)),"")))=0,"",IF(716&lt;=COUNTA(半紙!$B$11:$B$310),INDEX(半紙!$F$11:$F$310,716),IF(716&lt;=COUNTA(半紙!$B$11:$B$310)+COUNTA(条幅!$B$11:$B$310),INDEX(条幅!$F$11:$F$310,716-COUNTA(半紙!$B$11:$B$310)),IF(716&lt;=COUNTA(半紙!$B$11:$B$310)+COUNTA(条幅!$B$11:$B$310)+COUNTA(条幅4分の1!$B$11:$B$310),INDEX(条幅4分の1!$F$11:$F$310,716-COUNTA(半紙!$B$11:$B$310)-COUNTA(条幅!$B$11:$B$310)),""))))</f>
        <v/>
      </c>
      <c r="G721" s="38" t="str">
        <f>IF(IF(716&lt;=COUNTA(半紙!$B$11:$B$310),INDEX(半紙!$G$11:$G$310,716),IF(716&lt;=COUNTA(半紙!$B$11:$B$310)+COUNTA(条幅!$B$11:$B$310),INDEX(条幅!$G$11:$G$310,716-COUNTA(半紙!$B$11:$B$310)),IF(716&lt;=COUNTA(半紙!$B$11:$B$310)+COUNTA(条幅!$B$11:$B$310)+COUNTA(条幅4分の1!$B$11:$B$310),INDEX(条幅4分の1!$G$11:$G$310,716-COUNTA(半紙!$B$11:$B$310)-COUNTA(条幅!$B$11:$B$310)),"")))=0,"",IF(716&lt;=COUNTA(半紙!$B$11:$B$310),INDEX(半紙!$G$11:$G$310,716),IF(716&lt;=COUNTA(半紙!$B$11:$B$310)+COUNTA(条幅!$B$11:$B$310),INDEX(条幅!$G$11:$G$310,716-COUNTA(半紙!$B$11:$B$310)),IF(716&lt;=COUNTA(半紙!$B$11:$B$310)+COUNTA(条幅!$B$11:$B$310)+COUNTA(条幅4分の1!$B$11:$B$310),INDEX(条幅4分の1!$G$11:$G$310,716-COUNTA(半紙!$B$11:$B$310)-COUNTA(条幅!$B$11:$B$310)),""))))</f>
        <v/>
      </c>
      <c r="H721" s="38" t="str">
        <f>IF(IF(716&lt;=COUNTA(半紙!$B$11:$B$310),INDEX(半紙!$H$11:$H$310,716),IF(716&lt;=COUNTA(半紙!$B$11:$B$310)+COUNTA(条幅!$B$11:$B$310),INDEX(条幅!$H$11:$H$310,716-COUNTA(半紙!$B$11:$B$310)),IF(716&lt;=COUNTA(半紙!$B$11:$B$310)+COUNTA(条幅!$B$11:$B$310)+COUNTA(条幅4分の1!$B$11:$B$310),INDEX(条幅4分の1!$H$11:$H$310,716-COUNTA(半紙!$B$11:$B$310)-COUNTA(条幅!$B$11:$B$310)),"")))=0,"",IF(716&lt;=COUNTA(半紙!$B$11:$B$310),INDEX(半紙!$H$11:$H$310,716),IF(716&lt;=COUNTA(半紙!$B$11:$B$310)+COUNTA(条幅!$B$11:$B$310),INDEX(条幅!$H$11:$H$310,716-COUNTA(半紙!$B$11:$B$310)),IF(716&lt;=COUNTA(半紙!$B$11:$B$310)+COUNTA(条幅!$B$11:$B$310)+COUNTA(条幅4分の1!$B$11:$B$310),INDEX(条幅4分の1!$H$11:$H$310,716-COUNTA(半紙!$B$11:$B$310)-COUNTA(条幅!$B$11:$B$310)),""))))</f>
        <v/>
      </c>
      <c r="I721" s="38" t="str">
        <f>IF(IF(716&lt;=COUNTA(半紙!$B$11:$B$310),INDEX(半紙!$I$11:$I$310,716),IF(716&lt;=COUNTA(半紙!$B$11:$B$310)+COUNTA(条幅!$B$11:$B$310),INDEX(条幅!$I$11:$I$310,716-COUNTA(半紙!$B$11:$B$310)),IF(716&lt;=COUNTA(半紙!$B$11:$B$310)+COUNTA(条幅!$B$11:$B$310)+COUNTA(条幅4分の1!$B$11:$B$310),INDEX(条幅4分の1!$I$11:$I$310,716-COUNTA(半紙!$B$11:$B$310)-COUNTA(条幅!$B$11:$B$310)),"")))=0,"",IF(716&lt;=COUNTA(半紙!$B$11:$B$310),INDEX(半紙!$I$11:$I$310,716),IF(716&lt;=COUNTA(半紙!$B$11:$B$310)+COUNTA(条幅!$B$11:$B$310),INDEX(条幅!$I$11:$I$310,716-COUNTA(半紙!$B$11:$B$310)),IF(716&lt;=COUNTA(半紙!$B$11:$B$310)+COUNTA(条幅!$B$11:$B$310)+COUNTA(条幅4分の1!$B$11:$B$310),INDEX(条幅4分の1!$I$11:$I$310,716-COUNTA(半紙!$B$11:$B$310)-COUNTA(条幅!$B$11:$B$310)),""))))</f>
        <v/>
      </c>
      <c r="J721" s="38" t="str">
        <f>IF(IF(716&lt;=COUNTA(半紙!$B$11:$B$310),INDEX(半紙!$J$11:$J$310,716),IF(716&lt;=COUNTA(半紙!$B$11:$B$310)+COUNTA(条幅!$B$11:$B$310),INDEX(条幅!$J$11:$J$310,716-COUNTA(半紙!$B$11:$B$310)),IF(716&lt;=COUNTA(半紙!$B$11:$B$310)+COUNTA(条幅!$B$11:$B$310)+COUNTA(条幅4分の1!$B$11:$B$310),INDEX(条幅4分の1!$J$11:$J$310,716-COUNTA(半紙!$B$11:$B$310)-COUNTA(条幅!$B$11:$B$310)),"")))=0,"",IF(716&lt;=COUNTA(半紙!$B$11:$B$310),INDEX(半紙!$J$11:$J$310,716),IF(716&lt;=COUNTA(半紙!$B$11:$B$310)+COUNTA(条幅!$B$11:$B$310),INDEX(条幅!$J$11:$J$310,716-COUNTA(半紙!$B$11:$B$310)),IF(716&lt;=COUNTA(半紙!$B$11:$B$310)+COUNTA(条幅!$B$11:$B$310)+COUNTA(条幅4分の1!$B$11:$B$310),INDEX(条幅4分の1!$J$11:$J$310,716-COUNTA(半紙!$B$11:$B$310)-COUNTA(条幅!$B$11:$B$310)),""))))</f>
        <v/>
      </c>
      <c r="K721" s="38" t="str">
        <f>IF(IF(716&lt;=COUNTA(半紙!$B$11:$B$310),INDEX(半紙!$K$11:$K$310,716),IF(716&lt;=COUNTA(半紙!$B$11:$B$310)+COUNTA(条幅!$B$11:$B$310),INDEX(条幅!$K$11:$K$310,716-COUNTA(半紙!$B$11:$B$310)),IF(716&lt;=COUNTA(半紙!$B$11:$B$310)+COUNTA(条幅!$B$11:$B$310)+COUNTA(条幅4分の1!$B$11:$B$310),INDEX(条幅4分の1!$K$11:$K$310,716-COUNTA(半紙!$B$11:$B$310)-COUNTA(条幅!$B$11:$B$310)),"")))=0,"",IF(716&lt;=COUNTA(半紙!$B$11:$B$310),INDEX(半紙!$K$11:$K$310,716),IF(716&lt;=COUNTA(半紙!$B$11:$B$310)+COUNTA(条幅!$B$11:$B$310),INDEX(条幅!$K$11:$K$310,716-COUNTA(半紙!$B$11:$B$310)),IF(716&lt;=COUNTA(半紙!$B$11:$B$310)+COUNTA(条幅!$B$11:$B$310)+COUNTA(条幅4分の1!$B$11:$B$310),INDEX(条幅4分の1!$K$11:$K$310,716-COUNTA(半紙!$B$11:$B$310)-COUNTA(条幅!$B$11:$B$310)),""))))</f>
        <v/>
      </c>
      <c r="L721" s="48" t="str">
        <f>IF($B721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716))</f>
        <v/>
      </c>
    </row>
    <row r="722" spans="1:12" ht="15" customHeight="1">
      <c r="A722" s="37" t="str">
        <f>IF(717&lt;=COUNTA(半紙!$B$11:$B$310),"半紙",IF(717&lt;=COUNTA(半紙!$B$11:$B$310)+COUNTA(条幅!$B$11:$B$310),"条幅(半切)",IF(717&lt;=COUNTA(半紙!$B$11:$B$310)+COUNTA(条幅!$B$11:$B$310)+COUNTA(条幅4分の1!$B$11:$B$310),"条幅(1/4)","")))</f>
        <v/>
      </c>
      <c r="B722" s="38" t="str">
        <f>IF(IF(717&lt;=COUNTA(半紙!$B$11:$B$310),INDEX(半紙!$B$11:$B$310,717),IF(717&lt;=COUNTA(半紙!$B$11:$B$310)+COUNTA(条幅!$B$11:$B$310),INDEX(条幅!$B$11:$B$310,717-COUNTA(半紙!$B$11:$B$310)),IF(717&lt;=COUNTA(半紙!$B$11:$B$310)+COUNTA(条幅!$B$11:$B$310)+COUNTA(条幅4分の1!$B$11:$B$310),INDEX(条幅4分の1!$B$11:$B$310,717-COUNTA(半紙!$B$11:$B$310)-COUNTA(条幅!$B$11:$B$310)),"")))=0,"",IF(717&lt;=COUNTA(半紙!$B$11:$B$310),INDEX(半紙!$B$11:$B$310,717),IF(717&lt;=COUNTA(半紙!$B$11:$B$310)+COUNTA(条幅!$B$11:$B$310),INDEX(条幅!$B$11:$B$310,717-COUNTA(半紙!$B$11:$B$310)),IF(717&lt;=COUNTA(半紙!$B$11:$B$310)+COUNTA(条幅!$B$11:$B$310)+COUNTA(条幅4分の1!$B$11:$B$310),INDEX(条幅4分の1!$B$11:$B$310,717-COUNTA(半紙!$B$11:$B$310)-COUNTA(条幅!$B$11:$B$310)),""))))</f>
        <v/>
      </c>
      <c r="C722" s="38" t="str">
        <f>IF(IF(717&lt;=COUNTA(半紙!$B$11:$B$310),INDEX(半紙!$C$11:$C$310,717),IF(717&lt;=COUNTA(半紙!$B$11:$B$310)+COUNTA(条幅!$B$11:$B$310),INDEX(条幅!$C$11:$C$310,717-COUNTA(半紙!$B$11:$B$310)),IF(717&lt;=COUNTA(半紙!$B$11:$B$310)+COUNTA(条幅!$B$11:$B$310)+COUNTA(条幅4分の1!$B$11:$B$310),INDEX(条幅4分の1!$C$11:$C$310,717-COUNTA(半紙!$B$11:$B$310)-COUNTA(条幅!$B$11:$B$310)),"")))=0,"",IF(717&lt;=COUNTA(半紙!$B$11:$B$310),INDEX(半紙!$C$11:$C$310,717),IF(717&lt;=COUNTA(半紙!$B$11:$B$310)+COUNTA(条幅!$B$11:$B$310),INDEX(条幅!$C$11:$C$310,717-COUNTA(半紙!$B$11:$B$310)),IF(717&lt;=COUNTA(半紙!$B$11:$B$310)+COUNTA(条幅!$B$11:$B$310)+COUNTA(条幅4分の1!$B$11:$B$310),INDEX(条幅4分の1!$C$11:$C$310,717-COUNTA(半紙!$B$11:$B$310)-COUNTA(条幅!$B$11:$B$310)),""))))</f>
        <v/>
      </c>
      <c r="D722" s="38" t="str">
        <f>IF(IF(717&lt;=COUNTA(半紙!$B$11:$B$310),INDEX(半紙!$D$11:$D$310,717),IF(717&lt;=COUNTA(半紙!$B$11:$B$310)+COUNTA(条幅!$B$11:$B$310),INDEX(条幅!$D$11:$D$310,717-COUNTA(半紙!$B$11:$B$310)),IF(717&lt;=COUNTA(半紙!$B$11:$B$310)+COUNTA(条幅!$B$11:$B$310)+COUNTA(条幅4分の1!$B$11:$B$310),INDEX(条幅4分の1!$D$11:$D$310,717-COUNTA(半紙!$B$11:$B$310)-COUNTA(条幅!$B$11:$B$310)),"")))=0,"",IF(717&lt;=COUNTA(半紙!$B$11:$B$310),INDEX(半紙!$D$11:$D$310,717),IF(717&lt;=COUNTA(半紙!$B$11:$B$310)+COUNTA(条幅!$B$11:$B$310),INDEX(条幅!$D$11:$D$310,717-COUNTA(半紙!$B$11:$B$310)),IF(717&lt;=COUNTA(半紙!$B$11:$B$310)+COUNTA(条幅!$B$11:$B$310)+COUNTA(条幅4分の1!$B$11:$B$310),INDEX(条幅4分の1!$D$11:$D$310,717-COUNTA(半紙!$B$11:$B$310)-COUNTA(条幅!$B$11:$B$310)),""))))</f>
        <v/>
      </c>
      <c r="E722" s="38" t="str">
        <f>IF(IF(717&lt;=COUNTA(半紙!$B$11:$B$310),INDEX(半紙!$E$11:$E$310,717),IF(717&lt;=COUNTA(半紙!$B$11:$B$310)+COUNTA(条幅!$B$11:$B$310),INDEX(条幅!$E$11:$E$310,717-COUNTA(半紙!$B$11:$B$310)),IF(717&lt;=COUNTA(半紙!$B$11:$B$310)+COUNTA(条幅!$B$11:$B$310)+COUNTA(条幅4分の1!$B$11:$B$310),INDEX(条幅4分の1!$E$11:$E$310,717-COUNTA(半紙!$B$11:$B$310)-COUNTA(条幅!$B$11:$B$310)),"")))=0,"",IF(717&lt;=COUNTA(半紙!$B$11:$B$310),INDEX(半紙!$E$11:$E$310,717),IF(717&lt;=COUNTA(半紙!$B$11:$B$310)+COUNTA(条幅!$B$11:$B$310),INDEX(条幅!$E$11:$E$310,717-COUNTA(半紙!$B$11:$B$310)),IF(717&lt;=COUNTA(半紙!$B$11:$B$310)+COUNTA(条幅!$B$11:$B$310)+COUNTA(条幅4分の1!$B$11:$B$310),INDEX(条幅4分の1!$E$11:$E$310,717-COUNTA(半紙!$B$11:$B$310)-COUNTA(条幅!$B$11:$B$310)),""))))</f>
        <v/>
      </c>
      <c r="F722" s="38" t="str">
        <f>IF(IF(717&lt;=COUNTA(半紙!$B$11:$B$310),INDEX(半紙!$F$11:$F$310,717),IF(717&lt;=COUNTA(半紙!$B$11:$B$310)+COUNTA(条幅!$B$11:$B$310),INDEX(条幅!$F$11:$F$310,717-COUNTA(半紙!$B$11:$B$310)),IF(717&lt;=COUNTA(半紙!$B$11:$B$310)+COUNTA(条幅!$B$11:$B$310)+COUNTA(条幅4分の1!$B$11:$B$310),INDEX(条幅4分の1!$F$11:$F$310,717-COUNTA(半紙!$B$11:$B$310)-COUNTA(条幅!$B$11:$B$310)),"")))=0,"",IF(717&lt;=COUNTA(半紙!$B$11:$B$310),INDEX(半紙!$F$11:$F$310,717),IF(717&lt;=COUNTA(半紙!$B$11:$B$310)+COUNTA(条幅!$B$11:$B$310),INDEX(条幅!$F$11:$F$310,717-COUNTA(半紙!$B$11:$B$310)),IF(717&lt;=COUNTA(半紙!$B$11:$B$310)+COUNTA(条幅!$B$11:$B$310)+COUNTA(条幅4分の1!$B$11:$B$310),INDEX(条幅4分の1!$F$11:$F$310,717-COUNTA(半紙!$B$11:$B$310)-COUNTA(条幅!$B$11:$B$310)),""))))</f>
        <v/>
      </c>
      <c r="G722" s="38" t="str">
        <f>IF(IF(717&lt;=COUNTA(半紙!$B$11:$B$310),INDEX(半紙!$G$11:$G$310,717),IF(717&lt;=COUNTA(半紙!$B$11:$B$310)+COUNTA(条幅!$B$11:$B$310),INDEX(条幅!$G$11:$G$310,717-COUNTA(半紙!$B$11:$B$310)),IF(717&lt;=COUNTA(半紙!$B$11:$B$310)+COUNTA(条幅!$B$11:$B$310)+COUNTA(条幅4分の1!$B$11:$B$310),INDEX(条幅4分の1!$G$11:$G$310,717-COUNTA(半紙!$B$11:$B$310)-COUNTA(条幅!$B$11:$B$310)),"")))=0,"",IF(717&lt;=COUNTA(半紙!$B$11:$B$310),INDEX(半紙!$G$11:$G$310,717),IF(717&lt;=COUNTA(半紙!$B$11:$B$310)+COUNTA(条幅!$B$11:$B$310),INDEX(条幅!$G$11:$G$310,717-COUNTA(半紙!$B$11:$B$310)),IF(717&lt;=COUNTA(半紙!$B$11:$B$310)+COUNTA(条幅!$B$11:$B$310)+COUNTA(条幅4分の1!$B$11:$B$310),INDEX(条幅4分の1!$G$11:$G$310,717-COUNTA(半紙!$B$11:$B$310)-COUNTA(条幅!$B$11:$B$310)),""))))</f>
        <v/>
      </c>
      <c r="H722" s="38" t="str">
        <f>IF(IF(717&lt;=COUNTA(半紙!$B$11:$B$310),INDEX(半紙!$H$11:$H$310,717),IF(717&lt;=COUNTA(半紙!$B$11:$B$310)+COUNTA(条幅!$B$11:$B$310),INDEX(条幅!$H$11:$H$310,717-COUNTA(半紙!$B$11:$B$310)),IF(717&lt;=COUNTA(半紙!$B$11:$B$310)+COUNTA(条幅!$B$11:$B$310)+COUNTA(条幅4分の1!$B$11:$B$310),INDEX(条幅4分の1!$H$11:$H$310,717-COUNTA(半紙!$B$11:$B$310)-COUNTA(条幅!$B$11:$B$310)),"")))=0,"",IF(717&lt;=COUNTA(半紙!$B$11:$B$310),INDEX(半紙!$H$11:$H$310,717),IF(717&lt;=COUNTA(半紙!$B$11:$B$310)+COUNTA(条幅!$B$11:$B$310),INDEX(条幅!$H$11:$H$310,717-COUNTA(半紙!$B$11:$B$310)),IF(717&lt;=COUNTA(半紙!$B$11:$B$310)+COUNTA(条幅!$B$11:$B$310)+COUNTA(条幅4分の1!$B$11:$B$310),INDEX(条幅4分の1!$H$11:$H$310,717-COUNTA(半紙!$B$11:$B$310)-COUNTA(条幅!$B$11:$B$310)),""))))</f>
        <v/>
      </c>
      <c r="I722" s="38" t="str">
        <f>IF(IF(717&lt;=COUNTA(半紙!$B$11:$B$310),INDEX(半紙!$I$11:$I$310,717),IF(717&lt;=COUNTA(半紙!$B$11:$B$310)+COUNTA(条幅!$B$11:$B$310),INDEX(条幅!$I$11:$I$310,717-COUNTA(半紙!$B$11:$B$310)),IF(717&lt;=COUNTA(半紙!$B$11:$B$310)+COUNTA(条幅!$B$11:$B$310)+COUNTA(条幅4分の1!$B$11:$B$310),INDEX(条幅4分の1!$I$11:$I$310,717-COUNTA(半紙!$B$11:$B$310)-COUNTA(条幅!$B$11:$B$310)),"")))=0,"",IF(717&lt;=COUNTA(半紙!$B$11:$B$310),INDEX(半紙!$I$11:$I$310,717),IF(717&lt;=COUNTA(半紙!$B$11:$B$310)+COUNTA(条幅!$B$11:$B$310),INDEX(条幅!$I$11:$I$310,717-COUNTA(半紙!$B$11:$B$310)),IF(717&lt;=COUNTA(半紙!$B$11:$B$310)+COUNTA(条幅!$B$11:$B$310)+COUNTA(条幅4分の1!$B$11:$B$310),INDEX(条幅4分の1!$I$11:$I$310,717-COUNTA(半紙!$B$11:$B$310)-COUNTA(条幅!$B$11:$B$310)),""))))</f>
        <v/>
      </c>
      <c r="J722" s="38" t="str">
        <f>IF(IF(717&lt;=COUNTA(半紙!$B$11:$B$310),INDEX(半紙!$J$11:$J$310,717),IF(717&lt;=COUNTA(半紙!$B$11:$B$310)+COUNTA(条幅!$B$11:$B$310),INDEX(条幅!$J$11:$J$310,717-COUNTA(半紙!$B$11:$B$310)),IF(717&lt;=COUNTA(半紙!$B$11:$B$310)+COUNTA(条幅!$B$11:$B$310)+COUNTA(条幅4分の1!$B$11:$B$310),INDEX(条幅4分の1!$J$11:$J$310,717-COUNTA(半紙!$B$11:$B$310)-COUNTA(条幅!$B$11:$B$310)),"")))=0,"",IF(717&lt;=COUNTA(半紙!$B$11:$B$310),INDEX(半紙!$J$11:$J$310,717),IF(717&lt;=COUNTA(半紙!$B$11:$B$310)+COUNTA(条幅!$B$11:$B$310),INDEX(条幅!$J$11:$J$310,717-COUNTA(半紙!$B$11:$B$310)),IF(717&lt;=COUNTA(半紙!$B$11:$B$310)+COUNTA(条幅!$B$11:$B$310)+COUNTA(条幅4分の1!$B$11:$B$310),INDEX(条幅4分の1!$J$11:$J$310,717-COUNTA(半紙!$B$11:$B$310)-COUNTA(条幅!$B$11:$B$310)),""))))</f>
        <v/>
      </c>
      <c r="K722" s="38" t="str">
        <f>IF(IF(717&lt;=COUNTA(半紙!$B$11:$B$310),INDEX(半紙!$K$11:$K$310,717),IF(717&lt;=COUNTA(半紙!$B$11:$B$310)+COUNTA(条幅!$B$11:$B$310),INDEX(条幅!$K$11:$K$310,717-COUNTA(半紙!$B$11:$B$310)),IF(717&lt;=COUNTA(半紙!$B$11:$B$310)+COUNTA(条幅!$B$11:$B$310)+COUNTA(条幅4分の1!$B$11:$B$310),INDEX(条幅4分の1!$K$11:$K$310,717-COUNTA(半紙!$B$11:$B$310)-COUNTA(条幅!$B$11:$B$310)),"")))=0,"",IF(717&lt;=COUNTA(半紙!$B$11:$B$310),INDEX(半紙!$K$11:$K$310,717),IF(717&lt;=COUNTA(半紙!$B$11:$B$310)+COUNTA(条幅!$B$11:$B$310),INDEX(条幅!$K$11:$K$310,717-COUNTA(半紙!$B$11:$B$310)),IF(717&lt;=COUNTA(半紙!$B$11:$B$310)+COUNTA(条幅!$B$11:$B$310)+COUNTA(条幅4分の1!$B$11:$B$310),INDEX(条幅4分の1!$K$11:$K$310,717-COUNTA(半紙!$B$11:$B$310)-COUNTA(条幅!$B$11:$B$310)),""))))</f>
        <v/>
      </c>
      <c r="L722" s="48" t="str">
        <f>IF($B722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717))</f>
        <v/>
      </c>
    </row>
    <row r="723" spans="1:12" ht="15" customHeight="1">
      <c r="A723" s="37" t="str">
        <f>IF(718&lt;=COUNTA(半紙!$B$11:$B$310),"半紙",IF(718&lt;=COUNTA(半紙!$B$11:$B$310)+COUNTA(条幅!$B$11:$B$310),"条幅(半切)",IF(718&lt;=COUNTA(半紙!$B$11:$B$310)+COUNTA(条幅!$B$11:$B$310)+COUNTA(条幅4分の1!$B$11:$B$310),"条幅(1/4)","")))</f>
        <v/>
      </c>
      <c r="B723" s="38" t="str">
        <f>IF(IF(718&lt;=COUNTA(半紙!$B$11:$B$310),INDEX(半紙!$B$11:$B$310,718),IF(718&lt;=COUNTA(半紙!$B$11:$B$310)+COUNTA(条幅!$B$11:$B$310),INDEX(条幅!$B$11:$B$310,718-COUNTA(半紙!$B$11:$B$310)),IF(718&lt;=COUNTA(半紙!$B$11:$B$310)+COUNTA(条幅!$B$11:$B$310)+COUNTA(条幅4分の1!$B$11:$B$310),INDEX(条幅4分の1!$B$11:$B$310,718-COUNTA(半紙!$B$11:$B$310)-COUNTA(条幅!$B$11:$B$310)),"")))=0,"",IF(718&lt;=COUNTA(半紙!$B$11:$B$310),INDEX(半紙!$B$11:$B$310,718),IF(718&lt;=COUNTA(半紙!$B$11:$B$310)+COUNTA(条幅!$B$11:$B$310),INDEX(条幅!$B$11:$B$310,718-COUNTA(半紙!$B$11:$B$310)),IF(718&lt;=COUNTA(半紙!$B$11:$B$310)+COUNTA(条幅!$B$11:$B$310)+COUNTA(条幅4分の1!$B$11:$B$310),INDEX(条幅4分の1!$B$11:$B$310,718-COUNTA(半紙!$B$11:$B$310)-COUNTA(条幅!$B$11:$B$310)),""))))</f>
        <v/>
      </c>
      <c r="C723" s="38" t="str">
        <f>IF(IF(718&lt;=COUNTA(半紙!$B$11:$B$310),INDEX(半紙!$C$11:$C$310,718),IF(718&lt;=COUNTA(半紙!$B$11:$B$310)+COUNTA(条幅!$B$11:$B$310),INDEX(条幅!$C$11:$C$310,718-COUNTA(半紙!$B$11:$B$310)),IF(718&lt;=COUNTA(半紙!$B$11:$B$310)+COUNTA(条幅!$B$11:$B$310)+COUNTA(条幅4分の1!$B$11:$B$310),INDEX(条幅4分の1!$C$11:$C$310,718-COUNTA(半紙!$B$11:$B$310)-COUNTA(条幅!$B$11:$B$310)),"")))=0,"",IF(718&lt;=COUNTA(半紙!$B$11:$B$310),INDEX(半紙!$C$11:$C$310,718),IF(718&lt;=COUNTA(半紙!$B$11:$B$310)+COUNTA(条幅!$B$11:$B$310),INDEX(条幅!$C$11:$C$310,718-COUNTA(半紙!$B$11:$B$310)),IF(718&lt;=COUNTA(半紙!$B$11:$B$310)+COUNTA(条幅!$B$11:$B$310)+COUNTA(条幅4分の1!$B$11:$B$310),INDEX(条幅4分の1!$C$11:$C$310,718-COUNTA(半紙!$B$11:$B$310)-COUNTA(条幅!$B$11:$B$310)),""))))</f>
        <v/>
      </c>
      <c r="D723" s="38" t="str">
        <f>IF(IF(718&lt;=COUNTA(半紙!$B$11:$B$310),INDEX(半紙!$D$11:$D$310,718),IF(718&lt;=COUNTA(半紙!$B$11:$B$310)+COUNTA(条幅!$B$11:$B$310),INDEX(条幅!$D$11:$D$310,718-COUNTA(半紙!$B$11:$B$310)),IF(718&lt;=COUNTA(半紙!$B$11:$B$310)+COUNTA(条幅!$B$11:$B$310)+COUNTA(条幅4分の1!$B$11:$B$310),INDEX(条幅4分の1!$D$11:$D$310,718-COUNTA(半紙!$B$11:$B$310)-COUNTA(条幅!$B$11:$B$310)),"")))=0,"",IF(718&lt;=COUNTA(半紙!$B$11:$B$310),INDEX(半紙!$D$11:$D$310,718),IF(718&lt;=COUNTA(半紙!$B$11:$B$310)+COUNTA(条幅!$B$11:$B$310),INDEX(条幅!$D$11:$D$310,718-COUNTA(半紙!$B$11:$B$310)),IF(718&lt;=COUNTA(半紙!$B$11:$B$310)+COUNTA(条幅!$B$11:$B$310)+COUNTA(条幅4分の1!$B$11:$B$310),INDEX(条幅4分の1!$D$11:$D$310,718-COUNTA(半紙!$B$11:$B$310)-COUNTA(条幅!$B$11:$B$310)),""))))</f>
        <v/>
      </c>
      <c r="E723" s="38" t="str">
        <f>IF(IF(718&lt;=COUNTA(半紙!$B$11:$B$310),INDEX(半紙!$E$11:$E$310,718),IF(718&lt;=COUNTA(半紙!$B$11:$B$310)+COUNTA(条幅!$B$11:$B$310),INDEX(条幅!$E$11:$E$310,718-COUNTA(半紙!$B$11:$B$310)),IF(718&lt;=COUNTA(半紙!$B$11:$B$310)+COUNTA(条幅!$B$11:$B$310)+COUNTA(条幅4分の1!$B$11:$B$310),INDEX(条幅4分の1!$E$11:$E$310,718-COUNTA(半紙!$B$11:$B$310)-COUNTA(条幅!$B$11:$B$310)),"")))=0,"",IF(718&lt;=COUNTA(半紙!$B$11:$B$310),INDEX(半紙!$E$11:$E$310,718),IF(718&lt;=COUNTA(半紙!$B$11:$B$310)+COUNTA(条幅!$B$11:$B$310),INDEX(条幅!$E$11:$E$310,718-COUNTA(半紙!$B$11:$B$310)),IF(718&lt;=COUNTA(半紙!$B$11:$B$310)+COUNTA(条幅!$B$11:$B$310)+COUNTA(条幅4分の1!$B$11:$B$310),INDEX(条幅4分の1!$E$11:$E$310,718-COUNTA(半紙!$B$11:$B$310)-COUNTA(条幅!$B$11:$B$310)),""))))</f>
        <v/>
      </c>
      <c r="F723" s="38" t="str">
        <f>IF(IF(718&lt;=COUNTA(半紙!$B$11:$B$310),INDEX(半紙!$F$11:$F$310,718),IF(718&lt;=COUNTA(半紙!$B$11:$B$310)+COUNTA(条幅!$B$11:$B$310),INDEX(条幅!$F$11:$F$310,718-COUNTA(半紙!$B$11:$B$310)),IF(718&lt;=COUNTA(半紙!$B$11:$B$310)+COUNTA(条幅!$B$11:$B$310)+COUNTA(条幅4分の1!$B$11:$B$310),INDEX(条幅4分の1!$F$11:$F$310,718-COUNTA(半紙!$B$11:$B$310)-COUNTA(条幅!$B$11:$B$310)),"")))=0,"",IF(718&lt;=COUNTA(半紙!$B$11:$B$310),INDEX(半紙!$F$11:$F$310,718),IF(718&lt;=COUNTA(半紙!$B$11:$B$310)+COUNTA(条幅!$B$11:$B$310),INDEX(条幅!$F$11:$F$310,718-COUNTA(半紙!$B$11:$B$310)),IF(718&lt;=COUNTA(半紙!$B$11:$B$310)+COUNTA(条幅!$B$11:$B$310)+COUNTA(条幅4分の1!$B$11:$B$310),INDEX(条幅4分の1!$F$11:$F$310,718-COUNTA(半紙!$B$11:$B$310)-COUNTA(条幅!$B$11:$B$310)),""))))</f>
        <v/>
      </c>
      <c r="G723" s="38" t="str">
        <f>IF(IF(718&lt;=COUNTA(半紙!$B$11:$B$310),INDEX(半紙!$G$11:$G$310,718),IF(718&lt;=COUNTA(半紙!$B$11:$B$310)+COUNTA(条幅!$B$11:$B$310),INDEX(条幅!$G$11:$G$310,718-COUNTA(半紙!$B$11:$B$310)),IF(718&lt;=COUNTA(半紙!$B$11:$B$310)+COUNTA(条幅!$B$11:$B$310)+COUNTA(条幅4分の1!$B$11:$B$310),INDEX(条幅4分の1!$G$11:$G$310,718-COUNTA(半紙!$B$11:$B$310)-COUNTA(条幅!$B$11:$B$310)),"")))=0,"",IF(718&lt;=COUNTA(半紙!$B$11:$B$310),INDEX(半紙!$G$11:$G$310,718),IF(718&lt;=COUNTA(半紙!$B$11:$B$310)+COUNTA(条幅!$B$11:$B$310),INDEX(条幅!$G$11:$G$310,718-COUNTA(半紙!$B$11:$B$310)),IF(718&lt;=COUNTA(半紙!$B$11:$B$310)+COUNTA(条幅!$B$11:$B$310)+COUNTA(条幅4分の1!$B$11:$B$310),INDEX(条幅4分の1!$G$11:$G$310,718-COUNTA(半紙!$B$11:$B$310)-COUNTA(条幅!$B$11:$B$310)),""))))</f>
        <v/>
      </c>
      <c r="H723" s="38" t="str">
        <f>IF(IF(718&lt;=COUNTA(半紙!$B$11:$B$310),INDEX(半紙!$H$11:$H$310,718),IF(718&lt;=COUNTA(半紙!$B$11:$B$310)+COUNTA(条幅!$B$11:$B$310),INDEX(条幅!$H$11:$H$310,718-COUNTA(半紙!$B$11:$B$310)),IF(718&lt;=COUNTA(半紙!$B$11:$B$310)+COUNTA(条幅!$B$11:$B$310)+COUNTA(条幅4分の1!$B$11:$B$310),INDEX(条幅4分の1!$H$11:$H$310,718-COUNTA(半紙!$B$11:$B$310)-COUNTA(条幅!$B$11:$B$310)),"")))=0,"",IF(718&lt;=COUNTA(半紙!$B$11:$B$310),INDEX(半紙!$H$11:$H$310,718),IF(718&lt;=COUNTA(半紙!$B$11:$B$310)+COUNTA(条幅!$B$11:$B$310),INDEX(条幅!$H$11:$H$310,718-COUNTA(半紙!$B$11:$B$310)),IF(718&lt;=COUNTA(半紙!$B$11:$B$310)+COUNTA(条幅!$B$11:$B$310)+COUNTA(条幅4分の1!$B$11:$B$310),INDEX(条幅4分の1!$H$11:$H$310,718-COUNTA(半紙!$B$11:$B$310)-COUNTA(条幅!$B$11:$B$310)),""))))</f>
        <v/>
      </c>
      <c r="I723" s="38" t="str">
        <f>IF(IF(718&lt;=COUNTA(半紙!$B$11:$B$310),INDEX(半紙!$I$11:$I$310,718),IF(718&lt;=COUNTA(半紙!$B$11:$B$310)+COUNTA(条幅!$B$11:$B$310),INDEX(条幅!$I$11:$I$310,718-COUNTA(半紙!$B$11:$B$310)),IF(718&lt;=COUNTA(半紙!$B$11:$B$310)+COUNTA(条幅!$B$11:$B$310)+COUNTA(条幅4分の1!$B$11:$B$310),INDEX(条幅4分の1!$I$11:$I$310,718-COUNTA(半紙!$B$11:$B$310)-COUNTA(条幅!$B$11:$B$310)),"")))=0,"",IF(718&lt;=COUNTA(半紙!$B$11:$B$310),INDEX(半紙!$I$11:$I$310,718),IF(718&lt;=COUNTA(半紙!$B$11:$B$310)+COUNTA(条幅!$B$11:$B$310),INDEX(条幅!$I$11:$I$310,718-COUNTA(半紙!$B$11:$B$310)),IF(718&lt;=COUNTA(半紙!$B$11:$B$310)+COUNTA(条幅!$B$11:$B$310)+COUNTA(条幅4分の1!$B$11:$B$310),INDEX(条幅4分の1!$I$11:$I$310,718-COUNTA(半紙!$B$11:$B$310)-COUNTA(条幅!$B$11:$B$310)),""))))</f>
        <v/>
      </c>
      <c r="J723" s="38" t="str">
        <f>IF(IF(718&lt;=COUNTA(半紙!$B$11:$B$310),INDEX(半紙!$J$11:$J$310,718),IF(718&lt;=COUNTA(半紙!$B$11:$B$310)+COUNTA(条幅!$B$11:$B$310),INDEX(条幅!$J$11:$J$310,718-COUNTA(半紙!$B$11:$B$310)),IF(718&lt;=COUNTA(半紙!$B$11:$B$310)+COUNTA(条幅!$B$11:$B$310)+COUNTA(条幅4分の1!$B$11:$B$310),INDEX(条幅4分の1!$J$11:$J$310,718-COUNTA(半紙!$B$11:$B$310)-COUNTA(条幅!$B$11:$B$310)),"")))=0,"",IF(718&lt;=COUNTA(半紙!$B$11:$B$310),INDEX(半紙!$J$11:$J$310,718),IF(718&lt;=COUNTA(半紙!$B$11:$B$310)+COUNTA(条幅!$B$11:$B$310),INDEX(条幅!$J$11:$J$310,718-COUNTA(半紙!$B$11:$B$310)),IF(718&lt;=COUNTA(半紙!$B$11:$B$310)+COUNTA(条幅!$B$11:$B$310)+COUNTA(条幅4分の1!$B$11:$B$310),INDEX(条幅4分の1!$J$11:$J$310,718-COUNTA(半紙!$B$11:$B$310)-COUNTA(条幅!$B$11:$B$310)),""))))</f>
        <v/>
      </c>
      <c r="K723" s="38" t="str">
        <f>IF(IF(718&lt;=COUNTA(半紙!$B$11:$B$310),INDEX(半紙!$K$11:$K$310,718),IF(718&lt;=COUNTA(半紙!$B$11:$B$310)+COUNTA(条幅!$B$11:$B$310),INDEX(条幅!$K$11:$K$310,718-COUNTA(半紙!$B$11:$B$310)),IF(718&lt;=COUNTA(半紙!$B$11:$B$310)+COUNTA(条幅!$B$11:$B$310)+COUNTA(条幅4分の1!$B$11:$B$310),INDEX(条幅4分の1!$K$11:$K$310,718-COUNTA(半紙!$B$11:$B$310)-COUNTA(条幅!$B$11:$B$310)),"")))=0,"",IF(718&lt;=COUNTA(半紙!$B$11:$B$310),INDEX(半紙!$K$11:$K$310,718),IF(718&lt;=COUNTA(半紙!$B$11:$B$310)+COUNTA(条幅!$B$11:$B$310),INDEX(条幅!$K$11:$K$310,718-COUNTA(半紙!$B$11:$B$310)),IF(718&lt;=COUNTA(半紙!$B$11:$B$310)+COUNTA(条幅!$B$11:$B$310)+COUNTA(条幅4分の1!$B$11:$B$310),INDEX(条幅4分の1!$K$11:$K$310,718-COUNTA(半紙!$B$11:$B$310)-COUNTA(条幅!$B$11:$B$310)),""))))</f>
        <v/>
      </c>
      <c r="L723" s="48" t="str">
        <f>IF($B723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718))</f>
        <v/>
      </c>
    </row>
    <row r="724" spans="1:12" ht="15" customHeight="1">
      <c r="A724" s="37" t="str">
        <f>IF(719&lt;=COUNTA(半紙!$B$11:$B$310),"半紙",IF(719&lt;=COUNTA(半紙!$B$11:$B$310)+COUNTA(条幅!$B$11:$B$310),"条幅(半切)",IF(719&lt;=COUNTA(半紙!$B$11:$B$310)+COUNTA(条幅!$B$11:$B$310)+COUNTA(条幅4分の1!$B$11:$B$310),"条幅(1/4)","")))</f>
        <v/>
      </c>
      <c r="B724" s="38" t="str">
        <f>IF(IF(719&lt;=COUNTA(半紙!$B$11:$B$310),INDEX(半紙!$B$11:$B$310,719),IF(719&lt;=COUNTA(半紙!$B$11:$B$310)+COUNTA(条幅!$B$11:$B$310),INDEX(条幅!$B$11:$B$310,719-COUNTA(半紙!$B$11:$B$310)),IF(719&lt;=COUNTA(半紙!$B$11:$B$310)+COUNTA(条幅!$B$11:$B$310)+COUNTA(条幅4分の1!$B$11:$B$310),INDEX(条幅4分の1!$B$11:$B$310,719-COUNTA(半紙!$B$11:$B$310)-COUNTA(条幅!$B$11:$B$310)),"")))=0,"",IF(719&lt;=COUNTA(半紙!$B$11:$B$310),INDEX(半紙!$B$11:$B$310,719),IF(719&lt;=COUNTA(半紙!$B$11:$B$310)+COUNTA(条幅!$B$11:$B$310),INDEX(条幅!$B$11:$B$310,719-COUNTA(半紙!$B$11:$B$310)),IF(719&lt;=COUNTA(半紙!$B$11:$B$310)+COUNTA(条幅!$B$11:$B$310)+COUNTA(条幅4分の1!$B$11:$B$310),INDEX(条幅4分の1!$B$11:$B$310,719-COUNTA(半紙!$B$11:$B$310)-COUNTA(条幅!$B$11:$B$310)),""))))</f>
        <v/>
      </c>
      <c r="C724" s="38" t="str">
        <f>IF(IF(719&lt;=COUNTA(半紙!$B$11:$B$310),INDEX(半紙!$C$11:$C$310,719),IF(719&lt;=COUNTA(半紙!$B$11:$B$310)+COUNTA(条幅!$B$11:$B$310),INDEX(条幅!$C$11:$C$310,719-COUNTA(半紙!$B$11:$B$310)),IF(719&lt;=COUNTA(半紙!$B$11:$B$310)+COUNTA(条幅!$B$11:$B$310)+COUNTA(条幅4分の1!$B$11:$B$310),INDEX(条幅4分の1!$C$11:$C$310,719-COUNTA(半紙!$B$11:$B$310)-COUNTA(条幅!$B$11:$B$310)),"")))=0,"",IF(719&lt;=COUNTA(半紙!$B$11:$B$310),INDEX(半紙!$C$11:$C$310,719),IF(719&lt;=COUNTA(半紙!$B$11:$B$310)+COUNTA(条幅!$B$11:$B$310),INDEX(条幅!$C$11:$C$310,719-COUNTA(半紙!$B$11:$B$310)),IF(719&lt;=COUNTA(半紙!$B$11:$B$310)+COUNTA(条幅!$B$11:$B$310)+COUNTA(条幅4分の1!$B$11:$B$310),INDEX(条幅4分の1!$C$11:$C$310,719-COUNTA(半紙!$B$11:$B$310)-COUNTA(条幅!$B$11:$B$310)),""))))</f>
        <v/>
      </c>
      <c r="D724" s="38" t="str">
        <f>IF(IF(719&lt;=COUNTA(半紙!$B$11:$B$310),INDEX(半紙!$D$11:$D$310,719),IF(719&lt;=COUNTA(半紙!$B$11:$B$310)+COUNTA(条幅!$B$11:$B$310),INDEX(条幅!$D$11:$D$310,719-COUNTA(半紙!$B$11:$B$310)),IF(719&lt;=COUNTA(半紙!$B$11:$B$310)+COUNTA(条幅!$B$11:$B$310)+COUNTA(条幅4分の1!$B$11:$B$310),INDEX(条幅4分の1!$D$11:$D$310,719-COUNTA(半紙!$B$11:$B$310)-COUNTA(条幅!$B$11:$B$310)),"")))=0,"",IF(719&lt;=COUNTA(半紙!$B$11:$B$310),INDEX(半紙!$D$11:$D$310,719),IF(719&lt;=COUNTA(半紙!$B$11:$B$310)+COUNTA(条幅!$B$11:$B$310),INDEX(条幅!$D$11:$D$310,719-COUNTA(半紙!$B$11:$B$310)),IF(719&lt;=COUNTA(半紙!$B$11:$B$310)+COUNTA(条幅!$B$11:$B$310)+COUNTA(条幅4分の1!$B$11:$B$310),INDEX(条幅4分の1!$D$11:$D$310,719-COUNTA(半紙!$B$11:$B$310)-COUNTA(条幅!$B$11:$B$310)),""))))</f>
        <v/>
      </c>
      <c r="E724" s="38" t="str">
        <f>IF(IF(719&lt;=COUNTA(半紙!$B$11:$B$310),INDEX(半紙!$E$11:$E$310,719),IF(719&lt;=COUNTA(半紙!$B$11:$B$310)+COUNTA(条幅!$B$11:$B$310),INDEX(条幅!$E$11:$E$310,719-COUNTA(半紙!$B$11:$B$310)),IF(719&lt;=COUNTA(半紙!$B$11:$B$310)+COUNTA(条幅!$B$11:$B$310)+COUNTA(条幅4分の1!$B$11:$B$310),INDEX(条幅4分の1!$E$11:$E$310,719-COUNTA(半紙!$B$11:$B$310)-COUNTA(条幅!$B$11:$B$310)),"")))=0,"",IF(719&lt;=COUNTA(半紙!$B$11:$B$310),INDEX(半紙!$E$11:$E$310,719),IF(719&lt;=COUNTA(半紙!$B$11:$B$310)+COUNTA(条幅!$B$11:$B$310),INDEX(条幅!$E$11:$E$310,719-COUNTA(半紙!$B$11:$B$310)),IF(719&lt;=COUNTA(半紙!$B$11:$B$310)+COUNTA(条幅!$B$11:$B$310)+COUNTA(条幅4分の1!$B$11:$B$310),INDEX(条幅4分の1!$E$11:$E$310,719-COUNTA(半紙!$B$11:$B$310)-COUNTA(条幅!$B$11:$B$310)),""))))</f>
        <v/>
      </c>
      <c r="F724" s="38" t="str">
        <f>IF(IF(719&lt;=COUNTA(半紙!$B$11:$B$310),INDEX(半紙!$F$11:$F$310,719),IF(719&lt;=COUNTA(半紙!$B$11:$B$310)+COUNTA(条幅!$B$11:$B$310),INDEX(条幅!$F$11:$F$310,719-COUNTA(半紙!$B$11:$B$310)),IF(719&lt;=COUNTA(半紙!$B$11:$B$310)+COUNTA(条幅!$B$11:$B$310)+COUNTA(条幅4分の1!$B$11:$B$310),INDEX(条幅4分の1!$F$11:$F$310,719-COUNTA(半紙!$B$11:$B$310)-COUNTA(条幅!$B$11:$B$310)),"")))=0,"",IF(719&lt;=COUNTA(半紙!$B$11:$B$310),INDEX(半紙!$F$11:$F$310,719),IF(719&lt;=COUNTA(半紙!$B$11:$B$310)+COUNTA(条幅!$B$11:$B$310),INDEX(条幅!$F$11:$F$310,719-COUNTA(半紙!$B$11:$B$310)),IF(719&lt;=COUNTA(半紙!$B$11:$B$310)+COUNTA(条幅!$B$11:$B$310)+COUNTA(条幅4分の1!$B$11:$B$310),INDEX(条幅4分の1!$F$11:$F$310,719-COUNTA(半紙!$B$11:$B$310)-COUNTA(条幅!$B$11:$B$310)),""))))</f>
        <v/>
      </c>
      <c r="G724" s="38" t="str">
        <f>IF(IF(719&lt;=COUNTA(半紙!$B$11:$B$310),INDEX(半紙!$G$11:$G$310,719),IF(719&lt;=COUNTA(半紙!$B$11:$B$310)+COUNTA(条幅!$B$11:$B$310),INDEX(条幅!$G$11:$G$310,719-COUNTA(半紙!$B$11:$B$310)),IF(719&lt;=COUNTA(半紙!$B$11:$B$310)+COUNTA(条幅!$B$11:$B$310)+COUNTA(条幅4分の1!$B$11:$B$310),INDEX(条幅4分の1!$G$11:$G$310,719-COUNTA(半紙!$B$11:$B$310)-COUNTA(条幅!$B$11:$B$310)),"")))=0,"",IF(719&lt;=COUNTA(半紙!$B$11:$B$310),INDEX(半紙!$G$11:$G$310,719),IF(719&lt;=COUNTA(半紙!$B$11:$B$310)+COUNTA(条幅!$B$11:$B$310),INDEX(条幅!$G$11:$G$310,719-COUNTA(半紙!$B$11:$B$310)),IF(719&lt;=COUNTA(半紙!$B$11:$B$310)+COUNTA(条幅!$B$11:$B$310)+COUNTA(条幅4分の1!$B$11:$B$310),INDEX(条幅4分の1!$G$11:$G$310,719-COUNTA(半紙!$B$11:$B$310)-COUNTA(条幅!$B$11:$B$310)),""))))</f>
        <v/>
      </c>
      <c r="H724" s="38" t="str">
        <f>IF(IF(719&lt;=COUNTA(半紙!$B$11:$B$310),INDEX(半紙!$H$11:$H$310,719),IF(719&lt;=COUNTA(半紙!$B$11:$B$310)+COUNTA(条幅!$B$11:$B$310),INDEX(条幅!$H$11:$H$310,719-COUNTA(半紙!$B$11:$B$310)),IF(719&lt;=COUNTA(半紙!$B$11:$B$310)+COUNTA(条幅!$B$11:$B$310)+COUNTA(条幅4分の1!$B$11:$B$310),INDEX(条幅4分の1!$H$11:$H$310,719-COUNTA(半紙!$B$11:$B$310)-COUNTA(条幅!$B$11:$B$310)),"")))=0,"",IF(719&lt;=COUNTA(半紙!$B$11:$B$310),INDEX(半紙!$H$11:$H$310,719),IF(719&lt;=COUNTA(半紙!$B$11:$B$310)+COUNTA(条幅!$B$11:$B$310),INDEX(条幅!$H$11:$H$310,719-COUNTA(半紙!$B$11:$B$310)),IF(719&lt;=COUNTA(半紙!$B$11:$B$310)+COUNTA(条幅!$B$11:$B$310)+COUNTA(条幅4分の1!$B$11:$B$310),INDEX(条幅4分の1!$H$11:$H$310,719-COUNTA(半紙!$B$11:$B$310)-COUNTA(条幅!$B$11:$B$310)),""))))</f>
        <v/>
      </c>
      <c r="I724" s="38" t="str">
        <f>IF(IF(719&lt;=COUNTA(半紙!$B$11:$B$310),INDEX(半紙!$I$11:$I$310,719),IF(719&lt;=COUNTA(半紙!$B$11:$B$310)+COUNTA(条幅!$B$11:$B$310),INDEX(条幅!$I$11:$I$310,719-COUNTA(半紙!$B$11:$B$310)),IF(719&lt;=COUNTA(半紙!$B$11:$B$310)+COUNTA(条幅!$B$11:$B$310)+COUNTA(条幅4分の1!$B$11:$B$310),INDEX(条幅4分の1!$I$11:$I$310,719-COUNTA(半紙!$B$11:$B$310)-COUNTA(条幅!$B$11:$B$310)),"")))=0,"",IF(719&lt;=COUNTA(半紙!$B$11:$B$310),INDEX(半紙!$I$11:$I$310,719),IF(719&lt;=COUNTA(半紙!$B$11:$B$310)+COUNTA(条幅!$B$11:$B$310),INDEX(条幅!$I$11:$I$310,719-COUNTA(半紙!$B$11:$B$310)),IF(719&lt;=COUNTA(半紙!$B$11:$B$310)+COUNTA(条幅!$B$11:$B$310)+COUNTA(条幅4分の1!$B$11:$B$310),INDEX(条幅4分の1!$I$11:$I$310,719-COUNTA(半紙!$B$11:$B$310)-COUNTA(条幅!$B$11:$B$310)),""))))</f>
        <v/>
      </c>
      <c r="J724" s="38" t="str">
        <f>IF(IF(719&lt;=COUNTA(半紙!$B$11:$B$310),INDEX(半紙!$J$11:$J$310,719),IF(719&lt;=COUNTA(半紙!$B$11:$B$310)+COUNTA(条幅!$B$11:$B$310),INDEX(条幅!$J$11:$J$310,719-COUNTA(半紙!$B$11:$B$310)),IF(719&lt;=COUNTA(半紙!$B$11:$B$310)+COUNTA(条幅!$B$11:$B$310)+COUNTA(条幅4分の1!$B$11:$B$310),INDEX(条幅4分の1!$J$11:$J$310,719-COUNTA(半紙!$B$11:$B$310)-COUNTA(条幅!$B$11:$B$310)),"")))=0,"",IF(719&lt;=COUNTA(半紙!$B$11:$B$310),INDEX(半紙!$J$11:$J$310,719),IF(719&lt;=COUNTA(半紙!$B$11:$B$310)+COUNTA(条幅!$B$11:$B$310),INDEX(条幅!$J$11:$J$310,719-COUNTA(半紙!$B$11:$B$310)),IF(719&lt;=COUNTA(半紙!$B$11:$B$310)+COUNTA(条幅!$B$11:$B$310)+COUNTA(条幅4分の1!$B$11:$B$310),INDEX(条幅4分の1!$J$11:$J$310,719-COUNTA(半紙!$B$11:$B$310)-COUNTA(条幅!$B$11:$B$310)),""))))</f>
        <v/>
      </c>
      <c r="K724" s="38" t="str">
        <f>IF(IF(719&lt;=COUNTA(半紙!$B$11:$B$310),INDEX(半紙!$K$11:$K$310,719),IF(719&lt;=COUNTA(半紙!$B$11:$B$310)+COUNTA(条幅!$B$11:$B$310),INDEX(条幅!$K$11:$K$310,719-COUNTA(半紙!$B$11:$B$310)),IF(719&lt;=COUNTA(半紙!$B$11:$B$310)+COUNTA(条幅!$B$11:$B$310)+COUNTA(条幅4分の1!$B$11:$B$310),INDEX(条幅4分の1!$K$11:$K$310,719-COUNTA(半紙!$B$11:$B$310)-COUNTA(条幅!$B$11:$B$310)),"")))=0,"",IF(719&lt;=COUNTA(半紙!$B$11:$B$310),INDEX(半紙!$K$11:$K$310,719),IF(719&lt;=COUNTA(半紙!$B$11:$B$310)+COUNTA(条幅!$B$11:$B$310),INDEX(条幅!$K$11:$K$310,719-COUNTA(半紙!$B$11:$B$310)),IF(719&lt;=COUNTA(半紙!$B$11:$B$310)+COUNTA(条幅!$B$11:$B$310)+COUNTA(条幅4分の1!$B$11:$B$310),INDEX(条幅4分の1!$K$11:$K$310,719-COUNTA(半紙!$B$11:$B$310)-COUNTA(条幅!$B$11:$B$310)),""))))</f>
        <v/>
      </c>
      <c r="L724" s="48" t="str">
        <f>IF($B724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719))</f>
        <v/>
      </c>
    </row>
    <row r="725" spans="1:12" ht="15" customHeight="1">
      <c r="A725" s="37" t="str">
        <f>IF(720&lt;=COUNTA(半紙!$B$11:$B$310),"半紙",IF(720&lt;=COUNTA(半紙!$B$11:$B$310)+COUNTA(条幅!$B$11:$B$310),"条幅(半切)",IF(720&lt;=COUNTA(半紙!$B$11:$B$310)+COUNTA(条幅!$B$11:$B$310)+COUNTA(条幅4分の1!$B$11:$B$310),"条幅(1/4)","")))</f>
        <v/>
      </c>
      <c r="B725" s="38" t="str">
        <f>IF(IF(720&lt;=COUNTA(半紙!$B$11:$B$310),INDEX(半紙!$B$11:$B$310,720),IF(720&lt;=COUNTA(半紙!$B$11:$B$310)+COUNTA(条幅!$B$11:$B$310),INDEX(条幅!$B$11:$B$310,720-COUNTA(半紙!$B$11:$B$310)),IF(720&lt;=COUNTA(半紙!$B$11:$B$310)+COUNTA(条幅!$B$11:$B$310)+COUNTA(条幅4分の1!$B$11:$B$310),INDEX(条幅4分の1!$B$11:$B$310,720-COUNTA(半紙!$B$11:$B$310)-COUNTA(条幅!$B$11:$B$310)),"")))=0,"",IF(720&lt;=COUNTA(半紙!$B$11:$B$310),INDEX(半紙!$B$11:$B$310,720),IF(720&lt;=COUNTA(半紙!$B$11:$B$310)+COUNTA(条幅!$B$11:$B$310),INDEX(条幅!$B$11:$B$310,720-COUNTA(半紙!$B$11:$B$310)),IF(720&lt;=COUNTA(半紙!$B$11:$B$310)+COUNTA(条幅!$B$11:$B$310)+COUNTA(条幅4分の1!$B$11:$B$310),INDEX(条幅4分の1!$B$11:$B$310,720-COUNTA(半紙!$B$11:$B$310)-COUNTA(条幅!$B$11:$B$310)),""))))</f>
        <v/>
      </c>
      <c r="C725" s="38" t="str">
        <f>IF(IF(720&lt;=COUNTA(半紙!$B$11:$B$310),INDEX(半紙!$C$11:$C$310,720),IF(720&lt;=COUNTA(半紙!$B$11:$B$310)+COUNTA(条幅!$B$11:$B$310),INDEX(条幅!$C$11:$C$310,720-COUNTA(半紙!$B$11:$B$310)),IF(720&lt;=COUNTA(半紙!$B$11:$B$310)+COUNTA(条幅!$B$11:$B$310)+COUNTA(条幅4分の1!$B$11:$B$310),INDEX(条幅4分の1!$C$11:$C$310,720-COUNTA(半紙!$B$11:$B$310)-COUNTA(条幅!$B$11:$B$310)),"")))=0,"",IF(720&lt;=COUNTA(半紙!$B$11:$B$310),INDEX(半紙!$C$11:$C$310,720),IF(720&lt;=COUNTA(半紙!$B$11:$B$310)+COUNTA(条幅!$B$11:$B$310),INDEX(条幅!$C$11:$C$310,720-COUNTA(半紙!$B$11:$B$310)),IF(720&lt;=COUNTA(半紙!$B$11:$B$310)+COUNTA(条幅!$B$11:$B$310)+COUNTA(条幅4分の1!$B$11:$B$310),INDEX(条幅4分の1!$C$11:$C$310,720-COUNTA(半紙!$B$11:$B$310)-COUNTA(条幅!$B$11:$B$310)),""))))</f>
        <v/>
      </c>
      <c r="D725" s="38" t="str">
        <f>IF(IF(720&lt;=COUNTA(半紙!$B$11:$B$310),INDEX(半紙!$D$11:$D$310,720),IF(720&lt;=COUNTA(半紙!$B$11:$B$310)+COUNTA(条幅!$B$11:$B$310),INDEX(条幅!$D$11:$D$310,720-COUNTA(半紙!$B$11:$B$310)),IF(720&lt;=COUNTA(半紙!$B$11:$B$310)+COUNTA(条幅!$B$11:$B$310)+COUNTA(条幅4分の1!$B$11:$B$310),INDEX(条幅4分の1!$D$11:$D$310,720-COUNTA(半紙!$B$11:$B$310)-COUNTA(条幅!$B$11:$B$310)),"")))=0,"",IF(720&lt;=COUNTA(半紙!$B$11:$B$310),INDEX(半紙!$D$11:$D$310,720),IF(720&lt;=COUNTA(半紙!$B$11:$B$310)+COUNTA(条幅!$B$11:$B$310),INDEX(条幅!$D$11:$D$310,720-COUNTA(半紙!$B$11:$B$310)),IF(720&lt;=COUNTA(半紙!$B$11:$B$310)+COUNTA(条幅!$B$11:$B$310)+COUNTA(条幅4分の1!$B$11:$B$310),INDEX(条幅4分の1!$D$11:$D$310,720-COUNTA(半紙!$B$11:$B$310)-COUNTA(条幅!$B$11:$B$310)),""))))</f>
        <v/>
      </c>
      <c r="E725" s="38" t="str">
        <f>IF(IF(720&lt;=COUNTA(半紙!$B$11:$B$310),INDEX(半紙!$E$11:$E$310,720),IF(720&lt;=COUNTA(半紙!$B$11:$B$310)+COUNTA(条幅!$B$11:$B$310),INDEX(条幅!$E$11:$E$310,720-COUNTA(半紙!$B$11:$B$310)),IF(720&lt;=COUNTA(半紙!$B$11:$B$310)+COUNTA(条幅!$B$11:$B$310)+COUNTA(条幅4分の1!$B$11:$B$310),INDEX(条幅4分の1!$E$11:$E$310,720-COUNTA(半紙!$B$11:$B$310)-COUNTA(条幅!$B$11:$B$310)),"")))=0,"",IF(720&lt;=COUNTA(半紙!$B$11:$B$310),INDEX(半紙!$E$11:$E$310,720),IF(720&lt;=COUNTA(半紙!$B$11:$B$310)+COUNTA(条幅!$B$11:$B$310),INDEX(条幅!$E$11:$E$310,720-COUNTA(半紙!$B$11:$B$310)),IF(720&lt;=COUNTA(半紙!$B$11:$B$310)+COUNTA(条幅!$B$11:$B$310)+COUNTA(条幅4分の1!$B$11:$B$310),INDEX(条幅4分の1!$E$11:$E$310,720-COUNTA(半紙!$B$11:$B$310)-COUNTA(条幅!$B$11:$B$310)),""))))</f>
        <v/>
      </c>
      <c r="F725" s="38" t="str">
        <f>IF(IF(720&lt;=COUNTA(半紙!$B$11:$B$310),INDEX(半紙!$F$11:$F$310,720),IF(720&lt;=COUNTA(半紙!$B$11:$B$310)+COUNTA(条幅!$B$11:$B$310),INDEX(条幅!$F$11:$F$310,720-COUNTA(半紙!$B$11:$B$310)),IF(720&lt;=COUNTA(半紙!$B$11:$B$310)+COUNTA(条幅!$B$11:$B$310)+COUNTA(条幅4分の1!$B$11:$B$310),INDEX(条幅4分の1!$F$11:$F$310,720-COUNTA(半紙!$B$11:$B$310)-COUNTA(条幅!$B$11:$B$310)),"")))=0,"",IF(720&lt;=COUNTA(半紙!$B$11:$B$310),INDEX(半紙!$F$11:$F$310,720),IF(720&lt;=COUNTA(半紙!$B$11:$B$310)+COUNTA(条幅!$B$11:$B$310),INDEX(条幅!$F$11:$F$310,720-COUNTA(半紙!$B$11:$B$310)),IF(720&lt;=COUNTA(半紙!$B$11:$B$310)+COUNTA(条幅!$B$11:$B$310)+COUNTA(条幅4分の1!$B$11:$B$310),INDEX(条幅4分の1!$F$11:$F$310,720-COUNTA(半紙!$B$11:$B$310)-COUNTA(条幅!$B$11:$B$310)),""))))</f>
        <v/>
      </c>
      <c r="G725" s="38" t="str">
        <f>IF(IF(720&lt;=COUNTA(半紙!$B$11:$B$310),INDEX(半紙!$G$11:$G$310,720),IF(720&lt;=COUNTA(半紙!$B$11:$B$310)+COUNTA(条幅!$B$11:$B$310),INDEX(条幅!$G$11:$G$310,720-COUNTA(半紙!$B$11:$B$310)),IF(720&lt;=COUNTA(半紙!$B$11:$B$310)+COUNTA(条幅!$B$11:$B$310)+COUNTA(条幅4分の1!$B$11:$B$310),INDEX(条幅4分の1!$G$11:$G$310,720-COUNTA(半紙!$B$11:$B$310)-COUNTA(条幅!$B$11:$B$310)),"")))=0,"",IF(720&lt;=COUNTA(半紙!$B$11:$B$310),INDEX(半紙!$G$11:$G$310,720),IF(720&lt;=COUNTA(半紙!$B$11:$B$310)+COUNTA(条幅!$B$11:$B$310),INDEX(条幅!$G$11:$G$310,720-COUNTA(半紙!$B$11:$B$310)),IF(720&lt;=COUNTA(半紙!$B$11:$B$310)+COUNTA(条幅!$B$11:$B$310)+COUNTA(条幅4分の1!$B$11:$B$310),INDEX(条幅4分の1!$G$11:$G$310,720-COUNTA(半紙!$B$11:$B$310)-COUNTA(条幅!$B$11:$B$310)),""))))</f>
        <v/>
      </c>
      <c r="H725" s="38" t="str">
        <f>IF(IF(720&lt;=COUNTA(半紙!$B$11:$B$310),INDEX(半紙!$H$11:$H$310,720),IF(720&lt;=COUNTA(半紙!$B$11:$B$310)+COUNTA(条幅!$B$11:$B$310),INDEX(条幅!$H$11:$H$310,720-COUNTA(半紙!$B$11:$B$310)),IF(720&lt;=COUNTA(半紙!$B$11:$B$310)+COUNTA(条幅!$B$11:$B$310)+COUNTA(条幅4分の1!$B$11:$B$310),INDEX(条幅4分の1!$H$11:$H$310,720-COUNTA(半紙!$B$11:$B$310)-COUNTA(条幅!$B$11:$B$310)),"")))=0,"",IF(720&lt;=COUNTA(半紙!$B$11:$B$310),INDEX(半紙!$H$11:$H$310,720),IF(720&lt;=COUNTA(半紙!$B$11:$B$310)+COUNTA(条幅!$B$11:$B$310),INDEX(条幅!$H$11:$H$310,720-COUNTA(半紙!$B$11:$B$310)),IF(720&lt;=COUNTA(半紙!$B$11:$B$310)+COUNTA(条幅!$B$11:$B$310)+COUNTA(条幅4分の1!$B$11:$B$310),INDEX(条幅4分の1!$H$11:$H$310,720-COUNTA(半紙!$B$11:$B$310)-COUNTA(条幅!$B$11:$B$310)),""))))</f>
        <v/>
      </c>
      <c r="I725" s="38" t="str">
        <f>IF(IF(720&lt;=COUNTA(半紙!$B$11:$B$310),INDEX(半紙!$I$11:$I$310,720),IF(720&lt;=COUNTA(半紙!$B$11:$B$310)+COUNTA(条幅!$B$11:$B$310),INDEX(条幅!$I$11:$I$310,720-COUNTA(半紙!$B$11:$B$310)),IF(720&lt;=COUNTA(半紙!$B$11:$B$310)+COUNTA(条幅!$B$11:$B$310)+COUNTA(条幅4分の1!$B$11:$B$310),INDEX(条幅4分の1!$I$11:$I$310,720-COUNTA(半紙!$B$11:$B$310)-COUNTA(条幅!$B$11:$B$310)),"")))=0,"",IF(720&lt;=COUNTA(半紙!$B$11:$B$310),INDEX(半紙!$I$11:$I$310,720),IF(720&lt;=COUNTA(半紙!$B$11:$B$310)+COUNTA(条幅!$B$11:$B$310),INDEX(条幅!$I$11:$I$310,720-COUNTA(半紙!$B$11:$B$310)),IF(720&lt;=COUNTA(半紙!$B$11:$B$310)+COUNTA(条幅!$B$11:$B$310)+COUNTA(条幅4分の1!$B$11:$B$310),INDEX(条幅4分の1!$I$11:$I$310,720-COUNTA(半紙!$B$11:$B$310)-COUNTA(条幅!$B$11:$B$310)),""))))</f>
        <v/>
      </c>
      <c r="J725" s="38" t="str">
        <f>IF(IF(720&lt;=COUNTA(半紙!$B$11:$B$310),INDEX(半紙!$J$11:$J$310,720),IF(720&lt;=COUNTA(半紙!$B$11:$B$310)+COUNTA(条幅!$B$11:$B$310),INDEX(条幅!$J$11:$J$310,720-COUNTA(半紙!$B$11:$B$310)),IF(720&lt;=COUNTA(半紙!$B$11:$B$310)+COUNTA(条幅!$B$11:$B$310)+COUNTA(条幅4分の1!$B$11:$B$310),INDEX(条幅4分の1!$J$11:$J$310,720-COUNTA(半紙!$B$11:$B$310)-COUNTA(条幅!$B$11:$B$310)),"")))=0,"",IF(720&lt;=COUNTA(半紙!$B$11:$B$310),INDEX(半紙!$J$11:$J$310,720),IF(720&lt;=COUNTA(半紙!$B$11:$B$310)+COUNTA(条幅!$B$11:$B$310),INDEX(条幅!$J$11:$J$310,720-COUNTA(半紙!$B$11:$B$310)),IF(720&lt;=COUNTA(半紙!$B$11:$B$310)+COUNTA(条幅!$B$11:$B$310)+COUNTA(条幅4分の1!$B$11:$B$310),INDEX(条幅4分の1!$J$11:$J$310,720-COUNTA(半紙!$B$11:$B$310)-COUNTA(条幅!$B$11:$B$310)),""))))</f>
        <v/>
      </c>
      <c r="K725" s="38" t="str">
        <f>IF(IF(720&lt;=COUNTA(半紙!$B$11:$B$310),INDEX(半紙!$K$11:$K$310,720),IF(720&lt;=COUNTA(半紙!$B$11:$B$310)+COUNTA(条幅!$B$11:$B$310),INDEX(条幅!$K$11:$K$310,720-COUNTA(半紙!$B$11:$B$310)),IF(720&lt;=COUNTA(半紙!$B$11:$B$310)+COUNTA(条幅!$B$11:$B$310)+COUNTA(条幅4分の1!$B$11:$B$310),INDEX(条幅4分の1!$K$11:$K$310,720-COUNTA(半紙!$B$11:$B$310)-COUNTA(条幅!$B$11:$B$310)),"")))=0,"",IF(720&lt;=COUNTA(半紙!$B$11:$B$310),INDEX(半紙!$K$11:$K$310,720),IF(720&lt;=COUNTA(半紙!$B$11:$B$310)+COUNTA(条幅!$B$11:$B$310),INDEX(条幅!$K$11:$K$310,720-COUNTA(半紙!$B$11:$B$310)),IF(720&lt;=COUNTA(半紙!$B$11:$B$310)+COUNTA(条幅!$B$11:$B$310)+COUNTA(条幅4分の1!$B$11:$B$310),INDEX(条幅4分の1!$K$11:$K$310,720-COUNTA(半紙!$B$11:$B$310)-COUNTA(条幅!$B$11:$B$310)),""))))</f>
        <v/>
      </c>
      <c r="L725" s="48" t="str">
        <f>IF($B725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720))</f>
        <v/>
      </c>
    </row>
    <row r="726" spans="1:12" ht="15" customHeight="1">
      <c r="A726" s="37" t="str">
        <f>IF(721&lt;=COUNTA(半紙!$B$11:$B$310),"半紙",IF(721&lt;=COUNTA(半紙!$B$11:$B$310)+COUNTA(条幅!$B$11:$B$310),"条幅(半切)",IF(721&lt;=COUNTA(半紙!$B$11:$B$310)+COUNTA(条幅!$B$11:$B$310)+COUNTA(条幅4分の1!$B$11:$B$310),"条幅(1/4)","")))</f>
        <v/>
      </c>
      <c r="B726" s="38" t="str">
        <f>IF(IF(721&lt;=COUNTA(半紙!$B$11:$B$310),INDEX(半紙!$B$11:$B$310,721),IF(721&lt;=COUNTA(半紙!$B$11:$B$310)+COUNTA(条幅!$B$11:$B$310),INDEX(条幅!$B$11:$B$310,721-COUNTA(半紙!$B$11:$B$310)),IF(721&lt;=COUNTA(半紙!$B$11:$B$310)+COUNTA(条幅!$B$11:$B$310)+COUNTA(条幅4分の1!$B$11:$B$310),INDEX(条幅4分の1!$B$11:$B$310,721-COUNTA(半紙!$B$11:$B$310)-COUNTA(条幅!$B$11:$B$310)),"")))=0,"",IF(721&lt;=COUNTA(半紙!$B$11:$B$310),INDEX(半紙!$B$11:$B$310,721),IF(721&lt;=COUNTA(半紙!$B$11:$B$310)+COUNTA(条幅!$B$11:$B$310),INDEX(条幅!$B$11:$B$310,721-COUNTA(半紙!$B$11:$B$310)),IF(721&lt;=COUNTA(半紙!$B$11:$B$310)+COUNTA(条幅!$B$11:$B$310)+COUNTA(条幅4分の1!$B$11:$B$310),INDEX(条幅4分の1!$B$11:$B$310,721-COUNTA(半紙!$B$11:$B$310)-COUNTA(条幅!$B$11:$B$310)),""))))</f>
        <v/>
      </c>
      <c r="C726" s="38" t="str">
        <f>IF(IF(721&lt;=COUNTA(半紙!$B$11:$B$310),INDEX(半紙!$C$11:$C$310,721),IF(721&lt;=COUNTA(半紙!$B$11:$B$310)+COUNTA(条幅!$B$11:$B$310),INDEX(条幅!$C$11:$C$310,721-COUNTA(半紙!$B$11:$B$310)),IF(721&lt;=COUNTA(半紙!$B$11:$B$310)+COUNTA(条幅!$B$11:$B$310)+COUNTA(条幅4分の1!$B$11:$B$310),INDEX(条幅4分の1!$C$11:$C$310,721-COUNTA(半紙!$B$11:$B$310)-COUNTA(条幅!$B$11:$B$310)),"")))=0,"",IF(721&lt;=COUNTA(半紙!$B$11:$B$310),INDEX(半紙!$C$11:$C$310,721),IF(721&lt;=COUNTA(半紙!$B$11:$B$310)+COUNTA(条幅!$B$11:$B$310),INDEX(条幅!$C$11:$C$310,721-COUNTA(半紙!$B$11:$B$310)),IF(721&lt;=COUNTA(半紙!$B$11:$B$310)+COUNTA(条幅!$B$11:$B$310)+COUNTA(条幅4分の1!$B$11:$B$310),INDEX(条幅4分の1!$C$11:$C$310,721-COUNTA(半紙!$B$11:$B$310)-COUNTA(条幅!$B$11:$B$310)),""))))</f>
        <v/>
      </c>
      <c r="D726" s="38" t="str">
        <f>IF(IF(721&lt;=COUNTA(半紙!$B$11:$B$310),INDEX(半紙!$D$11:$D$310,721),IF(721&lt;=COUNTA(半紙!$B$11:$B$310)+COUNTA(条幅!$B$11:$B$310),INDEX(条幅!$D$11:$D$310,721-COUNTA(半紙!$B$11:$B$310)),IF(721&lt;=COUNTA(半紙!$B$11:$B$310)+COUNTA(条幅!$B$11:$B$310)+COUNTA(条幅4分の1!$B$11:$B$310),INDEX(条幅4分の1!$D$11:$D$310,721-COUNTA(半紙!$B$11:$B$310)-COUNTA(条幅!$B$11:$B$310)),"")))=0,"",IF(721&lt;=COUNTA(半紙!$B$11:$B$310),INDEX(半紙!$D$11:$D$310,721),IF(721&lt;=COUNTA(半紙!$B$11:$B$310)+COUNTA(条幅!$B$11:$B$310),INDEX(条幅!$D$11:$D$310,721-COUNTA(半紙!$B$11:$B$310)),IF(721&lt;=COUNTA(半紙!$B$11:$B$310)+COUNTA(条幅!$B$11:$B$310)+COUNTA(条幅4分の1!$B$11:$B$310),INDEX(条幅4分の1!$D$11:$D$310,721-COUNTA(半紙!$B$11:$B$310)-COUNTA(条幅!$B$11:$B$310)),""))))</f>
        <v/>
      </c>
      <c r="E726" s="38" t="str">
        <f>IF(IF(721&lt;=COUNTA(半紙!$B$11:$B$310),INDEX(半紙!$E$11:$E$310,721),IF(721&lt;=COUNTA(半紙!$B$11:$B$310)+COUNTA(条幅!$B$11:$B$310),INDEX(条幅!$E$11:$E$310,721-COUNTA(半紙!$B$11:$B$310)),IF(721&lt;=COUNTA(半紙!$B$11:$B$310)+COUNTA(条幅!$B$11:$B$310)+COUNTA(条幅4分の1!$B$11:$B$310),INDEX(条幅4分の1!$E$11:$E$310,721-COUNTA(半紙!$B$11:$B$310)-COUNTA(条幅!$B$11:$B$310)),"")))=0,"",IF(721&lt;=COUNTA(半紙!$B$11:$B$310),INDEX(半紙!$E$11:$E$310,721),IF(721&lt;=COUNTA(半紙!$B$11:$B$310)+COUNTA(条幅!$B$11:$B$310),INDEX(条幅!$E$11:$E$310,721-COUNTA(半紙!$B$11:$B$310)),IF(721&lt;=COUNTA(半紙!$B$11:$B$310)+COUNTA(条幅!$B$11:$B$310)+COUNTA(条幅4分の1!$B$11:$B$310),INDEX(条幅4分の1!$E$11:$E$310,721-COUNTA(半紙!$B$11:$B$310)-COUNTA(条幅!$B$11:$B$310)),""))))</f>
        <v/>
      </c>
      <c r="F726" s="38" t="str">
        <f>IF(IF(721&lt;=COUNTA(半紙!$B$11:$B$310),INDEX(半紙!$F$11:$F$310,721),IF(721&lt;=COUNTA(半紙!$B$11:$B$310)+COUNTA(条幅!$B$11:$B$310),INDEX(条幅!$F$11:$F$310,721-COUNTA(半紙!$B$11:$B$310)),IF(721&lt;=COUNTA(半紙!$B$11:$B$310)+COUNTA(条幅!$B$11:$B$310)+COUNTA(条幅4分の1!$B$11:$B$310),INDEX(条幅4分の1!$F$11:$F$310,721-COUNTA(半紙!$B$11:$B$310)-COUNTA(条幅!$B$11:$B$310)),"")))=0,"",IF(721&lt;=COUNTA(半紙!$B$11:$B$310),INDEX(半紙!$F$11:$F$310,721),IF(721&lt;=COUNTA(半紙!$B$11:$B$310)+COUNTA(条幅!$B$11:$B$310),INDEX(条幅!$F$11:$F$310,721-COUNTA(半紙!$B$11:$B$310)),IF(721&lt;=COUNTA(半紙!$B$11:$B$310)+COUNTA(条幅!$B$11:$B$310)+COUNTA(条幅4分の1!$B$11:$B$310),INDEX(条幅4分の1!$F$11:$F$310,721-COUNTA(半紙!$B$11:$B$310)-COUNTA(条幅!$B$11:$B$310)),""))))</f>
        <v/>
      </c>
      <c r="G726" s="38" t="str">
        <f>IF(IF(721&lt;=COUNTA(半紙!$B$11:$B$310),INDEX(半紙!$G$11:$G$310,721),IF(721&lt;=COUNTA(半紙!$B$11:$B$310)+COUNTA(条幅!$B$11:$B$310),INDEX(条幅!$G$11:$G$310,721-COUNTA(半紙!$B$11:$B$310)),IF(721&lt;=COUNTA(半紙!$B$11:$B$310)+COUNTA(条幅!$B$11:$B$310)+COUNTA(条幅4分の1!$B$11:$B$310),INDEX(条幅4分の1!$G$11:$G$310,721-COUNTA(半紙!$B$11:$B$310)-COUNTA(条幅!$B$11:$B$310)),"")))=0,"",IF(721&lt;=COUNTA(半紙!$B$11:$B$310),INDEX(半紙!$G$11:$G$310,721),IF(721&lt;=COUNTA(半紙!$B$11:$B$310)+COUNTA(条幅!$B$11:$B$310),INDEX(条幅!$G$11:$G$310,721-COUNTA(半紙!$B$11:$B$310)),IF(721&lt;=COUNTA(半紙!$B$11:$B$310)+COUNTA(条幅!$B$11:$B$310)+COUNTA(条幅4分の1!$B$11:$B$310),INDEX(条幅4分の1!$G$11:$G$310,721-COUNTA(半紙!$B$11:$B$310)-COUNTA(条幅!$B$11:$B$310)),""))))</f>
        <v/>
      </c>
      <c r="H726" s="38" t="str">
        <f>IF(IF(721&lt;=COUNTA(半紙!$B$11:$B$310),INDEX(半紙!$H$11:$H$310,721),IF(721&lt;=COUNTA(半紙!$B$11:$B$310)+COUNTA(条幅!$B$11:$B$310),INDEX(条幅!$H$11:$H$310,721-COUNTA(半紙!$B$11:$B$310)),IF(721&lt;=COUNTA(半紙!$B$11:$B$310)+COUNTA(条幅!$B$11:$B$310)+COUNTA(条幅4分の1!$B$11:$B$310),INDEX(条幅4分の1!$H$11:$H$310,721-COUNTA(半紙!$B$11:$B$310)-COUNTA(条幅!$B$11:$B$310)),"")))=0,"",IF(721&lt;=COUNTA(半紙!$B$11:$B$310),INDEX(半紙!$H$11:$H$310,721),IF(721&lt;=COUNTA(半紙!$B$11:$B$310)+COUNTA(条幅!$B$11:$B$310),INDEX(条幅!$H$11:$H$310,721-COUNTA(半紙!$B$11:$B$310)),IF(721&lt;=COUNTA(半紙!$B$11:$B$310)+COUNTA(条幅!$B$11:$B$310)+COUNTA(条幅4分の1!$B$11:$B$310),INDEX(条幅4分の1!$H$11:$H$310,721-COUNTA(半紙!$B$11:$B$310)-COUNTA(条幅!$B$11:$B$310)),""))))</f>
        <v/>
      </c>
      <c r="I726" s="38" t="str">
        <f>IF(IF(721&lt;=COUNTA(半紙!$B$11:$B$310),INDEX(半紙!$I$11:$I$310,721),IF(721&lt;=COUNTA(半紙!$B$11:$B$310)+COUNTA(条幅!$B$11:$B$310),INDEX(条幅!$I$11:$I$310,721-COUNTA(半紙!$B$11:$B$310)),IF(721&lt;=COUNTA(半紙!$B$11:$B$310)+COUNTA(条幅!$B$11:$B$310)+COUNTA(条幅4分の1!$B$11:$B$310),INDEX(条幅4分の1!$I$11:$I$310,721-COUNTA(半紙!$B$11:$B$310)-COUNTA(条幅!$B$11:$B$310)),"")))=0,"",IF(721&lt;=COUNTA(半紙!$B$11:$B$310),INDEX(半紙!$I$11:$I$310,721),IF(721&lt;=COUNTA(半紙!$B$11:$B$310)+COUNTA(条幅!$B$11:$B$310),INDEX(条幅!$I$11:$I$310,721-COUNTA(半紙!$B$11:$B$310)),IF(721&lt;=COUNTA(半紙!$B$11:$B$310)+COUNTA(条幅!$B$11:$B$310)+COUNTA(条幅4分の1!$B$11:$B$310),INDEX(条幅4分の1!$I$11:$I$310,721-COUNTA(半紙!$B$11:$B$310)-COUNTA(条幅!$B$11:$B$310)),""))))</f>
        <v/>
      </c>
      <c r="J726" s="38" t="str">
        <f>IF(IF(721&lt;=COUNTA(半紙!$B$11:$B$310),INDEX(半紙!$J$11:$J$310,721),IF(721&lt;=COUNTA(半紙!$B$11:$B$310)+COUNTA(条幅!$B$11:$B$310),INDEX(条幅!$J$11:$J$310,721-COUNTA(半紙!$B$11:$B$310)),IF(721&lt;=COUNTA(半紙!$B$11:$B$310)+COUNTA(条幅!$B$11:$B$310)+COUNTA(条幅4分の1!$B$11:$B$310),INDEX(条幅4分の1!$J$11:$J$310,721-COUNTA(半紙!$B$11:$B$310)-COUNTA(条幅!$B$11:$B$310)),"")))=0,"",IF(721&lt;=COUNTA(半紙!$B$11:$B$310),INDEX(半紙!$J$11:$J$310,721),IF(721&lt;=COUNTA(半紙!$B$11:$B$310)+COUNTA(条幅!$B$11:$B$310),INDEX(条幅!$J$11:$J$310,721-COUNTA(半紙!$B$11:$B$310)),IF(721&lt;=COUNTA(半紙!$B$11:$B$310)+COUNTA(条幅!$B$11:$B$310)+COUNTA(条幅4分の1!$B$11:$B$310),INDEX(条幅4分の1!$J$11:$J$310,721-COUNTA(半紙!$B$11:$B$310)-COUNTA(条幅!$B$11:$B$310)),""))))</f>
        <v/>
      </c>
      <c r="K726" s="38" t="str">
        <f>IF(IF(721&lt;=COUNTA(半紙!$B$11:$B$310),INDEX(半紙!$K$11:$K$310,721),IF(721&lt;=COUNTA(半紙!$B$11:$B$310)+COUNTA(条幅!$B$11:$B$310),INDEX(条幅!$K$11:$K$310,721-COUNTA(半紙!$B$11:$B$310)),IF(721&lt;=COUNTA(半紙!$B$11:$B$310)+COUNTA(条幅!$B$11:$B$310)+COUNTA(条幅4分の1!$B$11:$B$310),INDEX(条幅4分の1!$K$11:$K$310,721-COUNTA(半紙!$B$11:$B$310)-COUNTA(条幅!$B$11:$B$310)),"")))=0,"",IF(721&lt;=COUNTA(半紙!$B$11:$B$310),INDEX(半紙!$K$11:$K$310,721),IF(721&lt;=COUNTA(半紙!$B$11:$B$310)+COUNTA(条幅!$B$11:$B$310),INDEX(条幅!$K$11:$K$310,721-COUNTA(半紙!$B$11:$B$310)),IF(721&lt;=COUNTA(半紙!$B$11:$B$310)+COUNTA(条幅!$B$11:$B$310)+COUNTA(条幅4分の1!$B$11:$B$310),INDEX(条幅4分の1!$K$11:$K$310,721-COUNTA(半紙!$B$11:$B$310)-COUNTA(条幅!$B$11:$B$310)),""))))</f>
        <v/>
      </c>
      <c r="L726" s="48" t="str">
        <f>IF($B726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721))</f>
        <v/>
      </c>
    </row>
    <row r="727" spans="1:12" ht="15" customHeight="1">
      <c r="A727" s="37" t="str">
        <f>IF(722&lt;=COUNTA(半紙!$B$11:$B$310),"半紙",IF(722&lt;=COUNTA(半紙!$B$11:$B$310)+COUNTA(条幅!$B$11:$B$310),"条幅(半切)",IF(722&lt;=COUNTA(半紙!$B$11:$B$310)+COUNTA(条幅!$B$11:$B$310)+COUNTA(条幅4分の1!$B$11:$B$310),"条幅(1/4)","")))</f>
        <v/>
      </c>
      <c r="B727" s="38" t="str">
        <f>IF(IF(722&lt;=COUNTA(半紙!$B$11:$B$310),INDEX(半紙!$B$11:$B$310,722),IF(722&lt;=COUNTA(半紙!$B$11:$B$310)+COUNTA(条幅!$B$11:$B$310),INDEX(条幅!$B$11:$B$310,722-COUNTA(半紙!$B$11:$B$310)),IF(722&lt;=COUNTA(半紙!$B$11:$B$310)+COUNTA(条幅!$B$11:$B$310)+COUNTA(条幅4分の1!$B$11:$B$310),INDEX(条幅4分の1!$B$11:$B$310,722-COUNTA(半紙!$B$11:$B$310)-COUNTA(条幅!$B$11:$B$310)),"")))=0,"",IF(722&lt;=COUNTA(半紙!$B$11:$B$310),INDEX(半紙!$B$11:$B$310,722),IF(722&lt;=COUNTA(半紙!$B$11:$B$310)+COUNTA(条幅!$B$11:$B$310),INDEX(条幅!$B$11:$B$310,722-COUNTA(半紙!$B$11:$B$310)),IF(722&lt;=COUNTA(半紙!$B$11:$B$310)+COUNTA(条幅!$B$11:$B$310)+COUNTA(条幅4分の1!$B$11:$B$310),INDEX(条幅4分の1!$B$11:$B$310,722-COUNTA(半紙!$B$11:$B$310)-COUNTA(条幅!$B$11:$B$310)),""))))</f>
        <v/>
      </c>
      <c r="C727" s="38" t="str">
        <f>IF(IF(722&lt;=COUNTA(半紙!$B$11:$B$310),INDEX(半紙!$C$11:$C$310,722),IF(722&lt;=COUNTA(半紙!$B$11:$B$310)+COUNTA(条幅!$B$11:$B$310),INDEX(条幅!$C$11:$C$310,722-COUNTA(半紙!$B$11:$B$310)),IF(722&lt;=COUNTA(半紙!$B$11:$B$310)+COUNTA(条幅!$B$11:$B$310)+COUNTA(条幅4分の1!$B$11:$B$310),INDEX(条幅4分の1!$C$11:$C$310,722-COUNTA(半紙!$B$11:$B$310)-COUNTA(条幅!$B$11:$B$310)),"")))=0,"",IF(722&lt;=COUNTA(半紙!$B$11:$B$310),INDEX(半紙!$C$11:$C$310,722),IF(722&lt;=COUNTA(半紙!$B$11:$B$310)+COUNTA(条幅!$B$11:$B$310),INDEX(条幅!$C$11:$C$310,722-COUNTA(半紙!$B$11:$B$310)),IF(722&lt;=COUNTA(半紙!$B$11:$B$310)+COUNTA(条幅!$B$11:$B$310)+COUNTA(条幅4分の1!$B$11:$B$310),INDEX(条幅4分の1!$C$11:$C$310,722-COUNTA(半紙!$B$11:$B$310)-COUNTA(条幅!$B$11:$B$310)),""))))</f>
        <v/>
      </c>
      <c r="D727" s="38" t="str">
        <f>IF(IF(722&lt;=COUNTA(半紙!$B$11:$B$310),INDEX(半紙!$D$11:$D$310,722),IF(722&lt;=COUNTA(半紙!$B$11:$B$310)+COUNTA(条幅!$B$11:$B$310),INDEX(条幅!$D$11:$D$310,722-COUNTA(半紙!$B$11:$B$310)),IF(722&lt;=COUNTA(半紙!$B$11:$B$310)+COUNTA(条幅!$B$11:$B$310)+COUNTA(条幅4分の1!$B$11:$B$310),INDEX(条幅4分の1!$D$11:$D$310,722-COUNTA(半紙!$B$11:$B$310)-COUNTA(条幅!$B$11:$B$310)),"")))=0,"",IF(722&lt;=COUNTA(半紙!$B$11:$B$310),INDEX(半紙!$D$11:$D$310,722),IF(722&lt;=COUNTA(半紙!$B$11:$B$310)+COUNTA(条幅!$B$11:$B$310),INDEX(条幅!$D$11:$D$310,722-COUNTA(半紙!$B$11:$B$310)),IF(722&lt;=COUNTA(半紙!$B$11:$B$310)+COUNTA(条幅!$B$11:$B$310)+COUNTA(条幅4分の1!$B$11:$B$310),INDEX(条幅4分の1!$D$11:$D$310,722-COUNTA(半紙!$B$11:$B$310)-COUNTA(条幅!$B$11:$B$310)),""))))</f>
        <v/>
      </c>
      <c r="E727" s="38" t="str">
        <f>IF(IF(722&lt;=COUNTA(半紙!$B$11:$B$310),INDEX(半紙!$E$11:$E$310,722),IF(722&lt;=COUNTA(半紙!$B$11:$B$310)+COUNTA(条幅!$B$11:$B$310),INDEX(条幅!$E$11:$E$310,722-COUNTA(半紙!$B$11:$B$310)),IF(722&lt;=COUNTA(半紙!$B$11:$B$310)+COUNTA(条幅!$B$11:$B$310)+COUNTA(条幅4分の1!$B$11:$B$310),INDEX(条幅4分の1!$E$11:$E$310,722-COUNTA(半紙!$B$11:$B$310)-COUNTA(条幅!$B$11:$B$310)),"")))=0,"",IF(722&lt;=COUNTA(半紙!$B$11:$B$310),INDEX(半紙!$E$11:$E$310,722),IF(722&lt;=COUNTA(半紙!$B$11:$B$310)+COUNTA(条幅!$B$11:$B$310),INDEX(条幅!$E$11:$E$310,722-COUNTA(半紙!$B$11:$B$310)),IF(722&lt;=COUNTA(半紙!$B$11:$B$310)+COUNTA(条幅!$B$11:$B$310)+COUNTA(条幅4分の1!$B$11:$B$310),INDEX(条幅4分の1!$E$11:$E$310,722-COUNTA(半紙!$B$11:$B$310)-COUNTA(条幅!$B$11:$B$310)),""))))</f>
        <v/>
      </c>
      <c r="F727" s="38" t="str">
        <f>IF(IF(722&lt;=COUNTA(半紙!$B$11:$B$310),INDEX(半紙!$F$11:$F$310,722),IF(722&lt;=COUNTA(半紙!$B$11:$B$310)+COUNTA(条幅!$B$11:$B$310),INDEX(条幅!$F$11:$F$310,722-COUNTA(半紙!$B$11:$B$310)),IF(722&lt;=COUNTA(半紙!$B$11:$B$310)+COUNTA(条幅!$B$11:$B$310)+COUNTA(条幅4分の1!$B$11:$B$310),INDEX(条幅4分の1!$F$11:$F$310,722-COUNTA(半紙!$B$11:$B$310)-COUNTA(条幅!$B$11:$B$310)),"")))=0,"",IF(722&lt;=COUNTA(半紙!$B$11:$B$310),INDEX(半紙!$F$11:$F$310,722),IF(722&lt;=COUNTA(半紙!$B$11:$B$310)+COUNTA(条幅!$B$11:$B$310),INDEX(条幅!$F$11:$F$310,722-COUNTA(半紙!$B$11:$B$310)),IF(722&lt;=COUNTA(半紙!$B$11:$B$310)+COUNTA(条幅!$B$11:$B$310)+COUNTA(条幅4分の1!$B$11:$B$310),INDEX(条幅4分の1!$F$11:$F$310,722-COUNTA(半紙!$B$11:$B$310)-COUNTA(条幅!$B$11:$B$310)),""))))</f>
        <v/>
      </c>
      <c r="G727" s="38" t="str">
        <f>IF(IF(722&lt;=COUNTA(半紙!$B$11:$B$310),INDEX(半紙!$G$11:$G$310,722),IF(722&lt;=COUNTA(半紙!$B$11:$B$310)+COUNTA(条幅!$B$11:$B$310),INDEX(条幅!$G$11:$G$310,722-COUNTA(半紙!$B$11:$B$310)),IF(722&lt;=COUNTA(半紙!$B$11:$B$310)+COUNTA(条幅!$B$11:$B$310)+COUNTA(条幅4分の1!$B$11:$B$310),INDEX(条幅4分の1!$G$11:$G$310,722-COUNTA(半紙!$B$11:$B$310)-COUNTA(条幅!$B$11:$B$310)),"")))=0,"",IF(722&lt;=COUNTA(半紙!$B$11:$B$310),INDEX(半紙!$G$11:$G$310,722),IF(722&lt;=COUNTA(半紙!$B$11:$B$310)+COUNTA(条幅!$B$11:$B$310),INDEX(条幅!$G$11:$G$310,722-COUNTA(半紙!$B$11:$B$310)),IF(722&lt;=COUNTA(半紙!$B$11:$B$310)+COUNTA(条幅!$B$11:$B$310)+COUNTA(条幅4分の1!$B$11:$B$310),INDEX(条幅4分の1!$G$11:$G$310,722-COUNTA(半紙!$B$11:$B$310)-COUNTA(条幅!$B$11:$B$310)),""))))</f>
        <v/>
      </c>
      <c r="H727" s="38" t="str">
        <f>IF(IF(722&lt;=COUNTA(半紙!$B$11:$B$310),INDEX(半紙!$H$11:$H$310,722),IF(722&lt;=COUNTA(半紙!$B$11:$B$310)+COUNTA(条幅!$B$11:$B$310),INDEX(条幅!$H$11:$H$310,722-COUNTA(半紙!$B$11:$B$310)),IF(722&lt;=COUNTA(半紙!$B$11:$B$310)+COUNTA(条幅!$B$11:$B$310)+COUNTA(条幅4分の1!$B$11:$B$310),INDEX(条幅4分の1!$H$11:$H$310,722-COUNTA(半紙!$B$11:$B$310)-COUNTA(条幅!$B$11:$B$310)),"")))=0,"",IF(722&lt;=COUNTA(半紙!$B$11:$B$310),INDEX(半紙!$H$11:$H$310,722),IF(722&lt;=COUNTA(半紙!$B$11:$B$310)+COUNTA(条幅!$B$11:$B$310),INDEX(条幅!$H$11:$H$310,722-COUNTA(半紙!$B$11:$B$310)),IF(722&lt;=COUNTA(半紙!$B$11:$B$310)+COUNTA(条幅!$B$11:$B$310)+COUNTA(条幅4分の1!$B$11:$B$310),INDEX(条幅4分の1!$H$11:$H$310,722-COUNTA(半紙!$B$11:$B$310)-COUNTA(条幅!$B$11:$B$310)),""))))</f>
        <v/>
      </c>
      <c r="I727" s="38" t="str">
        <f>IF(IF(722&lt;=COUNTA(半紙!$B$11:$B$310),INDEX(半紙!$I$11:$I$310,722),IF(722&lt;=COUNTA(半紙!$B$11:$B$310)+COUNTA(条幅!$B$11:$B$310),INDEX(条幅!$I$11:$I$310,722-COUNTA(半紙!$B$11:$B$310)),IF(722&lt;=COUNTA(半紙!$B$11:$B$310)+COUNTA(条幅!$B$11:$B$310)+COUNTA(条幅4分の1!$B$11:$B$310),INDEX(条幅4分の1!$I$11:$I$310,722-COUNTA(半紙!$B$11:$B$310)-COUNTA(条幅!$B$11:$B$310)),"")))=0,"",IF(722&lt;=COUNTA(半紙!$B$11:$B$310),INDEX(半紙!$I$11:$I$310,722),IF(722&lt;=COUNTA(半紙!$B$11:$B$310)+COUNTA(条幅!$B$11:$B$310),INDEX(条幅!$I$11:$I$310,722-COUNTA(半紙!$B$11:$B$310)),IF(722&lt;=COUNTA(半紙!$B$11:$B$310)+COUNTA(条幅!$B$11:$B$310)+COUNTA(条幅4分の1!$B$11:$B$310),INDEX(条幅4分の1!$I$11:$I$310,722-COUNTA(半紙!$B$11:$B$310)-COUNTA(条幅!$B$11:$B$310)),""))))</f>
        <v/>
      </c>
      <c r="J727" s="38" t="str">
        <f>IF(IF(722&lt;=COUNTA(半紙!$B$11:$B$310),INDEX(半紙!$J$11:$J$310,722),IF(722&lt;=COUNTA(半紙!$B$11:$B$310)+COUNTA(条幅!$B$11:$B$310),INDEX(条幅!$J$11:$J$310,722-COUNTA(半紙!$B$11:$B$310)),IF(722&lt;=COUNTA(半紙!$B$11:$B$310)+COUNTA(条幅!$B$11:$B$310)+COUNTA(条幅4分の1!$B$11:$B$310),INDEX(条幅4分の1!$J$11:$J$310,722-COUNTA(半紙!$B$11:$B$310)-COUNTA(条幅!$B$11:$B$310)),"")))=0,"",IF(722&lt;=COUNTA(半紙!$B$11:$B$310),INDEX(半紙!$J$11:$J$310,722),IF(722&lt;=COUNTA(半紙!$B$11:$B$310)+COUNTA(条幅!$B$11:$B$310),INDEX(条幅!$J$11:$J$310,722-COUNTA(半紙!$B$11:$B$310)),IF(722&lt;=COUNTA(半紙!$B$11:$B$310)+COUNTA(条幅!$B$11:$B$310)+COUNTA(条幅4分の1!$B$11:$B$310),INDEX(条幅4分の1!$J$11:$J$310,722-COUNTA(半紙!$B$11:$B$310)-COUNTA(条幅!$B$11:$B$310)),""))))</f>
        <v/>
      </c>
      <c r="K727" s="38" t="str">
        <f>IF(IF(722&lt;=COUNTA(半紙!$B$11:$B$310),INDEX(半紙!$K$11:$K$310,722),IF(722&lt;=COUNTA(半紙!$B$11:$B$310)+COUNTA(条幅!$B$11:$B$310),INDEX(条幅!$K$11:$K$310,722-COUNTA(半紙!$B$11:$B$310)),IF(722&lt;=COUNTA(半紙!$B$11:$B$310)+COUNTA(条幅!$B$11:$B$310)+COUNTA(条幅4分の1!$B$11:$B$310),INDEX(条幅4分の1!$K$11:$K$310,722-COUNTA(半紙!$B$11:$B$310)-COUNTA(条幅!$B$11:$B$310)),"")))=0,"",IF(722&lt;=COUNTA(半紙!$B$11:$B$310),INDEX(半紙!$K$11:$K$310,722),IF(722&lt;=COUNTA(半紙!$B$11:$B$310)+COUNTA(条幅!$B$11:$B$310),INDEX(条幅!$K$11:$K$310,722-COUNTA(半紙!$B$11:$B$310)),IF(722&lt;=COUNTA(半紙!$B$11:$B$310)+COUNTA(条幅!$B$11:$B$310)+COUNTA(条幅4分の1!$B$11:$B$310),INDEX(条幅4分の1!$K$11:$K$310,722-COUNTA(半紙!$B$11:$B$310)-COUNTA(条幅!$B$11:$B$310)),""))))</f>
        <v/>
      </c>
      <c r="L727" s="48" t="str">
        <f>IF($B727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722))</f>
        <v/>
      </c>
    </row>
    <row r="728" spans="1:12" ht="15" customHeight="1">
      <c r="A728" s="37" t="str">
        <f>IF(723&lt;=COUNTA(半紙!$B$11:$B$310),"半紙",IF(723&lt;=COUNTA(半紙!$B$11:$B$310)+COUNTA(条幅!$B$11:$B$310),"条幅(半切)",IF(723&lt;=COUNTA(半紙!$B$11:$B$310)+COUNTA(条幅!$B$11:$B$310)+COUNTA(条幅4分の1!$B$11:$B$310),"条幅(1/4)","")))</f>
        <v/>
      </c>
      <c r="B728" s="38" t="str">
        <f>IF(IF(723&lt;=COUNTA(半紙!$B$11:$B$310),INDEX(半紙!$B$11:$B$310,723),IF(723&lt;=COUNTA(半紙!$B$11:$B$310)+COUNTA(条幅!$B$11:$B$310),INDEX(条幅!$B$11:$B$310,723-COUNTA(半紙!$B$11:$B$310)),IF(723&lt;=COUNTA(半紙!$B$11:$B$310)+COUNTA(条幅!$B$11:$B$310)+COUNTA(条幅4分の1!$B$11:$B$310),INDEX(条幅4分の1!$B$11:$B$310,723-COUNTA(半紙!$B$11:$B$310)-COUNTA(条幅!$B$11:$B$310)),"")))=0,"",IF(723&lt;=COUNTA(半紙!$B$11:$B$310),INDEX(半紙!$B$11:$B$310,723),IF(723&lt;=COUNTA(半紙!$B$11:$B$310)+COUNTA(条幅!$B$11:$B$310),INDEX(条幅!$B$11:$B$310,723-COUNTA(半紙!$B$11:$B$310)),IF(723&lt;=COUNTA(半紙!$B$11:$B$310)+COUNTA(条幅!$B$11:$B$310)+COUNTA(条幅4分の1!$B$11:$B$310),INDEX(条幅4分の1!$B$11:$B$310,723-COUNTA(半紙!$B$11:$B$310)-COUNTA(条幅!$B$11:$B$310)),""))))</f>
        <v/>
      </c>
      <c r="C728" s="38" t="str">
        <f>IF(IF(723&lt;=COUNTA(半紙!$B$11:$B$310),INDEX(半紙!$C$11:$C$310,723),IF(723&lt;=COUNTA(半紙!$B$11:$B$310)+COUNTA(条幅!$B$11:$B$310),INDEX(条幅!$C$11:$C$310,723-COUNTA(半紙!$B$11:$B$310)),IF(723&lt;=COUNTA(半紙!$B$11:$B$310)+COUNTA(条幅!$B$11:$B$310)+COUNTA(条幅4分の1!$B$11:$B$310),INDEX(条幅4分の1!$C$11:$C$310,723-COUNTA(半紙!$B$11:$B$310)-COUNTA(条幅!$B$11:$B$310)),"")))=0,"",IF(723&lt;=COUNTA(半紙!$B$11:$B$310),INDEX(半紙!$C$11:$C$310,723),IF(723&lt;=COUNTA(半紙!$B$11:$B$310)+COUNTA(条幅!$B$11:$B$310),INDEX(条幅!$C$11:$C$310,723-COUNTA(半紙!$B$11:$B$310)),IF(723&lt;=COUNTA(半紙!$B$11:$B$310)+COUNTA(条幅!$B$11:$B$310)+COUNTA(条幅4分の1!$B$11:$B$310),INDEX(条幅4分の1!$C$11:$C$310,723-COUNTA(半紙!$B$11:$B$310)-COUNTA(条幅!$B$11:$B$310)),""))))</f>
        <v/>
      </c>
      <c r="D728" s="38" t="str">
        <f>IF(IF(723&lt;=COUNTA(半紙!$B$11:$B$310),INDEX(半紙!$D$11:$D$310,723),IF(723&lt;=COUNTA(半紙!$B$11:$B$310)+COUNTA(条幅!$B$11:$B$310),INDEX(条幅!$D$11:$D$310,723-COUNTA(半紙!$B$11:$B$310)),IF(723&lt;=COUNTA(半紙!$B$11:$B$310)+COUNTA(条幅!$B$11:$B$310)+COUNTA(条幅4分の1!$B$11:$B$310),INDEX(条幅4分の1!$D$11:$D$310,723-COUNTA(半紙!$B$11:$B$310)-COUNTA(条幅!$B$11:$B$310)),"")))=0,"",IF(723&lt;=COUNTA(半紙!$B$11:$B$310),INDEX(半紙!$D$11:$D$310,723),IF(723&lt;=COUNTA(半紙!$B$11:$B$310)+COUNTA(条幅!$B$11:$B$310),INDEX(条幅!$D$11:$D$310,723-COUNTA(半紙!$B$11:$B$310)),IF(723&lt;=COUNTA(半紙!$B$11:$B$310)+COUNTA(条幅!$B$11:$B$310)+COUNTA(条幅4分の1!$B$11:$B$310),INDEX(条幅4分の1!$D$11:$D$310,723-COUNTA(半紙!$B$11:$B$310)-COUNTA(条幅!$B$11:$B$310)),""))))</f>
        <v/>
      </c>
      <c r="E728" s="38" t="str">
        <f>IF(IF(723&lt;=COUNTA(半紙!$B$11:$B$310),INDEX(半紙!$E$11:$E$310,723),IF(723&lt;=COUNTA(半紙!$B$11:$B$310)+COUNTA(条幅!$B$11:$B$310),INDEX(条幅!$E$11:$E$310,723-COUNTA(半紙!$B$11:$B$310)),IF(723&lt;=COUNTA(半紙!$B$11:$B$310)+COUNTA(条幅!$B$11:$B$310)+COUNTA(条幅4分の1!$B$11:$B$310),INDEX(条幅4分の1!$E$11:$E$310,723-COUNTA(半紙!$B$11:$B$310)-COUNTA(条幅!$B$11:$B$310)),"")))=0,"",IF(723&lt;=COUNTA(半紙!$B$11:$B$310),INDEX(半紙!$E$11:$E$310,723),IF(723&lt;=COUNTA(半紙!$B$11:$B$310)+COUNTA(条幅!$B$11:$B$310),INDEX(条幅!$E$11:$E$310,723-COUNTA(半紙!$B$11:$B$310)),IF(723&lt;=COUNTA(半紙!$B$11:$B$310)+COUNTA(条幅!$B$11:$B$310)+COUNTA(条幅4分の1!$B$11:$B$310),INDEX(条幅4分の1!$E$11:$E$310,723-COUNTA(半紙!$B$11:$B$310)-COUNTA(条幅!$B$11:$B$310)),""))))</f>
        <v/>
      </c>
      <c r="F728" s="38" t="str">
        <f>IF(IF(723&lt;=COUNTA(半紙!$B$11:$B$310),INDEX(半紙!$F$11:$F$310,723),IF(723&lt;=COUNTA(半紙!$B$11:$B$310)+COUNTA(条幅!$B$11:$B$310),INDEX(条幅!$F$11:$F$310,723-COUNTA(半紙!$B$11:$B$310)),IF(723&lt;=COUNTA(半紙!$B$11:$B$310)+COUNTA(条幅!$B$11:$B$310)+COUNTA(条幅4分の1!$B$11:$B$310),INDEX(条幅4分の1!$F$11:$F$310,723-COUNTA(半紙!$B$11:$B$310)-COUNTA(条幅!$B$11:$B$310)),"")))=0,"",IF(723&lt;=COUNTA(半紙!$B$11:$B$310),INDEX(半紙!$F$11:$F$310,723),IF(723&lt;=COUNTA(半紙!$B$11:$B$310)+COUNTA(条幅!$B$11:$B$310),INDEX(条幅!$F$11:$F$310,723-COUNTA(半紙!$B$11:$B$310)),IF(723&lt;=COUNTA(半紙!$B$11:$B$310)+COUNTA(条幅!$B$11:$B$310)+COUNTA(条幅4分の1!$B$11:$B$310),INDEX(条幅4分の1!$F$11:$F$310,723-COUNTA(半紙!$B$11:$B$310)-COUNTA(条幅!$B$11:$B$310)),""))))</f>
        <v/>
      </c>
      <c r="G728" s="38" t="str">
        <f>IF(IF(723&lt;=COUNTA(半紙!$B$11:$B$310),INDEX(半紙!$G$11:$G$310,723),IF(723&lt;=COUNTA(半紙!$B$11:$B$310)+COUNTA(条幅!$B$11:$B$310),INDEX(条幅!$G$11:$G$310,723-COUNTA(半紙!$B$11:$B$310)),IF(723&lt;=COUNTA(半紙!$B$11:$B$310)+COUNTA(条幅!$B$11:$B$310)+COUNTA(条幅4分の1!$B$11:$B$310),INDEX(条幅4分の1!$G$11:$G$310,723-COUNTA(半紙!$B$11:$B$310)-COUNTA(条幅!$B$11:$B$310)),"")))=0,"",IF(723&lt;=COUNTA(半紙!$B$11:$B$310),INDEX(半紙!$G$11:$G$310,723),IF(723&lt;=COUNTA(半紙!$B$11:$B$310)+COUNTA(条幅!$B$11:$B$310),INDEX(条幅!$G$11:$G$310,723-COUNTA(半紙!$B$11:$B$310)),IF(723&lt;=COUNTA(半紙!$B$11:$B$310)+COUNTA(条幅!$B$11:$B$310)+COUNTA(条幅4分の1!$B$11:$B$310),INDEX(条幅4分の1!$G$11:$G$310,723-COUNTA(半紙!$B$11:$B$310)-COUNTA(条幅!$B$11:$B$310)),""))))</f>
        <v/>
      </c>
      <c r="H728" s="38" t="str">
        <f>IF(IF(723&lt;=COUNTA(半紙!$B$11:$B$310),INDEX(半紙!$H$11:$H$310,723),IF(723&lt;=COUNTA(半紙!$B$11:$B$310)+COUNTA(条幅!$B$11:$B$310),INDEX(条幅!$H$11:$H$310,723-COUNTA(半紙!$B$11:$B$310)),IF(723&lt;=COUNTA(半紙!$B$11:$B$310)+COUNTA(条幅!$B$11:$B$310)+COUNTA(条幅4分の1!$B$11:$B$310),INDEX(条幅4分の1!$H$11:$H$310,723-COUNTA(半紙!$B$11:$B$310)-COUNTA(条幅!$B$11:$B$310)),"")))=0,"",IF(723&lt;=COUNTA(半紙!$B$11:$B$310),INDEX(半紙!$H$11:$H$310,723),IF(723&lt;=COUNTA(半紙!$B$11:$B$310)+COUNTA(条幅!$B$11:$B$310),INDEX(条幅!$H$11:$H$310,723-COUNTA(半紙!$B$11:$B$310)),IF(723&lt;=COUNTA(半紙!$B$11:$B$310)+COUNTA(条幅!$B$11:$B$310)+COUNTA(条幅4分の1!$B$11:$B$310),INDEX(条幅4分の1!$H$11:$H$310,723-COUNTA(半紙!$B$11:$B$310)-COUNTA(条幅!$B$11:$B$310)),""))))</f>
        <v/>
      </c>
      <c r="I728" s="38" t="str">
        <f>IF(IF(723&lt;=COUNTA(半紙!$B$11:$B$310),INDEX(半紙!$I$11:$I$310,723),IF(723&lt;=COUNTA(半紙!$B$11:$B$310)+COUNTA(条幅!$B$11:$B$310),INDEX(条幅!$I$11:$I$310,723-COUNTA(半紙!$B$11:$B$310)),IF(723&lt;=COUNTA(半紙!$B$11:$B$310)+COUNTA(条幅!$B$11:$B$310)+COUNTA(条幅4分の1!$B$11:$B$310),INDEX(条幅4分の1!$I$11:$I$310,723-COUNTA(半紙!$B$11:$B$310)-COUNTA(条幅!$B$11:$B$310)),"")))=0,"",IF(723&lt;=COUNTA(半紙!$B$11:$B$310),INDEX(半紙!$I$11:$I$310,723),IF(723&lt;=COUNTA(半紙!$B$11:$B$310)+COUNTA(条幅!$B$11:$B$310),INDEX(条幅!$I$11:$I$310,723-COUNTA(半紙!$B$11:$B$310)),IF(723&lt;=COUNTA(半紙!$B$11:$B$310)+COUNTA(条幅!$B$11:$B$310)+COUNTA(条幅4分の1!$B$11:$B$310),INDEX(条幅4分の1!$I$11:$I$310,723-COUNTA(半紙!$B$11:$B$310)-COUNTA(条幅!$B$11:$B$310)),""))))</f>
        <v/>
      </c>
      <c r="J728" s="38" t="str">
        <f>IF(IF(723&lt;=COUNTA(半紙!$B$11:$B$310),INDEX(半紙!$J$11:$J$310,723),IF(723&lt;=COUNTA(半紙!$B$11:$B$310)+COUNTA(条幅!$B$11:$B$310),INDEX(条幅!$J$11:$J$310,723-COUNTA(半紙!$B$11:$B$310)),IF(723&lt;=COUNTA(半紙!$B$11:$B$310)+COUNTA(条幅!$B$11:$B$310)+COUNTA(条幅4分の1!$B$11:$B$310),INDEX(条幅4分の1!$J$11:$J$310,723-COUNTA(半紙!$B$11:$B$310)-COUNTA(条幅!$B$11:$B$310)),"")))=0,"",IF(723&lt;=COUNTA(半紙!$B$11:$B$310),INDEX(半紙!$J$11:$J$310,723),IF(723&lt;=COUNTA(半紙!$B$11:$B$310)+COUNTA(条幅!$B$11:$B$310),INDEX(条幅!$J$11:$J$310,723-COUNTA(半紙!$B$11:$B$310)),IF(723&lt;=COUNTA(半紙!$B$11:$B$310)+COUNTA(条幅!$B$11:$B$310)+COUNTA(条幅4分の1!$B$11:$B$310),INDEX(条幅4分の1!$J$11:$J$310,723-COUNTA(半紙!$B$11:$B$310)-COUNTA(条幅!$B$11:$B$310)),""))))</f>
        <v/>
      </c>
      <c r="K728" s="38" t="str">
        <f>IF(IF(723&lt;=COUNTA(半紙!$B$11:$B$310),INDEX(半紙!$K$11:$K$310,723),IF(723&lt;=COUNTA(半紙!$B$11:$B$310)+COUNTA(条幅!$B$11:$B$310),INDEX(条幅!$K$11:$K$310,723-COUNTA(半紙!$B$11:$B$310)),IF(723&lt;=COUNTA(半紙!$B$11:$B$310)+COUNTA(条幅!$B$11:$B$310)+COUNTA(条幅4分の1!$B$11:$B$310),INDEX(条幅4分の1!$K$11:$K$310,723-COUNTA(半紙!$B$11:$B$310)-COUNTA(条幅!$B$11:$B$310)),"")))=0,"",IF(723&lt;=COUNTA(半紙!$B$11:$B$310),INDEX(半紙!$K$11:$K$310,723),IF(723&lt;=COUNTA(半紙!$B$11:$B$310)+COUNTA(条幅!$B$11:$B$310),INDEX(条幅!$K$11:$K$310,723-COUNTA(半紙!$B$11:$B$310)),IF(723&lt;=COUNTA(半紙!$B$11:$B$310)+COUNTA(条幅!$B$11:$B$310)+COUNTA(条幅4分の1!$B$11:$B$310),INDEX(条幅4分の1!$K$11:$K$310,723-COUNTA(半紙!$B$11:$B$310)-COUNTA(条幅!$B$11:$B$310)),""))))</f>
        <v/>
      </c>
      <c r="L728" s="48" t="str">
        <f>IF($B728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723))</f>
        <v/>
      </c>
    </row>
    <row r="729" spans="1:12" ht="15" customHeight="1">
      <c r="A729" s="37" t="str">
        <f>IF(724&lt;=COUNTA(半紙!$B$11:$B$310),"半紙",IF(724&lt;=COUNTA(半紙!$B$11:$B$310)+COUNTA(条幅!$B$11:$B$310),"条幅(半切)",IF(724&lt;=COUNTA(半紙!$B$11:$B$310)+COUNTA(条幅!$B$11:$B$310)+COUNTA(条幅4分の1!$B$11:$B$310),"条幅(1/4)","")))</f>
        <v/>
      </c>
      <c r="B729" s="38" t="str">
        <f>IF(IF(724&lt;=COUNTA(半紙!$B$11:$B$310),INDEX(半紙!$B$11:$B$310,724),IF(724&lt;=COUNTA(半紙!$B$11:$B$310)+COUNTA(条幅!$B$11:$B$310),INDEX(条幅!$B$11:$B$310,724-COUNTA(半紙!$B$11:$B$310)),IF(724&lt;=COUNTA(半紙!$B$11:$B$310)+COUNTA(条幅!$B$11:$B$310)+COUNTA(条幅4分の1!$B$11:$B$310),INDEX(条幅4分の1!$B$11:$B$310,724-COUNTA(半紙!$B$11:$B$310)-COUNTA(条幅!$B$11:$B$310)),"")))=0,"",IF(724&lt;=COUNTA(半紙!$B$11:$B$310),INDEX(半紙!$B$11:$B$310,724),IF(724&lt;=COUNTA(半紙!$B$11:$B$310)+COUNTA(条幅!$B$11:$B$310),INDEX(条幅!$B$11:$B$310,724-COUNTA(半紙!$B$11:$B$310)),IF(724&lt;=COUNTA(半紙!$B$11:$B$310)+COUNTA(条幅!$B$11:$B$310)+COUNTA(条幅4分の1!$B$11:$B$310),INDEX(条幅4分の1!$B$11:$B$310,724-COUNTA(半紙!$B$11:$B$310)-COUNTA(条幅!$B$11:$B$310)),""))))</f>
        <v/>
      </c>
      <c r="C729" s="38" t="str">
        <f>IF(IF(724&lt;=COUNTA(半紙!$B$11:$B$310),INDEX(半紙!$C$11:$C$310,724),IF(724&lt;=COUNTA(半紙!$B$11:$B$310)+COUNTA(条幅!$B$11:$B$310),INDEX(条幅!$C$11:$C$310,724-COUNTA(半紙!$B$11:$B$310)),IF(724&lt;=COUNTA(半紙!$B$11:$B$310)+COUNTA(条幅!$B$11:$B$310)+COUNTA(条幅4分の1!$B$11:$B$310),INDEX(条幅4分の1!$C$11:$C$310,724-COUNTA(半紙!$B$11:$B$310)-COUNTA(条幅!$B$11:$B$310)),"")))=0,"",IF(724&lt;=COUNTA(半紙!$B$11:$B$310),INDEX(半紙!$C$11:$C$310,724),IF(724&lt;=COUNTA(半紙!$B$11:$B$310)+COUNTA(条幅!$B$11:$B$310),INDEX(条幅!$C$11:$C$310,724-COUNTA(半紙!$B$11:$B$310)),IF(724&lt;=COUNTA(半紙!$B$11:$B$310)+COUNTA(条幅!$B$11:$B$310)+COUNTA(条幅4分の1!$B$11:$B$310),INDEX(条幅4分の1!$C$11:$C$310,724-COUNTA(半紙!$B$11:$B$310)-COUNTA(条幅!$B$11:$B$310)),""))))</f>
        <v/>
      </c>
      <c r="D729" s="38" t="str">
        <f>IF(IF(724&lt;=COUNTA(半紙!$B$11:$B$310),INDEX(半紙!$D$11:$D$310,724),IF(724&lt;=COUNTA(半紙!$B$11:$B$310)+COUNTA(条幅!$B$11:$B$310),INDEX(条幅!$D$11:$D$310,724-COUNTA(半紙!$B$11:$B$310)),IF(724&lt;=COUNTA(半紙!$B$11:$B$310)+COUNTA(条幅!$B$11:$B$310)+COUNTA(条幅4分の1!$B$11:$B$310),INDEX(条幅4分の1!$D$11:$D$310,724-COUNTA(半紙!$B$11:$B$310)-COUNTA(条幅!$B$11:$B$310)),"")))=0,"",IF(724&lt;=COUNTA(半紙!$B$11:$B$310),INDEX(半紙!$D$11:$D$310,724),IF(724&lt;=COUNTA(半紙!$B$11:$B$310)+COUNTA(条幅!$B$11:$B$310),INDEX(条幅!$D$11:$D$310,724-COUNTA(半紙!$B$11:$B$310)),IF(724&lt;=COUNTA(半紙!$B$11:$B$310)+COUNTA(条幅!$B$11:$B$310)+COUNTA(条幅4分の1!$B$11:$B$310),INDEX(条幅4分の1!$D$11:$D$310,724-COUNTA(半紙!$B$11:$B$310)-COUNTA(条幅!$B$11:$B$310)),""))))</f>
        <v/>
      </c>
      <c r="E729" s="38" t="str">
        <f>IF(IF(724&lt;=COUNTA(半紙!$B$11:$B$310),INDEX(半紙!$E$11:$E$310,724),IF(724&lt;=COUNTA(半紙!$B$11:$B$310)+COUNTA(条幅!$B$11:$B$310),INDEX(条幅!$E$11:$E$310,724-COUNTA(半紙!$B$11:$B$310)),IF(724&lt;=COUNTA(半紙!$B$11:$B$310)+COUNTA(条幅!$B$11:$B$310)+COUNTA(条幅4分の1!$B$11:$B$310),INDEX(条幅4分の1!$E$11:$E$310,724-COUNTA(半紙!$B$11:$B$310)-COUNTA(条幅!$B$11:$B$310)),"")))=0,"",IF(724&lt;=COUNTA(半紙!$B$11:$B$310),INDEX(半紙!$E$11:$E$310,724),IF(724&lt;=COUNTA(半紙!$B$11:$B$310)+COUNTA(条幅!$B$11:$B$310),INDEX(条幅!$E$11:$E$310,724-COUNTA(半紙!$B$11:$B$310)),IF(724&lt;=COUNTA(半紙!$B$11:$B$310)+COUNTA(条幅!$B$11:$B$310)+COUNTA(条幅4分の1!$B$11:$B$310),INDEX(条幅4分の1!$E$11:$E$310,724-COUNTA(半紙!$B$11:$B$310)-COUNTA(条幅!$B$11:$B$310)),""))))</f>
        <v/>
      </c>
      <c r="F729" s="38" t="str">
        <f>IF(IF(724&lt;=COUNTA(半紙!$B$11:$B$310),INDEX(半紙!$F$11:$F$310,724),IF(724&lt;=COUNTA(半紙!$B$11:$B$310)+COUNTA(条幅!$B$11:$B$310),INDEX(条幅!$F$11:$F$310,724-COUNTA(半紙!$B$11:$B$310)),IF(724&lt;=COUNTA(半紙!$B$11:$B$310)+COUNTA(条幅!$B$11:$B$310)+COUNTA(条幅4分の1!$B$11:$B$310),INDEX(条幅4分の1!$F$11:$F$310,724-COUNTA(半紙!$B$11:$B$310)-COUNTA(条幅!$B$11:$B$310)),"")))=0,"",IF(724&lt;=COUNTA(半紙!$B$11:$B$310),INDEX(半紙!$F$11:$F$310,724),IF(724&lt;=COUNTA(半紙!$B$11:$B$310)+COUNTA(条幅!$B$11:$B$310),INDEX(条幅!$F$11:$F$310,724-COUNTA(半紙!$B$11:$B$310)),IF(724&lt;=COUNTA(半紙!$B$11:$B$310)+COUNTA(条幅!$B$11:$B$310)+COUNTA(条幅4分の1!$B$11:$B$310),INDEX(条幅4分の1!$F$11:$F$310,724-COUNTA(半紙!$B$11:$B$310)-COUNTA(条幅!$B$11:$B$310)),""))))</f>
        <v/>
      </c>
      <c r="G729" s="38" t="str">
        <f>IF(IF(724&lt;=COUNTA(半紙!$B$11:$B$310),INDEX(半紙!$G$11:$G$310,724),IF(724&lt;=COUNTA(半紙!$B$11:$B$310)+COUNTA(条幅!$B$11:$B$310),INDEX(条幅!$G$11:$G$310,724-COUNTA(半紙!$B$11:$B$310)),IF(724&lt;=COUNTA(半紙!$B$11:$B$310)+COUNTA(条幅!$B$11:$B$310)+COUNTA(条幅4分の1!$B$11:$B$310),INDEX(条幅4分の1!$G$11:$G$310,724-COUNTA(半紙!$B$11:$B$310)-COUNTA(条幅!$B$11:$B$310)),"")))=0,"",IF(724&lt;=COUNTA(半紙!$B$11:$B$310),INDEX(半紙!$G$11:$G$310,724),IF(724&lt;=COUNTA(半紙!$B$11:$B$310)+COUNTA(条幅!$B$11:$B$310),INDEX(条幅!$G$11:$G$310,724-COUNTA(半紙!$B$11:$B$310)),IF(724&lt;=COUNTA(半紙!$B$11:$B$310)+COUNTA(条幅!$B$11:$B$310)+COUNTA(条幅4分の1!$B$11:$B$310),INDEX(条幅4分の1!$G$11:$G$310,724-COUNTA(半紙!$B$11:$B$310)-COUNTA(条幅!$B$11:$B$310)),""))))</f>
        <v/>
      </c>
      <c r="H729" s="38" t="str">
        <f>IF(IF(724&lt;=COUNTA(半紙!$B$11:$B$310),INDEX(半紙!$H$11:$H$310,724),IF(724&lt;=COUNTA(半紙!$B$11:$B$310)+COUNTA(条幅!$B$11:$B$310),INDEX(条幅!$H$11:$H$310,724-COUNTA(半紙!$B$11:$B$310)),IF(724&lt;=COUNTA(半紙!$B$11:$B$310)+COUNTA(条幅!$B$11:$B$310)+COUNTA(条幅4分の1!$B$11:$B$310),INDEX(条幅4分の1!$H$11:$H$310,724-COUNTA(半紙!$B$11:$B$310)-COUNTA(条幅!$B$11:$B$310)),"")))=0,"",IF(724&lt;=COUNTA(半紙!$B$11:$B$310),INDEX(半紙!$H$11:$H$310,724),IF(724&lt;=COUNTA(半紙!$B$11:$B$310)+COUNTA(条幅!$B$11:$B$310),INDEX(条幅!$H$11:$H$310,724-COUNTA(半紙!$B$11:$B$310)),IF(724&lt;=COUNTA(半紙!$B$11:$B$310)+COUNTA(条幅!$B$11:$B$310)+COUNTA(条幅4分の1!$B$11:$B$310),INDEX(条幅4分の1!$H$11:$H$310,724-COUNTA(半紙!$B$11:$B$310)-COUNTA(条幅!$B$11:$B$310)),""))))</f>
        <v/>
      </c>
      <c r="I729" s="38" t="str">
        <f>IF(IF(724&lt;=COUNTA(半紙!$B$11:$B$310),INDEX(半紙!$I$11:$I$310,724),IF(724&lt;=COUNTA(半紙!$B$11:$B$310)+COUNTA(条幅!$B$11:$B$310),INDEX(条幅!$I$11:$I$310,724-COUNTA(半紙!$B$11:$B$310)),IF(724&lt;=COUNTA(半紙!$B$11:$B$310)+COUNTA(条幅!$B$11:$B$310)+COUNTA(条幅4分の1!$B$11:$B$310),INDEX(条幅4分の1!$I$11:$I$310,724-COUNTA(半紙!$B$11:$B$310)-COUNTA(条幅!$B$11:$B$310)),"")))=0,"",IF(724&lt;=COUNTA(半紙!$B$11:$B$310),INDEX(半紙!$I$11:$I$310,724),IF(724&lt;=COUNTA(半紙!$B$11:$B$310)+COUNTA(条幅!$B$11:$B$310),INDEX(条幅!$I$11:$I$310,724-COUNTA(半紙!$B$11:$B$310)),IF(724&lt;=COUNTA(半紙!$B$11:$B$310)+COUNTA(条幅!$B$11:$B$310)+COUNTA(条幅4分の1!$B$11:$B$310),INDEX(条幅4分の1!$I$11:$I$310,724-COUNTA(半紙!$B$11:$B$310)-COUNTA(条幅!$B$11:$B$310)),""))))</f>
        <v/>
      </c>
      <c r="J729" s="38" t="str">
        <f>IF(IF(724&lt;=COUNTA(半紙!$B$11:$B$310),INDEX(半紙!$J$11:$J$310,724),IF(724&lt;=COUNTA(半紙!$B$11:$B$310)+COUNTA(条幅!$B$11:$B$310),INDEX(条幅!$J$11:$J$310,724-COUNTA(半紙!$B$11:$B$310)),IF(724&lt;=COUNTA(半紙!$B$11:$B$310)+COUNTA(条幅!$B$11:$B$310)+COUNTA(条幅4分の1!$B$11:$B$310),INDEX(条幅4分の1!$J$11:$J$310,724-COUNTA(半紙!$B$11:$B$310)-COUNTA(条幅!$B$11:$B$310)),"")))=0,"",IF(724&lt;=COUNTA(半紙!$B$11:$B$310),INDEX(半紙!$J$11:$J$310,724),IF(724&lt;=COUNTA(半紙!$B$11:$B$310)+COUNTA(条幅!$B$11:$B$310),INDEX(条幅!$J$11:$J$310,724-COUNTA(半紙!$B$11:$B$310)),IF(724&lt;=COUNTA(半紙!$B$11:$B$310)+COUNTA(条幅!$B$11:$B$310)+COUNTA(条幅4分の1!$B$11:$B$310),INDEX(条幅4分の1!$J$11:$J$310,724-COUNTA(半紙!$B$11:$B$310)-COUNTA(条幅!$B$11:$B$310)),""))))</f>
        <v/>
      </c>
      <c r="K729" s="38" t="str">
        <f>IF(IF(724&lt;=COUNTA(半紙!$B$11:$B$310),INDEX(半紙!$K$11:$K$310,724),IF(724&lt;=COUNTA(半紙!$B$11:$B$310)+COUNTA(条幅!$B$11:$B$310),INDEX(条幅!$K$11:$K$310,724-COUNTA(半紙!$B$11:$B$310)),IF(724&lt;=COUNTA(半紙!$B$11:$B$310)+COUNTA(条幅!$B$11:$B$310)+COUNTA(条幅4分の1!$B$11:$B$310),INDEX(条幅4分の1!$K$11:$K$310,724-COUNTA(半紙!$B$11:$B$310)-COUNTA(条幅!$B$11:$B$310)),"")))=0,"",IF(724&lt;=COUNTA(半紙!$B$11:$B$310),INDEX(半紙!$K$11:$K$310,724),IF(724&lt;=COUNTA(半紙!$B$11:$B$310)+COUNTA(条幅!$B$11:$B$310),INDEX(条幅!$K$11:$K$310,724-COUNTA(半紙!$B$11:$B$310)),IF(724&lt;=COUNTA(半紙!$B$11:$B$310)+COUNTA(条幅!$B$11:$B$310)+COUNTA(条幅4分の1!$B$11:$B$310),INDEX(条幅4分の1!$K$11:$K$310,724-COUNTA(半紙!$B$11:$B$310)-COUNTA(条幅!$B$11:$B$310)),""))))</f>
        <v/>
      </c>
      <c r="L729" s="48" t="str">
        <f>IF($B729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724))</f>
        <v/>
      </c>
    </row>
    <row r="730" spans="1:12" ht="15" customHeight="1">
      <c r="A730" s="37" t="str">
        <f>IF(725&lt;=COUNTA(半紙!$B$11:$B$310),"半紙",IF(725&lt;=COUNTA(半紙!$B$11:$B$310)+COUNTA(条幅!$B$11:$B$310),"条幅(半切)",IF(725&lt;=COUNTA(半紙!$B$11:$B$310)+COUNTA(条幅!$B$11:$B$310)+COUNTA(条幅4分の1!$B$11:$B$310),"条幅(1/4)","")))</f>
        <v/>
      </c>
      <c r="B730" s="38" t="str">
        <f>IF(IF(725&lt;=COUNTA(半紙!$B$11:$B$310),INDEX(半紙!$B$11:$B$310,725),IF(725&lt;=COUNTA(半紙!$B$11:$B$310)+COUNTA(条幅!$B$11:$B$310),INDEX(条幅!$B$11:$B$310,725-COUNTA(半紙!$B$11:$B$310)),IF(725&lt;=COUNTA(半紙!$B$11:$B$310)+COUNTA(条幅!$B$11:$B$310)+COUNTA(条幅4分の1!$B$11:$B$310),INDEX(条幅4分の1!$B$11:$B$310,725-COUNTA(半紙!$B$11:$B$310)-COUNTA(条幅!$B$11:$B$310)),"")))=0,"",IF(725&lt;=COUNTA(半紙!$B$11:$B$310),INDEX(半紙!$B$11:$B$310,725),IF(725&lt;=COUNTA(半紙!$B$11:$B$310)+COUNTA(条幅!$B$11:$B$310),INDEX(条幅!$B$11:$B$310,725-COUNTA(半紙!$B$11:$B$310)),IF(725&lt;=COUNTA(半紙!$B$11:$B$310)+COUNTA(条幅!$B$11:$B$310)+COUNTA(条幅4分の1!$B$11:$B$310),INDEX(条幅4分の1!$B$11:$B$310,725-COUNTA(半紙!$B$11:$B$310)-COUNTA(条幅!$B$11:$B$310)),""))))</f>
        <v/>
      </c>
      <c r="C730" s="38" t="str">
        <f>IF(IF(725&lt;=COUNTA(半紙!$B$11:$B$310),INDEX(半紙!$C$11:$C$310,725),IF(725&lt;=COUNTA(半紙!$B$11:$B$310)+COUNTA(条幅!$B$11:$B$310),INDEX(条幅!$C$11:$C$310,725-COUNTA(半紙!$B$11:$B$310)),IF(725&lt;=COUNTA(半紙!$B$11:$B$310)+COUNTA(条幅!$B$11:$B$310)+COUNTA(条幅4分の1!$B$11:$B$310),INDEX(条幅4分の1!$C$11:$C$310,725-COUNTA(半紙!$B$11:$B$310)-COUNTA(条幅!$B$11:$B$310)),"")))=0,"",IF(725&lt;=COUNTA(半紙!$B$11:$B$310),INDEX(半紙!$C$11:$C$310,725),IF(725&lt;=COUNTA(半紙!$B$11:$B$310)+COUNTA(条幅!$B$11:$B$310),INDEX(条幅!$C$11:$C$310,725-COUNTA(半紙!$B$11:$B$310)),IF(725&lt;=COUNTA(半紙!$B$11:$B$310)+COUNTA(条幅!$B$11:$B$310)+COUNTA(条幅4分の1!$B$11:$B$310),INDEX(条幅4分の1!$C$11:$C$310,725-COUNTA(半紙!$B$11:$B$310)-COUNTA(条幅!$B$11:$B$310)),""))))</f>
        <v/>
      </c>
      <c r="D730" s="38" t="str">
        <f>IF(IF(725&lt;=COUNTA(半紙!$B$11:$B$310),INDEX(半紙!$D$11:$D$310,725),IF(725&lt;=COUNTA(半紙!$B$11:$B$310)+COUNTA(条幅!$B$11:$B$310),INDEX(条幅!$D$11:$D$310,725-COUNTA(半紙!$B$11:$B$310)),IF(725&lt;=COUNTA(半紙!$B$11:$B$310)+COUNTA(条幅!$B$11:$B$310)+COUNTA(条幅4分の1!$B$11:$B$310),INDEX(条幅4分の1!$D$11:$D$310,725-COUNTA(半紙!$B$11:$B$310)-COUNTA(条幅!$B$11:$B$310)),"")))=0,"",IF(725&lt;=COUNTA(半紙!$B$11:$B$310),INDEX(半紙!$D$11:$D$310,725),IF(725&lt;=COUNTA(半紙!$B$11:$B$310)+COUNTA(条幅!$B$11:$B$310),INDEX(条幅!$D$11:$D$310,725-COUNTA(半紙!$B$11:$B$310)),IF(725&lt;=COUNTA(半紙!$B$11:$B$310)+COUNTA(条幅!$B$11:$B$310)+COUNTA(条幅4分の1!$B$11:$B$310),INDEX(条幅4分の1!$D$11:$D$310,725-COUNTA(半紙!$B$11:$B$310)-COUNTA(条幅!$B$11:$B$310)),""))))</f>
        <v/>
      </c>
      <c r="E730" s="38" t="str">
        <f>IF(IF(725&lt;=COUNTA(半紙!$B$11:$B$310),INDEX(半紙!$E$11:$E$310,725),IF(725&lt;=COUNTA(半紙!$B$11:$B$310)+COUNTA(条幅!$B$11:$B$310),INDEX(条幅!$E$11:$E$310,725-COUNTA(半紙!$B$11:$B$310)),IF(725&lt;=COUNTA(半紙!$B$11:$B$310)+COUNTA(条幅!$B$11:$B$310)+COUNTA(条幅4分の1!$B$11:$B$310),INDEX(条幅4分の1!$E$11:$E$310,725-COUNTA(半紙!$B$11:$B$310)-COUNTA(条幅!$B$11:$B$310)),"")))=0,"",IF(725&lt;=COUNTA(半紙!$B$11:$B$310),INDEX(半紙!$E$11:$E$310,725),IF(725&lt;=COUNTA(半紙!$B$11:$B$310)+COUNTA(条幅!$B$11:$B$310),INDEX(条幅!$E$11:$E$310,725-COUNTA(半紙!$B$11:$B$310)),IF(725&lt;=COUNTA(半紙!$B$11:$B$310)+COUNTA(条幅!$B$11:$B$310)+COUNTA(条幅4分の1!$B$11:$B$310),INDEX(条幅4分の1!$E$11:$E$310,725-COUNTA(半紙!$B$11:$B$310)-COUNTA(条幅!$B$11:$B$310)),""))))</f>
        <v/>
      </c>
      <c r="F730" s="38" t="str">
        <f>IF(IF(725&lt;=COUNTA(半紙!$B$11:$B$310),INDEX(半紙!$F$11:$F$310,725),IF(725&lt;=COUNTA(半紙!$B$11:$B$310)+COUNTA(条幅!$B$11:$B$310),INDEX(条幅!$F$11:$F$310,725-COUNTA(半紙!$B$11:$B$310)),IF(725&lt;=COUNTA(半紙!$B$11:$B$310)+COUNTA(条幅!$B$11:$B$310)+COUNTA(条幅4分の1!$B$11:$B$310),INDEX(条幅4分の1!$F$11:$F$310,725-COUNTA(半紙!$B$11:$B$310)-COUNTA(条幅!$B$11:$B$310)),"")))=0,"",IF(725&lt;=COUNTA(半紙!$B$11:$B$310),INDEX(半紙!$F$11:$F$310,725),IF(725&lt;=COUNTA(半紙!$B$11:$B$310)+COUNTA(条幅!$B$11:$B$310),INDEX(条幅!$F$11:$F$310,725-COUNTA(半紙!$B$11:$B$310)),IF(725&lt;=COUNTA(半紙!$B$11:$B$310)+COUNTA(条幅!$B$11:$B$310)+COUNTA(条幅4分の1!$B$11:$B$310),INDEX(条幅4分の1!$F$11:$F$310,725-COUNTA(半紙!$B$11:$B$310)-COUNTA(条幅!$B$11:$B$310)),""))))</f>
        <v/>
      </c>
      <c r="G730" s="38" t="str">
        <f>IF(IF(725&lt;=COUNTA(半紙!$B$11:$B$310),INDEX(半紙!$G$11:$G$310,725),IF(725&lt;=COUNTA(半紙!$B$11:$B$310)+COUNTA(条幅!$B$11:$B$310),INDEX(条幅!$G$11:$G$310,725-COUNTA(半紙!$B$11:$B$310)),IF(725&lt;=COUNTA(半紙!$B$11:$B$310)+COUNTA(条幅!$B$11:$B$310)+COUNTA(条幅4分の1!$B$11:$B$310),INDEX(条幅4分の1!$G$11:$G$310,725-COUNTA(半紙!$B$11:$B$310)-COUNTA(条幅!$B$11:$B$310)),"")))=0,"",IF(725&lt;=COUNTA(半紙!$B$11:$B$310),INDEX(半紙!$G$11:$G$310,725),IF(725&lt;=COUNTA(半紙!$B$11:$B$310)+COUNTA(条幅!$B$11:$B$310),INDEX(条幅!$G$11:$G$310,725-COUNTA(半紙!$B$11:$B$310)),IF(725&lt;=COUNTA(半紙!$B$11:$B$310)+COUNTA(条幅!$B$11:$B$310)+COUNTA(条幅4分の1!$B$11:$B$310),INDEX(条幅4分の1!$G$11:$G$310,725-COUNTA(半紙!$B$11:$B$310)-COUNTA(条幅!$B$11:$B$310)),""))))</f>
        <v/>
      </c>
      <c r="H730" s="38" t="str">
        <f>IF(IF(725&lt;=COUNTA(半紙!$B$11:$B$310),INDEX(半紙!$H$11:$H$310,725),IF(725&lt;=COUNTA(半紙!$B$11:$B$310)+COUNTA(条幅!$B$11:$B$310),INDEX(条幅!$H$11:$H$310,725-COUNTA(半紙!$B$11:$B$310)),IF(725&lt;=COUNTA(半紙!$B$11:$B$310)+COUNTA(条幅!$B$11:$B$310)+COUNTA(条幅4分の1!$B$11:$B$310),INDEX(条幅4分の1!$H$11:$H$310,725-COUNTA(半紙!$B$11:$B$310)-COUNTA(条幅!$B$11:$B$310)),"")))=0,"",IF(725&lt;=COUNTA(半紙!$B$11:$B$310),INDEX(半紙!$H$11:$H$310,725),IF(725&lt;=COUNTA(半紙!$B$11:$B$310)+COUNTA(条幅!$B$11:$B$310),INDEX(条幅!$H$11:$H$310,725-COUNTA(半紙!$B$11:$B$310)),IF(725&lt;=COUNTA(半紙!$B$11:$B$310)+COUNTA(条幅!$B$11:$B$310)+COUNTA(条幅4分の1!$B$11:$B$310),INDEX(条幅4分の1!$H$11:$H$310,725-COUNTA(半紙!$B$11:$B$310)-COUNTA(条幅!$B$11:$B$310)),""))))</f>
        <v/>
      </c>
      <c r="I730" s="38" t="str">
        <f>IF(IF(725&lt;=COUNTA(半紙!$B$11:$B$310),INDEX(半紙!$I$11:$I$310,725),IF(725&lt;=COUNTA(半紙!$B$11:$B$310)+COUNTA(条幅!$B$11:$B$310),INDEX(条幅!$I$11:$I$310,725-COUNTA(半紙!$B$11:$B$310)),IF(725&lt;=COUNTA(半紙!$B$11:$B$310)+COUNTA(条幅!$B$11:$B$310)+COUNTA(条幅4分の1!$B$11:$B$310),INDEX(条幅4分の1!$I$11:$I$310,725-COUNTA(半紙!$B$11:$B$310)-COUNTA(条幅!$B$11:$B$310)),"")))=0,"",IF(725&lt;=COUNTA(半紙!$B$11:$B$310),INDEX(半紙!$I$11:$I$310,725),IF(725&lt;=COUNTA(半紙!$B$11:$B$310)+COUNTA(条幅!$B$11:$B$310),INDEX(条幅!$I$11:$I$310,725-COUNTA(半紙!$B$11:$B$310)),IF(725&lt;=COUNTA(半紙!$B$11:$B$310)+COUNTA(条幅!$B$11:$B$310)+COUNTA(条幅4分の1!$B$11:$B$310),INDEX(条幅4分の1!$I$11:$I$310,725-COUNTA(半紙!$B$11:$B$310)-COUNTA(条幅!$B$11:$B$310)),""))))</f>
        <v/>
      </c>
      <c r="J730" s="38" t="str">
        <f>IF(IF(725&lt;=COUNTA(半紙!$B$11:$B$310),INDEX(半紙!$J$11:$J$310,725),IF(725&lt;=COUNTA(半紙!$B$11:$B$310)+COUNTA(条幅!$B$11:$B$310),INDEX(条幅!$J$11:$J$310,725-COUNTA(半紙!$B$11:$B$310)),IF(725&lt;=COUNTA(半紙!$B$11:$B$310)+COUNTA(条幅!$B$11:$B$310)+COUNTA(条幅4分の1!$B$11:$B$310),INDEX(条幅4分の1!$J$11:$J$310,725-COUNTA(半紙!$B$11:$B$310)-COUNTA(条幅!$B$11:$B$310)),"")))=0,"",IF(725&lt;=COUNTA(半紙!$B$11:$B$310),INDEX(半紙!$J$11:$J$310,725),IF(725&lt;=COUNTA(半紙!$B$11:$B$310)+COUNTA(条幅!$B$11:$B$310),INDEX(条幅!$J$11:$J$310,725-COUNTA(半紙!$B$11:$B$310)),IF(725&lt;=COUNTA(半紙!$B$11:$B$310)+COUNTA(条幅!$B$11:$B$310)+COUNTA(条幅4分の1!$B$11:$B$310),INDEX(条幅4分の1!$J$11:$J$310,725-COUNTA(半紙!$B$11:$B$310)-COUNTA(条幅!$B$11:$B$310)),""))))</f>
        <v/>
      </c>
      <c r="K730" s="38" t="str">
        <f>IF(IF(725&lt;=COUNTA(半紙!$B$11:$B$310),INDEX(半紙!$K$11:$K$310,725),IF(725&lt;=COUNTA(半紙!$B$11:$B$310)+COUNTA(条幅!$B$11:$B$310),INDEX(条幅!$K$11:$K$310,725-COUNTA(半紙!$B$11:$B$310)),IF(725&lt;=COUNTA(半紙!$B$11:$B$310)+COUNTA(条幅!$B$11:$B$310)+COUNTA(条幅4分の1!$B$11:$B$310),INDEX(条幅4分の1!$K$11:$K$310,725-COUNTA(半紙!$B$11:$B$310)-COUNTA(条幅!$B$11:$B$310)),"")))=0,"",IF(725&lt;=COUNTA(半紙!$B$11:$B$310),INDEX(半紙!$K$11:$K$310,725),IF(725&lt;=COUNTA(半紙!$B$11:$B$310)+COUNTA(条幅!$B$11:$B$310),INDEX(条幅!$K$11:$K$310,725-COUNTA(半紙!$B$11:$B$310)),IF(725&lt;=COUNTA(半紙!$B$11:$B$310)+COUNTA(条幅!$B$11:$B$310)+COUNTA(条幅4分の1!$B$11:$B$310),INDEX(条幅4分の1!$K$11:$K$310,725-COUNTA(半紙!$B$11:$B$310)-COUNTA(条幅!$B$11:$B$310)),""))))</f>
        <v/>
      </c>
      <c r="L730" s="48" t="str">
        <f>IF($B730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725))</f>
        <v/>
      </c>
    </row>
    <row r="731" spans="1:12" ht="15" customHeight="1">
      <c r="A731" s="37" t="str">
        <f>IF(726&lt;=COUNTA(半紙!$B$11:$B$310),"半紙",IF(726&lt;=COUNTA(半紙!$B$11:$B$310)+COUNTA(条幅!$B$11:$B$310),"条幅(半切)",IF(726&lt;=COUNTA(半紙!$B$11:$B$310)+COUNTA(条幅!$B$11:$B$310)+COUNTA(条幅4分の1!$B$11:$B$310),"条幅(1/4)","")))</f>
        <v/>
      </c>
      <c r="B731" s="38" t="str">
        <f>IF(IF(726&lt;=COUNTA(半紙!$B$11:$B$310),INDEX(半紙!$B$11:$B$310,726),IF(726&lt;=COUNTA(半紙!$B$11:$B$310)+COUNTA(条幅!$B$11:$B$310),INDEX(条幅!$B$11:$B$310,726-COUNTA(半紙!$B$11:$B$310)),IF(726&lt;=COUNTA(半紙!$B$11:$B$310)+COUNTA(条幅!$B$11:$B$310)+COUNTA(条幅4分の1!$B$11:$B$310),INDEX(条幅4分の1!$B$11:$B$310,726-COUNTA(半紙!$B$11:$B$310)-COUNTA(条幅!$B$11:$B$310)),"")))=0,"",IF(726&lt;=COUNTA(半紙!$B$11:$B$310),INDEX(半紙!$B$11:$B$310,726),IF(726&lt;=COUNTA(半紙!$B$11:$B$310)+COUNTA(条幅!$B$11:$B$310),INDEX(条幅!$B$11:$B$310,726-COUNTA(半紙!$B$11:$B$310)),IF(726&lt;=COUNTA(半紙!$B$11:$B$310)+COUNTA(条幅!$B$11:$B$310)+COUNTA(条幅4分の1!$B$11:$B$310),INDEX(条幅4分の1!$B$11:$B$310,726-COUNTA(半紙!$B$11:$B$310)-COUNTA(条幅!$B$11:$B$310)),""))))</f>
        <v/>
      </c>
      <c r="C731" s="38" t="str">
        <f>IF(IF(726&lt;=COUNTA(半紙!$B$11:$B$310),INDEX(半紙!$C$11:$C$310,726),IF(726&lt;=COUNTA(半紙!$B$11:$B$310)+COUNTA(条幅!$B$11:$B$310),INDEX(条幅!$C$11:$C$310,726-COUNTA(半紙!$B$11:$B$310)),IF(726&lt;=COUNTA(半紙!$B$11:$B$310)+COUNTA(条幅!$B$11:$B$310)+COUNTA(条幅4分の1!$B$11:$B$310),INDEX(条幅4分の1!$C$11:$C$310,726-COUNTA(半紙!$B$11:$B$310)-COUNTA(条幅!$B$11:$B$310)),"")))=0,"",IF(726&lt;=COUNTA(半紙!$B$11:$B$310),INDEX(半紙!$C$11:$C$310,726),IF(726&lt;=COUNTA(半紙!$B$11:$B$310)+COUNTA(条幅!$B$11:$B$310),INDEX(条幅!$C$11:$C$310,726-COUNTA(半紙!$B$11:$B$310)),IF(726&lt;=COUNTA(半紙!$B$11:$B$310)+COUNTA(条幅!$B$11:$B$310)+COUNTA(条幅4分の1!$B$11:$B$310),INDEX(条幅4分の1!$C$11:$C$310,726-COUNTA(半紙!$B$11:$B$310)-COUNTA(条幅!$B$11:$B$310)),""))))</f>
        <v/>
      </c>
      <c r="D731" s="38" t="str">
        <f>IF(IF(726&lt;=COUNTA(半紙!$B$11:$B$310),INDEX(半紙!$D$11:$D$310,726),IF(726&lt;=COUNTA(半紙!$B$11:$B$310)+COUNTA(条幅!$B$11:$B$310),INDEX(条幅!$D$11:$D$310,726-COUNTA(半紙!$B$11:$B$310)),IF(726&lt;=COUNTA(半紙!$B$11:$B$310)+COUNTA(条幅!$B$11:$B$310)+COUNTA(条幅4分の1!$B$11:$B$310),INDEX(条幅4分の1!$D$11:$D$310,726-COUNTA(半紙!$B$11:$B$310)-COUNTA(条幅!$B$11:$B$310)),"")))=0,"",IF(726&lt;=COUNTA(半紙!$B$11:$B$310),INDEX(半紙!$D$11:$D$310,726),IF(726&lt;=COUNTA(半紙!$B$11:$B$310)+COUNTA(条幅!$B$11:$B$310),INDEX(条幅!$D$11:$D$310,726-COUNTA(半紙!$B$11:$B$310)),IF(726&lt;=COUNTA(半紙!$B$11:$B$310)+COUNTA(条幅!$B$11:$B$310)+COUNTA(条幅4分の1!$B$11:$B$310),INDEX(条幅4分の1!$D$11:$D$310,726-COUNTA(半紙!$B$11:$B$310)-COUNTA(条幅!$B$11:$B$310)),""))))</f>
        <v/>
      </c>
      <c r="E731" s="38" t="str">
        <f>IF(IF(726&lt;=COUNTA(半紙!$B$11:$B$310),INDEX(半紙!$E$11:$E$310,726),IF(726&lt;=COUNTA(半紙!$B$11:$B$310)+COUNTA(条幅!$B$11:$B$310),INDEX(条幅!$E$11:$E$310,726-COUNTA(半紙!$B$11:$B$310)),IF(726&lt;=COUNTA(半紙!$B$11:$B$310)+COUNTA(条幅!$B$11:$B$310)+COUNTA(条幅4分の1!$B$11:$B$310),INDEX(条幅4分の1!$E$11:$E$310,726-COUNTA(半紙!$B$11:$B$310)-COUNTA(条幅!$B$11:$B$310)),"")))=0,"",IF(726&lt;=COUNTA(半紙!$B$11:$B$310),INDEX(半紙!$E$11:$E$310,726),IF(726&lt;=COUNTA(半紙!$B$11:$B$310)+COUNTA(条幅!$B$11:$B$310),INDEX(条幅!$E$11:$E$310,726-COUNTA(半紙!$B$11:$B$310)),IF(726&lt;=COUNTA(半紙!$B$11:$B$310)+COUNTA(条幅!$B$11:$B$310)+COUNTA(条幅4分の1!$B$11:$B$310),INDEX(条幅4分の1!$E$11:$E$310,726-COUNTA(半紙!$B$11:$B$310)-COUNTA(条幅!$B$11:$B$310)),""))))</f>
        <v/>
      </c>
      <c r="F731" s="38" t="str">
        <f>IF(IF(726&lt;=COUNTA(半紙!$B$11:$B$310),INDEX(半紙!$F$11:$F$310,726),IF(726&lt;=COUNTA(半紙!$B$11:$B$310)+COUNTA(条幅!$B$11:$B$310),INDEX(条幅!$F$11:$F$310,726-COUNTA(半紙!$B$11:$B$310)),IF(726&lt;=COUNTA(半紙!$B$11:$B$310)+COUNTA(条幅!$B$11:$B$310)+COUNTA(条幅4分の1!$B$11:$B$310),INDEX(条幅4分の1!$F$11:$F$310,726-COUNTA(半紙!$B$11:$B$310)-COUNTA(条幅!$B$11:$B$310)),"")))=0,"",IF(726&lt;=COUNTA(半紙!$B$11:$B$310),INDEX(半紙!$F$11:$F$310,726),IF(726&lt;=COUNTA(半紙!$B$11:$B$310)+COUNTA(条幅!$B$11:$B$310),INDEX(条幅!$F$11:$F$310,726-COUNTA(半紙!$B$11:$B$310)),IF(726&lt;=COUNTA(半紙!$B$11:$B$310)+COUNTA(条幅!$B$11:$B$310)+COUNTA(条幅4分の1!$B$11:$B$310),INDEX(条幅4分の1!$F$11:$F$310,726-COUNTA(半紙!$B$11:$B$310)-COUNTA(条幅!$B$11:$B$310)),""))))</f>
        <v/>
      </c>
      <c r="G731" s="38" t="str">
        <f>IF(IF(726&lt;=COUNTA(半紙!$B$11:$B$310),INDEX(半紙!$G$11:$G$310,726),IF(726&lt;=COUNTA(半紙!$B$11:$B$310)+COUNTA(条幅!$B$11:$B$310),INDEX(条幅!$G$11:$G$310,726-COUNTA(半紙!$B$11:$B$310)),IF(726&lt;=COUNTA(半紙!$B$11:$B$310)+COUNTA(条幅!$B$11:$B$310)+COUNTA(条幅4分の1!$B$11:$B$310),INDEX(条幅4分の1!$G$11:$G$310,726-COUNTA(半紙!$B$11:$B$310)-COUNTA(条幅!$B$11:$B$310)),"")))=0,"",IF(726&lt;=COUNTA(半紙!$B$11:$B$310),INDEX(半紙!$G$11:$G$310,726),IF(726&lt;=COUNTA(半紙!$B$11:$B$310)+COUNTA(条幅!$B$11:$B$310),INDEX(条幅!$G$11:$G$310,726-COUNTA(半紙!$B$11:$B$310)),IF(726&lt;=COUNTA(半紙!$B$11:$B$310)+COUNTA(条幅!$B$11:$B$310)+COUNTA(条幅4分の1!$B$11:$B$310),INDEX(条幅4分の1!$G$11:$G$310,726-COUNTA(半紙!$B$11:$B$310)-COUNTA(条幅!$B$11:$B$310)),""))))</f>
        <v/>
      </c>
      <c r="H731" s="38" t="str">
        <f>IF(IF(726&lt;=COUNTA(半紙!$B$11:$B$310),INDEX(半紙!$H$11:$H$310,726),IF(726&lt;=COUNTA(半紙!$B$11:$B$310)+COUNTA(条幅!$B$11:$B$310),INDEX(条幅!$H$11:$H$310,726-COUNTA(半紙!$B$11:$B$310)),IF(726&lt;=COUNTA(半紙!$B$11:$B$310)+COUNTA(条幅!$B$11:$B$310)+COUNTA(条幅4分の1!$B$11:$B$310),INDEX(条幅4分の1!$H$11:$H$310,726-COUNTA(半紙!$B$11:$B$310)-COUNTA(条幅!$B$11:$B$310)),"")))=0,"",IF(726&lt;=COUNTA(半紙!$B$11:$B$310),INDEX(半紙!$H$11:$H$310,726),IF(726&lt;=COUNTA(半紙!$B$11:$B$310)+COUNTA(条幅!$B$11:$B$310),INDEX(条幅!$H$11:$H$310,726-COUNTA(半紙!$B$11:$B$310)),IF(726&lt;=COUNTA(半紙!$B$11:$B$310)+COUNTA(条幅!$B$11:$B$310)+COUNTA(条幅4分の1!$B$11:$B$310),INDEX(条幅4分の1!$H$11:$H$310,726-COUNTA(半紙!$B$11:$B$310)-COUNTA(条幅!$B$11:$B$310)),""))))</f>
        <v/>
      </c>
      <c r="I731" s="38" t="str">
        <f>IF(IF(726&lt;=COUNTA(半紙!$B$11:$B$310),INDEX(半紙!$I$11:$I$310,726),IF(726&lt;=COUNTA(半紙!$B$11:$B$310)+COUNTA(条幅!$B$11:$B$310),INDEX(条幅!$I$11:$I$310,726-COUNTA(半紙!$B$11:$B$310)),IF(726&lt;=COUNTA(半紙!$B$11:$B$310)+COUNTA(条幅!$B$11:$B$310)+COUNTA(条幅4分の1!$B$11:$B$310),INDEX(条幅4分の1!$I$11:$I$310,726-COUNTA(半紙!$B$11:$B$310)-COUNTA(条幅!$B$11:$B$310)),"")))=0,"",IF(726&lt;=COUNTA(半紙!$B$11:$B$310),INDEX(半紙!$I$11:$I$310,726),IF(726&lt;=COUNTA(半紙!$B$11:$B$310)+COUNTA(条幅!$B$11:$B$310),INDEX(条幅!$I$11:$I$310,726-COUNTA(半紙!$B$11:$B$310)),IF(726&lt;=COUNTA(半紙!$B$11:$B$310)+COUNTA(条幅!$B$11:$B$310)+COUNTA(条幅4分の1!$B$11:$B$310),INDEX(条幅4分の1!$I$11:$I$310,726-COUNTA(半紙!$B$11:$B$310)-COUNTA(条幅!$B$11:$B$310)),""))))</f>
        <v/>
      </c>
      <c r="J731" s="38" t="str">
        <f>IF(IF(726&lt;=COUNTA(半紙!$B$11:$B$310),INDEX(半紙!$J$11:$J$310,726),IF(726&lt;=COUNTA(半紙!$B$11:$B$310)+COUNTA(条幅!$B$11:$B$310),INDEX(条幅!$J$11:$J$310,726-COUNTA(半紙!$B$11:$B$310)),IF(726&lt;=COUNTA(半紙!$B$11:$B$310)+COUNTA(条幅!$B$11:$B$310)+COUNTA(条幅4分の1!$B$11:$B$310),INDEX(条幅4分の1!$J$11:$J$310,726-COUNTA(半紙!$B$11:$B$310)-COUNTA(条幅!$B$11:$B$310)),"")))=0,"",IF(726&lt;=COUNTA(半紙!$B$11:$B$310),INDEX(半紙!$J$11:$J$310,726),IF(726&lt;=COUNTA(半紙!$B$11:$B$310)+COUNTA(条幅!$B$11:$B$310),INDEX(条幅!$J$11:$J$310,726-COUNTA(半紙!$B$11:$B$310)),IF(726&lt;=COUNTA(半紙!$B$11:$B$310)+COUNTA(条幅!$B$11:$B$310)+COUNTA(条幅4分の1!$B$11:$B$310),INDEX(条幅4分の1!$J$11:$J$310,726-COUNTA(半紙!$B$11:$B$310)-COUNTA(条幅!$B$11:$B$310)),""))))</f>
        <v/>
      </c>
      <c r="K731" s="38" t="str">
        <f>IF(IF(726&lt;=COUNTA(半紙!$B$11:$B$310),INDEX(半紙!$K$11:$K$310,726),IF(726&lt;=COUNTA(半紙!$B$11:$B$310)+COUNTA(条幅!$B$11:$B$310),INDEX(条幅!$K$11:$K$310,726-COUNTA(半紙!$B$11:$B$310)),IF(726&lt;=COUNTA(半紙!$B$11:$B$310)+COUNTA(条幅!$B$11:$B$310)+COUNTA(条幅4分の1!$B$11:$B$310),INDEX(条幅4分の1!$K$11:$K$310,726-COUNTA(半紙!$B$11:$B$310)-COUNTA(条幅!$B$11:$B$310)),"")))=0,"",IF(726&lt;=COUNTA(半紙!$B$11:$B$310),INDEX(半紙!$K$11:$K$310,726),IF(726&lt;=COUNTA(半紙!$B$11:$B$310)+COUNTA(条幅!$B$11:$B$310),INDEX(条幅!$K$11:$K$310,726-COUNTA(半紙!$B$11:$B$310)),IF(726&lt;=COUNTA(半紙!$B$11:$B$310)+COUNTA(条幅!$B$11:$B$310)+COUNTA(条幅4分の1!$B$11:$B$310),INDEX(条幅4分の1!$K$11:$K$310,726-COUNTA(半紙!$B$11:$B$310)-COUNTA(条幅!$B$11:$B$310)),""))))</f>
        <v/>
      </c>
      <c r="L731" s="48" t="str">
        <f>IF($B731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726))</f>
        <v/>
      </c>
    </row>
    <row r="732" spans="1:12" ht="15" customHeight="1">
      <c r="A732" s="37" t="str">
        <f>IF(727&lt;=COUNTA(半紙!$B$11:$B$310),"半紙",IF(727&lt;=COUNTA(半紙!$B$11:$B$310)+COUNTA(条幅!$B$11:$B$310),"条幅(半切)",IF(727&lt;=COUNTA(半紙!$B$11:$B$310)+COUNTA(条幅!$B$11:$B$310)+COUNTA(条幅4分の1!$B$11:$B$310),"条幅(1/4)","")))</f>
        <v/>
      </c>
      <c r="B732" s="38" t="str">
        <f>IF(IF(727&lt;=COUNTA(半紙!$B$11:$B$310),INDEX(半紙!$B$11:$B$310,727),IF(727&lt;=COUNTA(半紙!$B$11:$B$310)+COUNTA(条幅!$B$11:$B$310),INDEX(条幅!$B$11:$B$310,727-COUNTA(半紙!$B$11:$B$310)),IF(727&lt;=COUNTA(半紙!$B$11:$B$310)+COUNTA(条幅!$B$11:$B$310)+COUNTA(条幅4分の1!$B$11:$B$310),INDEX(条幅4分の1!$B$11:$B$310,727-COUNTA(半紙!$B$11:$B$310)-COUNTA(条幅!$B$11:$B$310)),"")))=0,"",IF(727&lt;=COUNTA(半紙!$B$11:$B$310),INDEX(半紙!$B$11:$B$310,727),IF(727&lt;=COUNTA(半紙!$B$11:$B$310)+COUNTA(条幅!$B$11:$B$310),INDEX(条幅!$B$11:$B$310,727-COUNTA(半紙!$B$11:$B$310)),IF(727&lt;=COUNTA(半紙!$B$11:$B$310)+COUNTA(条幅!$B$11:$B$310)+COUNTA(条幅4分の1!$B$11:$B$310),INDEX(条幅4分の1!$B$11:$B$310,727-COUNTA(半紙!$B$11:$B$310)-COUNTA(条幅!$B$11:$B$310)),""))))</f>
        <v/>
      </c>
      <c r="C732" s="38" t="str">
        <f>IF(IF(727&lt;=COUNTA(半紙!$B$11:$B$310),INDEX(半紙!$C$11:$C$310,727),IF(727&lt;=COUNTA(半紙!$B$11:$B$310)+COUNTA(条幅!$B$11:$B$310),INDEX(条幅!$C$11:$C$310,727-COUNTA(半紙!$B$11:$B$310)),IF(727&lt;=COUNTA(半紙!$B$11:$B$310)+COUNTA(条幅!$B$11:$B$310)+COUNTA(条幅4分の1!$B$11:$B$310),INDEX(条幅4分の1!$C$11:$C$310,727-COUNTA(半紙!$B$11:$B$310)-COUNTA(条幅!$B$11:$B$310)),"")))=0,"",IF(727&lt;=COUNTA(半紙!$B$11:$B$310),INDEX(半紙!$C$11:$C$310,727),IF(727&lt;=COUNTA(半紙!$B$11:$B$310)+COUNTA(条幅!$B$11:$B$310),INDEX(条幅!$C$11:$C$310,727-COUNTA(半紙!$B$11:$B$310)),IF(727&lt;=COUNTA(半紙!$B$11:$B$310)+COUNTA(条幅!$B$11:$B$310)+COUNTA(条幅4分の1!$B$11:$B$310),INDEX(条幅4分の1!$C$11:$C$310,727-COUNTA(半紙!$B$11:$B$310)-COUNTA(条幅!$B$11:$B$310)),""))))</f>
        <v/>
      </c>
      <c r="D732" s="38" t="str">
        <f>IF(IF(727&lt;=COUNTA(半紙!$B$11:$B$310),INDEX(半紙!$D$11:$D$310,727),IF(727&lt;=COUNTA(半紙!$B$11:$B$310)+COUNTA(条幅!$B$11:$B$310),INDEX(条幅!$D$11:$D$310,727-COUNTA(半紙!$B$11:$B$310)),IF(727&lt;=COUNTA(半紙!$B$11:$B$310)+COUNTA(条幅!$B$11:$B$310)+COUNTA(条幅4分の1!$B$11:$B$310),INDEX(条幅4分の1!$D$11:$D$310,727-COUNTA(半紙!$B$11:$B$310)-COUNTA(条幅!$B$11:$B$310)),"")))=0,"",IF(727&lt;=COUNTA(半紙!$B$11:$B$310),INDEX(半紙!$D$11:$D$310,727),IF(727&lt;=COUNTA(半紙!$B$11:$B$310)+COUNTA(条幅!$B$11:$B$310),INDEX(条幅!$D$11:$D$310,727-COUNTA(半紙!$B$11:$B$310)),IF(727&lt;=COUNTA(半紙!$B$11:$B$310)+COUNTA(条幅!$B$11:$B$310)+COUNTA(条幅4分の1!$B$11:$B$310),INDEX(条幅4分の1!$D$11:$D$310,727-COUNTA(半紙!$B$11:$B$310)-COUNTA(条幅!$B$11:$B$310)),""))))</f>
        <v/>
      </c>
      <c r="E732" s="38" t="str">
        <f>IF(IF(727&lt;=COUNTA(半紙!$B$11:$B$310),INDEX(半紙!$E$11:$E$310,727),IF(727&lt;=COUNTA(半紙!$B$11:$B$310)+COUNTA(条幅!$B$11:$B$310),INDEX(条幅!$E$11:$E$310,727-COUNTA(半紙!$B$11:$B$310)),IF(727&lt;=COUNTA(半紙!$B$11:$B$310)+COUNTA(条幅!$B$11:$B$310)+COUNTA(条幅4分の1!$B$11:$B$310),INDEX(条幅4分の1!$E$11:$E$310,727-COUNTA(半紙!$B$11:$B$310)-COUNTA(条幅!$B$11:$B$310)),"")))=0,"",IF(727&lt;=COUNTA(半紙!$B$11:$B$310),INDEX(半紙!$E$11:$E$310,727),IF(727&lt;=COUNTA(半紙!$B$11:$B$310)+COUNTA(条幅!$B$11:$B$310),INDEX(条幅!$E$11:$E$310,727-COUNTA(半紙!$B$11:$B$310)),IF(727&lt;=COUNTA(半紙!$B$11:$B$310)+COUNTA(条幅!$B$11:$B$310)+COUNTA(条幅4分の1!$B$11:$B$310),INDEX(条幅4分の1!$E$11:$E$310,727-COUNTA(半紙!$B$11:$B$310)-COUNTA(条幅!$B$11:$B$310)),""))))</f>
        <v/>
      </c>
      <c r="F732" s="38" t="str">
        <f>IF(IF(727&lt;=COUNTA(半紙!$B$11:$B$310),INDEX(半紙!$F$11:$F$310,727),IF(727&lt;=COUNTA(半紙!$B$11:$B$310)+COUNTA(条幅!$B$11:$B$310),INDEX(条幅!$F$11:$F$310,727-COUNTA(半紙!$B$11:$B$310)),IF(727&lt;=COUNTA(半紙!$B$11:$B$310)+COUNTA(条幅!$B$11:$B$310)+COUNTA(条幅4分の1!$B$11:$B$310),INDEX(条幅4分の1!$F$11:$F$310,727-COUNTA(半紙!$B$11:$B$310)-COUNTA(条幅!$B$11:$B$310)),"")))=0,"",IF(727&lt;=COUNTA(半紙!$B$11:$B$310),INDEX(半紙!$F$11:$F$310,727),IF(727&lt;=COUNTA(半紙!$B$11:$B$310)+COUNTA(条幅!$B$11:$B$310),INDEX(条幅!$F$11:$F$310,727-COUNTA(半紙!$B$11:$B$310)),IF(727&lt;=COUNTA(半紙!$B$11:$B$310)+COUNTA(条幅!$B$11:$B$310)+COUNTA(条幅4分の1!$B$11:$B$310),INDEX(条幅4分の1!$F$11:$F$310,727-COUNTA(半紙!$B$11:$B$310)-COUNTA(条幅!$B$11:$B$310)),""))))</f>
        <v/>
      </c>
      <c r="G732" s="38" t="str">
        <f>IF(IF(727&lt;=COUNTA(半紙!$B$11:$B$310),INDEX(半紙!$G$11:$G$310,727),IF(727&lt;=COUNTA(半紙!$B$11:$B$310)+COUNTA(条幅!$B$11:$B$310),INDEX(条幅!$G$11:$G$310,727-COUNTA(半紙!$B$11:$B$310)),IF(727&lt;=COUNTA(半紙!$B$11:$B$310)+COUNTA(条幅!$B$11:$B$310)+COUNTA(条幅4分の1!$B$11:$B$310),INDEX(条幅4分の1!$G$11:$G$310,727-COUNTA(半紙!$B$11:$B$310)-COUNTA(条幅!$B$11:$B$310)),"")))=0,"",IF(727&lt;=COUNTA(半紙!$B$11:$B$310),INDEX(半紙!$G$11:$G$310,727),IF(727&lt;=COUNTA(半紙!$B$11:$B$310)+COUNTA(条幅!$B$11:$B$310),INDEX(条幅!$G$11:$G$310,727-COUNTA(半紙!$B$11:$B$310)),IF(727&lt;=COUNTA(半紙!$B$11:$B$310)+COUNTA(条幅!$B$11:$B$310)+COUNTA(条幅4分の1!$B$11:$B$310),INDEX(条幅4分の1!$G$11:$G$310,727-COUNTA(半紙!$B$11:$B$310)-COUNTA(条幅!$B$11:$B$310)),""))))</f>
        <v/>
      </c>
      <c r="H732" s="38" t="str">
        <f>IF(IF(727&lt;=COUNTA(半紙!$B$11:$B$310),INDEX(半紙!$H$11:$H$310,727),IF(727&lt;=COUNTA(半紙!$B$11:$B$310)+COUNTA(条幅!$B$11:$B$310),INDEX(条幅!$H$11:$H$310,727-COUNTA(半紙!$B$11:$B$310)),IF(727&lt;=COUNTA(半紙!$B$11:$B$310)+COUNTA(条幅!$B$11:$B$310)+COUNTA(条幅4分の1!$B$11:$B$310),INDEX(条幅4分の1!$H$11:$H$310,727-COUNTA(半紙!$B$11:$B$310)-COUNTA(条幅!$B$11:$B$310)),"")))=0,"",IF(727&lt;=COUNTA(半紙!$B$11:$B$310),INDEX(半紙!$H$11:$H$310,727),IF(727&lt;=COUNTA(半紙!$B$11:$B$310)+COUNTA(条幅!$B$11:$B$310),INDEX(条幅!$H$11:$H$310,727-COUNTA(半紙!$B$11:$B$310)),IF(727&lt;=COUNTA(半紙!$B$11:$B$310)+COUNTA(条幅!$B$11:$B$310)+COUNTA(条幅4分の1!$B$11:$B$310),INDEX(条幅4分の1!$H$11:$H$310,727-COUNTA(半紙!$B$11:$B$310)-COUNTA(条幅!$B$11:$B$310)),""))))</f>
        <v/>
      </c>
      <c r="I732" s="38" t="str">
        <f>IF(IF(727&lt;=COUNTA(半紙!$B$11:$B$310),INDEX(半紙!$I$11:$I$310,727),IF(727&lt;=COUNTA(半紙!$B$11:$B$310)+COUNTA(条幅!$B$11:$B$310),INDEX(条幅!$I$11:$I$310,727-COUNTA(半紙!$B$11:$B$310)),IF(727&lt;=COUNTA(半紙!$B$11:$B$310)+COUNTA(条幅!$B$11:$B$310)+COUNTA(条幅4分の1!$B$11:$B$310),INDEX(条幅4分の1!$I$11:$I$310,727-COUNTA(半紙!$B$11:$B$310)-COUNTA(条幅!$B$11:$B$310)),"")))=0,"",IF(727&lt;=COUNTA(半紙!$B$11:$B$310),INDEX(半紙!$I$11:$I$310,727),IF(727&lt;=COUNTA(半紙!$B$11:$B$310)+COUNTA(条幅!$B$11:$B$310),INDEX(条幅!$I$11:$I$310,727-COUNTA(半紙!$B$11:$B$310)),IF(727&lt;=COUNTA(半紙!$B$11:$B$310)+COUNTA(条幅!$B$11:$B$310)+COUNTA(条幅4分の1!$B$11:$B$310),INDEX(条幅4分の1!$I$11:$I$310,727-COUNTA(半紙!$B$11:$B$310)-COUNTA(条幅!$B$11:$B$310)),""))))</f>
        <v/>
      </c>
      <c r="J732" s="38" t="str">
        <f>IF(IF(727&lt;=COUNTA(半紙!$B$11:$B$310),INDEX(半紙!$J$11:$J$310,727),IF(727&lt;=COUNTA(半紙!$B$11:$B$310)+COUNTA(条幅!$B$11:$B$310),INDEX(条幅!$J$11:$J$310,727-COUNTA(半紙!$B$11:$B$310)),IF(727&lt;=COUNTA(半紙!$B$11:$B$310)+COUNTA(条幅!$B$11:$B$310)+COUNTA(条幅4分の1!$B$11:$B$310),INDEX(条幅4分の1!$J$11:$J$310,727-COUNTA(半紙!$B$11:$B$310)-COUNTA(条幅!$B$11:$B$310)),"")))=0,"",IF(727&lt;=COUNTA(半紙!$B$11:$B$310),INDEX(半紙!$J$11:$J$310,727),IF(727&lt;=COUNTA(半紙!$B$11:$B$310)+COUNTA(条幅!$B$11:$B$310),INDEX(条幅!$J$11:$J$310,727-COUNTA(半紙!$B$11:$B$310)),IF(727&lt;=COUNTA(半紙!$B$11:$B$310)+COUNTA(条幅!$B$11:$B$310)+COUNTA(条幅4分の1!$B$11:$B$310),INDEX(条幅4分の1!$J$11:$J$310,727-COUNTA(半紙!$B$11:$B$310)-COUNTA(条幅!$B$11:$B$310)),""))))</f>
        <v/>
      </c>
      <c r="K732" s="38" t="str">
        <f>IF(IF(727&lt;=COUNTA(半紙!$B$11:$B$310),INDEX(半紙!$K$11:$K$310,727),IF(727&lt;=COUNTA(半紙!$B$11:$B$310)+COUNTA(条幅!$B$11:$B$310),INDEX(条幅!$K$11:$K$310,727-COUNTA(半紙!$B$11:$B$310)),IF(727&lt;=COUNTA(半紙!$B$11:$B$310)+COUNTA(条幅!$B$11:$B$310)+COUNTA(条幅4分の1!$B$11:$B$310),INDEX(条幅4分の1!$K$11:$K$310,727-COUNTA(半紙!$B$11:$B$310)-COUNTA(条幅!$B$11:$B$310)),"")))=0,"",IF(727&lt;=COUNTA(半紙!$B$11:$B$310),INDEX(半紙!$K$11:$K$310,727),IF(727&lt;=COUNTA(半紙!$B$11:$B$310)+COUNTA(条幅!$B$11:$B$310),INDEX(条幅!$K$11:$K$310,727-COUNTA(半紙!$B$11:$B$310)),IF(727&lt;=COUNTA(半紙!$B$11:$B$310)+COUNTA(条幅!$B$11:$B$310)+COUNTA(条幅4分の1!$B$11:$B$310),INDEX(条幅4分の1!$K$11:$K$310,727-COUNTA(半紙!$B$11:$B$310)-COUNTA(条幅!$B$11:$B$310)),""))))</f>
        <v/>
      </c>
      <c r="L732" s="48" t="str">
        <f>IF($B732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727))</f>
        <v/>
      </c>
    </row>
    <row r="733" spans="1:12" ht="15" customHeight="1">
      <c r="A733" s="37" t="str">
        <f>IF(728&lt;=COUNTA(半紙!$B$11:$B$310),"半紙",IF(728&lt;=COUNTA(半紙!$B$11:$B$310)+COUNTA(条幅!$B$11:$B$310),"条幅(半切)",IF(728&lt;=COUNTA(半紙!$B$11:$B$310)+COUNTA(条幅!$B$11:$B$310)+COUNTA(条幅4分の1!$B$11:$B$310),"条幅(1/4)","")))</f>
        <v/>
      </c>
      <c r="B733" s="38" t="str">
        <f>IF(IF(728&lt;=COUNTA(半紙!$B$11:$B$310),INDEX(半紙!$B$11:$B$310,728),IF(728&lt;=COUNTA(半紙!$B$11:$B$310)+COUNTA(条幅!$B$11:$B$310),INDEX(条幅!$B$11:$B$310,728-COUNTA(半紙!$B$11:$B$310)),IF(728&lt;=COUNTA(半紙!$B$11:$B$310)+COUNTA(条幅!$B$11:$B$310)+COUNTA(条幅4分の1!$B$11:$B$310),INDEX(条幅4分の1!$B$11:$B$310,728-COUNTA(半紙!$B$11:$B$310)-COUNTA(条幅!$B$11:$B$310)),"")))=0,"",IF(728&lt;=COUNTA(半紙!$B$11:$B$310),INDEX(半紙!$B$11:$B$310,728),IF(728&lt;=COUNTA(半紙!$B$11:$B$310)+COUNTA(条幅!$B$11:$B$310),INDEX(条幅!$B$11:$B$310,728-COUNTA(半紙!$B$11:$B$310)),IF(728&lt;=COUNTA(半紙!$B$11:$B$310)+COUNTA(条幅!$B$11:$B$310)+COUNTA(条幅4分の1!$B$11:$B$310),INDEX(条幅4分の1!$B$11:$B$310,728-COUNTA(半紙!$B$11:$B$310)-COUNTA(条幅!$B$11:$B$310)),""))))</f>
        <v/>
      </c>
      <c r="C733" s="38" t="str">
        <f>IF(IF(728&lt;=COUNTA(半紙!$B$11:$B$310),INDEX(半紙!$C$11:$C$310,728),IF(728&lt;=COUNTA(半紙!$B$11:$B$310)+COUNTA(条幅!$B$11:$B$310),INDEX(条幅!$C$11:$C$310,728-COUNTA(半紙!$B$11:$B$310)),IF(728&lt;=COUNTA(半紙!$B$11:$B$310)+COUNTA(条幅!$B$11:$B$310)+COUNTA(条幅4分の1!$B$11:$B$310),INDEX(条幅4分の1!$C$11:$C$310,728-COUNTA(半紙!$B$11:$B$310)-COUNTA(条幅!$B$11:$B$310)),"")))=0,"",IF(728&lt;=COUNTA(半紙!$B$11:$B$310),INDEX(半紙!$C$11:$C$310,728),IF(728&lt;=COUNTA(半紙!$B$11:$B$310)+COUNTA(条幅!$B$11:$B$310),INDEX(条幅!$C$11:$C$310,728-COUNTA(半紙!$B$11:$B$310)),IF(728&lt;=COUNTA(半紙!$B$11:$B$310)+COUNTA(条幅!$B$11:$B$310)+COUNTA(条幅4分の1!$B$11:$B$310),INDEX(条幅4分の1!$C$11:$C$310,728-COUNTA(半紙!$B$11:$B$310)-COUNTA(条幅!$B$11:$B$310)),""))))</f>
        <v/>
      </c>
      <c r="D733" s="38" t="str">
        <f>IF(IF(728&lt;=COUNTA(半紙!$B$11:$B$310),INDEX(半紙!$D$11:$D$310,728),IF(728&lt;=COUNTA(半紙!$B$11:$B$310)+COUNTA(条幅!$B$11:$B$310),INDEX(条幅!$D$11:$D$310,728-COUNTA(半紙!$B$11:$B$310)),IF(728&lt;=COUNTA(半紙!$B$11:$B$310)+COUNTA(条幅!$B$11:$B$310)+COUNTA(条幅4分の1!$B$11:$B$310),INDEX(条幅4分の1!$D$11:$D$310,728-COUNTA(半紙!$B$11:$B$310)-COUNTA(条幅!$B$11:$B$310)),"")))=0,"",IF(728&lt;=COUNTA(半紙!$B$11:$B$310),INDEX(半紙!$D$11:$D$310,728),IF(728&lt;=COUNTA(半紙!$B$11:$B$310)+COUNTA(条幅!$B$11:$B$310),INDEX(条幅!$D$11:$D$310,728-COUNTA(半紙!$B$11:$B$310)),IF(728&lt;=COUNTA(半紙!$B$11:$B$310)+COUNTA(条幅!$B$11:$B$310)+COUNTA(条幅4分の1!$B$11:$B$310),INDEX(条幅4分の1!$D$11:$D$310,728-COUNTA(半紙!$B$11:$B$310)-COUNTA(条幅!$B$11:$B$310)),""))))</f>
        <v/>
      </c>
      <c r="E733" s="38" t="str">
        <f>IF(IF(728&lt;=COUNTA(半紙!$B$11:$B$310),INDEX(半紙!$E$11:$E$310,728),IF(728&lt;=COUNTA(半紙!$B$11:$B$310)+COUNTA(条幅!$B$11:$B$310),INDEX(条幅!$E$11:$E$310,728-COUNTA(半紙!$B$11:$B$310)),IF(728&lt;=COUNTA(半紙!$B$11:$B$310)+COUNTA(条幅!$B$11:$B$310)+COUNTA(条幅4分の1!$B$11:$B$310),INDEX(条幅4分の1!$E$11:$E$310,728-COUNTA(半紙!$B$11:$B$310)-COUNTA(条幅!$B$11:$B$310)),"")))=0,"",IF(728&lt;=COUNTA(半紙!$B$11:$B$310),INDEX(半紙!$E$11:$E$310,728),IF(728&lt;=COUNTA(半紙!$B$11:$B$310)+COUNTA(条幅!$B$11:$B$310),INDEX(条幅!$E$11:$E$310,728-COUNTA(半紙!$B$11:$B$310)),IF(728&lt;=COUNTA(半紙!$B$11:$B$310)+COUNTA(条幅!$B$11:$B$310)+COUNTA(条幅4分の1!$B$11:$B$310),INDEX(条幅4分の1!$E$11:$E$310,728-COUNTA(半紙!$B$11:$B$310)-COUNTA(条幅!$B$11:$B$310)),""))))</f>
        <v/>
      </c>
      <c r="F733" s="38" t="str">
        <f>IF(IF(728&lt;=COUNTA(半紙!$B$11:$B$310),INDEX(半紙!$F$11:$F$310,728),IF(728&lt;=COUNTA(半紙!$B$11:$B$310)+COUNTA(条幅!$B$11:$B$310),INDEX(条幅!$F$11:$F$310,728-COUNTA(半紙!$B$11:$B$310)),IF(728&lt;=COUNTA(半紙!$B$11:$B$310)+COUNTA(条幅!$B$11:$B$310)+COUNTA(条幅4分の1!$B$11:$B$310),INDEX(条幅4分の1!$F$11:$F$310,728-COUNTA(半紙!$B$11:$B$310)-COUNTA(条幅!$B$11:$B$310)),"")))=0,"",IF(728&lt;=COUNTA(半紙!$B$11:$B$310),INDEX(半紙!$F$11:$F$310,728),IF(728&lt;=COUNTA(半紙!$B$11:$B$310)+COUNTA(条幅!$B$11:$B$310),INDEX(条幅!$F$11:$F$310,728-COUNTA(半紙!$B$11:$B$310)),IF(728&lt;=COUNTA(半紙!$B$11:$B$310)+COUNTA(条幅!$B$11:$B$310)+COUNTA(条幅4分の1!$B$11:$B$310),INDEX(条幅4分の1!$F$11:$F$310,728-COUNTA(半紙!$B$11:$B$310)-COUNTA(条幅!$B$11:$B$310)),""))))</f>
        <v/>
      </c>
      <c r="G733" s="38" t="str">
        <f>IF(IF(728&lt;=COUNTA(半紙!$B$11:$B$310),INDEX(半紙!$G$11:$G$310,728),IF(728&lt;=COUNTA(半紙!$B$11:$B$310)+COUNTA(条幅!$B$11:$B$310),INDEX(条幅!$G$11:$G$310,728-COUNTA(半紙!$B$11:$B$310)),IF(728&lt;=COUNTA(半紙!$B$11:$B$310)+COUNTA(条幅!$B$11:$B$310)+COUNTA(条幅4分の1!$B$11:$B$310),INDEX(条幅4分の1!$G$11:$G$310,728-COUNTA(半紙!$B$11:$B$310)-COUNTA(条幅!$B$11:$B$310)),"")))=0,"",IF(728&lt;=COUNTA(半紙!$B$11:$B$310),INDEX(半紙!$G$11:$G$310,728),IF(728&lt;=COUNTA(半紙!$B$11:$B$310)+COUNTA(条幅!$B$11:$B$310),INDEX(条幅!$G$11:$G$310,728-COUNTA(半紙!$B$11:$B$310)),IF(728&lt;=COUNTA(半紙!$B$11:$B$310)+COUNTA(条幅!$B$11:$B$310)+COUNTA(条幅4分の1!$B$11:$B$310),INDEX(条幅4分の1!$G$11:$G$310,728-COUNTA(半紙!$B$11:$B$310)-COUNTA(条幅!$B$11:$B$310)),""))))</f>
        <v/>
      </c>
      <c r="H733" s="38" t="str">
        <f>IF(IF(728&lt;=COUNTA(半紙!$B$11:$B$310),INDEX(半紙!$H$11:$H$310,728),IF(728&lt;=COUNTA(半紙!$B$11:$B$310)+COUNTA(条幅!$B$11:$B$310),INDEX(条幅!$H$11:$H$310,728-COUNTA(半紙!$B$11:$B$310)),IF(728&lt;=COUNTA(半紙!$B$11:$B$310)+COUNTA(条幅!$B$11:$B$310)+COUNTA(条幅4分の1!$B$11:$B$310),INDEX(条幅4分の1!$H$11:$H$310,728-COUNTA(半紙!$B$11:$B$310)-COUNTA(条幅!$B$11:$B$310)),"")))=0,"",IF(728&lt;=COUNTA(半紙!$B$11:$B$310),INDEX(半紙!$H$11:$H$310,728),IF(728&lt;=COUNTA(半紙!$B$11:$B$310)+COUNTA(条幅!$B$11:$B$310),INDEX(条幅!$H$11:$H$310,728-COUNTA(半紙!$B$11:$B$310)),IF(728&lt;=COUNTA(半紙!$B$11:$B$310)+COUNTA(条幅!$B$11:$B$310)+COUNTA(条幅4分の1!$B$11:$B$310),INDEX(条幅4分の1!$H$11:$H$310,728-COUNTA(半紙!$B$11:$B$310)-COUNTA(条幅!$B$11:$B$310)),""))))</f>
        <v/>
      </c>
      <c r="I733" s="38" t="str">
        <f>IF(IF(728&lt;=COUNTA(半紙!$B$11:$B$310),INDEX(半紙!$I$11:$I$310,728),IF(728&lt;=COUNTA(半紙!$B$11:$B$310)+COUNTA(条幅!$B$11:$B$310),INDEX(条幅!$I$11:$I$310,728-COUNTA(半紙!$B$11:$B$310)),IF(728&lt;=COUNTA(半紙!$B$11:$B$310)+COUNTA(条幅!$B$11:$B$310)+COUNTA(条幅4分の1!$B$11:$B$310),INDEX(条幅4分の1!$I$11:$I$310,728-COUNTA(半紙!$B$11:$B$310)-COUNTA(条幅!$B$11:$B$310)),"")))=0,"",IF(728&lt;=COUNTA(半紙!$B$11:$B$310),INDEX(半紙!$I$11:$I$310,728),IF(728&lt;=COUNTA(半紙!$B$11:$B$310)+COUNTA(条幅!$B$11:$B$310),INDEX(条幅!$I$11:$I$310,728-COUNTA(半紙!$B$11:$B$310)),IF(728&lt;=COUNTA(半紙!$B$11:$B$310)+COUNTA(条幅!$B$11:$B$310)+COUNTA(条幅4分の1!$B$11:$B$310),INDEX(条幅4分の1!$I$11:$I$310,728-COUNTA(半紙!$B$11:$B$310)-COUNTA(条幅!$B$11:$B$310)),""))))</f>
        <v/>
      </c>
      <c r="J733" s="38" t="str">
        <f>IF(IF(728&lt;=COUNTA(半紙!$B$11:$B$310),INDEX(半紙!$J$11:$J$310,728),IF(728&lt;=COUNTA(半紙!$B$11:$B$310)+COUNTA(条幅!$B$11:$B$310),INDEX(条幅!$J$11:$J$310,728-COUNTA(半紙!$B$11:$B$310)),IF(728&lt;=COUNTA(半紙!$B$11:$B$310)+COUNTA(条幅!$B$11:$B$310)+COUNTA(条幅4分の1!$B$11:$B$310),INDEX(条幅4分の1!$J$11:$J$310,728-COUNTA(半紙!$B$11:$B$310)-COUNTA(条幅!$B$11:$B$310)),"")))=0,"",IF(728&lt;=COUNTA(半紙!$B$11:$B$310),INDEX(半紙!$J$11:$J$310,728),IF(728&lt;=COUNTA(半紙!$B$11:$B$310)+COUNTA(条幅!$B$11:$B$310),INDEX(条幅!$J$11:$J$310,728-COUNTA(半紙!$B$11:$B$310)),IF(728&lt;=COUNTA(半紙!$B$11:$B$310)+COUNTA(条幅!$B$11:$B$310)+COUNTA(条幅4分の1!$B$11:$B$310),INDEX(条幅4分の1!$J$11:$J$310,728-COUNTA(半紙!$B$11:$B$310)-COUNTA(条幅!$B$11:$B$310)),""))))</f>
        <v/>
      </c>
      <c r="K733" s="38" t="str">
        <f>IF(IF(728&lt;=COUNTA(半紙!$B$11:$B$310),INDEX(半紙!$K$11:$K$310,728),IF(728&lt;=COUNTA(半紙!$B$11:$B$310)+COUNTA(条幅!$B$11:$B$310),INDEX(条幅!$K$11:$K$310,728-COUNTA(半紙!$B$11:$B$310)),IF(728&lt;=COUNTA(半紙!$B$11:$B$310)+COUNTA(条幅!$B$11:$B$310)+COUNTA(条幅4分の1!$B$11:$B$310),INDEX(条幅4分の1!$K$11:$K$310,728-COUNTA(半紙!$B$11:$B$310)-COUNTA(条幅!$B$11:$B$310)),"")))=0,"",IF(728&lt;=COUNTA(半紙!$B$11:$B$310),INDEX(半紙!$K$11:$K$310,728),IF(728&lt;=COUNTA(半紙!$B$11:$B$310)+COUNTA(条幅!$B$11:$B$310),INDEX(条幅!$K$11:$K$310,728-COUNTA(半紙!$B$11:$B$310)),IF(728&lt;=COUNTA(半紙!$B$11:$B$310)+COUNTA(条幅!$B$11:$B$310)+COUNTA(条幅4分の1!$B$11:$B$310),INDEX(条幅4分の1!$K$11:$K$310,728-COUNTA(半紙!$B$11:$B$310)-COUNTA(条幅!$B$11:$B$310)),""))))</f>
        <v/>
      </c>
      <c r="L733" s="48" t="str">
        <f>IF($B733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728))</f>
        <v/>
      </c>
    </row>
    <row r="734" spans="1:12" ht="15" customHeight="1">
      <c r="A734" s="37" t="str">
        <f>IF(729&lt;=COUNTA(半紙!$B$11:$B$310),"半紙",IF(729&lt;=COUNTA(半紙!$B$11:$B$310)+COUNTA(条幅!$B$11:$B$310),"条幅(半切)",IF(729&lt;=COUNTA(半紙!$B$11:$B$310)+COUNTA(条幅!$B$11:$B$310)+COUNTA(条幅4分の1!$B$11:$B$310),"条幅(1/4)","")))</f>
        <v/>
      </c>
      <c r="B734" s="38" t="str">
        <f>IF(IF(729&lt;=COUNTA(半紙!$B$11:$B$310),INDEX(半紙!$B$11:$B$310,729),IF(729&lt;=COUNTA(半紙!$B$11:$B$310)+COUNTA(条幅!$B$11:$B$310),INDEX(条幅!$B$11:$B$310,729-COUNTA(半紙!$B$11:$B$310)),IF(729&lt;=COUNTA(半紙!$B$11:$B$310)+COUNTA(条幅!$B$11:$B$310)+COUNTA(条幅4分の1!$B$11:$B$310),INDEX(条幅4分の1!$B$11:$B$310,729-COUNTA(半紙!$B$11:$B$310)-COUNTA(条幅!$B$11:$B$310)),"")))=0,"",IF(729&lt;=COUNTA(半紙!$B$11:$B$310),INDEX(半紙!$B$11:$B$310,729),IF(729&lt;=COUNTA(半紙!$B$11:$B$310)+COUNTA(条幅!$B$11:$B$310),INDEX(条幅!$B$11:$B$310,729-COUNTA(半紙!$B$11:$B$310)),IF(729&lt;=COUNTA(半紙!$B$11:$B$310)+COUNTA(条幅!$B$11:$B$310)+COUNTA(条幅4分の1!$B$11:$B$310),INDEX(条幅4分の1!$B$11:$B$310,729-COUNTA(半紙!$B$11:$B$310)-COUNTA(条幅!$B$11:$B$310)),""))))</f>
        <v/>
      </c>
      <c r="C734" s="38" t="str">
        <f>IF(IF(729&lt;=COUNTA(半紙!$B$11:$B$310),INDEX(半紙!$C$11:$C$310,729),IF(729&lt;=COUNTA(半紙!$B$11:$B$310)+COUNTA(条幅!$B$11:$B$310),INDEX(条幅!$C$11:$C$310,729-COUNTA(半紙!$B$11:$B$310)),IF(729&lt;=COUNTA(半紙!$B$11:$B$310)+COUNTA(条幅!$B$11:$B$310)+COUNTA(条幅4分の1!$B$11:$B$310),INDEX(条幅4分の1!$C$11:$C$310,729-COUNTA(半紙!$B$11:$B$310)-COUNTA(条幅!$B$11:$B$310)),"")))=0,"",IF(729&lt;=COUNTA(半紙!$B$11:$B$310),INDEX(半紙!$C$11:$C$310,729),IF(729&lt;=COUNTA(半紙!$B$11:$B$310)+COUNTA(条幅!$B$11:$B$310),INDEX(条幅!$C$11:$C$310,729-COUNTA(半紙!$B$11:$B$310)),IF(729&lt;=COUNTA(半紙!$B$11:$B$310)+COUNTA(条幅!$B$11:$B$310)+COUNTA(条幅4分の1!$B$11:$B$310),INDEX(条幅4分の1!$C$11:$C$310,729-COUNTA(半紙!$B$11:$B$310)-COUNTA(条幅!$B$11:$B$310)),""))))</f>
        <v/>
      </c>
      <c r="D734" s="38" t="str">
        <f>IF(IF(729&lt;=COUNTA(半紙!$B$11:$B$310),INDEX(半紙!$D$11:$D$310,729),IF(729&lt;=COUNTA(半紙!$B$11:$B$310)+COUNTA(条幅!$B$11:$B$310),INDEX(条幅!$D$11:$D$310,729-COUNTA(半紙!$B$11:$B$310)),IF(729&lt;=COUNTA(半紙!$B$11:$B$310)+COUNTA(条幅!$B$11:$B$310)+COUNTA(条幅4分の1!$B$11:$B$310),INDEX(条幅4分の1!$D$11:$D$310,729-COUNTA(半紙!$B$11:$B$310)-COUNTA(条幅!$B$11:$B$310)),"")))=0,"",IF(729&lt;=COUNTA(半紙!$B$11:$B$310),INDEX(半紙!$D$11:$D$310,729),IF(729&lt;=COUNTA(半紙!$B$11:$B$310)+COUNTA(条幅!$B$11:$B$310),INDEX(条幅!$D$11:$D$310,729-COUNTA(半紙!$B$11:$B$310)),IF(729&lt;=COUNTA(半紙!$B$11:$B$310)+COUNTA(条幅!$B$11:$B$310)+COUNTA(条幅4分の1!$B$11:$B$310),INDEX(条幅4分の1!$D$11:$D$310,729-COUNTA(半紙!$B$11:$B$310)-COUNTA(条幅!$B$11:$B$310)),""))))</f>
        <v/>
      </c>
      <c r="E734" s="38" t="str">
        <f>IF(IF(729&lt;=COUNTA(半紙!$B$11:$B$310),INDEX(半紙!$E$11:$E$310,729),IF(729&lt;=COUNTA(半紙!$B$11:$B$310)+COUNTA(条幅!$B$11:$B$310),INDEX(条幅!$E$11:$E$310,729-COUNTA(半紙!$B$11:$B$310)),IF(729&lt;=COUNTA(半紙!$B$11:$B$310)+COUNTA(条幅!$B$11:$B$310)+COUNTA(条幅4分の1!$B$11:$B$310),INDEX(条幅4分の1!$E$11:$E$310,729-COUNTA(半紙!$B$11:$B$310)-COUNTA(条幅!$B$11:$B$310)),"")))=0,"",IF(729&lt;=COUNTA(半紙!$B$11:$B$310),INDEX(半紙!$E$11:$E$310,729),IF(729&lt;=COUNTA(半紙!$B$11:$B$310)+COUNTA(条幅!$B$11:$B$310),INDEX(条幅!$E$11:$E$310,729-COUNTA(半紙!$B$11:$B$310)),IF(729&lt;=COUNTA(半紙!$B$11:$B$310)+COUNTA(条幅!$B$11:$B$310)+COUNTA(条幅4分の1!$B$11:$B$310),INDEX(条幅4分の1!$E$11:$E$310,729-COUNTA(半紙!$B$11:$B$310)-COUNTA(条幅!$B$11:$B$310)),""))))</f>
        <v/>
      </c>
      <c r="F734" s="38" t="str">
        <f>IF(IF(729&lt;=COUNTA(半紙!$B$11:$B$310),INDEX(半紙!$F$11:$F$310,729),IF(729&lt;=COUNTA(半紙!$B$11:$B$310)+COUNTA(条幅!$B$11:$B$310),INDEX(条幅!$F$11:$F$310,729-COUNTA(半紙!$B$11:$B$310)),IF(729&lt;=COUNTA(半紙!$B$11:$B$310)+COUNTA(条幅!$B$11:$B$310)+COUNTA(条幅4分の1!$B$11:$B$310),INDEX(条幅4分の1!$F$11:$F$310,729-COUNTA(半紙!$B$11:$B$310)-COUNTA(条幅!$B$11:$B$310)),"")))=0,"",IF(729&lt;=COUNTA(半紙!$B$11:$B$310),INDEX(半紙!$F$11:$F$310,729),IF(729&lt;=COUNTA(半紙!$B$11:$B$310)+COUNTA(条幅!$B$11:$B$310),INDEX(条幅!$F$11:$F$310,729-COUNTA(半紙!$B$11:$B$310)),IF(729&lt;=COUNTA(半紙!$B$11:$B$310)+COUNTA(条幅!$B$11:$B$310)+COUNTA(条幅4分の1!$B$11:$B$310),INDEX(条幅4分の1!$F$11:$F$310,729-COUNTA(半紙!$B$11:$B$310)-COUNTA(条幅!$B$11:$B$310)),""))))</f>
        <v/>
      </c>
      <c r="G734" s="38" t="str">
        <f>IF(IF(729&lt;=COUNTA(半紙!$B$11:$B$310),INDEX(半紙!$G$11:$G$310,729),IF(729&lt;=COUNTA(半紙!$B$11:$B$310)+COUNTA(条幅!$B$11:$B$310),INDEX(条幅!$G$11:$G$310,729-COUNTA(半紙!$B$11:$B$310)),IF(729&lt;=COUNTA(半紙!$B$11:$B$310)+COUNTA(条幅!$B$11:$B$310)+COUNTA(条幅4分の1!$B$11:$B$310),INDEX(条幅4分の1!$G$11:$G$310,729-COUNTA(半紙!$B$11:$B$310)-COUNTA(条幅!$B$11:$B$310)),"")))=0,"",IF(729&lt;=COUNTA(半紙!$B$11:$B$310),INDEX(半紙!$G$11:$G$310,729),IF(729&lt;=COUNTA(半紙!$B$11:$B$310)+COUNTA(条幅!$B$11:$B$310),INDEX(条幅!$G$11:$G$310,729-COUNTA(半紙!$B$11:$B$310)),IF(729&lt;=COUNTA(半紙!$B$11:$B$310)+COUNTA(条幅!$B$11:$B$310)+COUNTA(条幅4分の1!$B$11:$B$310),INDEX(条幅4分の1!$G$11:$G$310,729-COUNTA(半紙!$B$11:$B$310)-COUNTA(条幅!$B$11:$B$310)),""))))</f>
        <v/>
      </c>
      <c r="H734" s="38" t="str">
        <f>IF(IF(729&lt;=COUNTA(半紙!$B$11:$B$310),INDEX(半紙!$H$11:$H$310,729),IF(729&lt;=COUNTA(半紙!$B$11:$B$310)+COUNTA(条幅!$B$11:$B$310),INDEX(条幅!$H$11:$H$310,729-COUNTA(半紙!$B$11:$B$310)),IF(729&lt;=COUNTA(半紙!$B$11:$B$310)+COUNTA(条幅!$B$11:$B$310)+COUNTA(条幅4分の1!$B$11:$B$310),INDEX(条幅4分の1!$H$11:$H$310,729-COUNTA(半紙!$B$11:$B$310)-COUNTA(条幅!$B$11:$B$310)),"")))=0,"",IF(729&lt;=COUNTA(半紙!$B$11:$B$310),INDEX(半紙!$H$11:$H$310,729),IF(729&lt;=COUNTA(半紙!$B$11:$B$310)+COUNTA(条幅!$B$11:$B$310),INDEX(条幅!$H$11:$H$310,729-COUNTA(半紙!$B$11:$B$310)),IF(729&lt;=COUNTA(半紙!$B$11:$B$310)+COUNTA(条幅!$B$11:$B$310)+COUNTA(条幅4分の1!$B$11:$B$310),INDEX(条幅4分の1!$H$11:$H$310,729-COUNTA(半紙!$B$11:$B$310)-COUNTA(条幅!$B$11:$B$310)),""))))</f>
        <v/>
      </c>
      <c r="I734" s="38" t="str">
        <f>IF(IF(729&lt;=COUNTA(半紙!$B$11:$B$310),INDEX(半紙!$I$11:$I$310,729),IF(729&lt;=COUNTA(半紙!$B$11:$B$310)+COUNTA(条幅!$B$11:$B$310),INDEX(条幅!$I$11:$I$310,729-COUNTA(半紙!$B$11:$B$310)),IF(729&lt;=COUNTA(半紙!$B$11:$B$310)+COUNTA(条幅!$B$11:$B$310)+COUNTA(条幅4分の1!$B$11:$B$310),INDEX(条幅4分の1!$I$11:$I$310,729-COUNTA(半紙!$B$11:$B$310)-COUNTA(条幅!$B$11:$B$310)),"")))=0,"",IF(729&lt;=COUNTA(半紙!$B$11:$B$310),INDEX(半紙!$I$11:$I$310,729),IF(729&lt;=COUNTA(半紙!$B$11:$B$310)+COUNTA(条幅!$B$11:$B$310),INDEX(条幅!$I$11:$I$310,729-COUNTA(半紙!$B$11:$B$310)),IF(729&lt;=COUNTA(半紙!$B$11:$B$310)+COUNTA(条幅!$B$11:$B$310)+COUNTA(条幅4分の1!$B$11:$B$310),INDEX(条幅4分の1!$I$11:$I$310,729-COUNTA(半紙!$B$11:$B$310)-COUNTA(条幅!$B$11:$B$310)),""))))</f>
        <v/>
      </c>
      <c r="J734" s="38" t="str">
        <f>IF(IF(729&lt;=COUNTA(半紙!$B$11:$B$310),INDEX(半紙!$J$11:$J$310,729),IF(729&lt;=COUNTA(半紙!$B$11:$B$310)+COUNTA(条幅!$B$11:$B$310),INDEX(条幅!$J$11:$J$310,729-COUNTA(半紙!$B$11:$B$310)),IF(729&lt;=COUNTA(半紙!$B$11:$B$310)+COUNTA(条幅!$B$11:$B$310)+COUNTA(条幅4分の1!$B$11:$B$310),INDEX(条幅4分の1!$J$11:$J$310,729-COUNTA(半紙!$B$11:$B$310)-COUNTA(条幅!$B$11:$B$310)),"")))=0,"",IF(729&lt;=COUNTA(半紙!$B$11:$B$310),INDEX(半紙!$J$11:$J$310,729),IF(729&lt;=COUNTA(半紙!$B$11:$B$310)+COUNTA(条幅!$B$11:$B$310),INDEX(条幅!$J$11:$J$310,729-COUNTA(半紙!$B$11:$B$310)),IF(729&lt;=COUNTA(半紙!$B$11:$B$310)+COUNTA(条幅!$B$11:$B$310)+COUNTA(条幅4分の1!$B$11:$B$310),INDEX(条幅4分の1!$J$11:$J$310,729-COUNTA(半紙!$B$11:$B$310)-COUNTA(条幅!$B$11:$B$310)),""))))</f>
        <v/>
      </c>
      <c r="K734" s="38" t="str">
        <f>IF(IF(729&lt;=COUNTA(半紙!$B$11:$B$310),INDEX(半紙!$K$11:$K$310,729),IF(729&lt;=COUNTA(半紙!$B$11:$B$310)+COUNTA(条幅!$B$11:$B$310),INDEX(条幅!$K$11:$K$310,729-COUNTA(半紙!$B$11:$B$310)),IF(729&lt;=COUNTA(半紙!$B$11:$B$310)+COUNTA(条幅!$B$11:$B$310)+COUNTA(条幅4分の1!$B$11:$B$310),INDEX(条幅4分の1!$K$11:$K$310,729-COUNTA(半紙!$B$11:$B$310)-COUNTA(条幅!$B$11:$B$310)),"")))=0,"",IF(729&lt;=COUNTA(半紙!$B$11:$B$310),INDEX(半紙!$K$11:$K$310,729),IF(729&lt;=COUNTA(半紙!$B$11:$B$310)+COUNTA(条幅!$B$11:$B$310),INDEX(条幅!$K$11:$K$310,729-COUNTA(半紙!$B$11:$B$310)),IF(729&lt;=COUNTA(半紙!$B$11:$B$310)+COUNTA(条幅!$B$11:$B$310)+COUNTA(条幅4分の1!$B$11:$B$310),INDEX(条幅4分の1!$K$11:$K$310,729-COUNTA(半紙!$B$11:$B$310)-COUNTA(条幅!$B$11:$B$310)),""))))</f>
        <v/>
      </c>
      <c r="L734" s="48" t="str">
        <f>IF($B734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729))</f>
        <v/>
      </c>
    </row>
    <row r="735" spans="1:12" ht="15" customHeight="1">
      <c r="A735" s="37" t="str">
        <f>IF(730&lt;=COUNTA(半紙!$B$11:$B$310),"半紙",IF(730&lt;=COUNTA(半紙!$B$11:$B$310)+COUNTA(条幅!$B$11:$B$310),"条幅(半切)",IF(730&lt;=COUNTA(半紙!$B$11:$B$310)+COUNTA(条幅!$B$11:$B$310)+COUNTA(条幅4分の1!$B$11:$B$310),"条幅(1/4)","")))</f>
        <v/>
      </c>
      <c r="B735" s="38" t="str">
        <f>IF(IF(730&lt;=COUNTA(半紙!$B$11:$B$310),INDEX(半紙!$B$11:$B$310,730),IF(730&lt;=COUNTA(半紙!$B$11:$B$310)+COUNTA(条幅!$B$11:$B$310),INDEX(条幅!$B$11:$B$310,730-COUNTA(半紙!$B$11:$B$310)),IF(730&lt;=COUNTA(半紙!$B$11:$B$310)+COUNTA(条幅!$B$11:$B$310)+COUNTA(条幅4分の1!$B$11:$B$310),INDEX(条幅4分の1!$B$11:$B$310,730-COUNTA(半紙!$B$11:$B$310)-COUNTA(条幅!$B$11:$B$310)),"")))=0,"",IF(730&lt;=COUNTA(半紙!$B$11:$B$310),INDEX(半紙!$B$11:$B$310,730),IF(730&lt;=COUNTA(半紙!$B$11:$B$310)+COUNTA(条幅!$B$11:$B$310),INDEX(条幅!$B$11:$B$310,730-COUNTA(半紙!$B$11:$B$310)),IF(730&lt;=COUNTA(半紙!$B$11:$B$310)+COUNTA(条幅!$B$11:$B$310)+COUNTA(条幅4分の1!$B$11:$B$310),INDEX(条幅4分の1!$B$11:$B$310,730-COUNTA(半紙!$B$11:$B$310)-COUNTA(条幅!$B$11:$B$310)),""))))</f>
        <v/>
      </c>
      <c r="C735" s="38" t="str">
        <f>IF(IF(730&lt;=COUNTA(半紙!$B$11:$B$310),INDEX(半紙!$C$11:$C$310,730),IF(730&lt;=COUNTA(半紙!$B$11:$B$310)+COUNTA(条幅!$B$11:$B$310),INDEX(条幅!$C$11:$C$310,730-COUNTA(半紙!$B$11:$B$310)),IF(730&lt;=COUNTA(半紙!$B$11:$B$310)+COUNTA(条幅!$B$11:$B$310)+COUNTA(条幅4分の1!$B$11:$B$310),INDEX(条幅4分の1!$C$11:$C$310,730-COUNTA(半紙!$B$11:$B$310)-COUNTA(条幅!$B$11:$B$310)),"")))=0,"",IF(730&lt;=COUNTA(半紙!$B$11:$B$310),INDEX(半紙!$C$11:$C$310,730),IF(730&lt;=COUNTA(半紙!$B$11:$B$310)+COUNTA(条幅!$B$11:$B$310),INDEX(条幅!$C$11:$C$310,730-COUNTA(半紙!$B$11:$B$310)),IF(730&lt;=COUNTA(半紙!$B$11:$B$310)+COUNTA(条幅!$B$11:$B$310)+COUNTA(条幅4分の1!$B$11:$B$310),INDEX(条幅4分の1!$C$11:$C$310,730-COUNTA(半紙!$B$11:$B$310)-COUNTA(条幅!$B$11:$B$310)),""))))</f>
        <v/>
      </c>
      <c r="D735" s="38" t="str">
        <f>IF(IF(730&lt;=COUNTA(半紙!$B$11:$B$310),INDEX(半紙!$D$11:$D$310,730),IF(730&lt;=COUNTA(半紙!$B$11:$B$310)+COUNTA(条幅!$B$11:$B$310),INDEX(条幅!$D$11:$D$310,730-COUNTA(半紙!$B$11:$B$310)),IF(730&lt;=COUNTA(半紙!$B$11:$B$310)+COUNTA(条幅!$B$11:$B$310)+COUNTA(条幅4分の1!$B$11:$B$310),INDEX(条幅4分の1!$D$11:$D$310,730-COUNTA(半紙!$B$11:$B$310)-COUNTA(条幅!$B$11:$B$310)),"")))=0,"",IF(730&lt;=COUNTA(半紙!$B$11:$B$310),INDEX(半紙!$D$11:$D$310,730),IF(730&lt;=COUNTA(半紙!$B$11:$B$310)+COUNTA(条幅!$B$11:$B$310),INDEX(条幅!$D$11:$D$310,730-COUNTA(半紙!$B$11:$B$310)),IF(730&lt;=COUNTA(半紙!$B$11:$B$310)+COUNTA(条幅!$B$11:$B$310)+COUNTA(条幅4分の1!$B$11:$B$310),INDEX(条幅4分の1!$D$11:$D$310,730-COUNTA(半紙!$B$11:$B$310)-COUNTA(条幅!$B$11:$B$310)),""))))</f>
        <v/>
      </c>
      <c r="E735" s="38" t="str">
        <f>IF(IF(730&lt;=COUNTA(半紙!$B$11:$B$310),INDEX(半紙!$E$11:$E$310,730),IF(730&lt;=COUNTA(半紙!$B$11:$B$310)+COUNTA(条幅!$B$11:$B$310),INDEX(条幅!$E$11:$E$310,730-COUNTA(半紙!$B$11:$B$310)),IF(730&lt;=COUNTA(半紙!$B$11:$B$310)+COUNTA(条幅!$B$11:$B$310)+COUNTA(条幅4分の1!$B$11:$B$310),INDEX(条幅4分の1!$E$11:$E$310,730-COUNTA(半紙!$B$11:$B$310)-COUNTA(条幅!$B$11:$B$310)),"")))=0,"",IF(730&lt;=COUNTA(半紙!$B$11:$B$310),INDEX(半紙!$E$11:$E$310,730),IF(730&lt;=COUNTA(半紙!$B$11:$B$310)+COUNTA(条幅!$B$11:$B$310),INDEX(条幅!$E$11:$E$310,730-COUNTA(半紙!$B$11:$B$310)),IF(730&lt;=COUNTA(半紙!$B$11:$B$310)+COUNTA(条幅!$B$11:$B$310)+COUNTA(条幅4分の1!$B$11:$B$310),INDEX(条幅4分の1!$E$11:$E$310,730-COUNTA(半紙!$B$11:$B$310)-COUNTA(条幅!$B$11:$B$310)),""))))</f>
        <v/>
      </c>
      <c r="F735" s="38" t="str">
        <f>IF(IF(730&lt;=COUNTA(半紙!$B$11:$B$310),INDEX(半紙!$F$11:$F$310,730),IF(730&lt;=COUNTA(半紙!$B$11:$B$310)+COUNTA(条幅!$B$11:$B$310),INDEX(条幅!$F$11:$F$310,730-COUNTA(半紙!$B$11:$B$310)),IF(730&lt;=COUNTA(半紙!$B$11:$B$310)+COUNTA(条幅!$B$11:$B$310)+COUNTA(条幅4分の1!$B$11:$B$310),INDEX(条幅4分の1!$F$11:$F$310,730-COUNTA(半紙!$B$11:$B$310)-COUNTA(条幅!$B$11:$B$310)),"")))=0,"",IF(730&lt;=COUNTA(半紙!$B$11:$B$310),INDEX(半紙!$F$11:$F$310,730),IF(730&lt;=COUNTA(半紙!$B$11:$B$310)+COUNTA(条幅!$B$11:$B$310),INDEX(条幅!$F$11:$F$310,730-COUNTA(半紙!$B$11:$B$310)),IF(730&lt;=COUNTA(半紙!$B$11:$B$310)+COUNTA(条幅!$B$11:$B$310)+COUNTA(条幅4分の1!$B$11:$B$310),INDEX(条幅4分の1!$F$11:$F$310,730-COUNTA(半紙!$B$11:$B$310)-COUNTA(条幅!$B$11:$B$310)),""))))</f>
        <v/>
      </c>
      <c r="G735" s="38" t="str">
        <f>IF(IF(730&lt;=COUNTA(半紙!$B$11:$B$310),INDEX(半紙!$G$11:$G$310,730),IF(730&lt;=COUNTA(半紙!$B$11:$B$310)+COUNTA(条幅!$B$11:$B$310),INDEX(条幅!$G$11:$G$310,730-COUNTA(半紙!$B$11:$B$310)),IF(730&lt;=COUNTA(半紙!$B$11:$B$310)+COUNTA(条幅!$B$11:$B$310)+COUNTA(条幅4分の1!$B$11:$B$310),INDEX(条幅4分の1!$G$11:$G$310,730-COUNTA(半紙!$B$11:$B$310)-COUNTA(条幅!$B$11:$B$310)),"")))=0,"",IF(730&lt;=COUNTA(半紙!$B$11:$B$310),INDEX(半紙!$G$11:$G$310,730),IF(730&lt;=COUNTA(半紙!$B$11:$B$310)+COUNTA(条幅!$B$11:$B$310),INDEX(条幅!$G$11:$G$310,730-COUNTA(半紙!$B$11:$B$310)),IF(730&lt;=COUNTA(半紙!$B$11:$B$310)+COUNTA(条幅!$B$11:$B$310)+COUNTA(条幅4分の1!$B$11:$B$310),INDEX(条幅4分の1!$G$11:$G$310,730-COUNTA(半紙!$B$11:$B$310)-COUNTA(条幅!$B$11:$B$310)),""))))</f>
        <v/>
      </c>
      <c r="H735" s="38" t="str">
        <f>IF(IF(730&lt;=COUNTA(半紙!$B$11:$B$310),INDEX(半紙!$H$11:$H$310,730),IF(730&lt;=COUNTA(半紙!$B$11:$B$310)+COUNTA(条幅!$B$11:$B$310),INDEX(条幅!$H$11:$H$310,730-COUNTA(半紙!$B$11:$B$310)),IF(730&lt;=COUNTA(半紙!$B$11:$B$310)+COUNTA(条幅!$B$11:$B$310)+COUNTA(条幅4分の1!$B$11:$B$310),INDEX(条幅4分の1!$H$11:$H$310,730-COUNTA(半紙!$B$11:$B$310)-COUNTA(条幅!$B$11:$B$310)),"")))=0,"",IF(730&lt;=COUNTA(半紙!$B$11:$B$310),INDEX(半紙!$H$11:$H$310,730),IF(730&lt;=COUNTA(半紙!$B$11:$B$310)+COUNTA(条幅!$B$11:$B$310),INDEX(条幅!$H$11:$H$310,730-COUNTA(半紙!$B$11:$B$310)),IF(730&lt;=COUNTA(半紙!$B$11:$B$310)+COUNTA(条幅!$B$11:$B$310)+COUNTA(条幅4分の1!$B$11:$B$310),INDEX(条幅4分の1!$H$11:$H$310,730-COUNTA(半紙!$B$11:$B$310)-COUNTA(条幅!$B$11:$B$310)),""))))</f>
        <v/>
      </c>
      <c r="I735" s="38" t="str">
        <f>IF(IF(730&lt;=COUNTA(半紙!$B$11:$B$310),INDEX(半紙!$I$11:$I$310,730),IF(730&lt;=COUNTA(半紙!$B$11:$B$310)+COUNTA(条幅!$B$11:$B$310),INDEX(条幅!$I$11:$I$310,730-COUNTA(半紙!$B$11:$B$310)),IF(730&lt;=COUNTA(半紙!$B$11:$B$310)+COUNTA(条幅!$B$11:$B$310)+COUNTA(条幅4分の1!$B$11:$B$310),INDEX(条幅4分の1!$I$11:$I$310,730-COUNTA(半紙!$B$11:$B$310)-COUNTA(条幅!$B$11:$B$310)),"")))=0,"",IF(730&lt;=COUNTA(半紙!$B$11:$B$310),INDEX(半紙!$I$11:$I$310,730),IF(730&lt;=COUNTA(半紙!$B$11:$B$310)+COUNTA(条幅!$B$11:$B$310),INDEX(条幅!$I$11:$I$310,730-COUNTA(半紙!$B$11:$B$310)),IF(730&lt;=COUNTA(半紙!$B$11:$B$310)+COUNTA(条幅!$B$11:$B$310)+COUNTA(条幅4分の1!$B$11:$B$310),INDEX(条幅4分の1!$I$11:$I$310,730-COUNTA(半紙!$B$11:$B$310)-COUNTA(条幅!$B$11:$B$310)),""))))</f>
        <v/>
      </c>
      <c r="J735" s="38" t="str">
        <f>IF(IF(730&lt;=COUNTA(半紙!$B$11:$B$310),INDEX(半紙!$J$11:$J$310,730),IF(730&lt;=COUNTA(半紙!$B$11:$B$310)+COUNTA(条幅!$B$11:$B$310),INDEX(条幅!$J$11:$J$310,730-COUNTA(半紙!$B$11:$B$310)),IF(730&lt;=COUNTA(半紙!$B$11:$B$310)+COUNTA(条幅!$B$11:$B$310)+COUNTA(条幅4分の1!$B$11:$B$310),INDEX(条幅4分の1!$J$11:$J$310,730-COUNTA(半紙!$B$11:$B$310)-COUNTA(条幅!$B$11:$B$310)),"")))=0,"",IF(730&lt;=COUNTA(半紙!$B$11:$B$310),INDEX(半紙!$J$11:$J$310,730),IF(730&lt;=COUNTA(半紙!$B$11:$B$310)+COUNTA(条幅!$B$11:$B$310),INDEX(条幅!$J$11:$J$310,730-COUNTA(半紙!$B$11:$B$310)),IF(730&lt;=COUNTA(半紙!$B$11:$B$310)+COUNTA(条幅!$B$11:$B$310)+COUNTA(条幅4分の1!$B$11:$B$310),INDEX(条幅4分の1!$J$11:$J$310,730-COUNTA(半紙!$B$11:$B$310)-COUNTA(条幅!$B$11:$B$310)),""))))</f>
        <v/>
      </c>
      <c r="K735" s="38" t="str">
        <f>IF(IF(730&lt;=COUNTA(半紙!$B$11:$B$310),INDEX(半紙!$K$11:$K$310,730),IF(730&lt;=COUNTA(半紙!$B$11:$B$310)+COUNTA(条幅!$B$11:$B$310),INDEX(条幅!$K$11:$K$310,730-COUNTA(半紙!$B$11:$B$310)),IF(730&lt;=COUNTA(半紙!$B$11:$B$310)+COUNTA(条幅!$B$11:$B$310)+COUNTA(条幅4分の1!$B$11:$B$310),INDEX(条幅4分の1!$K$11:$K$310,730-COUNTA(半紙!$B$11:$B$310)-COUNTA(条幅!$B$11:$B$310)),"")))=0,"",IF(730&lt;=COUNTA(半紙!$B$11:$B$310),INDEX(半紙!$K$11:$K$310,730),IF(730&lt;=COUNTA(半紙!$B$11:$B$310)+COUNTA(条幅!$B$11:$B$310),INDEX(条幅!$K$11:$K$310,730-COUNTA(半紙!$B$11:$B$310)),IF(730&lt;=COUNTA(半紙!$B$11:$B$310)+COUNTA(条幅!$B$11:$B$310)+COUNTA(条幅4分の1!$B$11:$B$310),INDEX(条幅4分の1!$K$11:$K$310,730-COUNTA(半紙!$B$11:$B$310)-COUNTA(条幅!$B$11:$B$310)),""))))</f>
        <v/>
      </c>
      <c r="L735" s="48" t="str">
        <f>IF($B735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730))</f>
        <v/>
      </c>
    </row>
    <row r="736" spans="1:12" ht="15" customHeight="1">
      <c r="A736" s="37" t="str">
        <f>IF(731&lt;=COUNTA(半紙!$B$11:$B$310),"半紙",IF(731&lt;=COUNTA(半紙!$B$11:$B$310)+COUNTA(条幅!$B$11:$B$310),"条幅(半切)",IF(731&lt;=COUNTA(半紙!$B$11:$B$310)+COUNTA(条幅!$B$11:$B$310)+COUNTA(条幅4分の1!$B$11:$B$310),"条幅(1/4)","")))</f>
        <v/>
      </c>
      <c r="B736" s="38" t="str">
        <f>IF(IF(731&lt;=COUNTA(半紙!$B$11:$B$310),INDEX(半紙!$B$11:$B$310,731),IF(731&lt;=COUNTA(半紙!$B$11:$B$310)+COUNTA(条幅!$B$11:$B$310),INDEX(条幅!$B$11:$B$310,731-COUNTA(半紙!$B$11:$B$310)),IF(731&lt;=COUNTA(半紙!$B$11:$B$310)+COUNTA(条幅!$B$11:$B$310)+COUNTA(条幅4分の1!$B$11:$B$310),INDEX(条幅4分の1!$B$11:$B$310,731-COUNTA(半紙!$B$11:$B$310)-COUNTA(条幅!$B$11:$B$310)),"")))=0,"",IF(731&lt;=COUNTA(半紙!$B$11:$B$310),INDEX(半紙!$B$11:$B$310,731),IF(731&lt;=COUNTA(半紙!$B$11:$B$310)+COUNTA(条幅!$B$11:$B$310),INDEX(条幅!$B$11:$B$310,731-COUNTA(半紙!$B$11:$B$310)),IF(731&lt;=COUNTA(半紙!$B$11:$B$310)+COUNTA(条幅!$B$11:$B$310)+COUNTA(条幅4分の1!$B$11:$B$310),INDEX(条幅4分の1!$B$11:$B$310,731-COUNTA(半紙!$B$11:$B$310)-COUNTA(条幅!$B$11:$B$310)),""))))</f>
        <v/>
      </c>
      <c r="C736" s="38" t="str">
        <f>IF(IF(731&lt;=COUNTA(半紙!$B$11:$B$310),INDEX(半紙!$C$11:$C$310,731),IF(731&lt;=COUNTA(半紙!$B$11:$B$310)+COUNTA(条幅!$B$11:$B$310),INDEX(条幅!$C$11:$C$310,731-COUNTA(半紙!$B$11:$B$310)),IF(731&lt;=COUNTA(半紙!$B$11:$B$310)+COUNTA(条幅!$B$11:$B$310)+COUNTA(条幅4分の1!$B$11:$B$310),INDEX(条幅4分の1!$C$11:$C$310,731-COUNTA(半紙!$B$11:$B$310)-COUNTA(条幅!$B$11:$B$310)),"")))=0,"",IF(731&lt;=COUNTA(半紙!$B$11:$B$310),INDEX(半紙!$C$11:$C$310,731),IF(731&lt;=COUNTA(半紙!$B$11:$B$310)+COUNTA(条幅!$B$11:$B$310),INDEX(条幅!$C$11:$C$310,731-COUNTA(半紙!$B$11:$B$310)),IF(731&lt;=COUNTA(半紙!$B$11:$B$310)+COUNTA(条幅!$B$11:$B$310)+COUNTA(条幅4分の1!$B$11:$B$310),INDEX(条幅4分の1!$C$11:$C$310,731-COUNTA(半紙!$B$11:$B$310)-COUNTA(条幅!$B$11:$B$310)),""))))</f>
        <v/>
      </c>
      <c r="D736" s="38" t="str">
        <f>IF(IF(731&lt;=COUNTA(半紙!$B$11:$B$310),INDEX(半紙!$D$11:$D$310,731),IF(731&lt;=COUNTA(半紙!$B$11:$B$310)+COUNTA(条幅!$B$11:$B$310),INDEX(条幅!$D$11:$D$310,731-COUNTA(半紙!$B$11:$B$310)),IF(731&lt;=COUNTA(半紙!$B$11:$B$310)+COUNTA(条幅!$B$11:$B$310)+COUNTA(条幅4分の1!$B$11:$B$310),INDEX(条幅4分の1!$D$11:$D$310,731-COUNTA(半紙!$B$11:$B$310)-COUNTA(条幅!$B$11:$B$310)),"")))=0,"",IF(731&lt;=COUNTA(半紙!$B$11:$B$310),INDEX(半紙!$D$11:$D$310,731),IF(731&lt;=COUNTA(半紙!$B$11:$B$310)+COUNTA(条幅!$B$11:$B$310),INDEX(条幅!$D$11:$D$310,731-COUNTA(半紙!$B$11:$B$310)),IF(731&lt;=COUNTA(半紙!$B$11:$B$310)+COUNTA(条幅!$B$11:$B$310)+COUNTA(条幅4分の1!$B$11:$B$310),INDEX(条幅4分の1!$D$11:$D$310,731-COUNTA(半紙!$B$11:$B$310)-COUNTA(条幅!$B$11:$B$310)),""))))</f>
        <v/>
      </c>
      <c r="E736" s="38" t="str">
        <f>IF(IF(731&lt;=COUNTA(半紙!$B$11:$B$310),INDEX(半紙!$E$11:$E$310,731),IF(731&lt;=COUNTA(半紙!$B$11:$B$310)+COUNTA(条幅!$B$11:$B$310),INDEX(条幅!$E$11:$E$310,731-COUNTA(半紙!$B$11:$B$310)),IF(731&lt;=COUNTA(半紙!$B$11:$B$310)+COUNTA(条幅!$B$11:$B$310)+COUNTA(条幅4分の1!$B$11:$B$310),INDEX(条幅4分の1!$E$11:$E$310,731-COUNTA(半紙!$B$11:$B$310)-COUNTA(条幅!$B$11:$B$310)),"")))=0,"",IF(731&lt;=COUNTA(半紙!$B$11:$B$310),INDEX(半紙!$E$11:$E$310,731),IF(731&lt;=COUNTA(半紙!$B$11:$B$310)+COUNTA(条幅!$B$11:$B$310),INDEX(条幅!$E$11:$E$310,731-COUNTA(半紙!$B$11:$B$310)),IF(731&lt;=COUNTA(半紙!$B$11:$B$310)+COUNTA(条幅!$B$11:$B$310)+COUNTA(条幅4分の1!$B$11:$B$310),INDEX(条幅4分の1!$E$11:$E$310,731-COUNTA(半紙!$B$11:$B$310)-COUNTA(条幅!$B$11:$B$310)),""))))</f>
        <v/>
      </c>
      <c r="F736" s="38" t="str">
        <f>IF(IF(731&lt;=COUNTA(半紙!$B$11:$B$310),INDEX(半紙!$F$11:$F$310,731),IF(731&lt;=COUNTA(半紙!$B$11:$B$310)+COUNTA(条幅!$B$11:$B$310),INDEX(条幅!$F$11:$F$310,731-COUNTA(半紙!$B$11:$B$310)),IF(731&lt;=COUNTA(半紙!$B$11:$B$310)+COUNTA(条幅!$B$11:$B$310)+COUNTA(条幅4分の1!$B$11:$B$310),INDEX(条幅4分の1!$F$11:$F$310,731-COUNTA(半紙!$B$11:$B$310)-COUNTA(条幅!$B$11:$B$310)),"")))=0,"",IF(731&lt;=COUNTA(半紙!$B$11:$B$310),INDEX(半紙!$F$11:$F$310,731),IF(731&lt;=COUNTA(半紙!$B$11:$B$310)+COUNTA(条幅!$B$11:$B$310),INDEX(条幅!$F$11:$F$310,731-COUNTA(半紙!$B$11:$B$310)),IF(731&lt;=COUNTA(半紙!$B$11:$B$310)+COUNTA(条幅!$B$11:$B$310)+COUNTA(条幅4分の1!$B$11:$B$310),INDEX(条幅4分の1!$F$11:$F$310,731-COUNTA(半紙!$B$11:$B$310)-COUNTA(条幅!$B$11:$B$310)),""))))</f>
        <v/>
      </c>
      <c r="G736" s="38" t="str">
        <f>IF(IF(731&lt;=COUNTA(半紙!$B$11:$B$310),INDEX(半紙!$G$11:$G$310,731),IF(731&lt;=COUNTA(半紙!$B$11:$B$310)+COUNTA(条幅!$B$11:$B$310),INDEX(条幅!$G$11:$G$310,731-COUNTA(半紙!$B$11:$B$310)),IF(731&lt;=COUNTA(半紙!$B$11:$B$310)+COUNTA(条幅!$B$11:$B$310)+COUNTA(条幅4分の1!$B$11:$B$310),INDEX(条幅4分の1!$G$11:$G$310,731-COUNTA(半紙!$B$11:$B$310)-COUNTA(条幅!$B$11:$B$310)),"")))=0,"",IF(731&lt;=COUNTA(半紙!$B$11:$B$310),INDEX(半紙!$G$11:$G$310,731),IF(731&lt;=COUNTA(半紙!$B$11:$B$310)+COUNTA(条幅!$B$11:$B$310),INDEX(条幅!$G$11:$G$310,731-COUNTA(半紙!$B$11:$B$310)),IF(731&lt;=COUNTA(半紙!$B$11:$B$310)+COUNTA(条幅!$B$11:$B$310)+COUNTA(条幅4分の1!$B$11:$B$310),INDEX(条幅4分の1!$G$11:$G$310,731-COUNTA(半紙!$B$11:$B$310)-COUNTA(条幅!$B$11:$B$310)),""))))</f>
        <v/>
      </c>
      <c r="H736" s="38" t="str">
        <f>IF(IF(731&lt;=COUNTA(半紙!$B$11:$B$310),INDEX(半紙!$H$11:$H$310,731),IF(731&lt;=COUNTA(半紙!$B$11:$B$310)+COUNTA(条幅!$B$11:$B$310),INDEX(条幅!$H$11:$H$310,731-COUNTA(半紙!$B$11:$B$310)),IF(731&lt;=COUNTA(半紙!$B$11:$B$310)+COUNTA(条幅!$B$11:$B$310)+COUNTA(条幅4分の1!$B$11:$B$310),INDEX(条幅4分の1!$H$11:$H$310,731-COUNTA(半紙!$B$11:$B$310)-COUNTA(条幅!$B$11:$B$310)),"")))=0,"",IF(731&lt;=COUNTA(半紙!$B$11:$B$310),INDEX(半紙!$H$11:$H$310,731),IF(731&lt;=COUNTA(半紙!$B$11:$B$310)+COUNTA(条幅!$B$11:$B$310),INDEX(条幅!$H$11:$H$310,731-COUNTA(半紙!$B$11:$B$310)),IF(731&lt;=COUNTA(半紙!$B$11:$B$310)+COUNTA(条幅!$B$11:$B$310)+COUNTA(条幅4分の1!$B$11:$B$310),INDEX(条幅4分の1!$H$11:$H$310,731-COUNTA(半紙!$B$11:$B$310)-COUNTA(条幅!$B$11:$B$310)),""))))</f>
        <v/>
      </c>
      <c r="I736" s="38" t="str">
        <f>IF(IF(731&lt;=COUNTA(半紙!$B$11:$B$310),INDEX(半紙!$I$11:$I$310,731),IF(731&lt;=COUNTA(半紙!$B$11:$B$310)+COUNTA(条幅!$B$11:$B$310),INDEX(条幅!$I$11:$I$310,731-COUNTA(半紙!$B$11:$B$310)),IF(731&lt;=COUNTA(半紙!$B$11:$B$310)+COUNTA(条幅!$B$11:$B$310)+COUNTA(条幅4分の1!$B$11:$B$310),INDEX(条幅4分の1!$I$11:$I$310,731-COUNTA(半紙!$B$11:$B$310)-COUNTA(条幅!$B$11:$B$310)),"")))=0,"",IF(731&lt;=COUNTA(半紙!$B$11:$B$310),INDEX(半紙!$I$11:$I$310,731),IF(731&lt;=COUNTA(半紙!$B$11:$B$310)+COUNTA(条幅!$B$11:$B$310),INDEX(条幅!$I$11:$I$310,731-COUNTA(半紙!$B$11:$B$310)),IF(731&lt;=COUNTA(半紙!$B$11:$B$310)+COUNTA(条幅!$B$11:$B$310)+COUNTA(条幅4分の1!$B$11:$B$310),INDEX(条幅4分の1!$I$11:$I$310,731-COUNTA(半紙!$B$11:$B$310)-COUNTA(条幅!$B$11:$B$310)),""))))</f>
        <v/>
      </c>
      <c r="J736" s="38" t="str">
        <f>IF(IF(731&lt;=COUNTA(半紙!$B$11:$B$310),INDEX(半紙!$J$11:$J$310,731),IF(731&lt;=COUNTA(半紙!$B$11:$B$310)+COUNTA(条幅!$B$11:$B$310),INDEX(条幅!$J$11:$J$310,731-COUNTA(半紙!$B$11:$B$310)),IF(731&lt;=COUNTA(半紙!$B$11:$B$310)+COUNTA(条幅!$B$11:$B$310)+COUNTA(条幅4分の1!$B$11:$B$310),INDEX(条幅4分の1!$J$11:$J$310,731-COUNTA(半紙!$B$11:$B$310)-COUNTA(条幅!$B$11:$B$310)),"")))=0,"",IF(731&lt;=COUNTA(半紙!$B$11:$B$310),INDEX(半紙!$J$11:$J$310,731),IF(731&lt;=COUNTA(半紙!$B$11:$B$310)+COUNTA(条幅!$B$11:$B$310),INDEX(条幅!$J$11:$J$310,731-COUNTA(半紙!$B$11:$B$310)),IF(731&lt;=COUNTA(半紙!$B$11:$B$310)+COUNTA(条幅!$B$11:$B$310)+COUNTA(条幅4分の1!$B$11:$B$310),INDEX(条幅4分の1!$J$11:$J$310,731-COUNTA(半紙!$B$11:$B$310)-COUNTA(条幅!$B$11:$B$310)),""))))</f>
        <v/>
      </c>
      <c r="K736" s="38" t="str">
        <f>IF(IF(731&lt;=COUNTA(半紙!$B$11:$B$310),INDEX(半紙!$K$11:$K$310,731),IF(731&lt;=COUNTA(半紙!$B$11:$B$310)+COUNTA(条幅!$B$11:$B$310),INDEX(条幅!$K$11:$K$310,731-COUNTA(半紙!$B$11:$B$310)),IF(731&lt;=COUNTA(半紙!$B$11:$B$310)+COUNTA(条幅!$B$11:$B$310)+COUNTA(条幅4分の1!$B$11:$B$310),INDEX(条幅4分の1!$K$11:$K$310,731-COUNTA(半紙!$B$11:$B$310)-COUNTA(条幅!$B$11:$B$310)),"")))=0,"",IF(731&lt;=COUNTA(半紙!$B$11:$B$310),INDEX(半紙!$K$11:$K$310,731),IF(731&lt;=COUNTA(半紙!$B$11:$B$310)+COUNTA(条幅!$B$11:$B$310),INDEX(条幅!$K$11:$K$310,731-COUNTA(半紙!$B$11:$B$310)),IF(731&lt;=COUNTA(半紙!$B$11:$B$310)+COUNTA(条幅!$B$11:$B$310)+COUNTA(条幅4分の1!$B$11:$B$310),INDEX(条幅4分の1!$K$11:$K$310,731-COUNTA(半紙!$B$11:$B$310)-COUNTA(条幅!$B$11:$B$310)),""))))</f>
        <v/>
      </c>
      <c r="L736" s="48" t="str">
        <f>IF($B736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731))</f>
        <v/>
      </c>
    </row>
    <row r="737" spans="1:12" ht="15" customHeight="1">
      <c r="A737" s="37" t="str">
        <f>IF(732&lt;=COUNTA(半紙!$B$11:$B$310),"半紙",IF(732&lt;=COUNTA(半紙!$B$11:$B$310)+COUNTA(条幅!$B$11:$B$310),"条幅(半切)",IF(732&lt;=COUNTA(半紙!$B$11:$B$310)+COUNTA(条幅!$B$11:$B$310)+COUNTA(条幅4分の1!$B$11:$B$310),"条幅(1/4)","")))</f>
        <v/>
      </c>
      <c r="B737" s="38" t="str">
        <f>IF(IF(732&lt;=COUNTA(半紙!$B$11:$B$310),INDEX(半紙!$B$11:$B$310,732),IF(732&lt;=COUNTA(半紙!$B$11:$B$310)+COUNTA(条幅!$B$11:$B$310),INDEX(条幅!$B$11:$B$310,732-COUNTA(半紙!$B$11:$B$310)),IF(732&lt;=COUNTA(半紙!$B$11:$B$310)+COUNTA(条幅!$B$11:$B$310)+COUNTA(条幅4分の1!$B$11:$B$310),INDEX(条幅4分の1!$B$11:$B$310,732-COUNTA(半紙!$B$11:$B$310)-COUNTA(条幅!$B$11:$B$310)),"")))=0,"",IF(732&lt;=COUNTA(半紙!$B$11:$B$310),INDEX(半紙!$B$11:$B$310,732),IF(732&lt;=COUNTA(半紙!$B$11:$B$310)+COUNTA(条幅!$B$11:$B$310),INDEX(条幅!$B$11:$B$310,732-COUNTA(半紙!$B$11:$B$310)),IF(732&lt;=COUNTA(半紙!$B$11:$B$310)+COUNTA(条幅!$B$11:$B$310)+COUNTA(条幅4分の1!$B$11:$B$310),INDEX(条幅4分の1!$B$11:$B$310,732-COUNTA(半紙!$B$11:$B$310)-COUNTA(条幅!$B$11:$B$310)),""))))</f>
        <v/>
      </c>
      <c r="C737" s="38" t="str">
        <f>IF(IF(732&lt;=COUNTA(半紙!$B$11:$B$310),INDEX(半紙!$C$11:$C$310,732),IF(732&lt;=COUNTA(半紙!$B$11:$B$310)+COUNTA(条幅!$B$11:$B$310),INDEX(条幅!$C$11:$C$310,732-COUNTA(半紙!$B$11:$B$310)),IF(732&lt;=COUNTA(半紙!$B$11:$B$310)+COUNTA(条幅!$B$11:$B$310)+COUNTA(条幅4分の1!$B$11:$B$310),INDEX(条幅4分の1!$C$11:$C$310,732-COUNTA(半紙!$B$11:$B$310)-COUNTA(条幅!$B$11:$B$310)),"")))=0,"",IF(732&lt;=COUNTA(半紙!$B$11:$B$310),INDEX(半紙!$C$11:$C$310,732),IF(732&lt;=COUNTA(半紙!$B$11:$B$310)+COUNTA(条幅!$B$11:$B$310),INDEX(条幅!$C$11:$C$310,732-COUNTA(半紙!$B$11:$B$310)),IF(732&lt;=COUNTA(半紙!$B$11:$B$310)+COUNTA(条幅!$B$11:$B$310)+COUNTA(条幅4分の1!$B$11:$B$310),INDEX(条幅4分の1!$C$11:$C$310,732-COUNTA(半紙!$B$11:$B$310)-COUNTA(条幅!$B$11:$B$310)),""))))</f>
        <v/>
      </c>
      <c r="D737" s="38" t="str">
        <f>IF(IF(732&lt;=COUNTA(半紙!$B$11:$B$310),INDEX(半紙!$D$11:$D$310,732),IF(732&lt;=COUNTA(半紙!$B$11:$B$310)+COUNTA(条幅!$B$11:$B$310),INDEX(条幅!$D$11:$D$310,732-COUNTA(半紙!$B$11:$B$310)),IF(732&lt;=COUNTA(半紙!$B$11:$B$310)+COUNTA(条幅!$B$11:$B$310)+COUNTA(条幅4分の1!$B$11:$B$310),INDEX(条幅4分の1!$D$11:$D$310,732-COUNTA(半紙!$B$11:$B$310)-COUNTA(条幅!$B$11:$B$310)),"")))=0,"",IF(732&lt;=COUNTA(半紙!$B$11:$B$310),INDEX(半紙!$D$11:$D$310,732),IF(732&lt;=COUNTA(半紙!$B$11:$B$310)+COUNTA(条幅!$B$11:$B$310),INDEX(条幅!$D$11:$D$310,732-COUNTA(半紙!$B$11:$B$310)),IF(732&lt;=COUNTA(半紙!$B$11:$B$310)+COUNTA(条幅!$B$11:$B$310)+COUNTA(条幅4分の1!$B$11:$B$310),INDEX(条幅4分の1!$D$11:$D$310,732-COUNTA(半紙!$B$11:$B$310)-COUNTA(条幅!$B$11:$B$310)),""))))</f>
        <v/>
      </c>
      <c r="E737" s="38" t="str">
        <f>IF(IF(732&lt;=COUNTA(半紙!$B$11:$B$310),INDEX(半紙!$E$11:$E$310,732),IF(732&lt;=COUNTA(半紙!$B$11:$B$310)+COUNTA(条幅!$B$11:$B$310),INDEX(条幅!$E$11:$E$310,732-COUNTA(半紙!$B$11:$B$310)),IF(732&lt;=COUNTA(半紙!$B$11:$B$310)+COUNTA(条幅!$B$11:$B$310)+COUNTA(条幅4分の1!$B$11:$B$310),INDEX(条幅4分の1!$E$11:$E$310,732-COUNTA(半紙!$B$11:$B$310)-COUNTA(条幅!$B$11:$B$310)),"")))=0,"",IF(732&lt;=COUNTA(半紙!$B$11:$B$310),INDEX(半紙!$E$11:$E$310,732),IF(732&lt;=COUNTA(半紙!$B$11:$B$310)+COUNTA(条幅!$B$11:$B$310),INDEX(条幅!$E$11:$E$310,732-COUNTA(半紙!$B$11:$B$310)),IF(732&lt;=COUNTA(半紙!$B$11:$B$310)+COUNTA(条幅!$B$11:$B$310)+COUNTA(条幅4分の1!$B$11:$B$310),INDEX(条幅4分の1!$E$11:$E$310,732-COUNTA(半紙!$B$11:$B$310)-COUNTA(条幅!$B$11:$B$310)),""))))</f>
        <v/>
      </c>
      <c r="F737" s="38" t="str">
        <f>IF(IF(732&lt;=COUNTA(半紙!$B$11:$B$310),INDEX(半紙!$F$11:$F$310,732),IF(732&lt;=COUNTA(半紙!$B$11:$B$310)+COUNTA(条幅!$B$11:$B$310),INDEX(条幅!$F$11:$F$310,732-COUNTA(半紙!$B$11:$B$310)),IF(732&lt;=COUNTA(半紙!$B$11:$B$310)+COUNTA(条幅!$B$11:$B$310)+COUNTA(条幅4分の1!$B$11:$B$310),INDEX(条幅4分の1!$F$11:$F$310,732-COUNTA(半紙!$B$11:$B$310)-COUNTA(条幅!$B$11:$B$310)),"")))=0,"",IF(732&lt;=COUNTA(半紙!$B$11:$B$310),INDEX(半紙!$F$11:$F$310,732),IF(732&lt;=COUNTA(半紙!$B$11:$B$310)+COUNTA(条幅!$B$11:$B$310),INDEX(条幅!$F$11:$F$310,732-COUNTA(半紙!$B$11:$B$310)),IF(732&lt;=COUNTA(半紙!$B$11:$B$310)+COUNTA(条幅!$B$11:$B$310)+COUNTA(条幅4分の1!$B$11:$B$310),INDEX(条幅4分の1!$F$11:$F$310,732-COUNTA(半紙!$B$11:$B$310)-COUNTA(条幅!$B$11:$B$310)),""))))</f>
        <v/>
      </c>
      <c r="G737" s="38" t="str">
        <f>IF(IF(732&lt;=COUNTA(半紙!$B$11:$B$310),INDEX(半紙!$G$11:$G$310,732),IF(732&lt;=COUNTA(半紙!$B$11:$B$310)+COUNTA(条幅!$B$11:$B$310),INDEX(条幅!$G$11:$G$310,732-COUNTA(半紙!$B$11:$B$310)),IF(732&lt;=COUNTA(半紙!$B$11:$B$310)+COUNTA(条幅!$B$11:$B$310)+COUNTA(条幅4分の1!$B$11:$B$310),INDEX(条幅4分の1!$G$11:$G$310,732-COUNTA(半紙!$B$11:$B$310)-COUNTA(条幅!$B$11:$B$310)),"")))=0,"",IF(732&lt;=COUNTA(半紙!$B$11:$B$310),INDEX(半紙!$G$11:$G$310,732),IF(732&lt;=COUNTA(半紙!$B$11:$B$310)+COUNTA(条幅!$B$11:$B$310),INDEX(条幅!$G$11:$G$310,732-COUNTA(半紙!$B$11:$B$310)),IF(732&lt;=COUNTA(半紙!$B$11:$B$310)+COUNTA(条幅!$B$11:$B$310)+COUNTA(条幅4分の1!$B$11:$B$310),INDEX(条幅4分の1!$G$11:$G$310,732-COUNTA(半紙!$B$11:$B$310)-COUNTA(条幅!$B$11:$B$310)),""))))</f>
        <v/>
      </c>
      <c r="H737" s="38" t="str">
        <f>IF(IF(732&lt;=COUNTA(半紙!$B$11:$B$310),INDEX(半紙!$H$11:$H$310,732),IF(732&lt;=COUNTA(半紙!$B$11:$B$310)+COUNTA(条幅!$B$11:$B$310),INDEX(条幅!$H$11:$H$310,732-COUNTA(半紙!$B$11:$B$310)),IF(732&lt;=COUNTA(半紙!$B$11:$B$310)+COUNTA(条幅!$B$11:$B$310)+COUNTA(条幅4分の1!$B$11:$B$310),INDEX(条幅4分の1!$H$11:$H$310,732-COUNTA(半紙!$B$11:$B$310)-COUNTA(条幅!$B$11:$B$310)),"")))=0,"",IF(732&lt;=COUNTA(半紙!$B$11:$B$310),INDEX(半紙!$H$11:$H$310,732),IF(732&lt;=COUNTA(半紙!$B$11:$B$310)+COUNTA(条幅!$B$11:$B$310),INDEX(条幅!$H$11:$H$310,732-COUNTA(半紙!$B$11:$B$310)),IF(732&lt;=COUNTA(半紙!$B$11:$B$310)+COUNTA(条幅!$B$11:$B$310)+COUNTA(条幅4分の1!$B$11:$B$310),INDEX(条幅4分の1!$H$11:$H$310,732-COUNTA(半紙!$B$11:$B$310)-COUNTA(条幅!$B$11:$B$310)),""))))</f>
        <v/>
      </c>
      <c r="I737" s="38" t="str">
        <f>IF(IF(732&lt;=COUNTA(半紙!$B$11:$B$310),INDEX(半紙!$I$11:$I$310,732),IF(732&lt;=COUNTA(半紙!$B$11:$B$310)+COUNTA(条幅!$B$11:$B$310),INDEX(条幅!$I$11:$I$310,732-COUNTA(半紙!$B$11:$B$310)),IF(732&lt;=COUNTA(半紙!$B$11:$B$310)+COUNTA(条幅!$B$11:$B$310)+COUNTA(条幅4分の1!$B$11:$B$310),INDEX(条幅4分の1!$I$11:$I$310,732-COUNTA(半紙!$B$11:$B$310)-COUNTA(条幅!$B$11:$B$310)),"")))=0,"",IF(732&lt;=COUNTA(半紙!$B$11:$B$310),INDEX(半紙!$I$11:$I$310,732),IF(732&lt;=COUNTA(半紙!$B$11:$B$310)+COUNTA(条幅!$B$11:$B$310),INDEX(条幅!$I$11:$I$310,732-COUNTA(半紙!$B$11:$B$310)),IF(732&lt;=COUNTA(半紙!$B$11:$B$310)+COUNTA(条幅!$B$11:$B$310)+COUNTA(条幅4分の1!$B$11:$B$310),INDEX(条幅4分の1!$I$11:$I$310,732-COUNTA(半紙!$B$11:$B$310)-COUNTA(条幅!$B$11:$B$310)),""))))</f>
        <v/>
      </c>
      <c r="J737" s="38" t="str">
        <f>IF(IF(732&lt;=COUNTA(半紙!$B$11:$B$310),INDEX(半紙!$J$11:$J$310,732),IF(732&lt;=COUNTA(半紙!$B$11:$B$310)+COUNTA(条幅!$B$11:$B$310),INDEX(条幅!$J$11:$J$310,732-COUNTA(半紙!$B$11:$B$310)),IF(732&lt;=COUNTA(半紙!$B$11:$B$310)+COUNTA(条幅!$B$11:$B$310)+COUNTA(条幅4分の1!$B$11:$B$310),INDEX(条幅4分の1!$J$11:$J$310,732-COUNTA(半紙!$B$11:$B$310)-COUNTA(条幅!$B$11:$B$310)),"")))=0,"",IF(732&lt;=COUNTA(半紙!$B$11:$B$310),INDEX(半紙!$J$11:$J$310,732),IF(732&lt;=COUNTA(半紙!$B$11:$B$310)+COUNTA(条幅!$B$11:$B$310),INDEX(条幅!$J$11:$J$310,732-COUNTA(半紙!$B$11:$B$310)),IF(732&lt;=COUNTA(半紙!$B$11:$B$310)+COUNTA(条幅!$B$11:$B$310)+COUNTA(条幅4分の1!$B$11:$B$310),INDEX(条幅4分の1!$J$11:$J$310,732-COUNTA(半紙!$B$11:$B$310)-COUNTA(条幅!$B$11:$B$310)),""))))</f>
        <v/>
      </c>
      <c r="K737" s="38" t="str">
        <f>IF(IF(732&lt;=COUNTA(半紙!$B$11:$B$310),INDEX(半紙!$K$11:$K$310,732),IF(732&lt;=COUNTA(半紙!$B$11:$B$310)+COUNTA(条幅!$B$11:$B$310),INDEX(条幅!$K$11:$K$310,732-COUNTA(半紙!$B$11:$B$310)),IF(732&lt;=COUNTA(半紙!$B$11:$B$310)+COUNTA(条幅!$B$11:$B$310)+COUNTA(条幅4分の1!$B$11:$B$310),INDEX(条幅4分の1!$K$11:$K$310,732-COUNTA(半紙!$B$11:$B$310)-COUNTA(条幅!$B$11:$B$310)),"")))=0,"",IF(732&lt;=COUNTA(半紙!$B$11:$B$310),INDEX(半紙!$K$11:$K$310,732),IF(732&lt;=COUNTA(半紙!$B$11:$B$310)+COUNTA(条幅!$B$11:$B$310),INDEX(条幅!$K$11:$K$310,732-COUNTA(半紙!$B$11:$B$310)),IF(732&lt;=COUNTA(半紙!$B$11:$B$310)+COUNTA(条幅!$B$11:$B$310)+COUNTA(条幅4分の1!$B$11:$B$310),INDEX(条幅4分の1!$K$11:$K$310,732-COUNTA(半紙!$B$11:$B$310)-COUNTA(条幅!$B$11:$B$310)),""))))</f>
        <v/>
      </c>
      <c r="L737" s="48" t="str">
        <f>IF($B737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732))</f>
        <v/>
      </c>
    </row>
    <row r="738" spans="1:12" ht="15" customHeight="1">
      <c r="A738" s="37" t="str">
        <f>IF(733&lt;=COUNTA(半紙!$B$11:$B$310),"半紙",IF(733&lt;=COUNTA(半紙!$B$11:$B$310)+COUNTA(条幅!$B$11:$B$310),"条幅(半切)",IF(733&lt;=COUNTA(半紙!$B$11:$B$310)+COUNTA(条幅!$B$11:$B$310)+COUNTA(条幅4分の1!$B$11:$B$310),"条幅(1/4)","")))</f>
        <v/>
      </c>
      <c r="B738" s="38" t="str">
        <f>IF(IF(733&lt;=COUNTA(半紙!$B$11:$B$310),INDEX(半紙!$B$11:$B$310,733),IF(733&lt;=COUNTA(半紙!$B$11:$B$310)+COUNTA(条幅!$B$11:$B$310),INDEX(条幅!$B$11:$B$310,733-COUNTA(半紙!$B$11:$B$310)),IF(733&lt;=COUNTA(半紙!$B$11:$B$310)+COUNTA(条幅!$B$11:$B$310)+COUNTA(条幅4分の1!$B$11:$B$310),INDEX(条幅4分の1!$B$11:$B$310,733-COUNTA(半紙!$B$11:$B$310)-COUNTA(条幅!$B$11:$B$310)),"")))=0,"",IF(733&lt;=COUNTA(半紙!$B$11:$B$310),INDEX(半紙!$B$11:$B$310,733),IF(733&lt;=COUNTA(半紙!$B$11:$B$310)+COUNTA(条幅!$B$11:$B$310),INDEX(条幅!$B$11:$B$310,733-COUNTA(半紙!$B$11:$B$310)),IF(733&lt;=COUNTA(半紙!$B$11:$B$310)+COUNTA(条幅!$B$11:$B$310)+COUNTA(条幅4分の1!$B$11:$B$310),INDEX(条幅4分の1!$B$11:$B$310,733-COUNTA(半紙!$B$11:$B$310)-COUNTA(条幅!$B$11:$B$310)),""))))</f>
        <v/>
      </c>
      <c r="C738" s="38" t="str">
        <f>IF(IF(733&lt;=COUNTA(半紙!$B$11:$B$310),INDEX(半紙!$C$11:$C$310,733),IF(733&lt;=COUNTA(半紙!$B$11:$B$310)+COUNTA(条幅!$B$11:$B$310),INDEX(条幅!$C$11:$C$310,733-COUNTA(半紙!$B$11:$B$310)),IF(733&lt;=COUNTA(半紙!$B$11:$B$310)+COUNTA(条幅!$B$11:$B$310)+COUNTA(条幅4分の1!$B$11:$B$310),INDEX(条幅4分の1!$C$11:$C$310,733-COUNTA(半紙!$B$11:$B$310)-COUNTA(条幅!$B$11:$B$310)),"")))=0,"",IF(733&lt;=COUNTA(半紙!$B$11:$B$310),INDEX(半紙!$C$11:$C$310,733),IF(733&lt;=COUNTA(半紙!$B$11:$B$310)+COUNTA(条幅!$B$11:$B$310),INDEX(条幅!$C$11:$C$310,733-COUNTA(半紙!$B$11:$B$310)),IF(733&lt;=COUNTA(半紙!$B$11:$B$310)+COUNTA(条幅!$B$11:$B$310)+COUNTA(条幅4分の1!$B$11:$B$310),INDEX(条幅4分の1!$C$11:$C$310,733-COUNTA(半紙!$B$11:$B$310)-COUNTA(条幅!$B$11:$B$310)),""))))</f>
        <v/>
      </c>
      <c r="D738" s="38" t="str">
        <f>IF(IF(733&lt;=COUNTA(半紙!$B$11:$B$310),INDEX(半紙!$D$11:$D$310,733),IF(733&lt;=COUNTA(半紙!$B$11:$B$310)+COUNTA(条幅!$B$11:$B$310),INDEX(条幅!$D$11:$D$310,733-COUNTA(半紙!$B$11:$B$310)),IF(733&lt;=COUNTA(半紙!$B$11:$B$310)+COUNTA(条幅!$B$11:$B$310)+COUNTA(条幅4分の1!$B$11:$B$310),INDEX(条幅4分の1!$D$11:$D$310,733-COUNTA(半紙!$B$11:$B$310)-COUNTA(条幅!$B$11:$B$310)),"")))=0,"",IF(733&lt;=COUNTA(半紙!$B$11:$B$310),INDEX(半紙!$D$11:$D$310,733),IF(733&lt;=COUNTA(半紙!$B$11:$B$310)+COUNTA(条幅!$B$11:$B$310),INDEX(条幅!$D$11:$D$310,733-COUNTA(半紙!$B$11:$B$310)),IF(733&lt;=COUNTA(半紙!$B$11:$B$310)+COUNTA(条幅!$B$11:$B$310)+COUNTA(条幅4分の1!$B$11:$B$310),INDEX(条幅4分の1!$D$11:$D$310,733-COUNTA(半紙!$B$11:$B$310)-COUNTA(条幅!$B$11:$B$310)),""))))</f>
        <v/>
      </c>
      <c r="E738" s="38" t="str">
        <f>IF(IF(733&lt;=COUNTA(半紙!$B$11:$B$310),INDEX(半紙!$E$11:$E$310,733),IF(733&lt;=COUNTA(半紙!$B$11:$B$310)+COUNTA(条幅!$B$11:$B$310),INDEX(条幅!$E$11:$E$310,733-COUNTA(半紙!$B$11:$B$310)),IF(733&lt;=COUNTA(半紙!$B$11:$B$310)+COUNTA(条幅!$B$11:$B$310)+COUNTA(条幅4分の1!$B$11:$B$310),INDEX(条幅4分の1!$E$11:$E$310,733-COUNTA(半紙!$B$11:$B$310)-COUNTA(条幅!$B$11:$B$310)),"")))=0,"",IF(733&lt;=COUNTA(半紙!$B$11:$B$310),INDEX(半紙!$E$11:$E$310,733),IF(733&lt;=COUNTA(半紙!$B$11:$B$310)+COUNTA(条幅!$B$11:$B$310),INDEX(条幅!$E$11:$E$310,733-COUNTA(半紙!$B$11:$B$310)),IF(733&lt;=COUNTA(半紙!$B$11:$B$310)+COUNTA(条幅!$B$11:$B$310)+COUNTA(条幅4分の1!$B$11:$B$310),INDEX(条幅4分の1!$E$11:$E$310,733-COUNTA(半紙!$B$11:$B$310)-COUNTA(条幅!$B$11:$B$310)),""))))</f>
        <v/>
      </c>
      <c r="F738" s="38" t="str">
        <f>IF(IF(733&lt;=COUNTA(半紙!$B$11:$B$310),INDEX(半紙!$F$11:$F$310,733),IF(733&lt;=COUNTA(半紙!$B$11:$B$310)+COUNTA(条幅!$B$11:$B$310),INDEX(条幅!$F$11:$F$310,733-COUNTA(半紙!$B$11:$B$310)),IF(733&lt;=COUNTA(半紙!$B$11:$B$310)+COUNTA(条幅!$B$11:$B$310)+COUNTA(条幅4分の1!$B$11:$B$310),INDEX(条幅4分の1!$F$11:$F$310,733-COUNTA(半紙!$B$11:$B$310)-COUNTA(条幅!$B$11:$B$310)),"")))=0,"",IF(733&lt;=COUNTA(半紙!$B$11:$B$310),INDEX(半紙!$F$11:$F$310,733),IF(733&lt;=COUNTA(半紙!$B$11:$B$310)+COUNTA(条幅!$B$11:$B$310),INDEX(条幅!$F$11:$F$310,733-COUNTA(半紙!$B$11:$B$310)),IF(733&lt;=COUNTA(半紙!$B$11:$B$310)+COUNTA(条幅!$B$11:$B$310)+COUNTA(条幅4分の1!$B$11:$B$310),INDEX(条幅4分の1!$F$11:$F$310,733-COUNTA(半紙!$B$11:$B$310)-COUNTA(条幅!$B$11:$B$310)),""))))</f>
        <v/>
      </c>
      <c r="G738" s="38" t="str">
        <f>IF(IF(733&lt;=COUNTA(半紙!$B$11:$B$310),INDEX(半紙!$G$11:$G$310,733),IF(733&lt;=COUNTA(半紙!$B$11:$B$310)+COUNTA(条幅!$B$11:$B$310),INDEX(条幅!$G$11:$G$310,733-COUNTA(半紙!$B$11:$B$310)),IF(733&lt;=COUNTA(半紙!$B$11:$B$310)+COUNTA(条幅!$B$11:$B$310)+COUNTA(条幅4分の1!$B$11:$B$310),INDEX(条幅4分の1!$G$11:$G$310,733-COUNTA(半紙!$B$11:$B$310)-COUNTA(条幅!$B$11:$B$310)),"")))=0,"",IF(733&lt;=COUNTA(半紙!$B$11:$B$310),INDEX(半紙!$G$11:$G$310,733),IF(733&lt;=COUNTA(半紙!$B$11:$B$310)+COUNTA(条幅!$B$11:$B$310),INDEX(条幅!$G$11:$G$310,733-COUNTA(半紙!$B$11:$B$310)),IF(733&lt;=COUNTA(半紙!$B$11:$B$310)+COUNTA(条幅!$B$11:$B$310)+COUNTA(条幅4分の1!$B$11:$B$310),INDEX(条幅4分の1!$G$11:$G$310,733-COUNTA(半紙!$B$11:$B$310)-COUNTA(条幅!$B$11:$B$310)),""))))</f>
        <v/>
      </c>
      <c r="H738" s="38" t="str">
        <f>IF(IF(733&lt;=COUNTA(半紙!$B$11:$B$310),INDEX(半紙!$H$11:$H$310,733),IF(733&lt;=COUNTA(半紙!$B$11:$B$310)+COUNTA(条幅!$B$11:$B$310),INDEX(条幅!$H$11:$H$310,733-COUNTA(半紙!$B$11:$B$310)),IF(733&lt;=COUNTA(半紙!$B$11:$B$310)+COUNTA(条幅!$B$11:$B$310)+COUNTA(条幅4分の1!$B$11:$B$310),INDEX(条幅4分の1!$H$11:$H$310,733-COUNTA(半紙!$B$11:$B$310)-COUNTA(条幅!$B$11:$B$310)),"")))=0,"",IF(733&lt;=COUNTA(半紙!$B$11:$B$310),INDEX(半紙!$H$11:$H$310,733),IF(733&lt;=COUNTA(半紙!$B$11:$B$310)+COUNTA(条幅!$B$11:$B$310),INDEX(条幅!$H$11:$H$310,733-COUNTA(半紙!$B$11:$B$310)),IF(733&lt;=COUNTA(半紙!$B$11:$B$310)+COUNTA(条幅!$B$11:$B$310)+COUNTA(条幅4分の1!$B$11:$B$310),INDEX(条幅4分の1!$H$11:$H$310,733-COUNTA(半紙!$B$11:$B$310)-COUNTA(条幅!$B$11:$B$310)),""))))</f>
        <v/>
      </c>
      <c r="I738" s="38" t="str">
        <f>IF(IF(733&lt;=COUNTA(半紙!$B$11:$B$310),INDEX(半紙!$I$11:$I$310,733),IF(733&lt;=COUNTA(半紙!$B$11:$B$310)+COUNTA(条幅!$B$11:$B$310),INDEX(条幅!$I$11:$I$310,733-COUNTA(半紙!$B$11:$B$310)),IF(733&lt;=COUNTA(半紙!$B$11:$B$310)+COUNTA(条幅!$B$11:$B$310)+COUNTA(条幅4分の1!$B$11:$B$310),INDEX(条幅4分の1!$I$11:$I$310,733-COUNTA(半紙!$B$11:$B$310)-COUNTA(条幅!$B$11:$B$310)),"")))=0,"",IF(733&lt;=COUNTA(半紙!$B$11:$B$310),INDEX(半紙!$I$11:$I$310,733),IF(733&lt;=COUNTA(半紙!$B$11:$B$310)+COUNTA(条幅!$B$11:$B$310),INDEX(条幅!$I$11:$I$310,733-COUNTA(半紙!$B$11:$B$310)),IF(733&lt;=COUNTA(半紙!$B$11:$B$310)+COUNTA(条幅!$B$11:$B$310)+COUNTA(条幅4分の1!$B$11:$B$310),INDEX(条幅4分の1!$I$11:$I$310,733-COUNTA(半紙!$B$11:$B$310)-COUNTA(条幅!$B$11:$B$310)),""))))</f>
        <v/>
      </c>
      <c r="J738" s="38" t="str">
        <f>IF(IF(733&lt;=COUNTA(半紙!$B$11:$B$310),INDEX(半紙!$J$11:$J$310,733),IF(733&lt;=COUNTA(半紙!$B$11:$B$310)+COUNTA(条幅!$B$11:$B$310),INDEX(条幅!$J$11:$J$310,733-COUNTA(半紙!$B$11:$B$310)),IF(733&lt;=COUNTA(半紙!$B$11:$B$310)+COUNTA(条幅!$B$11:$B$310)+COUNTA(条幅4分の1!$B$11:$B$310),INDEX(条幅4分の1!$J$11:$J$310,733-COUNTA(半紙!$B$11:$B$310)-COUNTA(条幅!$B$11:$B$310)),"")))=0,"",IF(733&lt;=COUNTA(半紙!$B$11:$B$310),INDEX(半紙!$J$11:$J$310,733),IF(733&lt;=COUNTA(半紙!$B$11:$B$310)+COUNTA(条幅!$B$11:$B$310),INDEX(条幅!$J$11:$J$310,733-COUNTA(半紙!$B$11:$B$310)),IF(733&lt;=COUNTA(半紙!$B$11:$B$310)+COUNTA(条幅!$B$11:$B$310)+COUNTA(条幅4分の1!$B$11:$B$310),INDEX(条幅4分の1!$J$11:$J$310,733-COUNTA(半紙!$B$11:$B$310)-COUNTA(条幅!$B$11:$B$310)),""))))</f>
        <v/>
      </c>
      <c r="K738" s="38" t="str">
        <f>IF(IF(733&lt;=COUNTA(半紙!$B$11:$B$310),INDEX(半紙!$K$11:$K$310,733),IF(733&lt;=COUNTA(半紙!$B$11:$B$310)+COUNTA(条幅!$B$11:$B$310),INDEX(条幅!$K$11:$K$310,733-COUNTA(半紙!$B$11:$B$310)),IF(733&lt;=COUNTA(半紙!$B$11:$B$310)+COUNTA(条幅!$B$11:$B$310)+COUNTA(条幅4分の1!$B$11:$B$310),INDEX(条幅4分の1!$K$11:$K$310,733-COUNTA(半紙!$B$11:$B$310)-COUNTA(条幅!$B$11:$B$310)),"")))=0,"",IF(733&lt;=COUNTA(半紙!$B$11:$B$310),INDEX(半紙!$K$11:$K$310,733),IF(733&lt;=COUNTA(半紙!$B$11:$B$310)+COUNTA(条幅!$B$11:$B$310),INDEX(条幅!$K$11:$K$310,733-COUNTA(半紙!$B$11:$B$310)),IF(733&lt;=COUNTA(半紙!$B$11:$B$310)+COUNTA(条幅!$B$11:$B$310)+COUNTA(条幅4分の1!$B$11:$B$310),INDEX(条幅4分の1!$K$11:$K$310,733-COUNTA(半紙!$B$11:$B$310)-COUNTA(条幅!$B$11:$B$310)),""))))</f>
        <v/>
      </c>
      <c r="L738" s="48" t="str">
        <f>IF($B738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733))</f>
        <v/>
      </c>
    </row>
    <row r="739" spans="1:12" ht="15" customHeight="1">
      <c r="A739" s="37" t="str">
        <f>IF(734&lt;=COUNTA(半紙!$B$11:$B$310),"半紙",IF(734&lt;=COUNTA(半紙!$B$11:$B$310)+COUNTA(条幅!$B$11:$B$310),"条幅(半切)",IF(734&lt;=COUNTA(半紙!$B$11:$B$310)+COUNTA(条幅!$B$11:$B$310)+COUNTA(条幅4分の1!$B$11:$B$310),"条幅(1/4)","")))</f>
        <v/>
      </c>
      <c r="B739" s="38" t="str">
        <f>IF(IF(734&lt;=COUNTA(半紙!$B$11:$B$310),INDEX(半紙!$B$11:$B$310,734),IF(734&lt;=COUNTA(半紙!$B$11:$B$310)+COUNTA(条幅!$B$11:$B$310),INDEX(条幅!$B$11:$B$310,734-COUNTA(半紙!$B$11:$B$310)),IF(734&lt;=COUNTA(半紙!$B$11:$B$310)+COUNTA(条幅!$B$11:$B$310)+COUNTA(条幅4分の1!$B$11:$B$310),INDEX(条幅4分の1!$B$11:$B$310,734-COUNTA(半紙!$B$11:$B$310)-COUNTA(条幅!$B$11:$B$310)),"")))=0,"",IF(734&lt;=COUNTA(半紙!$B$11:$B$310),INDEX(半紙!$B$11:$B$310,734),IF(734&lt;=COUNTA(半紙!$B$11:$B$310)+COUNTA(条幅!$B$11:$B$310),INDEX(条幅!$B$11:$B$310,734-COUNTA(半紙!$B$11:$B$310)),IF(734&lt;=COUNTA(半紙!$B$11:$B$310)+COUNTA(条幅!$B$11:$B$310)+COUNTA(条幅4分の1!$B$11:$B$310),INDEX(条幅4分の1!$B$11:$B$310,734-COUNTA(半紙!$B$11:$B$310)-COUNTA(条幅!$B$11:$B$310)),""))))</f>
        <v/>
      </c>
      <c r="C739" s="38" t="str">
        <f>IF(IF(734&lt;=COUNTA(半紙!$B$11:$B$310),INDEX(半紙!$C$11:$C$310,734),IF(734&lt;=COUNTA(半紙!$B$11:$B$310)+COUNTA(条幅!$B$11:$B$310),INDEX(条幅!$C$11:$C$310,734-COUNTA(半紙!$B$11:$B$310)),IF(734&lt;=COUNTA(半紙!$B$11:$B$310)+COUNTA(条幅!$B$11:$B$310)+COUNTA(条幅4分の1!$B$11:$B$310),INDEX(条幅4分の1!$C$11:$C$310,734-COUNTA(半紙!$B$11:$B$310)-COUNTA(条幅!$B$11:$B$310)),"")))=0,"",IF(734&lt;=COUNTA(半紙!$B$11:$B$310),INDEX(半紙!$C$11:$C$310,734),IF(734&lt;=COUNTA(半紙!$B$11:$B$310)+COUNTA(条幅!$B$11:$B$310),INDEX(条幅!$C$11:$C$310,734-COUNTA(半紙!$B$11:$B$310)),IF(734&lt;=COUNTA(半紙!$B$11:$B$310)+COUNTA(条幅!$B$11:$B$310)+COUNTA(条幅4分の1!$B$11:$B$310),INDEX(条幅4分の1!$C$11:$C$310,734-COUNTA(半紙!$B$11:$B$310)-COUNTA(条幅!$B$11:$B$310)),""))))</f>
        <v/>
      </c>
      <c r="D739" s="38" t="str">
        <f>IF(IF(734&lt;=COUNTA(半紙!$B$11:$B$310),INDEX(半紙!$D$11:$D$310,734),IF(734&lt;=COUNTA(半紙!$B$11:$B$310)+COUNTA(条幅!$B$11:$B$310),INDEX(条幅!$D$11:$D$310,734-COUNTA(半紙!$B$11:$B$310)),IF(734&lt;=COUNTA(半紙!$B$11:$B$310)+COUNTA(条幅!$B$11:$B$310)+COUNTA(条幅4分の1!$B$11:$B$310),INDEX(条幅4分の1!$D$11:$D$310,734-COUNTA(半紙!$B$11:$B$310)-COUNTA(条幅!$B$11:$B$310)),"")))=0,"",IF(734&lt;=COUNTA(半紙!$B$11:$B$310),INDEX(半紙!$D$11:$D$310,734),IF(734&lt;=COUNTA(半紙!$B$11:$B$310)+COUNTA(条幅!$B$11:$B$310),INDEX(条幅!$D$11:$D$310,734-COUNTA(半紙!$B$11:$B$310)),IF(734&lt;=COUNTA(半紙!$B$11:$B$310)+COUNTA(条幅!$B$11:$B$310)+COUNTA(条幅4分の1!$B$11:$B$310),INDEX(条幅4分の1!$D$11:$D$310,734-COUNTA(半紙!$B$11:$B$310)-COUNTA(条幅!$B$11:$B$310)),""))))</f>
        <v/>
      </c>
      <c r="E739" s="38" t="str">
        <f>IF(IF(734&lt;=COUNTA(半紙!$B$11:$B$310),INDEX(半紙!$E$11:$E$310,734),IF(734&lt;=COUNTA(半紙!$B$11:$B$310)+COUNTA(条幅!$B$11:$B$310),INDEX(条幅!$E$11:$E$310,734-COUNTA(半紙!$B$11:$B$310)),IF(734&lt;=COUNTA(半紙!$B$11:$B$310)+COUNTA(条幅!$B$11:$B$310)+COUNTA(条幅4分の1!$B$11:$B$310),INDEX(条幅4分の1!$E$11:$E$310,734-COUNTA(半紙!$B$11:$B$310)-COUNTA(条幅!$B$11:$B$310)),"")))=0,"",IF(734&lt;=COUNTA(半紙!$B$11:$B$310),INDEX(半紙!$E$11:$E$310,734),IF(734&lt;=COUNTA(半紙!$B$11:$B$310)+COUNTA(条幅!$B$11:$B$310),INDEX(条幅!$E$11:$E$310,734-COUNTA(半紙!$B$11:$B$310)),IF(734&lt;=COUNTA(半紙!$B$11:$B$310)+COUNTA(条幅!$B$11:$B$310)+COUNTA(条幅4分の1!$B$11:$B$310),INDEX(条幅4分の1!$E$11:$E$310,734-COUNTA(半紙!$B$11:$B$310)-COUNTA(条幅!$B$11:$B$310)),""))))</f>
        <v/>
      </c>
      <c r="F739" s="38" t="str">
        <f>IF(IF(734&lt;=COUNTA(半紙!$B$11:$B$310),INDEX(半紙!$F$11:$F$310,734),IF(734&lt;=COUNTA(半紙!$B$11:$B$310)+COUNTA(条幅!$B$11:$B$310),INDEX(条幅!$F$11:$F$310,734-COUNTA(半紙!$B$11:$B$310)),IF(734&lt;=COUNTA(半紙!$B$11:$B$310)+COUNTA(条幅!$B$11:$B$310)+COUNTA(条幅4分の1!$B$11:$B$310),INDEX(条幅4分の1!$F$11:$F$310,734-COUNTA(半紙!$B$11:$B$310)-COUNTA(条幅!$B$11:$B$310)),"")))=0,"",IF(734&lt;=COUNTA(半紙!$B$11:$B$310),INDEX(半紙!$F$11:$F$310,734),IF(734&lt;=COUNTA(半紙!$B$11:$B$310)+COUNTA(条幅!$B$11:$B$310),INDEX(条幅!$F$11:$F$310,734-COUNTA(半紙!$B$11:$B$310)),IF(734&lt;=COUNTA(半紙!$B$11:$B$310)+COUNTA(条幅!$B$11:$B$310)+COUNTA(条幅4分の1!$B$11:$B$310),INDEX(条幅4分の1!$F$11:$F$310,734-COUNTA(半紙!$B$11:$B$310)-COUNTA(条幅!$B$11:$B$310)),""))))</f>
        <v/>
      </c>
      <c r="G739" s="38" t="str">
        <f>IF(IF(734&lt;=COUNTA(半紙!$B$11:$B$310),INDEX(半紙!$G$11:$G$310,734),IF(734&lt;=COUNTA(半紙!$B$11:$B$310)+COUNTA(条幅!$B$11:$B$310),INDEX(条幅!$G$11:$G$310,734-COUNTA(半紙!$B$11:$B$310)),IF(734&lt;=COUNTA(半紙!$B$11:$B$310)+COUNTA(条幅!$B$11:$B$310)+COUNTA(条幅4分の1!$B$11:$B$310),INDEX(条幅4分の1!$G$11:$G$310,734-COUNTA(半紙!$B$11:$B$310)-COUNTA(条幅!$B$11:$B$310)),"")))=0,"",IF(734&lt;=COUNTA(半紙!$B$11:$B$310),INDEX(半紙!$G$11:$G$310,734),IF(734&lt;=COUNTA(半紙!$B$11:$B$310)+COUNTA(条幅!$B$11:$B$310),INDEX(条幅!$G$11:$G$310,734-COUNTA(半紙!$B$11:$B$310)),IF(734&lt;=COUNTA(半紙!$B$11:$B$310)+COUNTA(条幅!$B$11:$B$310)+COUNTA(条幅4分の1!$B$11:$B$310),INDEX(条幅4分の1!$G$11:$G$310,734-COUNTA(半紙!$B$11:$B$310)-COUNTA(条幅!$B$11:$B$310)),""))))</f>
        <v/>
      </c>
      <c r="H739" s="38" t="str">
        <f>IF(IF(734&lt;=COUNTA(半紙!$B$11:$B$310),INDEX(半紙!$H$11:$H$310,734),IF(734&lt;=COUNTA(半紙!$B$11:$B$310)+COUNTA(条幅!$B$11:$B$310),INDEX(条幅!$H$11:$H$310,734-COUNTA(半紙!$B$11:$B$310)),IF(734&lt;=COUNTA(半紙!$B$11:$B$310)+COUNTA(条幅!$B$11:$B$310)+COUNTA(条幅4分の1!$B$11:$B$310),INDEX(条幅4分の1!$H$11:$H$310,734-COUNTA(半紙!$B$11:$B$310)-COUNTA(条幅!$B$11:$B$310)),"")))=0,"",IF(734&lt;=COUNTA(半紙!$B$11:$B$310),INDEX(半紙!$H$11:$H$310,734),IF(734&lt;=COUNTA(半紙!$B$11:$B$310)+COUNTA(条幅!$B$11:$B$310),INDEX(条幅!$H$11:$H$310,734-COUNTA(半紙!$B$11:$B$310)),IF(734&lt;=COUNTA(半紙!$B$11:$B$310)+COUNTA(条幅!$B$11:$B$310)+COUNTA(条幅4分の1!$B$11:$B$310),INDEX(条幅4分の1!$H$11:$H$310,734-COUNTA(半紙!$B$11:$B$310)-COUNTA(条幅!$B$11:$B$310)),""))))</f>
        <v/>
      </c>
      <c r="I739" s="38" t="str">
        <f>IF(IF(734&lt;=COUNTA(半紙!$B$11:$B$310),INDEX(半紙!$I$11:$I$310,734),IF(734&lt;=COUNTA(半紙!$B$11:$B$310)+COUNTA(条幅!$B$11:$B$310),INDEX(条幅!$I$11:$I$310,734-COUNTA(半紙!$B$11:$B$310)),IF(734&lt;=COUNTA(半紙!$B$11:$B$310)+COUNTA(条幅!$B$11:$B$310)+COUNTA(条幅4分の1!$B$11:$B$310),INDEX(条幅4分の1!$I$11:$I$310,734-COUNTA(半紙!$B$11:$B$310)-COUNTA(条幅!$B$11:$B$310)),"")))=0,"",IF(734&lt;=COUNTA(半紙!$B$11:$B$310),INDEX(半紙!$I$11:$I$310,734),IF(734&lt;=COUNTA(半紙!$B$11:$B$310)+COUNTA(条幅!$B$11:$B$310),INDEX(条幅!$I$11:$I$310,734-COUNTA(半紙!$B$11:$B$310)),IF(734&lt;=COUNTA(半紙!$B$11:$B$310)+COUNTA(条幅!$B$11:$B$310)+COUNTA(条幅4分の1!$B$11:$B$310),INDEX(条幅4分の1!$I$11:$I$310,734-COUNTA(半紙!$B$11:$B$310)-COUNTA(条幅!$B$11:$B$310)),""))))</f>
        <v/>
      </c>
      <c r="J739" s="38" t="str">
        <f>IF(IF(734&lt;=COUNTA(半紙!$B$11:$B$310),INDEX(半紙!$J$11:$J$310,734),IF(734&lt;=COUNTA(半紙!$B$11:$B$310)+COUNTA(条幅!$B$11:$B$310),INDEX(条幅!$J$11:$J$310,734-COUNTA(半紙!$B$11:$B$310)),IF(734&lt;=COUNTA(半紙!$B$11:$B$310)+COUNTA(条幅!$B$11:$B$310)+COUNTA(条幅4分の1!$B$11:$B$310),INDEX(条幅4分の1!$J$11:$J$310,734-COUNTA(半紙!$B$11:$B$310)-COUNTA(条幅!$B$11:$B$310)),"")))=0,"",IF(734&lt;=COUNTA(半紙!$B$11:$B$310),INDEX(半紙!$J$11:$J$310,734),IF(734&lt;=COUNTA(半紙!$B$11:$B$310)+COUNTA(条幅!$B$11:$B$310),INDEX(条幅!$J$11:$J$310,734-COUNTA(半紙!$B$11:$B$310)),IF(734&lt;=COUNTA(半紙!$B$11:$B$310)+COUNTA(条幅!$B$11:$B$310)+COUNTA(条幅4分の1!$B$11:$B$310),INDEX(条幅4分の1!$J$11:$J$310,734-COUNTA(半紙!$B$11:$B$310)-COUNTA(条幅!$B$11:$B$310)),""))))</f>
        <v/>
      </c>
      <c r="K739" s="38" t="str">
        <f>IF(IF(734&lt;=COUNTA(半紙!$B$11:$B$310),INDEX(半紙!$K$11:$K$310,734),IF(734&lt;=COUNTA(半紙!$B$11:$B$310)+COUNTA(条幅!$B$11:$B$310),INDEX(条幅!$K$11:$K$310,734-COUNTA(半紙!$B$11:$B$310)),IF(734&lt;=COUNTA(半紙!$B$11:$B$310)+COUNTA(条幅!$B$11:$B$310)+COUNTA(条幅4分の1!$B$11:$B$310),INDEX(条幅4分の1!$K$11:$K$310,734-COUNTA(半紙!$B$11:$B$310)-COUNTA(条幅!$B$11:$B$310)),"")))=0,"",IF(734&lt;=COUNTA(半紙!$B$11:$B$310),INDEX(半紙!$K$11:$K$310,734),IF(734&lt;=COUNTA(半紙!$B$11:$B$310)+COUNTA(条幅!$B$11:$B$310),INDEX(条幅!$K$11:$K$310,734-COUNTA(半紙!$B$11:$B$310)),IF(734&lt;=COUNTA(半紙!$B$11:$B$310)+COUNTA(条幅!$B$11:$B$310)+COUNTA(条幅4分の1!$B$11:$B$310),INDEX(条幅4分の1!$K$11:$K$310,734-COUNTA(半紙!$B$11:$B$310)-COUNTA(条幅!$B$11:$B$310)),""))))</f>
        <v/>
      </c>
      <c r="L739" s="48" t="str">
        <f>IF($B739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734))</f>
        <v/>
      </c>
    </row>
    <row r="740" spans="1:12" ht="15" customHeight="1">
      <c r="A740" s="37" t="str">
        <f>IF(735&lt;=COUNTA(半紙!$B$11:$B$310),"半紙",IF(735&lt;=COUNTA(半紙!$B$11:$B$310)+COUNTA(条幅!$B$11:$B$310),"条幅(半切)",IF(735&lt;=COUNTA(半紙!$B$11:$B$310)+COUNTA(条幅!$B$11:$B$310)+COUNTA(条幅4分の1!$B$11:$B$310),"条幅(1/4)","")))</f>
        <v/>
      </c>
      <c r="B740" s="38" t="str">
        <f>IF(IF(735&lt;=COUNTA(半紙!$B$11:$B$310),INDEX(半紙!$B$11:$B$310,735),IF(735&lt;=COUNTA(半紙!$B$11:$B$310)+COUNTA(条幅!$B$11:$B$310),INDEX(条幅!$B$11:$B$310,735-COUNTA(半紙!$B$11:$B$310)),IF(735&lt;=COUNTA(半紙!$B$11:$B$310)+COUNTA(条幅!$B$11:$B$310)+COUNTA(条幅4分の1!$B$11:$B$310),INDEX(条幅4分の1!$B$11:$B$310,735-COUNTA(半紙!$B$11:$B$310)-COUNTA(条幅!$B$11:$B$310)),"")))=0,"",IF(735&lt;=COUNTA(半紙!$B$11:$B$310),INDEX(半紙!$B$11:$B$310,735),IF(735&lt;=COUNTA(半紙!$B$11:$B$310)+COUNTA(条幅!$B$11:$B$310),INDEX(条幅!$B$11:$B$310,735-COUNTA(半紙!$B$11:$B$310)),IF(735&lt;=COUNTA(半紙!$B$11:$B$310)+COUNTA(条幅!$B$11:$B$310)+COUNTA(条幅4分の1!$B$11:$B$310),INDEX(条幅4分の1!$B$11:$B$310,735-COUNTA(半紙!$B$11:$B$310)-COUNTA(条幅!$B$11:$B$310)),""))))</f>
        <v/>
      </c>
      <c r="C740" s="38" t="str">
        <f>IF(IF(735&lt;=COUNTA(半紙!$B$11:$B$310),INDEX(半紙!$C$11:$C$310,735),IF(735&lt;=COUNTA(半紙!$B$11:$B$310)+COUNTA(条幅!$B$11:$B$310),INDEX(条幅!$C$11:$C$310,735-COUNTA(半紙!$B$11:$B$310)),IF(735&lt;=COUNTA(半紙!$B$11:$B$310)+COUNTA(条幅!$B$11:$B$310)+COUNTA(条幅4分の1!$B$11:$B$310),INDEX(条幅4分の1!$C$11:$C$310,735-COUNTA(半紙!$B$11:$B$310)-COUNTA(条幅!$B$11:$B$310)),"")))=0,"",IF(735&lt;=COUNTA(半紙!$B$11:$B$310),INDEX(半紙!$C$11:$C$310,735),IF(735&lt;=COUNTA(半紙!$B$11:$B$310)+COUNTA(条幅!$B$11:$B$310),INDEX(条幅!$C$11:$C$310,735-COUNTA(半紙!$B$11:$B$310)),IF(735&lt;=COUNTA(半紙!$B$11:$B$310)+COUNTA(条幅!$B$11:$B$310)+COUNTA(条幅4分の1!$B$11:$B$310),INDEX(条幅4分の1!$C$11:$C$310,735-COUNTA(半紙!$B$11:$B$310)-COUNTA(条幅!$B$11:$B$310)),""))))</f>
        <v/>
      </c>
      <c r="D740" s="38" t="str">
        <f>IF(IF(735&lt;=COUNTA(半紙!$B$11:$B$310),INDEX(半紙!$D$11:$D$310,735),IF(735&lt;=COUNTA(半紙!$B$11:$B$310)+COUNTA(条幅!$B$11:$B$310),INDEX(条幅!$D$11:$D$310,735-COUNTA(半紙!$B$11:$B$310)),IF(735&lt;=COUNTA(半紙!$B$11:$B$310)+COUNTA(条幅!$B$11:$B$310)+COUNTA(条幅4分の1!$B$11:$B$310),INDEX(条幅4分の1!$D$11:$D$310,735-COUNTA(半紙!$B$11:$B$310)-COUNTA(条幅!$B$11:$B$310)),"")))=0,"",IF(735&lt;=COUNTA(半紙!$B$11:$B$310),INDEX(半紙!$D$11:$D$310,735),IF(735&lt;=COUNTA(半紙!$B$11:$B$310)+COUNTA(条幅!$B$11:$B$310),INDEX(条幅!$D$11:$D$310,735-COUNTA(半紙!$B$11:$B$310)),IF(735&lt;=COUNTA(半紙!$B$11:$B$310)+COUNTA(条幅!$B$11:$B$310)+COUNTA(条幅4分の1!$B$11:$B$310),INDEX(条幅4分の1!$D$11:$D$310,735-COUNTA(半紙!$B$11:$B$310)-COUNTA(条幅!$B$11:$B$310)),""))))</f>
        <v/>
      </c>
      <c r="E740" s="38" t="str">
        <f>IF(IF(735&lt;=COUNTA(半紙!$B$11:$B$310),INDEX(半紙!$E$11:$E$310,735),IF(735&lt;=COUNTA(半紙!$B$11:$B$310)+COUNTA(条幅!$B$11:$B$310),INDEX(条幅!$E$11:$E$310,735-COUNTA(半紙!$B$11:$B$310)),IF(735&lt;=COUNTA(半紙!$B$11:$B$310)+COUNTA(条幅!$B$11:$B$310)+COUNTA(条幅4分の1!$B$11:$B$310),INDEX(条幅4分の1!$E$11:$E$310,735-COUNTA(半紙!$B$11:$B$310)-COUNTA(条幅!$B$11:$B$310)),"")))=0,"",IF(735&lt;=COUNTA(半紙!$B$11:$B$310),INDEX(半紙!$E$11:$E$310,735),IF(735&lt;=COUNTA(半紙!$B$11:$B$310)+COUNTA(条幅!$B$11:$B$310),INDEX(条幅!$E$11:$E$310,735-COUNTA(半紙!$B$11:$B$310)),IF(735&lt;=COUNTA(半紙!$B$11:$B$310)+COUNTA(条幅!$B$11:$B$310)+COUNTA(条幅4分の1!$B$11:$B$310),INDEX(条幅4分の1!$E$11:$E$310,735-COUNTA(半紙!$B$11:$B$310)-COUNTA(条幅!$B$11:$B$310)),""))))</f>
        <v/>
      </c>
      <c r="F740" s="38" t="str">
        <f>IF(IF(735&lt;=COUNTA(半紙!$B$11:$B$310),INDEX(半紙!$F$11:$F$310,735),IF(735&lt;=COUNTA(半紙!$B$11:$B$310)+COUNTA(条幅!$B$11:$B$310),INDEX(条幅!$F$11:$F$310,735-COUNTA(半紙!$B$11:$B$310)),IF(735&lt;=COUNTA(半紙!$B$11:$B$310)+COUNTA(条幅!$B$11:$B$310)+COUNTA(条幅4分の1!$B$11:$B$310),INDEX(条幅4分の1!$F$11:$F$310,735-COUNTA(半紙!$B$11:$B$310)-COUNTA(条幅!$B$11:$B$310)),"")))=0,"",IF(735&lt;=COUNTA(半紙!$B$11:$B$310),INDEX(半紙!$F$11:$F$310,735),IF(735&lt;=COUNTA(半紙!$B$11:$B$310)+COUNTA(条幅!$B$11:$B$310),INDEX(条幅!$F$11:$F$310,735-COUNTA(半紙!$B$11:$B$310)),IF(735&lt;=COUNTA(半紙!$B$11:$B$310)+COUNTA(条幅!$B$11:$B$310)+COUNTA(条幅4分の1!$B$11:$B$310),INDEX(条幅4分の1!$F$11:$F$310,735-COUNTA(半紙!$B$11:$B$310)-COUNTA(条幅!$B$11:$B$310)),""))))</f>
        <v/>
      </c>
      <c r="G740" s="38" t="str">
        <f>IF(IF(735&lt;=COUNTA(半紙!$B$11:$B$310),INDEX(半紙!$G$11:$G$310,735),IF(735&lt;=COUNTA(半紙!$B$11:$B$310)+COUNTA(条幅!$B$11:$B$310),INDEX(条幅!$G$11:$G$310,735-COUNTA(半紙!$B$11:$B$310)),IF(735&lt;=COUNTA(半紙!$B$11:$B$310)+COUNTA(条幅!$B$11:$B$310)+COUNTA(条幅4分の1!$B$11:$B$310),INDEX(条幅4分の1!$G$11:$G$310,735-COUNTA(半紙!$B$11:$B$310)-COUNTA(条幅!$B$11:$B$310)),"")))=0,"",IF(735&lt;=COUNTA(半紙!$B$11:$B$310),INDEX(半紙!$G$11:$G$310,735),IF(735&lt;=COUNTA(半紙!$B$11:$B$310)+COUNTA(条幅!$B$11:$B$310),INDEX(条幅!$G$11:$G$310,735-COUNTA(半紙!$B$11:$B$310)),IF(735&lt;=COUNTA(半紙!$B$11:$B$310)+COUNTA(条幅!$B$11:$B$310)+COUNTA(条幅4分の1!$B$11:$B$310),INDEX(条幅4分の1!$G$11:$G$310,735-COUNTA(半紙!$B$11:$B$310)-COUNTA(条幅!$B$11:$B$310)),""))))</f>
        <v/>
      </c>
      <c r="H740" s="38" t="str">
        <f>IF(IF(735&lt;=COUNTA(半紙!$B$11:$B$310),INDEX(半紙!$H$11:$H$310,735),IF(735&lt;=COUNTA(半紙!$B$11:$B$310)+COUNTA(条幅!$B$11:$B$310),INDEX(条幅!$H$11:$H$310,735-COUNTA(半紙!$B$11:$B$310)),IF(735&lt;=COUNTA(半紙!$B$11:$B$310)+COUNTA(条幅!$B$11:$B$310)+COUNTA(条幅4分の1!$B$11:$B$310),INDEX(条幅4分の1!$H$11:$H$310,735-COUNTA(半紙!$B$11:$B$310)-COUNTA(条幅!$B$11:$B$310)),"")))=0,"",IF(735&lt;=COUNTA(半紙!$B$11:$B$310),INDEX(半紙!$H$11:$H$310,735),IF(735&lt;=COUNTA(半紙!$B$11:$B$310)+COUNTA(条幅!$B$11:$B$310),INDEX(条幅!$H$11:$H$310,735-COUNTA(半紙!$B$11:$B$310)),IF(735&lt;=COUNTA(半紙!$B$11:$B$310)+COUNTA(条幅!$B$11:$B$310)+COUNTA(条幅4分の1!$B$11:$B$310),INDEX(条幅4分の1!$H$11:$H$310,735-COUNTA(半紙!$B$11:$B$310)-COUNTA(条幅!$B$11:$B$310)),""))))</f>
        <v/>
      </c>
      <c r="I740" s="38" t="str">
        <f>IF(IF(735&lt;=COUNTA(半紙!$B$11:$B$310),INDEX(半紙!$I$11:$I$310,735),IF(735&lt;=COUNTA(半紙!$B$11:$B$310)+COUNTA(条幅!$B$11:$B$310),INDEX(条幅!$I$11:$I$310,735-COUNTA(半紙!$B$11:$B$310)),IF(735&lt;=COUNTA(半紙!$B$11:$B$310)+COUNTA(条幅!$B$11:$B$310)+COUNTA(条幅4分の1!$B$11:$B$310),INDEX(条幅4分の1!$I$11:$I$310,735-COUNTA(半紙!$B$11:$B$310)-COUNTA(条幅!$B$11:$B$310)),"")))=0,"",IF(735&lt;=COUNTA(半紙!$B$11:$B$310),INDEX(半紙!$I$11:$I$310,735),IF(735&lt;=COUNTA(半紙!$B$11:$B$310)+COUNTA(条幅!$B$11:$B$310),INDEX(条幅!$I$11:$I$310,735-COUNTA(半紙!$B$11:$B$310)),IF(735&lt;=COUNTA(半紙!$B$11:$B$310)+COUNTA(条幅!$B$11:$B$310)+COUNTA(条幅4分の1!$B$11:$B$310),INDEX(条幅4分の1!$I$11:$I$310,735-COUNTA(半紙!$B$11:$B$310)-COUNTA(条幅!$B$11:$B$310)),""))))</f>
        <v/>
      </c>
      <c r="J740" s="38" t="str">
        <f>IF(IF(735&lt;=COUNTA(半紙!$B$11:$B$310),INDEX(半紙!$J$11:$J$310,735),IF(735&lt;=COUNTA(半紙!$B$11:$B$310)+COUNTA(条幅!$B$11:$B$310),INDEX(条幅!$J$11:$J$310,735-COUNTA(半紙!$B$11:$B$310)),IF(735&lt;=COUNTA(半紙!$B$11:$B$310)+COUNTA(条幅!$B$11:$B$310)+COUNTA(条幅4分の1!$B$11:$B$310),INDEX(条幅4分の1!$J$11:$J$310,735-COUNTA(半紙!$B$11:$B$310)-COUNTA(条幅!$B$11:$B$310)),"")))=0,"",IF(735&lt;=COUNTA(半紙!$B$11:$B$310),INDEX(半紙!$J$11:$J$310,735),IF(735&lt;=COUNTA(半紙!$B$11:$B$310)+COUNTA(条幅!$B$11:$B$310),INDEX(条幅!$J$11:$J$310,735-COUNTA(半紙!$B$11:$B$310)),IF(735&lt;=COUNTA(半紙!$B$11:$B$310)+COUNTA(条幅!$B$11:$B$310)+COUNTA(条幅4分の1!$B$11:$B$310),INDEX(条幅4分の1!$J$11:$J$310,735-COUNTA(半紙!$B$11:$B$310)-COUNTA(条幅!$B$11:$B$310)),""))))</f>
        <v/>
      </c>
      <c r="K740" s="38" t="str">
        <f>IF(IF(735&lt;=COUNTA(半紙!$B$11:$B$310),INDEX(半紙!$K$11:$K$310,735),IF(735&lt;=COUNTA(半紙!$B$11:$B$310)+COUNTA(条幅!$B$11:$B$310),INDEX(条幅!$K$11:$K$310,735-COUNTA(半紙!$B$11:$B$310)),IF(735&lt;=COUNTA(半紙!$B$11:$B$310)+COUNTA(条幅!$B$11:$B$310)+COUNTA(条幅4分の1!$B$11:$B$310),INDEX(条幅4分の1!$K$11:$K$310,735-COUNTA(半紙!$B$11:$B$310)-COUNTA(条幅!$B$11:$B$310)),"")))=0,"",IF(735&lt;=COUNTA(半紙!$B$11:$B$310),INDEX(半紙!$K$11:$K$310,735),IF(735&lt;=COUNTA(半紙!$B$11:$B$310)+COUNTA(条幅!$B$11:$B$310),INDEX(条幅!$K$11:$K$310,735-COUNTA(半紙!$B$11:$B$310)),IF(735&lt;=COUNTA(半紙!$B$11:$B$310)+COUNTA(条幅!$B$11:$B$310)+COUNTA(条幅4分の1!$B$11:$B$310),INDEX(条幅4分の1!$K$11:$K$310,735-COUNTA(半紙!$B$11:$B$310)-COUNTA(条幅!$B$11:$B$310)),""))))</f>
        <v/>
      </c>
      <c r="L740" s="48" t="str">
        <f>IF($B740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735))</f>
        <v/>
      </c>
    </row>
    <row r="741" spans="1:12" ht="15" customHeight="1">
      <c r="A741" s="37" t="str">
        <f>IF(736&lt;=COUNTA(半紙!$B$11:$B$310),"半紙",IF(736&lt;=COUNTA(半紙!$B$11:$B$310)+COUNTA(条幅!$B$11:$B$310),"条幅(半切)",IF(736&lt;=COUNTA(半紙!$B$11:$B$310)+COUNTA(条幅!$B$11:$B$310)+COUNTA(条幅4分の1!$B$11:$B$310),"条幅(1/4)","")))</f>
        <v/>
      </c>
      <c r="B741" s="38" t="str">
        <f>IF(IF(736&lt;=COUNTA(半紙!$B$11:$B$310),INDEX(半紙!$B$11:$B$310,736),IF(736&lt;=COUNTA(半紙!$B$11:$B$310)+COUNTA(条幅!$B$11:$B$310),INDEX(条幅!$B$11:$B$310,736-COUNTA(半紙!$B$11:$B$310)),IF(736&lt;=COUNTA(半紙!$B$11:$B$310)+COUNTA(条幅!$B$11:$B$310)+COUNTA(条幅4分の1!$B$11:$B$310),INDEX(条幅4分の1!$B$11:$B$310,736-COUNTA(半紙!$B$11:$B$310)-COUNTA(条幅!$B$11:$B$310)),"")))=0,"",IF(736&lt;=COUNTA(半紙!$B$11:$B$310),INDEX(半紙!$B$11:$B$310,736),IF(736&lt;=COUNTA(半紙!$B$11:$B$310)+COUNTA(条幅!$B$11:$B$310),INDEX(条幅!$B$11:$B$310,736-COUNTA(半紙!$B$11:$B$310)),IF(736&lt;=COUNTA(半紙!$B$11:$B$310)+COUNTA(条幅!$B$11:$B$310)+COUNTA(条幅4分の1!$B$11:$B$310),INDEX(条幅4分の1!$B$11:$B$310,736-COUNTA(半紙!$B$11:$B$310)-COUNTA(条幅!$B$11:$B$310)),""))))</f>
        <v/>
      </c>
      <c r="C741" s="38" t="str">
        <f>IF(IF(736&lt;=COUNTA(半紙!$B$11:$B$310),INDEX(半紙!$C$11:$C$310,736),IF(736&lt;=COUNTA(半紙!$B$11:$B$310)+COUNTA(条幅!$B$11:$B$310),INDEX(条幅!$C$11:$C$310,736-COUNTA(半紙!$B$11:$B$310)),IF(736&lt;=COUNTA(半紙!$B$11:$B$310)+COUNTA(条幅!$B$11:$B$310)+COUNTA(条幅4分の1!$B$11:$B$310),INDEX(条幅4分の1!$C$11:$C$310,736-COUNTA(半紙!$B$11:$B$310)-COUNTA(条幅!$B$11:$B$310)),"")))=0,"",IF(736&lt;=COUNTA(半紙!$B$11:$B$310),INDEX(半紙!$C$11:$C$310,736),IF(736&lt;=COUNTA(半紙!$B$11:$B$310)+COUNTA(条幅!$B$11:$B$310),INDEX(条幅!$C$11:$C$310,736-COUNTA(半紙!$B$11:$B$310)),IF(736&lt;=COUNTA(半紙!$B$11:$B$310)+COUNTA(条幅!$B$11:$B$310)+COUNTA(条幅4分の1!$B$11:$B$310),INDEX(条幅4分の1!$C$11:$C$310,736-COUNTA(半紙!$B$11:$B$310)-COUNTA(条幅!$B$11:$B$310)),""))))</f>
        <v/>
      </c>
      <c r="D741" s="38" t="str">
        <f>IF(IF(736&lt;=COUNTA(半紙!$B$11:$B$310),INDEX(半紙!$D$11:$D$310,736),IF(736&lt;=COUNTA(半紙!$B$11:$B$310)+COUNTA(条幅!$B$11:$B$310),INDEX(条幅!$D$11:$D$310,736-COUNTA(半紙!$B$11:$B$310)),IF(736&lt;=COUNTA(半紙!$B$11:$B$310)+COUNTA(条幅!$B$11:$B$310)+COUNTA(条幅4分の1!$B$11:$B$310),INDEX(条幅4分の1!$D$11:$D$310,736-COUNTA(半紙!$B$11:$B$310)-COUNTA(条幅!$B$11:$B$310)),"")))=0,"",IF(736&lt;=COUNTA(半紙!$B$11:$B$310),INDEX(半紙!$D$11:$D$310,736),IF(736&lt;=COUNTA(半紙!$B$11:$B$310)+COUNTA(条幅!$B$11:$B$310),INDEX(条幅!$D$11:$D$310,736-COUNTA(半紙!$B$11:$B$310)),IF(736&lt;=COUNTA(半紙!$B$11:$B$310)+COUNTA(条幅!$B$11:$B$310)+COUNTA(条幅4分の1!$B$11:$B$310),INDEX(条幅4分の1!$D$11:$D$310,736-COUNTA(半紙!$B$11:$B$310)-COUNTA(条幅!$B$11:$B$310)),""))))</f>
        <v/>
      </c>
      <c r="E741" s="38" t="str">
        <f>IF(IF(736&lt;=COUNTA(半紙!$B$11:$B$310),INDEX(半紙!$E$11:$E$310,736),IF(736&lt;=COUNTA(半紙!$B$11:$B$310)+COUNTA(条幅!$B$11:$B$310),INDEX(条幅!$E$11:$E$310,736-COUNTA(半紙!$B$11:$B$310)),IF(736&lt;=COUNTA(半紙!$B$11:$B$310)+COUNTA(条幅!$B$11:$B$310)+COUNTA(条幅4分の1!$B$11:$B$310),INDEX(条幅4分の1!$E$11:$E$310,736-COUNTA(半紙!$B$11:$B$310)-COUNTA(条幅!$B$11:$B$310)),"")))=0,"",IF(736&lt;=COUNTA(半紙!$B$11:$B$310),INDEX(半紙!$E$11:$E$310,736),IF(736&lt;=COUNTA(半紙!$B$11:$B$310)+COUNTA(条幅!$B$11:$B$310),INDEX(条幅!$E$11:$E$310,736-COUNTA(半紙!$B$11:$B$310)),IF(736&lt;=COUNTA(半紙!$B$11:$B$310)+COUNTA(条幅!$B$11:$B$310)+COUNTA(条幅4分の1!$B$11:$B$310),INDEX(条幅4分の1!$E$11:$E$310,736-COUNTA(半紙!$B$11:$B$310)-COUNTA(条幅!$B$11:$B$310)),""))))</f>
        <v/>
      </c>
      <c r="F741" s="38" t="str">
        <f>IF(IF(736&lt;=COUNTA(半紙!$B$11:$B$310),INDEX(半紙!$F$11:$F$310,736),IF(736&lt;=COUNTA(半紙!$B$11:$B$310)+COUNTA(条幅!$B$11:$B$310),INDEX(条幅!$F$11:$F$310,736-COUNTA(半紙!$B$11:$B$310)),IF(736&lt;=COUNTA(半紙!$B$11:$B$310)+COUNTA(条幅!$B$11:$B$310)+COUNTA(条幅4分の1!$B$11:$B$310),INDEX(条幅4分の1!$F$11:$F$310,736-COUNTA(半紙!$B$11:$B$310)-COUNTA(条幅!$B$11:$B$310)),"")))=0,"",IF(736&lt;=COUNTA(半紙!$B$11:$B$310),INDEX(半紙!$F$11:$F$310,736),IF(736&lt;=COUNTA(半紙!$B$11:$B$310)+COUNTA(条幅!$B$11:$B$310),INDEX(条幅!$F$11:$F$310,736-COUNTA(半紙!$B$11:$B$310)),IF(736&lt;=COUNTA(半紙!$B$11:$B$310)+COUNTA(条幅!$B$11:$B$310)+COUNTA(条幅4分の1!$B$11:$B$310),INDEX(条幅4分の1!$F$11:$F$310,736-COUNTA(半紙!$B$11:$B$310)-COUNTA(条幅!$B$11:$B$310)),""))))</f>
        <v/>
      </c>
      <c r="G741" s="38" t="str">
        <f>IF(IF(736&lt;=COUNTA(半紙!$B$11:$B$310),INDEX(半紙!$G$11:$G$310,736),IF(736&lt;=COUNTA(半紙!$B$11:$B$310)+COUNTA(条幅!$B$11:$B$310),INDEX(条幅!$G$11:$G$310,736-COUNTA(半紙!$B$11:$B$310)),IF(736&lt;=COUNTA(半紙!$B$11:$B$310)+COUNTA(条幅!$B$11:$B$310)+COUNTA(条幅4分の1!$B$11:$B$310),INDEX(条幅4分の1!$G$11:$G$310,736-COUNTA(半紙!$B$11:$B$310)-COUNTA(条幅!$B$11:$B$310)),"")))=0,"",IF(736&lt;=COUNTA(半紙!$B$11:$B$310),INDEX(半紙!$G$11:$G$310,736),IF(736&lt;=COUNTA(半紙!$B$11:$B$310)+COUNTA(条幅!$B$11:$B$310),INDEX(条幅!$G$11:$G$310,736-COUNTA(半紙!$B$11:$B$310)),IF(736&lt;=COUNTA(半紙!$B$11:$B$310)+COUNTA(条幅!$B$11:$B$310)+COUNTA(条幅4分の1!$B$11:$B$310),INDEX(条幅4分の1!$G$11:$G$310,736-COUNTA(半紙!$B$11:$B$310)-COUNTA(条幅!$B$11:$B$310)),""))))</f>
        <v/>
      </c>
      <c r="H741" s="38" t="str">
        <f>IF(IF(736&lt;=COUNTA(半紙!$B$11:$B$310),INDEX(半紙!$H$11:$H$310,736),IF(736&lt;=COUNTA(半紙!$B$11:$B$310)+COUNTA(条幅!$B$11:$B$310),INDEX(条幅!$H$11:$H$310,736-COUNTA(半紙!$B$11:$B$310)),IF(736&lt;=COUNTA(半紙!$B$11:$B$310)+COUNTA(条幅!$B$11:$B$310)+COUNTA(条幅4分の1!$B$11:$B$310),INDEX(条幅4分の1!$H$11:$H$310,736-COUNTA(半紙!$B$11:$B$310)-COUNTA(条幅!$B$11:$B$310)),"")))=0,"",IF(736&lt;=COUNTA(半紙!$B$11:$B$310),INDEX(半紙!$H$11:$H$310,736),IF(736&lt;=COUNTA(半紙!$B$11:$B$310)+COUNTA(条幅!$B$11:$B$310),INDEX(条幅!$H$11:$H$310,736-COUNTA(半紙!$B$11:$B$310)),IF(736&lt;=COUNTA(半紙!$B$11:$B$310)+COUNTA(条幅!$B$11:$B$310)+COUNTA(条幅4分の1!$B$11:$B$310),INDEX(条幅4分の1!$H$11:$H$310,736-COUNTA(半紙!$B$11:$B$310)-COUNTA(条幅!$B$11:$B$310)),""))))</f>
        <v/>
      </c>
      <c r="I741" s="38" t="str">
        <f>IF(IF(736&lt;=COUNTA(半紙!$B$11:$B$310),INDEX(半紙!$I$11:$I$310,736),IF(736&lt;=COUNTA(半紙!$B$11:$B$310)+COUNTA(条幅!$B$11:$B$310),INDEX(条幅!$I$11:$I$310,736-COUNTA(半紙!$B$11:$B$310)),IF(736&lt;=COUNTA(半紙!$B$11:$B$310)+COUNTA(条幅!$B$11:$B$310)+COUNTA(条幅4分の1!$B$11:$B$310),INDEX(条幅4分の1!$I$11:$I$310,736-COUNTA(半紙!$B$11:$B$310)-COUNTA(条幅!$B$11:$B$310)),"")))=0,"",IF(736&lt;=COUNTA(半紙!$B$11:$B$310),INDEX(半紙!$I$11:$I$310,736),IF(736&lt;=COUNTA(半紙!$B$11:$B$310)+COUNTA(条幅!$B$11:$B$310),INDEX(条幅!$I$11:$I$310,736-COUNTA(半紙!$B$11:$B$310)),IF(736&lt;=COUNTA(半紙!$B$11:$B$310)+COUNTA(条幅!$B$11:$B$310)+COUNTA(条幅4分の1!$B$11:$B$310),INDEX(条幅4分の1!$I$11:$I$310,736-COUNTA(半紙!$B$11:$B$310)-COUNTA(条幅!$B$11:$B$310)),""))))</f>
        <v/>
      </c>
      <c r="J741" s="38" t="str">
        <f>IF(IF(736&lt;=COUNTA(半紙!$B$11:$B$310),INDEX(半紙!$J$11:$J$310,736),IF(736&lt;=COUNTA(半紙!$B$11:$B$310)+COUNTA(条幅!$B$11:$B$310),INDEX(条幅!$J$11:$J$310,736-COUNTA(半紙!$B$11:$B$310)),IF(736&lt;=COUNTA(半紙!$B$11:$B$310)+COUNTA(条幅!$B$11:$B$310)+COUNTA(条幅4分の1!$B$11:$B$310),INDEX(条幅4分の1!$J$11:$J$310,736-COUNTA(半紙!$B$11:$B$310)-COUNTA(条幅!$B$11:$B$310)),"")))=0,"",IF(736&lt;=COUNTA(半紙!$B$11:$B$310),INDEX(半紙!$J$11:$J$310,736),IF(736&lt;=COUNTA(半紙!$B$11:$B$310)+COUNTA(条幅!$B$11:$B$310),INDEX(条幅!$J$11:$J$310,736-COUNTA(半紙!$B$11:$B$310)),IF(736&lt;=COUNTA(半紙!$B$11:$B$310)+COUNTA(条幅!$B$11:$B$310)+COUNTA(条幅4分の1!$B$11:$B$310),INDEX(条幅4分の1!$J$11:$J$310,736-COUNTA(半紙!$B$11:$B$310)-COUNTA(条幅!$B$11:$B$310)),""))))</f>
        <v/>
      </c>
      <c r="K741" s="38" t="str">
        <f>IF(IF(736&lt;=COUNTA(半紙!$B$11:$B$310),INDEX(半紙!$K$11:$K$310,736),IF(736&lt;=COUNTA(半紙!$B$11:$B$310)+COUNTA(条幅!$B$11:$B$310),INDEX(条幅!$K$11:$K$310,736-COUNTA(半紙!$B$11:$B$310)),IF(736&lt;=COUNTA(半紙!$B$11:$B$310)+COUNTA(条幅!$B$11:$B$310)+COUNTA(条幅4分の1!$B$11:$B$310),INDEX(条幅4分の1!$K$11:$K$310,736-COUNTA(半紙!$B$11:$B$310)-COUNTA(条幅!$B$11:$B$310)),"")))=0,"",IF(736&lt;=COUNTA(半紙!$B$11:$B$310),INDEX(半紙!$K$11:$K$310,736),IF(736&lt;=COUNTA(半紙!$B$11:$B$310)+COUNTA(条幅!$B$11:$B$310),INDEX(条幅!$K$11:$K$310,736-COUNTA(半紙!$B$11:$B$310)),IF(736&lt;=COUNTA(半紙!$B$11:$B$310)+COUNTA(条幅!$B$11:$B$310)+COUNTA(条幅4分の1!$B$11:$B$310),INDEX(条幅4分の1!$K$11:$K$310,736-COUNTA(半紙!$B$11:$B$310)-COUNTA(条幅!$B$11:$B$310)),""))))</f>
        <v/>
      </c>
      <c r="L741" s="48" t="str">
        <f>IF($B741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736))</f>
        <v/>
      </c>
    </row>
    <row r="742" spans="1:12" ht="15" customHeight="1">
      <c r="A742" s="37" t="str">
        <f>IF(737&lt;=COUNTA(半紙!$B$11:$B$310),"半紙",IF(737&lt;=COUNTA(半紙!$B$11:$B$310)+COUNTA(条幅!$B$11:$B$310),"条幅(半切)",IF(737&lt;=COUNTA(半紙!$B$11:$B$310)+COUNTA(条幅!$B$11:$B$310)+COUNTA(条幅4分の1!$B$11:$B$310),"条幅(1/4)","")))</f>
        <v/>
      </c>
      <c r="B742" s="38" t="str">
        <f>IF(IF(737&lt;=COUNTA(半紙!$B$11:$B$310),INDEX(半紙!$B$11:$B$310,737),IF(737&lt;=COUNTA(半紙!$B$11:$B$310)+COUNTA(条幅!$B$11:$B$310),INDEX(条幅!$B$11:$B$310,737-COUNTA(半紙!$B$11:$B$310)),IF(737&lt;=COUNTA(半紙!$B$11:$B$310)+COUNTA(条幅!$B$11:$B$310)+COUNTA(条幅4分の1!$B$11:$B$310),INDEX(条幅4分の1!$B$11:$B$310,737-COUNTA(半紙!$B$11:$B$310)-COUNTA(条幅!$B$11:$B$310)),"")))=0,"",IF(737&lt;=COUNTA(半紙!$B$11:$B$310),INDEX(半紙!$B$11:$B$310,737),IF(737&lt;=COUNTA(半紙!$B$11:$B$310)+COUNTA(条幅!$B$11:$B$310),INDEX(条幅!$B$11:$B$310,737-COUNTA(半紙!$B$11:$B$310)),IF(737&lt;=COUNTA(半紙!$B$11:$B$310)+COUNTA(条幅!$B$11:$B$310)+COUNTA(条幅4分の1!$B$11:$B$310),INDEX(条幅4分の1!$B$11:$B$310,737-COUNTA(半紙!$B$11:$B$310)-COUNTA(条幅!$B$11:$B$310)),""))))</f>
        <v/>
      </c>
      <c r="C742" s="38" t="str">
        <f>IF(IF(737&lt;=COUNTA(半紙!$B$11:$B$310),INDEX(半紙!$C$11:$C$310,737),IF(737&lt;=COUNTA(半紙!$B$11:$B$310)+COUNTA(条幅!$B$11:$B$310),INDEX(条幅!$C$11:$C$310,737-COUNTA(半紙!$B$11:$B$310)),IF(737&lt;=COUNTA(半紙!$B$11:$B$310)+COUNTA(条幅!$B$11:$B$310)+COUNTA(条幅4分の1!$B$11:$B$310),INDEX(条幅4分の1!$C$11:$C$310,737-COUNTA(半紙!$B$11:$B$310)-COUNTA(条幅!$B$11:$B$310)),"")))=0,"",IF(737&lt;=COUNTA(半紙!$B$11:$B$310),INDEX(半紙!$C$11:$C$310,737),IF(737&lt;=COUNTA(半紙!$B$11:$B$310)+COUNTA(条幅!$B$11:$B$310),INDEX(条幅!$C$11:$C$310,737-COUNTA(半紙!$B$11:$B$310)),IF(737&lt;=COUNTA(半紙!$B$11:$B$310)+COUNTA(条幅!$B$11:$B$310)+COUNTA(条幅4分の1!$B$11:$B$310),INDEX(条幅4分の1!$C$11:$C$310,737-COUNTA(半紙!$B$11:$B$310)-COUNTA(条幅!$B$11:$B$310)),""))))</f>
        <v/>
      </c>
      <c r="D742" s="38" t="str">
        <f>IF(IF(737&lt;=COUNTA(半紙!$B$11:$B$310),INDEX(半紙!$D$11:$D$310,737),IF(737&lt;=COUNTA(半紙!$B$11:$B$310)+COUNTA(条幅!$B$11:$B$310),INDEX(条幅!$D$11:$D$310,737-COUNTA(半紙!$B$11:$B$310)),IF(737&lt;=COUNTA(半紙!$B$11:$B$310)+COUNTA(条幅!$B$11:$B$310)+COUNTA(条幅4分の1!$B$11:$B$310),INDEX(条幅4分の1!$D$11:$D$310,737-COUNTA(半紙!$B$11:$B$310)-COUNTA(条幅!$B$11:$B$310)),"")))=0,"",IF(737&lt;=COUNTA(半紙!$B$11:$B$310),INDEX(半紙!$D$11:$D$310,737),IF(737&lt;=COUNTA(半紙!$B$11:$B$310)+COUNTA(条幅!$B$11:$B$310),INDEX(条幅!$D$11:$D$310,737-COUNTA(半紙!$B$11:$B$310)),IF(737&lt;=COUNTA(半紙!$B$11:$B$310)+COUNTA(条幅!$B$11:$B$310)+COUNTA(条幅4分の1!$B$11:$B$310),INDEX(条幅4分の1!$D$11:$D$310,737-COUNTA(半紙!$B$11:$B$310)-COUNTA(条幅!$B$11:$B$310)),""))))</f>
        <v/>
      </c>
      <c r="E742" s="38" t="str">
        <f>IF(IF(737&lt;=COUNTA(半紙!$B$11:$B$310),INDEX(半紙!$E$11:$E$310,737),IF(737&lt;=COUNTA(半紙!$B$11:$B$310)+COUNTA(条幅!$B$11:$B$310),INDEX(条幅!$E$11:$E$310,737-COUNTA(半紙!$B$11:$B$310)),IF(737&lt;=COUNTA(半紙!$B$11:$B$310)+COUNTA(条幅!$B$11:$B$310)+COUNTA(条幅4分の1!$B$11:$B$310),INDEX(条幅4分の1!$E$11:$E$310,737-COUNTA(半紙!$B$11:$B$310)-COUNTA(条幅!$B$11:$B$310)),"")))=0,"",IF(737&lt;=COUNTA(半紙!$B$11:$B$310),INDEX(半紙!$E$11:$E$310,737),IF(737&lt;=COUNTA(半紙!$B$11:$B$310)+COUNTA(条幅!$B$11:$B$310),INDEX(条幅!$E$11:$E$310,737-COUNTA(半紙!$B$11:$B$310)),IF(737&lt;=COUNTA(半紙!$B$11:$B$310)+COUNTA(条幅!$B$11:$B$310)+COUNTA(条幅4分の1!$B$11:$B$310),INDEX(条幅4分の1!$E$11:$E$310,737-COUNTA(半紙!$B$11:$B$310)-COUNTA(条幅!$B$11:$B$310)),""))))</f>
        <v/>
      </c>
      <c r="F742" s="38" t="str">
        <f>IF(IF(737&lt;=COUNTA(半紙!$B$11:$B$310),INDEX(半紙!$F$11:$F$310,737),IF(737&lt;=COUNTA(半紙!$B$11:$B$310)+COUNTA(条幅!$B$11:$B$310),INDEX(条幅!$F$11:$F$310,737-COUNTA(半紙!$B$11:$B$310)),IF(737&lt;=COUNTA(半紙!$B$11:$B$310)+COUNTA(条幅!$B$11:$B$310)+COUNTA(条幅4分の1!$B$11:$B$310),INDEX(条幅4分の1!$F$11:$F$310,737-COUNTA(半紙!$B$11:$B$310)-COUNTA(条幅!$B$11:$B$310)),"")))=0,"",IF(737&lt;=COUNTA(半紙!$B$11:$B$310),INDEX(半紙!$F$11:$F$310,737),IF(737&lt;=COUNTA(半紙!$B$11:$B$310)+COUNTA(条幅!$B$11:$B$310),INDEX(条幅!$F$11:$F$310,737-COUNTA(半紙!$B$11:$B$310)),IF(737&lt;=COUNTA(半紙!$B$11:$B$310)+COUNTA(条幅!$B$11:$B$310)+COUNTA(条幅4分の1!$B$11:$B$310),INDEX(条幅4分の1!$F$11:$F$310,737-COUNTA(半紙!$B$11:$B$310)-COUNTA(条幅!$B$11:$B$310)),""))))</f>
        <v/>
      </c>
      <c r="G742" s="38" t="str">
        <f>IF(IF(737&lt;=COUNTA(半紙!$B$11:$B$310),INDEX(半紙!$G$11:$G$310,737),IF(737&lt;=COUNTA(半紙!$B$11:$B$310)+COUNTA(条幅!$B$11:$B$310),INDEX(条幅!$G$11:$G$310,737-COUNTA(半紙!$B$11:$B$310)),IF(737&lt;=COUNTA(半紙!$B$11:$B$310)+COUNTA(条幅!$B$11:$B$310)+COUNTA(条幅4分の1!$B$11:$B$310),INDEX(条幅4分の1!$G$11:$G$310,737-COUNTA(半紙!$B$11:$B$310)-COUNTA(条幅!$B$11:$B$310)),"")))=0,"",IF(737&lt;=COUNTA(半紙!$B$11:$B$310),INDEX(半紙!$G$11:$G$310,737),IF(737&lt;=COUNTA(半紙!$B$11:$B$310)+COUNTA(条幅!$B$11:$B$310),INDEX(条幅!$G$11:$G$310,737-COUNTA(半紙!$B$11:$B$310)),IF(737&lt;=COUNTA(半紙!$B$11:$B$310)+COUNTA(条幅!$B$11:$B$310)+COUNTA(条幅4分の1!$B$11:$B$310),INDEX(条幅4分の1!$G$11:$G$310,737-COUNTA(半紙!$B$11:$B$310)-COUNTA(条幅!$B$11:$B$310)),""))))</f>
        <v/>
      </c>
      <c r="H742" s="38" t="str">
        <f>IF(IF(737&lt;=COUNTA(半紙!$B$11:$B$310),INDEX(半紙!$H$11:$H$310,737),IF(737&lt;=COUNTA(半紙!$B$11:$B$310)+COUNTA(条幅!$B$11:$B$310),INDEX(条幅!$H$11:$H$310,737-COUNTA(半紙!$B$11:$B$310)),IF(737&lt;=COUNTA(半紙!$B$11:$B$310)+COUNTA(条幅!$B$11:$B$310)+COUNTA(条幅4分の1!$B$11:$B$310),INDEX(条幅4分の1!$H$11:$H$310,737-COUNTA(半紙!$B$11:$B$310)-COUNTA(条幅!$B$11:$B$310)),"")))=0,"",IF(737&lt;=COUNTA(半紙!$B$11:$B$310),INDEX(半紙!$H$11:$H$310,737),IF(737&lt;=COUNTA(半紙!$B$11:$B$310)+COUNTA(条幅!$B$11:$B$310),INDEX(条幅!$H$11:$H$310,737-COUNTA(半紙!$B$11:$B$310)),IF(737&lt;=COUNTA(半紙!$B$11:$B$310)+COUNTA(条幅!$B$11:$B$310)+COUNTA(条幅4分の1!$B$11:$B$310),INDEX(条幅4分の1!$H$11:$H$310,737-COUNTA(半紙!$B$11:$B$310)-COUNTA(条幅!$B$11:$B$310)),""))))</f>
        <v/>
      </c>
      <c r="I742" s="38" t="str">
        <f>IF(IF(737&lt;=COUNTA(半紙!$B$11:$B$310),INDEX(半紙!$I$11:$I$310,737),IF(737&lt;=COUNTA(半紙!$B$11:$B$310)+COUNTA(条幅!$B$11:$B$310),INDEX(条幅!$I$11:$I$310,737-COUNTA(半紙!$B$11:$B$310)),IF(737&lt;=COUNTA(半紙!$B$11:$B$310)+COUNTA(条幅!$B$11:$B$310)+COUNTA(条幅4分の1!$B$11:$B$310),INDEX(条幅4分の1!$I$11:$I$310,737-COUNTA(半紙!$B$11:$B$310)-COUNTA(条幅!$B$11:$B$310)),"")))=0,"",IF(737&lt;=COUNTA(半紙!$B$11:$B$310),INDEX(半紙!$I$11:$I$310,737),IF(737&lt;=COUNTA(半紙!$B$11:$B$310)+COUNTA(条幅!$B$11:$B$310),INDEX(条幅!$I$11:$I$310,737-COUNTA(半紙!$B$11:$B$310)),IF(737&lt;=COUNTA(半紙!$B$11:$B$310)+COUNTA(条幅!$B$11:$B$310)+COUNTA(条幅4分の1!$B$11:$B$310),INDEX(条幅4分の1!$I$11:$I$310,737-COUNTA(半紙!$B$11:$B$310)-COUNTA(条幅!$B$11:$B$310)),""))))</f>
        <v/>
      </c>
      <c r="J742" s="38" t="str">
        <f>IF(IF(737&lt;=COUNTA(半紙!$B$11:$B$310),INDEX(半紙!$J$11:$J$310,737),IF(737&lt;=COUNTA(半紙!$B$11:$B$310)+COUNTA(条幅!$B$11:$B$310),INDEX(条幅!$J$11:$J$310,737-COUNTA(半紙!$B$11:$B$310)),IF(737&lt;=COUNTA(半紙!$B$11:$B$310)+COUNTA(条幅!$B$11:$B$310)+COUNTA(条幅4分の1!$B$11:$B$310),INDEX(条幅4分の1!$J$11:$J$310,737-COUNTA(半紙!$B$11:$B$310)-COUNTA(条幅!$B$11:$B$310)),"")))=0,"",IF(737&lt;=COUNTA(半紙!$B$11:$B$310),INDEX(半紙!$J$11:$J$310,737),IF(737&lt;=COUNTA(半紙!$B$11:$B$310)+COUNTA(条幅!$B$11:$B$310),INDEX(条幅!$J$11:$J$310,737-COUNTA(半紙!$B$11:$B$310)),IF(737&lt;=COUNTA(半紙!$B$11:$B$310)+COUNTA(条幅!$B$11:$B$310)+COUNTA(条幅4分の1!$B$11:$B$310),INDEX(条幅4分の1!$J$11:$J$310,737-COUNTA(半紙!$B$11:$B$310)-COUNTA(条幅!$B$11:$B$310)),""))))</f>
        <v/>
      </c>
      <c r="K742" s="38" t="str">
        <f>IF(IF(737&lt;=COUNTA(半紙!$B$11:$B$310),INDEX(半紙!$K$11:$K$310,737),IF(737&lt;=COUNTA(半紙!$B$11:$B$310)+COUNTA(条幅!$B$11:$B$310),INDEX(条幅!$K$11:$K$310,737-COUNTA(半紙!$B$11:$B$310)),IF(737&lt;=COUNTA(半紙!$B$11:$B$310)+COUNTA(条幅!$B$11:$B$310)+COUNTA(条幅4分の1!$B$11:$B$310),INDEX(条幅4分の1!$K$11:$K$310,737-COUNTA(半紙!$B$11:$B$310)-COUNTA(条幅!$B$11:$B$310)),"")))=0,"",IF(737&lt;=COUNTA(半紙!$B$11:$B$310),INDEX(半紙!$K$11:$K$310,737),IF(737&lt;=COUNTA(半紙!$B$11:$B$310)+COUNTA(条幅!$B$11:$B$310),INDEX(条幅!$K$11:$K$310,737-COUNTA(半紙!$B$11:$B$310)),IF(737&lt;=COUNTA(半紙!$B$11:$B$310)+COUNTA(条幅!$B$11:$B$310)+COUNTA(条幅4分の1!$B$11:$B$310),INDEX(条幅4分の1!$K$11:$K$310,737-COUNTA(半紙!$B$11:$B$310)-COUNTA(条幅!$B$11:$B$310)),""))))</f>
        <v/>
      </c>
      <c r="L742" s="48" t="str">
        <f>IF($B742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737))</f>
        <v/>
      </c>
    </row>
    <row r="743" spans="1:12" ht="15" customHeight="1">
      <c r="A743" s="37" t="str">
        <f>IF(738&lt;=COUNTA(半紙!$B$11:$B$310),"半紙",IF(738&lt;=COUNTA(半紙!$B$11:$B$310)+COUNTA(条幅!$B$11:$B$310),"条幅(半切)",IF(738&lt;=COUNTA(半紙!$B$11:$B$310)+COUNTA(条幅!$B$11:$B$310)+COUNTA(条幅4分の1!$B$11:$B$310),"条幅(1/4)","")))</f>
        <v/>
      </c>
      <c r="B743" s="38" t="str">
        <f>IF(IF(738&lt;=COUNTA(半紙!$B$11:$B$310),INDEX(半紙!$B$11:$B$310,738),IF(738&lt;=COUNTA(半紙!$B$11:$B$310)+COUNTA(条幅!$B$11:$B$310),INDEX(条幅!$B$11:$B$310,738-COUNTA(半紙!$B$11:$B$310)),IF(738&lt;=COUNTA(半紙!$B$11:$B$310)+COUNTA(条幅!$B$11:$B$310)+COUNTA(条幅4分の1!$B$11:$B$310),INDEX(条幅4分の1!$B$11:$B$310,738-COUNTA(半紙!$B$11:$B$310)-COUNTA(条幅!$B$11:$B$310)),"")))=0,"",IF(738&lt;=COUNTA(半紙!$B$11:$B$310),INDEX(半紙!$B$11:$B$310,738),IF(738&lt;=COUNTA(半紙!$B$11:$B$310)+COUNTA(条幅!$B$11:$B$310),INDEX(条幅!$B$11:$B$310,738-COUNTA(半紙!$B$11:$B$310)),IF(738&lt;=COUNTA(半紙!$B$11:$B$310)+COUNTA(条幅!$B$11:$B$310)+COUNTA(条幅4分の1!$B$11:$B$310),INDEX(条幅4分の1!$B$11:$B$310,738-COUNTA(半紙!$B$11:$B$310)-COUNTA(条幅!$B$11:$B$310)),""))))</f>
        <v/>
      </c>
      <c r="C743" s="38" t="str">
        <f>IF(IF(738&lt;=COUNTA(半紙!$B$11:$B$310),INDEX(半紙!$C$11:$C$310,738),IF(738&lt;=COUNTA(半紙!$B$11:$B$310)+COUNTA(条幅!$B$11:$B$310),INDEX(条幅!$C$11:$C$310,738-COUNTA(半紙!$B$11:$B$310)),IF(738&lt;=COUNTA(半紙!$B$11:$B$310)+COUNTA(条幅!$B$11:$B$310)+COUNTA(条幅4分の1!$B$11:$B$310),INDEX(条幅4分の1!$C$11:$C$310,738-COUNTA(半紙!$B$11:$B$310)-COUNTA(条幅!$B$11:$B$310)),"")))=0,"",IF(738&lt;=COUNTA(半紙!$B$11:$B$310),INDEX(半紙!$C$11:$C$310,738),IF(738&lt;=COUNTA(半紙!$B$11:$B$310)+COUNTA(条幅!$B$11:$B$310),INDEX(条幅!$C$11:$C$310,738-COUNTA(半紙!$B$11:$B$310)),IF(738&lt;=COUNTA(半紙!$B$11:$B$310)+COUNTA(条幅!$B$11:$B$310)+COUNTA(条幅4分の1!$B$11:$B$310),INDEX(条幅4分の1!$C$11:$C$310,738-COUNTA(半紙!$B$11:$B$310)-COUNTA(条幅!$B$11:$B$310)),""))))</f>
        <v/>
      </c>
      <c r="D743" s="38" t="str">
        <f>IF(IF(738&lt;=COUNTA(半紙!$B$11:$B$310),INDEX(半紙!$D$11:$D$310,738),IF(738&lt;=COUNTA(半紙!$B$11:$B$310)+COUNTA(条幅!$B$11:$B$310),INDEX(条幅!$D$11:$D$310,738-COUNTA(半紙!$B$11:$B$310)),IF(738&lt;=COUNTA(半紙!$B$11:$B$310)+COUNTA(条幅!$B$11:$B$310)+COUNTA(条幅4分の1!$B$11:$B$310),INDEX(条幅4分の1!$D$11:$D$310,738-COUNTA(半紙!$B$11:$B$310)-COUNTA(条幅!$B$11:$B$310)),"")))=0,"",IF(738&lt;=COUNTA(半紙!$B$11:$B$310),INDEX(半紙!$D$11:$D$310,738),IF(738&lt;=COUNTA(半紙!$B$11:$B$310)+COUNTA(条幅!$B$11:$B$310),INDEX(条幅!$D$11:$D$310,738-COUNTA(半紙!$B$11:$B$310)),IF(738&lt;=COUNTA(半紙!$B$11:$B$310)+COUNTA(条幅!$B$11:$B$310)+COUNTA(条幅4分の1!$B$11:$B$310),INDEX(条幅4分の1!$D$11:$D$310,738-COUNTA(半紙!$B$11:$B$310)-COUNTA(条幅!$B$11:$B$310)),""))))</f>
        <v/>
      </c>
      <c r="E743" s="38" t="str">
        <f>IF(IF(738&lt;=COUNTA(半紙!$B$11:$B$310),INDEX(半紙!$E$11:$E$310,738),IF(738&lt;=COUNTA(半紙!$B$11:$B$310)+COUNTA(条幅!$B$11:$B$310),INDEX(条幅!$E$11:$E$310,738-COUNTA(半紙!$B$11:$B$310)),IF(738&lt;=COUNTA(半紙!$B$11:$B$310)+COUNTA(条幅!$B$11:$B$310)+COUNTA(条幅4分の1!$B$11:$B$310),INDEX(条幅4分の1!$E$11:$E$310,738-COUNTA(半紙!$B$11:$B$310)-COUNTA(条幅!$B$11:$B$310)),"")))=0,"",IF(738&lt;=COUNTA(半紙!$B$11:$B$310),INDEX(半紙!$E$11:$E$310,738),IF(738&lt;=COUNTA(半紙!$B$11:$B$310)+COUNTA(条幅!$B$11:$B$310),INDEX(条幅!$E$11:$E$310,738-COUNTA(半紙!$B$11:$B$310)),IF(738&lt;=COUNTA(半紙!$B$11:$B$310)+COUNTA(条幅!$B$11:$B$310)+COUNTA(条幅4分の1!$B$11:$B$310),INDEX(条幅4分の1!$E$11:$E$310,738-COUNTA(半紙!$B$11:$B$310)-COUNTA(条幅!$B$11:$B$310)),""))))</f>
        <v/>
      </c>
      <c r="F743" s="38" t="str">
        <f>IF(IF(738&lt;=COUNTA(半紙!$B$11:$B$310),INDEX(半紙!$F$11:$F$310,738),IF(738&lt;=COUNTA(半紙!$B$11:$B$310)+COUNTA(条幅!$B$11:$B$310),INDEX(条幅!$F$11:$F$310,738-COUNTA(半紙!$B$11:$B$310)),IF(738&lt;=COUNTA(半紙!$B$11:$B$310)+COUNTA(条幅!$B$11:$B$310)+COUNTA(条幅4分の1!$B$11:$B$310),INDEX(条幅4分の1!$F$11:$F$310,738-COUNTA(半紙!$B$11:$B$310)-COUNTA(条幅!$B$11:$B$310)),"")))=0,"",IF(738&lt;=COUNTA(半紙!$B$11:$B$310),INDEX(半紙!$F$11:$F$310,738),IF(738&lt;=COUNTA(半紙!$B$11:$B$310)+COUNTA(条幅!$B$11:$B$310),INDEX(条幅!$F$11:$F$310,738-COUNTA(半紙!$B$11:$B$310)),IF(738&lt;=COUNTA(半紙!$B$11:$B$310)+COUNTA(条幅!$B$11:$B$310)+COUNTA(条幅4分の1!$B$11:$B$310),INDEX(条幅4分の1!$F$11:$F$310,738-COUNTA(半紙!$B$11:$B$310)-COUNTA(条幅!$B$11:$B$310)),""))))</f>
        <v/>
      </c>
      <c r="G743" s="38" t="str">
        <f>IF(IF(738&lt;=COUNTA(半紙!$B$11:$B$310),INDEX(半紙!$G$11:$G$310,738),IF(738&lt;=COUNTA(半紙!$B$11:$B$310)+COUNTA(条幅!$B$11:$B$310),INDEX(条幅!$G$11:$G$310,738-COUNTA(半紙!$B$11:$B$310)),IF(738&lt;=COUNTA(半紙!$B$11:$B$310)+COUNTA(条幅!$B$11:$B$310)+COUNTA(条幅4分の1!$B$11:$B$310),INDEX(条幅4分の1!$G$11:$G$310,738-COUNTA(半紙!$B$11:$B$310)-COUNTA(条幅!$B$11:$B$310)),"")))=0,"",IF(738&lt;=COUNTA(半紙!$B$11:$B$310),INDEX(半紙!$G$11:$G$310,738),IF(738&lt;=COUNTA(半紙!$B$11:$B$310)+COUNTA(条幅!$B$11:$B$310),INDEX(条幅!$G$11:$G$310,738-COUNTA(半紙!$B$11:$B$310)),IF(738&lt;=COUNTA(半紙!$B$11:$B$310)+COUNTA(条幅!$B$11:$B$310)+COUNTA(条幅4分の1!$B$11:$B$310),INDEX(条幅4分の1!$G$11:$G$310,738-COUNTA(半紙!$B$11:$B$310)-COUNTA(条幅!$B$11:$B$310)),""))))</f>
        <v/>
      </c>
      <c r="H743" s="38" t="str">
        <f>IF(IF(738&lt;=COUNTA(半紙!$B$11:$B$310),INDEX(半紙!$H$11:$H$310,738),IF(738&lt;=COUNTA(半紙!$B$11:$B$310)+COUNTA(条幅!$B$11:$B$310),INDEX(条幅!$H$11:$H$310,738-COUNTA(半紙!$B$11:$B$310)),IF(738&lt;=COUNTA(半紙!$B$11:$B$310)+COUNTA(条幅!$B$11:$B$310)+COUNTA(条幅4分の1!$B$11:$B$310),INDEX(条幅4分の1!$H$11:$H$310,738-COUNTA(半紙!$B$11:$B$310)-COUNTA(条幅!$B$11:$B$310)),"")))=0,"",IF(738&lt;=COUNTA(半紙!$B$11:$B$310),INDEX(半紙!$H$11:$H$310,738),IF(738&lt;=COUNTA(半紙!$B$11:$B$310)+COUNTA(条幅!$B$11:$B$310),INDEX(条幅!$H$11:$H$310,738-COUNTA(半紙!$B$11:$B$310)),IF(738&lt;=COUNTA(半紙!$B$11:$B$310)+COUNTA(条幅!$B$11:$B$310)+COUNTA(条幅4分の1!$B$11:$B$310),INDEX(条幅4分の1!$H$11:$H$310,738-COUNTA(半紙!$B$11:$B$310)-COUNTA(条幅!$B$11:$B$310)),""))))</f>
        <v/>
      </c>
      <c r="I743" s="38" t="str">
        <f>IF(IF(738&lt;=COUNTA(半紙!$B$11:$B$310),INDEX(半紙!$I$11:$I$310,738),IF(738&lt;=COUNTA(半紙!$B$11:$B$310)+COUNTA(条幅!$B$11:$B$310),INDEX(条幅!$I$11:$I$310,738-COUNTA(半紙!$B$11:$B$310)),IF(738&lt;=COUNTA(半紙!$B$11:$B$310)+COUNTA(条幅!$B$11:$B$310)+COUNTA(条幅4分の1!$B$11:$B$310),INDEX(条幅4分の1!$I$11:$I$310,738-COUNTA(半紙!$B$11:$B$310)-COUNTA(条幅!$B$11:$B$310)),"")))=0,"",IF(738&lt;=COUNTA(半紙!$B$11:$B$310),INDEX(半紙!$I$11:$I$310,738),IF(738&lt;=COUNTA(半紙!$B$11:$B$310)+COUNTA(条幅!$B$11:$B$310),INDEX(条幅!$I$11:$I$310,738-COUNTA(半紙!$B$11:$B$310)),IF(738&lt;=COUNTA(半紙!$B$11:$B$310)+COUNTA(条幅!$B$11:$B$310)+COUNTA(条幅4分の1!$B$11:$B$310),INDEX(条幅4分の1!$I$11:$I$310,738-COUNTA(半紙!$B$11:$B$310)-COUNTA(条幅!$B$11:$B$310)),""))))</f>
        <v/>
      </c>
      <c r="J743" s="38" t="str">
        <f>IF(IF(738&lt;=COUNTA(半紙!$B$11:$B$310),INDEX(半紙!$J$11:$J$310,738),IF(738&lt;=COUNTA(半紙!$B$11:$B$310)+COUNTA(条幅!$B$11:$B$310),INDEX(条幅!$J$11:$J$310,738-COUNTA(半紙!$B$11:$B$310)),IF(738&lt;=COUNTA(半紙!$B$11:$B$310)+COUNTA(条幅!$B$11:$B$310)+COUNTA(条幅4分の1!$B$11:$B$310),INDEX(条幅4分の1!$J$11:$J$310,738-COUNTA(半紙!$B$11:$B$310)-COUNTA(条幅!$B$11:$B$310)),"")))=0,"",IF(738&lt;=COUNTA(半紙!$B$11:$B$310),INDEX(半紙!$J$11:$J$310,738),IF(738&lt;=COUNTA(半紙!$B$11:$B$310)+COUNTA(条幅!$B$11:$B$310),INDEX(条幅!$J$11:$J$310,738-COUNTA(半紙!$B$11:$B$310)),IF(738&lt;=COUNTA(半紙!$B$11:$B$310)+COUNTA(条幅!$B$11:$B$310)+COUNTA(条幅4分の1!$B$11:$B$310),INDEX(条幅4分の1!$J$11:$J$310,738-COUNTA(半紙!$B$11:$B$310)-COUNTA(条幅!$B$11:$B$310)),""))))</f>
        <v/>
      </c>
      <c r="K743" s="38" t="str">
        <f>IF(IF(738&lt;=COUNTA(半紙!$B$11:$B$310),INDEX(半紙!$K$11:$K$310,738),IF(738&lt;=COUNTA(半紙!$B$11:$B$310)+COUNTA(条幅!$B$11:$B$310),INDEX(条幅!$K$11:$K$310,738-COUNTA(半紙!$B$11:$B$310)),IF(738&lt;=COUNTA(半紙!$B$11:$B$310)+COUNTA(条幅!$B$11:$B$310)+COUNTA(条幅4分の1!$B$11:$B$310),INDEX(条幅4分の1!$K$11:$K$310,738-COUNTA(半紙!$B$11:$B$310)-COUNTA(条幅!$B$11:$B$310)),"")))=0,"",IF(738&lt;=COUNTA(半紙!$B$11:$B$310),INDEX(半紙!$K$11:$K$310,738),IF(738&lt;=COUNTA(半紙!$B$11:$B$310)+COUNTA(条幅!$B$11:$B$310),INDEX(条幅!$K$11:$K$310,738-COUNTA(半紙!$B$11:$B$310)),IF(738&lt;=COUNTA(半紙!$B$11:$B$310)+COUNTA(条幅!$B$11:$B$310)+COUNTA(条幅4分の1!$B$11:$B$310),INDEX(条幅4分の1!$K$11:$K$310,738-COUNTA(半紙!$B$11:$B$310)-COUNTA(条幅!$B$11:$B$310)),""))))</f>
        <v/>
      </c>
      <c r="L743" s="48" t="str">
        <f>IF($B743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738))</f>
        <v/>
      </c>
    </row>
    <row r="744" spans="1:12" ht="15" customHeight="1">
      <c r="A744" s="37" t="str">
        <f>IF(739&lt;=COUNTA(半紙!$B$11:$B$310),"半紙",IF(739&lt;=COUNTA(半紙!$B$11:$B$310)+COUNTA(条幅!$B$11:$B$310),"条幅(半切)",IF(739&lt;=COUNTA(半紙!$B$11:$B$310)+COUNTA(条幅!$B$11:$B$310)+COUNTA(条幅4分の1!$B$11:$B$310),"条幅(1/4)","")))</f>
        <v/>
      </c>
      <c r="B744" s="38" t="str">
        <f>IF(IF(739&lt;=COUNTA(半紙!$B$11:$B$310),INDEX(半紙!$B$11:$B$310,739),IF(739&lt;=COUNTA(半紙!$B$11:$B$310)+COUNTA(条幅!$B$11:$B$310),INDEX(条幅!$B$11:$B$310,739-COUNTA(半紙!$B$11:$B$310)),IF(739&lt;=COUNTA(半紙!$B$11:$B$310)+COUNTA(条幅!$B$11:$B$310)+COUNTA(条幅4分の1!$B$11:$B$310),INDEX(条幅4分の1!$B$11:$B$310,739-COUNTA(半紙!$B$11:$B$310)-COUNTA(条幅!$B$11:$B$310)),"")))=0,"",IF(739&lt;=COUNTA(半紙!$B$11:$B$310),INDEX(半紙!$B$11:$B$310,739),IF(739&lt;=COUNTA(半紙!$B$11:$B$310)+COUNTA(条幅!$B$11:$B$310),INDEX(条幅!$B$11:$B$310,739-COUNTA(半紙!$B$11:$B$310)),IF(739&lt;=COUNTA(半紙!$B$11:$B$310)+COUNTA(条幅!$B$11:$B$310)+COUNTA(条幅4分の1!$B$11:$B$310),INDEX(条幅4分の1!$B$11:$B$310,739-COUNTA(半紙!$B$11:$B$310)-COUNTA(条幅!$B$11:$B$310)),""))))</f>
        <v/>
      </c>
      <c r="C744" s="38" t="str">
        <f>IF(IF(739&lt;=COUNTA(半紙!$B$11:$B$310),INDEX(半紙!$C$11:$C$310,739),IF(739&lt;=COUNTA(半紙!$B$11:$B$310)+COUNTA(条幅!$B$11:$B$310),INDEX(条幅!$C$11:$C$310,739-COUNTA(半紙!$B$11:$B$310)),IF(739&lt;=COUNTA(半紙!$B$11:$B$310)+COUNTA(条幅!$B$11:$B$310)+COUNTA(条幅4分の1!$B$11:$B$310),INDEX(条幅4分の1!$C$11:$C$310,739-COUNTA(半紙!$B$11:$B$310)-COUNTA(条幅!$B$11:$B$310)),"")))=0,"",IF(739&lt;=COUNTA(半紙!$B$11:$B$310),INDEX(半紙!$C$11:$C$310,739),IF(739&lt;=COUNTA(半紙!$B$11:$B$310)+COUNTA(条幅!$B$11:$B$310),INDEX(条幅!$C$11:$C$310,739-COUNTA(半紙!$B$11:$B$310)),IF(739&lt;=COUNTA(半紙!$B$11:$B$310)+COUNTA(条幅!$B$11:$B$310)+COUNTA(条幅4分の1!$B$11:$B$310),INDEX(条幅4分の1!$C$11:$C$310,739-COUNTA(半紙!$B$11:$B$310)-COUNTA(条幅!$B$11:$B$310)),""))))</f>
        <v/>
      </c>
      <c r="D744" s="38" t="str">
        <f>IF(IF(739&lt;=COUNTA(半紙!$B$11:$B$310),INDEX(半紙!$D$11:$D$310,739),IF(739&lt;=COUNTA(半紙!$B$11:$B$310)+COUNTA(条幅!$B$11:$B$310),INDEX(条幅!$D$11:$D$310,739-COUNTA(半紙!$B$11:$B$310)),IF(739&lt;=COUNTA(半紙!$B$11:$B$310)+COUNTA(条幅!$B$11:$B$310)+COUNTA(条幅4分の1!$B$11:$B$310),INDEX(条幅4分の1!$D$11:$D$310,739-COUNTA(半紙!$B$11:$B$310)-COUNTA(条幅!$B$11:$B$310)),"")))=0,"",IF(739&lt;=COUNTA(半紙!$B$11:$B$310),INDEX(半紙!$D$11:$D$310,739),IF(739&lt;=COUNTA(半紙!$B$11:$B$310)+COUNTA(条幅!$B$11:$B$310),INDEX(条幅!$D$11:$D$310,739-COUNTA(半紙!$B$11:$B$310)),IF(739&lt;=COUNTA(半紙!$B$11:$B$310)+COUNTA(条幅!$B$11:$B$310)+COUNTA(条幅4分の1!$B$11:$B$310),INDEX(条幅4分の1!$D$11:$D$310,739-COUNTA(半紙!$B$11:$B$310)-COUNTA(条幅!$B$11:$B$310)),""))))</f>
        <v/>
      </c>
      <c r="E744" s="38" t="str">
        <f>IF(IF(739&lt;=COUNTA(半紙!$B$11:$B$310),INDEX(半紙!$E$11:$E$310,739),IF(739&lt;=COUNTA(半紙!$B$11:$B$310)+COUNTA(条幅!$B$11:$B$310),INDEX(条幅!$E$11:$E$310,739-COUNTA(半紙!$B$11:$B$310)),IF(739&lt;=COUNTA(半紙!$B$11:$B$310)+COUNTA(条幅!$B$11:$B$310)+COUNTA(条幅4分の1!$B$11:$B$310),INDEX(条幅4分の1!$E$11:$E$310,739-COUNTA(半紙!$B$11:$B$310)-COUNTA(条幅!$B$11:$B$310)),"")))=0,"",IF(739&lt;=COUNTA(半紙!$B$11:$B$310),INDEX(半紙!$E$11:$E$310,739),IF(739&lt;=COUNTA(半紙!$B$11:$B$310)+COUNTA(条幅!$B$11:$B$310),INDEX(条幅!$E$11:$E$310,739-COUNTA(半紙!$B$11:$B$310)),IF(739&lt;=COUNTA(半紙!$B$11:$B$310)+COUNTA(条幅!$B$11:$B$310)+COUNTA(条幅4分の1!$B$11:$B$310),INDEX(条幅4分の1!$E$11:$E$310,739-COUNTA(半紙!$B$11:$B$310)-COUNTA(条幅!$B$11:$B$310)),""))))</f>
        <v/>
      </c>
      <c r="F744" s="38" t="str">
        <f>IF(IF(739&lt;=COUNTA(半紙!$B$11:$B$310),INDEX(半紙!$F$11:$F$310,739),IF(739&lt;=COUNTA(半紙!$B$11:$B$310)+COUNTA(条幅!$B$11:$B$310),INDEX(条幅!$F$11:$F$310,739-COUNTA(半紙!$B$11:$B$310)),IF(739&lt;=COUNTA(半紙!$B$11:$B$310)+COUNTA(条幅!$B$11:$B$310)+COUNTA(条幅4分の1!$B$11:$B$310),INDEX(条幅4分の1!$F$11:$F$310,739-COUNTA(半紙!$B$11:$B$310)-COUNTA(条幅!$B$11:$B$310)),"")))=0,"",IF(739&lt;=COUNTA(半紙!$B$11:$B$310),INDEX(半紙!$F$11:$F$310,739),IF(739&lt;=COUNTA(半紙!$B$11:$B$310)+COUNTA(条幅!$B$11:$B$310),INDEX(条幅!$F$11:$F$310,739-COUNTA(半紙!$B$11:$B$310)),IF(739&lt;=COUNTA(半紙!$B$11:$B$310)+COUNTA(条幅!$B$11:$B$310)+COUNTA(条幅4分の1!$B$11:$B$310),INDEX(条幅4分の1!$F$11:$F$310,739-COUNTA(半紙!$B$11:$B$310)-COUNTA(条幅!$B$11:$B$310)),""))))</f>
        <v/>
      </c>
      <c r="G744" s="38" t="str">
        <f>IF(IF(739&lt;=COUNTA(半紙!$B$11:$B$310),INDEX(半紙!$G$11:$G$310,739),IF(739&lt;=COUNTA(半紙!$B$11:$B$310)+COUNTA(条幅!$B$11:$B$310),INDEX(条幅!$G$11:$G$310,739-COUNTA(半紙!$B$11:$B$310)),IF(739&lt;=COUNTA(半紙!$B$11:$B$310)+COUNTA(条幅!$B$11:$B$310)+COUNTA(条幅4分の1!$B$11:$B$310),INDEX(条幅4分の1!$G$11:$G$310,739-COUNTA(半紙!$B$11:$B$310)-COUNTA(条幅!$B$11:$B$310)),"")))=0,"",IF(739&lt;=COUNTA(半紙!$B$11:$B$310),INDEX(半紙!$G$11:$G$310,739),IF(739&lt;=COUNTA(半紙!$B$11:$B$310)+COUNTA(条幅!$B$11:$B$310),INDEX(条幅!$G$11:$G$310,739-COUNTA(半紙!$B$11:$B$310)),IF(739&lt;=COUNTA(半紙!$B$11:$B$310)+COUNTA(条幅!$B$11:$B$310)+COUNTA(条幅4分の1!$B$11:$B$310),INDEX(条幅4分の1!$G$11:$G$310,739-COUNTA(半紙!$B$11:$B$310)-COUNTA(条幅!$B$11:$B$310)),""))))</f>
        <v/>
      </c>
      <c r="H744" s="38" t="str">
        <f>IF(IF(739&lt;=COUNTA(半紙!$B$11:$B$310),INDEX(半紙!$H$11:$H$310,739),IF(739&lt;=COUNTA(半紙!$B$11:$B$310)+COUNTA(条幅!$B$11:$B$310),INDEX(条幅!$H$11:$H$310,739-COUNTA(半紙!$B$11:$B$310)),IF(739&lt;=COUNTA(半紙!$B$11:$B$310)+COUNTA(条幅!$B$11:$B$310)+COUNTA(条幅4分の1!$B$11:$B$310),INDEX(条幅4分の1!$H$11:$H$310,739-COUNTA(半紙!$B$11:$B$310)-COUNTA(条幅!$B$11:$B$310)),"")))=0,"",IF(739&lt;=COUNTA(半紙!$B$11:$B$310),INDEX(半紙!$H$11:$H$310,739),IF(739&lt;=COUNTA(半紙!$B$11:$B$310)+COUNTA(条幅!$B$11:$B$310),INDEX(条幅!$H$11:$H$310,739-COUNTA(半紙!$B$11:$B$310)),IF(739&lt;=COUNTA(半紙!$B$11:$B$310)+COUNTA(条幅!$B$11:$B$310)+COUNTA(条幅4分の1!$B$11:$B$310),INDEX(条幅4分の1!$H$11:$H$310,739-COUNTA(半紙!$B$11:$B$310)-COUNTA(条幅!$B$11:$B$310)),""))))</f>
        <v/>
      </c>
      <c r="I744" s="38" t="str">
        <f>IF(IF(739&lt;=COUNTA(半紙!$B$11:$B$310),INDEX(半紙!$I$11:$I$310,739),IF(739&lt;=COUNTA(半紙!$B$11:$B$310)+COUNTA(条幅!$B$11:$B$310),INDEX(条幅!$I$11:$I$310,739-COUNTA(半紙!$B$11:$B$310)),IF(739&lt;=COUNTA(半紙!$B$11:$B$310)+COUNTA(条幅!$B$11:$B$310)+COUNTA(条幅4分の1!$B$11:$B$310),INDEX(条幅4分の1!$I$11:$I$310,739-COUNTA(半紙!$B$11:$B$310)-COUNTA(条幅!$B$11:$B$310)),"")))=0,"",IF(739&lt;=COUNTA(半紙!$B$11:$B$310),INDEX(半紙!$I$11:$I$310,739),IF(739&lt;=COUNTA(半紙!$B$11:$B$310)+COUNTA(条幅!$B$11:$B$310),INDEX(条幅!$I$11:$I$310,739-COUNTA(半紙!$B$11:$B$310)),IF(739&lt;=COUNTA(半紙!$B$11:$B$310)+COUNTA(条幅!$B$11:$B$310)+COUNTA(条幅4分の1!$B$11:$B$310),INDEX(条幅4分の1!$I$11:$I$310,739-COUNTA(半紙!$B$11:$B$310)-COUNTA(条幅!$B$11:$B$310)),""))))</f>
        <v/>
      </c>
      <c r="J744" s="38" t="str">
        <f>IF(IF(739&lt;=COUNTA(半紙!$B$11:$B$310),INDEX(半紙!$J$11:$J$310,739),IF(739&lt;=COUNTA(半紙!$B$11:$B$310)+COUNTA(条幅!$B$11:$B$310),INDEX(条幅!$J$11:$J$310,739-COUNTA(半紙!$B$11:$B$310)),IF(739&lt;=COUNTA(半紙!$B$11:$B$310)+COUNTA(条幅!$B$11:$B$310)+COUNTA(条幅4分の1!$B$11:$B$310),INDEX(条幅4分の1!$J$11:$J$310,739-COUNTA(半紙!$B$11:$B$310)-COUNTA(条幅!$B$11:$B$310)),"")))=0,"",IF(739&lt;=COUNTA(半紙!$B$11:$B$310),INDEX(半紙!$J$11:$J$310,739),IF(739&lt;=COUNTA(半紙!$B$11:$B$310)+COUNTA(条幅!$B$11:$B$310),INDEX(条幅!$J$11:$J$310,739-COUNTA(半紙!$B$11:$B$310)),IF(739&lt;=COUNTA(半紙!$B$11:$B$310)+COUNTA(条幅!$B$11:$B$310)+COUNTA(条幅4分の1!$B$11:$B$310),INDEX(条幅4分の1!$J$11:$J$310,739-COUNTA(半紙!$B$11:$B$310)-COUNTA(条幅!$B$11:$B$310)),""))))</f>
        <v/>
      </c>
      <c r="K744" s="38" t="str">
        <f>IF(IF(739&lt;=COUNTA(半紙!$B$11:$B$310),INDEX(半紙!$K$11:$K$310,739),IF(739&lt;=COUNTA(半紙!$B$11:$B$310)+COUNTA(条幅!$B$11:$B$310),INDEX(条幅!$K$11:$K$310,739-COUNTA(半紙!$B$11:$B$310)),IF(739&lt;=COUNTA(半紙!$B$11:$B$310)+COUNTA(条幅!$B$11:$B$310)+COUNTA(条幅4分の1!$B$11:$B$310),INDEX(条幅4分の1!$K$11:$K$310,739-COUNTA(半紙!$B$11:$B$310)-COUNTA(条幅!$B$11:$B$310)),"")))=0,"",IF(739&lt;=COUNTA(半紙!$B$11:$B$310),INDEX(半紙!$K$11:$K$310,739),IF(739&lt;=COUNTA(半紙!$B$11:$B$310)+COUNTA(条幅!$B$11:$B$310),INDEX(条幅!$K$11:$K$310,739-COUNTA(半紙!$B$11:$B$310)),IF(739&lt;=COUNTA(半紙!$B$11:$B$310)+COUNTA(条幅!$B$11:$B$310)+COUNTA(条幅4分の1!$B$11:$B$310),INDEX(条幅4分の1!$K$11:$K$310,739-COUNTA(半紙!$B$11:$B$310)-COUNTA(条幅!$B$11:$B$310)),""))))</f>
        <v/>
      </c>
      <c r="L744" s="48" t="str">
        <f>IF($B744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739))</f>
        <v/>
      </c>
    </row>
    <row r="745" spans="1:12" ht="15" customHeight="1">
      <c r="A745" s="37" t="str">
        <f>IF(740&lt;=COUNTA(半紙!$B$11:$B$310),"半紙",IF(740&lt;=COUNTA(半紙!$B$11:$B$310)+COUNTA(条幅!$B$11:$B$310),"条幅(半切)",IF(740&lt;=COUNTA(半紙!$B$11:$B$310)+COUNTA(条幅!$B$11:$B$310)+COUNTA(条幅4分の1!$B$11:$B$310),"条幅(1/4)","")))</f>
        <v/>
      </c>
      <c r="B745" s="38" t="str">
        <f>IF(IF(740&lt;=COUNTA(半紙!$B$11:$B$310),INDEX(半紙!$B$11:$B$310,740),IF(740&lt;=COUNTA(半紙!$B$11:$B$310)+COUNTA(条幅!$B$11:$B$310),INDEX(条幅!$B$11:$B$310,740-COUNTA(半紙!$B$11:$B$310)),IF(740&lt;=COUNTA(半紙!$B$11:$B$310)+COUNTA(条幅!$B$11:$B$310)+COUNTA(条幅4分の1!$B$11:$B$310),INDEX(条幅4分の1!$B$11:$B$310,740-COUNTA(半紙!$B$11:$B$310)-COUNTA(条幅!$B$11:$B$310)),"")))=0,"",IF(740&lt;=COUNTA(半紙!$B$11:$B$310),INDEX(半紙!$B$11:$B$310,740),IF(740&lt;=COUNTA(半紙!$B$11:$B$310)+COUNTA(条幅!$B$11:$B$310),INDEX(条幅!$B$11:$B$310,740-COUNTA(半紙!$B$11:$B$310)),IF(740&lt;=COUNTA(半紙!$B$11:$B$310)+COUNTA(条幅!$B$11:$B$310)+COUNTA(条幅4分の1!$B$11:$B$310),INDEX(条幅4分の1!$B$11:$B$310,740-COUNTA(半紙!$B$11:$B$310)-COUNTA(条幅!$B$11:$B$310)),""))))</f>
        <v/>
      </c>
      <c r="C745" s="38" t="str">
        <f>IF(IF(740&lt;=COUNTA(半紙!$B$11:$B$310),INDEX(半紙!$C$11:$C$310,740),IF(740&lt;=COUNTA(半紙!$B$11:$B$310)+COUNTA(条幅!$B$11:$B$310),INDEX(条幅!$C$11:$C$310,740-COUNTA(半紙!$B$11:$B$310)),IF(740&lt;=COUNTA(半紙!$B$11:$B$310)+COUNTA(条幅!$B$11:$B$310)+COUNTA(条幅4分の1!$B$11:$B$310),INDEX(条幅4分の1!$C$11:$C$310,740-COUNTA(半紙!$B$11:$B$310)-COUNTA(条幅!$B$11:$B$310)),"")))=0,"",IF(740&lt;=COUNTA(半紙!$B$11:$B$310),INDEX(半紙!$C$11:$C$310,740),IF(740&lt;=COUNTA(半紙!$B$11:$B$310)+COUNTA(条幅!$B$11:$B$310),INDEX(条幅!$C$11:$C$310,740-COUNTA(半紙!$B$11:$B$310)),IF(740&lt;=COUNTA(半紙!$B$11:$B$310)+COUNTA(条幅!$B$11:$B$310)+COUNTA(条幅4分の1!$B$11:$B$310),INDEX(条幅4分の1!$C$11:$C$310,740-COUNTA(半紙!$B$11:$B$310)-COUNTA(条幅!$B$11:$B$310)),""))))</f>
        <v/>
      </c>
      <c r="D745" s="38" t="str">
        <f>IF(IF(740&lt;=COUNTA(半紙!$B$11:$B$310),INDEX(半紙!$D$11:$D$310,740),IF(740&lt;=COUNTA(半紙!$B$11:$B$310)+COUNTA(条幅!$B$11:$B$310),INDEX(条幅!$D$11:$D$310,740-COUNTA(半紙!$B$11:$B$310)),IF(740&lt;=COUNTA(半紙!$B$11:$B$310)+COUNTA(条幅!$B$11:$B$310)+COUNTA(条幅4分の1!$B$11:$B$310),INDEX(条幅4分の1!$D$11:$D$310,740-COUNTA(半紙!$B$11:$B$310)-COUNTA(条幅!$B$11:$B$310)),"")))=0,"",IF(740&lt;=COUNTA(半紙!$B$11:$B$310),INDEX(半紙!$D$11:$D$310,740),IF(740&lt;=COUNTA(半紙!$B$11:$B$310)+COUNTA(条幅!$B$11:$B$310),INDEX(条幅!$D$11:$D$310,740-COUNTA(半紙!$B$11:$B$310)),IF(740&lt;=COUNTA(半紙!$B$11:$B$310)+COUNTA(条幅!$B$11:$B$310)+COUNTA(条幅4分の1!$B$11:$B$310),INDEX(条幅4分の1!$D$11:$D$310,740-COUNTA(半紙!$B$11:$B$310)-COUNTA(条幅!$B$11:$B$310)),""))))</f>
        <v/>
      </c>
      <c r="E745" s="38" t="str">
        <f>IF(IF(740&lt;=COUNTA(半紙!$B$11:$B$310),INDEX(半紙!$E$11:$E$310,740),IF(740&lt;=COUNTA(半紙!$B$11:$B$310)+COUNTA(条幅!$B$11:$B$310),INDEX(条幅!$E$11:$E$310,740-COUNTA(半紙!$B$11:$B$310)),IF(740&lt;=COUNTA(半紙!$B$11:$B$310)+COUNTA(条幅!$B$11:$B$310)+COUNTA(条幅4分の1!$B$11:$B$310),INDEX(条幅4分の1!$E$11:$E$310,740-COUNTA(半紙!$B$11:$B$310)-COUNTA(条幅!$B$11:$B$310)),"")))=0,"",IF(740&lt;=COUNTA(半紙!$B$11:$B$310),INDEX(半紙!$E$11:$E$310,740),IF(740&lt;=COUNTA(半紙!$B$11:$B$310)+COUNTA(条幅!$B$11:$B$310),INDEX(条幅!$E$11:$E$310,740-COUNTA(半紙!$B$11:$B$310)),IF(740&lt;=COUNTA(半紙!$B$11:$B$310)+COUNTA(条幅!$B$11:$B$310)+COUNTA(条幅4分の1!$B$11:$B$310),INDEX(条幅4分の1!$E$11:$E$310,740-COUNTA(半紙!$B$11:$B$310)-COUNTA(条幅!$B$11:$B$310)),""))))</f>
        <v/>
      </c>
      <c r="F745" s="38" t="str">
        <f>IF(IF(740&lt;=COUNTA(半紙!$B$11:$B$310),INDEX(半紙!$F$11:$F$310,740),IF(740&lt;=COUNTA(半紙!$B$11:$B$310)+COUNTA(条幅!$B$11:$B$310),INDEX(条幅!$F$11:$F$310,740-COUNTA(半紙!$B$11:$B$310)),IF(740&lt;=COUNTA(半紙!$B$11:$B$310)+COUNTA(条幅!$B$11:$B$310)+COUNTA(条幅4分の1!$B$11:$B$310),INDEX(条幅4分の1!$F$11:$F$310,740-COUNTA(半紙!$B$11:$B$310)-COUNTA(条幅!$B$11:$B$310)),"")))=0,"",IF(740&lt;=COUNTA(半紙!$B$11:$B$310),INDEX(半紙!$F$11:$F$310,740),IF(740&lt;=COUNTA(半紙!$B$11:$B$310)+COUNTA(条幅!$B$11:$B$310),INDEX(条幅!$F$11:$F$310,740-COUNTA(半紙!$B$11:$B$310)),IF(740&lt;=COUNTA(半紙!$B$11:$B$310)+COUNTA(条幅!$B$11:$B$310)+COUNTA(条幅4分の1!$B$11:$B$310),INDEX(条幅4分の1!$F$11:$F$310,740-COUNTA(半紙!$B$11:$B$310)-COUNTA(条幅!$B$11:$B$310)),""))))</f>
        <v/>
      </c>
      <c r="G745" s="38" t="str">
        <f>IF(IF(740&lt;=COUNTA(半紙!$B$11:$B$310),INDEX(半紙!$G$11:$G$310,740),IF(740&lt;=COUNTA(半紙!$B$11:$B$310)+COUNTA(条幅!$B$11:$B$310),INDEX(条幅!$G$11:$G$310,740-COUNTA(半紙!$B$11:$B$310)),IF(740&lt;=COUNTA(半紙!$B$11:$B$310)+COUNTA(条幅!$B$11:$B$310)+COUNTA(条幅4分の1!$B$11:$B$310),INDEX(条幅4分の1!$G$11:$G$310,740-COUNTA(半紙!$B$11:$B$310)-COUNTA(条幅!$B$11:$B$310)),"")))=0,"",IF(740&lt;=COUNTA(半紙!$B$11:$B$310),INDEX(半紙!$G$11:$G$310,740),IF(740&lt;=COUNTA(半紙!$B$11:$B$310)+COUNTA(条幅!$B$11:$B$310),INDEX(条幅!$G$11:$G$310,740-COUNTA(半紙!$B$11:$B$310)),IF(740&lt;=COUNTA(半紙!$B$11:$B$310)+COUNTA(条幅!$B$11:$B$310)+COUNTA(条幅4分の1!$B$11:$B$310),INDEX(条幅4分の1!$G$11:$G$310,740-COUNTA(半紙!$B$11:$B$310)-COUNTA(条幅!$B$11:$B$310)),""))))</f>
        <v/>
      </c>
      <c r="H745" s="38" t="str">
        <f>IF(IF(740&lt;=COUNTA(半紙!$B$11:$B$310),INDEX(半紙!$H$11:$H$310,740),IF(740&lt;=COUNTA(半紙!$B$11:$B$310)+COUNTA(条幅!$B$11:$B$310),INDEX(条幅!$H$11:$H$310,740-COUNTA(半紙!$B$11:$B$310)),IF(740&lt;=COUNTA(半紙!$B$11:$B$310)+COUNTA(条幅!$B$11:$B$310)+COUNTA(条幅4分の1!$B$11:$B$310),INDEX(条幅4分の1!$H$11:$H$310,740-COUNTA(半紙!$B$11:$B$310)-COUNTA(条幅!$B$11:$B$310)),"")))=0,"",IF(740&lt;=COUNTA(半紙!$B$11:$B$310),INDEX(半紙!$H$11:$H$310,740),IF(740&lt;=COUNTA(半紙!$B$11:$B$310)+COUNTA(条幅!$B$11:$B$310),INDEX(条幅!$H$11:$H$310,740-COUNTA(半紙!$B$11:$B$310)),IF(740&lt;=COUNTA(半紙!$B$11:$B$310)+COUNTA(条幅!$B$11:$B$310)+COUNTA(条幅4分の1!$B$11:$B$310),INDEX(条幅4分の1!$H$11:$H$310,740-COUNTA(半紙!$B$11:$B$310)-COUNTA(条幅!$B$11:$B$310)),""))))</f>
        <v/>
      </c>
      <c r="I745" s="38" t="str">
        <f>IF(IF(740&lt;=COUNTA(半紙!$B$11:$B$310),INDEX(半紙!$I$11:$I$310,740),IF(740&lt;=COUNTA(半紙!$B$11:$B$310)+COUNTA(条幅!$B$11:$B$310),INDEX(条幅!$I$11:$I$310,740-COUNTA(半紙!$B$11:$B$310)),IF(740&lt;=COUNTA(半紙!$B$11:$B$310)+COUNTA(条幅!$B$11:$B$310)+COUNTA(条幅4分の1!$B$11:$B$310),INDEX(条幅4分の1!$I$11:$I$310,740-COUNTA(半紙!$B$11:$B$310)-COUNTA(条幅!$B$11:$B$310)),"")))=0,"",IF(740&lt;=COUNTA(半紙!$B$11:$B$310),INDEX(半紙!$I$11:$I$310,740),IF(740&lt;=COUNTA(半紙!$B$11:$B$310)+COUNTA(条幅!$B$11:$B$310),INDEX(条幅!$I$11:$I$310,740-COUNTA(半紙!$B$11:$B$310)),IF(740&lt;=COUNTA(半紙!$B$11:$B$310)+COUNTA(条幅!$B$11:$B$310)+COUNTA(条幅4分の1!$B$11:$B$310),INDEX(条幅4分の1!$I$11:$I$310,740-COUNTA(半紙!$B$11:$B$310)-COUNTA(条幅!$B$11:$B$310)),""))))</f>
        <v/>
      </c>
      <c r="J745" s="38" t="str">
        <f>IF(IF(740&lt;=COUNTA(半紙!$B$11:$B$310),INDEX(半紙!$J$11:$J$310,740),IF(740&lt;=COUNTA(半紙!$B$11:$B$310)+COUNTA(条幅!$B$11:$B$310),INDEX(条幅!$J$11:$J$310,740-COUNTA(半紙!$B$11:$B$310)),IF(740&lt;=COUNTA(半紙!$B$11:$B$310)+COUNTA(条幅!$B$11:$B$310)+COUNTA(条幅4分の1!$B$11:$B$310),INDEX(条幅4分の1!$J$11:$J$310,740-COUNTA(半紙!$B$11:$B$310)-COUNTA(条幅!$B$11:$B$310)),"")))=0,"",IF(740&lt;=COUNTA(半紙!$B$11:$B$310),INDEX(半紙!$J$11:$J$310,740),IF(740&lt;=COUNTA(半紙!$B$11:$B$310)+COUNTA(条幅!$B$11:$B$310),INDEX(条幅!$J$11:$J$310,740-COUNTA(半紙!$B$11:$B$310)),IF(740&lt;=COUNTA(半紙!$B$11:$B$310)+COUNTA(条幅!$B$11:$B$310)+COUNTA(条幅4分の1!$B$11:$B$310),INDEX(条幅4分の1!$J$11:$J$310,740-COUNTA(半紙!$B$11:$B$310)-COUNTA(条幅!$B$11:$B$310)),""))))</f>
        <v/>
      </c>
      <c r="K745" s="38" t="str">
        <f>IF(IF(740&lt;=COUNTA(半紙!$B$11:$B$310),INDEX(半紙!$K$11:$K$310,740),IF(740&lt;=COUNTA(半紙!$B$11:$B$310)+COUNTA(条幅!$B$11:$B$310),INDEX(条幅!$K$11:$K$310,740-COUNTA(半紙!$B$11:$B$310)),IF(740&lt;=COUNTA(半紙!$B$11:$B$310)+COUNTA(条幅!$B$11:$B$310)+COUNTA(条幅4分の1!$B$11:$B$310),INDEX(条幅4分の1!$K$11:$K$310,740-COUNTA(半紙!$B$11:$B$310)-COUNTA(条幅!$B$11:$B$310)),"")))=0,"",IF(740&lt;=COUNTA(半紙!$B$11:$B$310),INDEX(半紙!$K$11:$K$310,740),IF(740&lt;=COUNTA(半紙!$B$11:$B$310)+COUNTA(条幅!$B$11:$B$310),INDEX(条幅!$K$11:$K$310,740-COUNTA(半紙!$B$11:$B$310)),IF(740&lt;=COUNTA(半紙!$B$11:$B$310)+COUNTA(条幅!$B$11:$B$310)+COUNTA(条幅4分の1!$B$11:$B$310),INDEX(条幅4分の1!$K$11:$K$310,740-COUNTA(半紙!$B$11:$B$310)-COUNTA(条幅!$B$11:$B$310)),""))))</f>
        <v/>
      </c>
      <c r="L745" s="48" t="str">
        <f>IF($B745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740))</f>
        <v/>
      </c>
    </row>
    <row r="746" spans="1:12" ht="15" customHeight="1">
      <c r="A746" s="37" t="str">
        <f>IF(741&lt;=COUNTA(半紙!$B$11:$B$310),"半紙",IF(741&lt;=COUNTA(半紙!$B$11:$B$310)+COUNTA(条幅!$B$11:$B$310),"条幅(半切)",IF(741&lt;=COUNTA(半紙!$B$11:$B$310)+COUNTA(条幅!$B$11:$B$310)+COUNTA(条幅4分の1!$B$11:$B$310),"条幅(1/4)","")))</f>
        <v/>
      </c>
      <c r="B746" s="38" t="str">
        <f>IF(IF(741&lt;=COUNTA(半紙!$B$11:$B$310),INDEX(半紙!$B$11:$B$310,741),IF(741&lt;=COUNTA(半紙!$B$11:$B$310)+COUNTA(条幅!$B$11:$B$310),INDEX(条幅!$B$11:$B$310,741-COUNTA(半紙!$B$11:$B$310)),IF(741&lt;=COUNTA(半紙!$B$11:$B$310)+COUNTA(条幅!$B$11:$B$310)+COUNTA(条幅4分の1!$B$11:$B$310),INDEX(条幅4分の1!$B$11:$B$310,741-COUNTA(半紙!$B$11:$B$310)-COUNTA(条幅!$B$11:$B$310)),"")))=0,"",IF(741&lt;=COUNTA(半紙!$B$11:$B$310),INDEX(半紙!$B$11:$B$310,741),IF(741&lt;=COUNTA(半紙!$B$11:$B$310)+COUNTA(条幅!$B$11:$B$310),INDEX(条幅!$B$11:$B$310,741-COUNTA(半紙!$B$11:$B$310)),IF(741&lt;=COUNTA(半紙!$B$11:$B$310)+COUNTA(条幅!$B$11:$B$310)+COUNTA(条幅4分の1!$B$11:$B$310),INDEX(条幅4分の1!$B$11:$B$310,741-COUNTA(半紙!$B$11:$B$310)-COUNTA(条幅!$B$11:$B$310)),""))))</f>
        <v/>
      </c>
      <c r="C746" s="38" t="str">
        <f>IF(IF(741&lt;=COUNTA(半紙!$B$11:$B$310),INDEX(半紙!$C$11:$C$310,741),IF(741&lt;=COUNTA(半紙!$B$11:$B$310)+COUNTA(条幅!$B$11:$B$310),INDEX(条幅!$C$11:$C$310,741-COUNTA(半紙!$B$11:$B$310)),IF(741&lt;=COUNTA(半紙!$B$11:$B$310)+COUNTA(条幅!$B$11:$B$310)+COUNTA(条幅4分の1!$B$11:$B$310),INDEX(条幅4分の1!$C$11:$C$310,741-COUNTA(半紙!$B$11:$B$310)-COUNTA(条幅!$B$11:$B$310)),"")))=0,"",IF(741&lt;=COUNTA(半紙!$B$11:$B$310),INDEX(半紙!$C$11:$C$310,741),IF(741&lt;=COUNTA(半紙!$B$11:$B$310)+COUNTA(条幅!$B$11:$B$310),INDEX(条幅!$C$11:$C$310,741-COUNTA(半紙!$B$11:$B$310)),IF(741&lt;=COUNTA(半紙!$B$11:$B$310)+COUNTA(条幅!$B$11:$B$310)+COUNTA(条幅4分の1!$B$11:$B$310),INDEX(条幅4分の1!$C$11:$C$310,741-COUNTA(半紙!$B$11:$B$310)-COUNTA(条幅!$B$11:$B$310)),""))))</f>
        <v/>
      </c>
      <c r="D746" s="38" t="str">
        <f>IF(IF(741&lt;=COUNTA(半紙!$B$11:$B$310),INDEX(半紙!$D$11:$D$310,741),IF(741&lt;=COUNTA(半紙!$B$11:$B$310)+COUNTA(条幅!$B$11:$B$310),INDEX(条幅!$D$11:$D$310,741-COUNTA(半紙!$B$11:$B$310)),IF(741&lt;=COUNTA(半紙!$B$11:$B$310)+COUNTA(条幅!$B$11:$B$310)+COUNTA(条幅4分の1!$B$11:$B$310),INDEX(条幅4分の1!$D$11:$D$310,741-COUNTA(半紙!$B$11:$B$310)-COUNTA(条幅!$B$11:$B$310)),"")))=0,"",IF(741&lt;=COUNTA(半紙!$B$11:$B$310),INDEX(半紙!$D$11:$D$310,741),IF(741&lt;=COUNTA(半紙!$B$11:$B$310)+COUNTA(条幅!$B$11:$B$310),INDEX(条幅!$D$11:$D$310,741-COUNTA(半紙!$B$11:$B$310)),IF(741&lt;=COUNTA(半紙!$B$11:$B$310)+COUNTA(条幅!$B$11:$B$310)+COUNTA(条幅4分の1!$B$11:$B$310),INDEX(条幅4分の1!$D$11:$D$310,741-COUNTA(半紙!$B$11:$B$310)-COUNTA(条幅!$B$11:$B$310)),""))))</f>
        <v/>
      </c>
      <c r="E746" s="38" t="str">
        <f>IF(IF(741&lt;=COUNTA(半紙!$B$11:$B$310),INDEX(半紙!$E$11:$E$310,741),IF(741&lt;=COUNTA(半紙!$B$11:$B$310)+COUNTA(条幅!$B$11:$B$310),INDEX(条幅!$E$11:$E$310,741-COUNTA(半紙!$B$11:$B$310)),IF(741&lt;=COUNTA(半紙!$B$11:$B$310)+COUNTA(条幅!$B$11:$B$310)+COUNTA(条幅4分の1!$B$11:$B$310),INDEX(条幅4分の1!$E$11:$E$310,741-COUNTA(半紙!$B$11:$B$310)-COUNTA(条幅!$B$11:$B$310)),"")))=0,"",IF(741&lt;=COUNTA(半紙!$B$11:$B$310),INDEX(半紙!$E$11:$E$310,741),IF(741&lt;=COUNTA(半紙!$B$11:$B$310)+COUNTA(条幅!$B$11:$B$310),INDEX(条幅!$E$11:$E$310,741-COUNTA(半紙!$B$11:$B$310)),IF(741&lt;=COUNTA(半紙!$B$11:$B$310)+COUNTA(条幅!$B$11:$B$310)+COUNTA(条幅4分の1!$B$11:$B$310),INDEX(条幅4分の1!$E$11:$E$310,741-COUNTA(半紙!$B$11:$B$310)-COUNTA(条幅!$B$11:$B$310)),""))))</f>
        <v/>
      </c>
      <c r="F746" s="38" t="str">
        <f>IF(IF(741&lt;=COUNTA(半紙!$B$11:$B$310),INDEX(半紙!$F$11:$F$310,741),IF(741&lt;=COUNTA(半紙!$B$11:$B$310)+COUNTA(条幅!$B$11:$B$310),INDEX(条幅!$F$11:$F$310,741-COUNTA(半紙!$B$11:$B$310)),IF(741&lt;=COUNTA(半紙!$B$11:$B$310)+COUNTA(条幅!$B$11:$B$310)+COUNTA(条幅4分の1!$B$11:$B$310),INDEX(条幅4分の1!$F$11:$F$310,741-COUNTA(半紙!$B$11:$B$310)-COUNTA(条幅!$B$11:$B$310)),"")))=0,"",IF(741&lt;=COUNTA(半紙!$B$11:$B$310),INDEX(半紙!$F$11:$F$310,741),IF(741&lt;=COUNTA(半紙!$B$11:$B$310)+COUNTA(条幅!$B$11:$B$310),INDEX(条幅!$F$11:$F$310,741-COUNTA(半紙!$B$11:$B$310)),IF(741&lt;=COUNTA(半紙!$B$11:$B$310)+COUNTA(条幅!$B$11:$B$310)+COUNTA(条幅4分の1!$B$11:$B$310),INDEX(条幅4分の1!$F$11:$F$310,741-COUNTA(半紙!$B$11:$B$310)-COUNTA(条幅!$B$11:$B$310)),""))))</f>
        <v/>
      </c>
      <c r="G746" s="38" t="str">
        <f>IF(IF(741&lt;=COUNTA(半紙!$B$11:$B$310),INDEX(半紙!$G$11:$G$310,741),IF(741&lt;=COUNTA(半紙!$B$11:$B$310)+COUNTA(条幅!$B$11:$B$310),INDEX(条幅!$G$11:$G$310,741-COUNTA(半紙!$B$11:$B$310)),IF(741&lt;=COUNTA(半紙!$B$11:$B$310)+COUNTA(条幅!$B$11:$B$310)+COUNTA(条幅4分の1!$B$11:$B$310),INDEX(条幅4分の1!$G$11:$G$310,741-COUNTA(半紙!$B$11:$B$310)-COUNTA(条幅!$B$11:$B$310)),"")))=0,"",IF(741&lt;=COUNTA(半紙!$B$11:$B$310),INDEX(半紙!$G$11:$G$310,741),IF(741&lt;=COUNTA(半紙!$B$11:$B$310)+COUNTA(条幅!$B$11:$B$310),INDEX(条幅!$G$11:$G$310,741-COUNTA(半紙!$B$11:$B$310)),IF(741&lt;=COUNTA(半紙!$B$11:$B$310)+COUNTA(条幅!$B$11:$B$310)+COUNTA(条幅4分の1!$B$11:$B$310),INDEX(条幅4分の1!$G$11:$G$310,741-COUNTA(半紙!$B$11:$B$310)-COUNTA(条幅!$B$11:$B$310)),""))))</f>
        <v/>
      </c>
      <c r="H746" s="38" t="str">
        <f>IF(IF(741&lt;=COUNTA(半紙!$B$11:$B$310),INDEX(半紙!$H$11:$H$310,741),IF(741&lt;=COUNTA(半紙!$B$11:$B$310)+COUNTA(条幅!$B$11:$B$310),INDEX(条幅!$H$11:$H$310,741-COUNTA(半紙!$B$11:$B$310)),IF(741&lt;=COUNTA(半紙!$B$11:$B$310)+COUNTA(条幅!$B$11:$B$310)+COUNTA(条幅4分の1!$B$11:$B$310),INDEX(条幅4分の1!$H$11:$H$310,741-COUNTA(半紙!$B$11:$B$310)-COUNTA(条幅!$B$11:$B$310)),"")))=0,"",IF(741&lt;=COUNTA(半紙!$B$11:$B$310),INDEX(半紙!$H$11:$H$310,741),IF(741&lt;=COUNTA(半紙!$B$11:$B$310)+COUNTA(条幅!$B$11:$B$310),INDEX(条幅!$H$11:$H$310,741-COUNTA(半紙!$B$11:$B$310)),IF(741&lt;=COUNTA(半紙!$B$11:$B$310)+COUNTA(条幅!$B$11:$B$310)+COUNTA(条幅4分の1!$B$11:$B$310),INDEX(条幅4分の1!$H$11:$H$310,741-COUNTA(半紙!$B$11:$B$310)-COUNTA(条幅!$B$11:$B$310)),""))))</f>
        <v/>
      </c>
      <c r="I746" s="38" t="str">
        <f>IF(IF(741&lt;=COUNTA(半紙!$B$11:$B$310),INDEX(半紙!$I$11:$I$310,741),IF(741&lt;=COUNTA(半紙!$B$11:$B$310)+COUNTA(条幅!$B$11:$B$310),INDEX(条幅!$I$11:$I$310,741-COUNTA(半紙!$B$11:$B$310)),IF(741&lt;=COUNTA(半紙!$B$11:$B$310)+COUNTA(条幅!$B$11:$B$310)+COUNTA(条幅4分の1!$B$11:$B$310),INDEX(条幅4分の1!$I$11:$I$310,741-COUNTA(半紙!$B$11:$B$310)-COUNTA(条幅!$B$11:$B$310)),"")))=0,"",IF(741&lt;=COUNTA(半紙!$B$11:$B$310),INDEX(半紙!$I$11:$I$310,741),IF(741&lt;=COUNTA(半紙!$B$11:$B$310)+COUNTA(条幅!$B$11:$B$310),INDEX(条幅!$I$11:$I$310,741-COUNTA(半紙!$B$11:$B$310)),IF(741&lt;=COUNTA(半紙!$B$11:$B$310)+COUNTA(条幅!$B$11:$B$310)+COUNTA(条幅4分の1!$B$11:$B$310),INDEX(条幅4分の1!$I$11:$I$310,741-COUNTA(半紙!$B$11:$B$310)-COUNTA(条幅!$B$11:$B$310)),""))))</f>
        <v/>
      </c>
      <c r="J746" s="38" t="str">
        <f>IF(IF(741&lt;=COUNTA(半紙!$B$11:$B$310),INDEX(半紙!$J$11:$J$310,741),IF(741&lt;=COUNTA(半紙!$B$11:$B$310)+COUNTA(条幅!$B$11:$B$310),INDEX(条幅!$J$11:$J$310,741-COUNTA(半紙!$B$11:$B$310)),IF(741&lt;=COUNTA(半紙!$B$11:$B$310)+COUNTA(条幅!$B$11:$B$310)+COUNTA(条幅4分の1!$B$11:$B$310),INDEX(条幅4分の1!$J$11:$J$310,741-COUNTA(半紙!$B$11:$B$310)-COUNTA(条幅!$B$11:$B$310)),"")))=0,"",IF(741&lt;=COUNTA(半紙!$B$11:$B$310),INDEX(半紙!$J$11:$J$310,741),IF(741&lt;=COUNTA(半紙!$B$11:$B$310)+COUNTA(条幅!$B$11:$B$310),INDEX(条幅!$J$11:$J$310,741-COUNTA(半紙!$B$11:$B$310)),IF(741&lt;=COUNTA(半紙!$B$11:$B$310)+COUNTA(条幅!$B$11:$B$310)+COUNTA(条幅4分の1!$B$11:$B$310),INDEX(条幅4分の1!$J$11:$J$310,741-COUNTA(半紙!$B$11:$B$310)-COUNTA(条幅!$B$11:$B$310)),""))))</f>
        <v/>
      </c>
      <c r="K746" s="38" t="str">
        <f>IF(IF(741&lt;=COUNTA(半紙!$B$11:$B$310),INDEX(半紙!$K$11:$K$310,741),IF(741&lt;=COUNTA(半紙!$B$11:$B$310)+COUNTA(条幅!$B$11:$B$310),INDEX(条幅!$K$11:$K$310,741-COUNTA(半紙!$B$11:$B$310)),IF(741&lt;=COUNTA(半紙!$B$11:$B$310)+COUNTA(条幅!$B$11:$B$310)+COUNTA(条幅4分の1!$B$11:$B$310),INDEX(条幅4分の1!$K$11:$K$310,741-COUNTA(半紙!$B$11:$B$310)-COUNTA(条幅!$B$11:$B$310)),"")))=0,"",IF(741&lt;=COUNTA(半紙!$B$11:$B$310),INDEX(半紙!$K$11:$K$310,741),IF(741&lt;=COUNTA(半紙!$B$11:$B$310)+COUNTA(条幅!$B$11:$B$310),INDEX(条幅!$K$11:$K$310,741-COUNTA(半紙!$B$11:$B$310)),IF(741&lt;=COUNTA(半紙!$B$11:$B$310)+COUNTA(条幅!$B$11:$B$310)+COUNTA(条幅4分の1!$B$11:$B$310),INDEX(条幅4分の1!$K$11:$K$310,741-COUNTA(半紙!$B$11:$B$310)-COUNTA(条幅!$B$11:$B$310)),""))))</f>
        <v/>
      </c>
      <c r="L746" s="48" t="str">
        <f>IF($B746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741))</f>
        <v/>
      </c>
    </row>
    <row r="747" spans="1:12" ht="15" customHeight="1">
      <c r="A747" s="37" t="str">
        <f>IF(742&lt;=COUNTA(半紙!$B$11:$B$310),"半紙",IF(742&lt;=COUNTA(半紙!$B$11:$B$310)+COUNTA(条幅!$B$11:$B$310),"条幅(半切)",IF(742&lt;=COUNTA(半紙!$B$11:$B$310)+COUNTA(条幅!$B$11:$B$310)+COUNTA(条幅4分の1!$B$11:$B$310),"条幅(1/4)","")))</f>
        <v/>
      </c>
      <c r="B747" s="38" t="str">
        <f>IF(IF(742&lt;=COUNTA(半紙!$B$11:$B$310),INDEX(半紙!$B$11:$B$310,742),IF(742&lt;=COUNTA(半紙!$B$11:$B$310)+COUNTA(条幅!$B$11:$B$310),INDEX(条幅!$B$11:$B$310,742-COUNTA(半紙!$B$11:$B$310)),IF(742&lt;=COUNTA(半紙!$B$11:$B$310)+COUNTA(条幅!$B$11:$B$310)+COUNTA(条幅4分の1!$B$11:$B$310),INDEX(条幅4分の1!$B$11:$B$310,742-COUNTA(半紙!$B$11:$B$310)-COUNTA(条幅!$B$11:$B$310)),"")))=0,"",IF(742&lt;=COUNTA(半紙!$B$11:$B$310),INDEX(半紙!$B$11:$B$310,742),IF(742&lt;=COUNTA(半紙!$B$11:$B$310)+COUNTA(条幅!$B$11:$B$310),INDEX(条幅!$B$11:$B$310,742-COUNTA(半紙!$B$11:$B$310)),IF(742&lt;=COUNTA(半紙!$B$11:$B$310)+COUNTA(条幅!$B$11:$B$310)+COUNTA(条幅4分の1!$B$11:$B$310),INDEX(条幅4分の1!$B$11:$B$310,742-COUNTA(半紙!$B$11:$B$310)-COUNTA(条幅!$B$11:$B$310)),""))))</f>
        <v/>
      </c>
      <c r="C747" s="38" t="str">
        <f>IF(IF(742&lt;=COUNTA(半紙!$B$11:$B$310),INDEX(半紙!$C$11:$C$310,742),IF(742&lt;=COUNTA(半紙!$B$11:$B$310)+COUNTA(条幅!$B$11:$B$310),INDEX(条幅!$C$11:$C$310,742-COUNTA(半紙!$B$11:$B$310)),IF(742&lt;=COUNTA(半紙!$B$11:$B$310)+COUNTA(条幅!$B$11:$B$310)+COUNTA(条幅4分の1!$B$11:$B$310),INDEX(条幅4分の1!$C$11:$C$310,742-COUNTA(半紙!$B$11:$B$310)-COUNTA(条幅!$B$11:$B$310)),"")))=0,"",IF(742&lt;=COUNTA(半紙!$B$11:$B$310),INDEX(半紙!$C$11:$C$310,742),IF(742&lt;=COUNTA(半紙!$B$11:$B$310)+COUNTA(条幅!$B$11:$B$310),INDEX(条幅!$C$11:$C$310,742-COUNTA(半紙!$B$11:$B$310)),IF(742&lt;=COUNTA(半紙!$B$11:$B$310)+COUNTA(条幅!$B$11:$B$310)+COUNTA(条幅4分の1!$B$11:$B$310),INDEX(条幅4分の1!$C$11:$C$310,742-COUNTA(半紙!$B$11:$B$310)-COUNTA(条幅!$B$11:$B$310)),""))))</f>
        <v/>
      </c>
      <c r="D747" s="38" t="str">
        <f>IF(IF(742&lt;=COUNTA(半紙!$B$11:$B$310),INDEX(半紙!$D$11:$D$310,742),IF(742&lt;=COUNTA(半紙!$B$11:$B$310)+COUNTA(条幅!$B$11:$B$310),INDEX(条幅!$D$11:$D$310,742-COUNTA(半紙!$B$11:$B$310)),IF(742&lt;=COUNTA(半紙!$B$11:$B$310)+COUNTA(条幅!$B$11:$B$310)+COUNTA(条幅4分の1!$B$11:$B$310),INDEX(条幅4分の1!$D$11:$D$310,742-COUNTA(半紙!$B$11:$B$310)-COUNTA(条幅!$B$11:$B$310)),"")))=0,"",IF(742&lt;=COUNTA(半紙!$B$11:$B$310),INDEX(半紙!$D$11:$D$310,742),IF(742&lt;=COUNTA(半紙!$B$11:$B$310)+COUNTA(条幅!$B$11:$B$310),INDEX(条幅!$D$11:$D$310,742-COUNTA(半紙!$B$11:$B$310)),IF(742&lt;=COUNTA(半紙!$B$11:$B$310)+COUNTA(条幅!$B$11:$B$310)+COUNTA(条幅4分の1!$B$11:$B$310),INDEX(条幅4分の1!$D$11:$D$310,742-COUNTA(半紙!$B$11:$B$310)-COUNTA(条幅!$B$11:$B$310)),""))))</f>
        <v/>
      </c>
      <c r="E747" s="38" t="str">
        <f>IF(IF(742&lt;=COUNTA(半紙!$B$11:$B$310),INDEX(半紙!$E$11:$E$310,742),IF(742&lt;=COUNTA(半紙!$B$11:$B$310)+COUNTA(条幅!$B$11:$B$310),INDEX(条幅!$E$11:$E$310,742-COUNTA(半紙!$B$11:$B$310)),IF(742&lt;=COUNTA(半紙!$B$11:$B$310)+COUNTA(条幅!$B$11:$B$310)+COUNTA(条幅4分の1!$B$11:$B$310),INDEX(条幅4分の1!$E$11:$E$310,742-COUNTA(半紙!$B$11:$B$310)-COUNTA(条幅!$B$11:$B$310)),"")))=0,"",IF(742&lt;=COUNTA(半紙!$B$11:$B$310),INDEX(半紙!$E$11:$E$310,742),IF(742&lt;=COUNTA(半紙!$B$11:$B$310)+COUNTA(条幅!$B$11:$B$310),INDEX(条幅!$E$11:$E$310,742-COUNTA(半紙!$B$11:$B$310)),IF(742&lt;=COUNTA(半紙!$B$11:$B$310)+COUNTA(条幅!$B$11:$B$310)+COUNTA(条幅4分の1!$B$11:$B$310),INDEX(条幅4分の1!$E$11:$E$310,742-COUNTA(半紙!$B$11:$B$310)-COUNTA(条幅!$B$11:$B$310)),""))))</f>
        <v/>
      </c>
      <c r="F747" s="38" t="str">
        <f>IF(IF(742&lt;=COUNTA(半紙!$B$11:$B$310),INDEX(半紙!$F$11:$F$310,742),IF(742&lt;=COUNTA(半紙!$B$11:$B$310)+COUNTA(条幅!$B$11:$B$310),INDEX(条幅!$F$11:$F$310,742-COUNTA(半紙!$B$11:$B$310)),IF(742&lt;=COUNTA(半紙!$B$11:$B$310)+COUNTA(条幅!$B$11:$B$310)+COUNTA(条幅4分の1!$B$11:$B$310),INDEX(条幅4分の1!$F$11:$F$310,742-COUNTA(半紙!$B$11:$B$310)-COUNTA(条幅!$B$11:$B$310)),"")))=0,"",IF(742&lt;=COUNTA(半紙!$B$11:$B$310),INDEX(半紙!$F$11:$F$310,742),IF(742&lt;=COUNTA(半紙!$B$11:$B$310)+COUNTA(条幅!$B$11:$B$310),INDEX(条幅!$F$11:$F$310,742-COUNTA(半紙!$B$11:$B$310)),IF(742&lt;=COUNTA(半紙!$B$11:$B$310)+COUNTA(条幅!$B$11:$B$310)+COUNTA(条幅4分の1!$B$11:$B$310),INDEX(条幅4分の1!$F$11:$F$310,742-COUNTA(半紙!$B$11:$B$310)-COUNTA(条幅!$B$11:$B$310)),""))))</f>
        <v/>
      </c>
      <c r="G747" s="38" t="str">
        <f>IF(IF(742&lt;=COUNTA(半紙!$B$11:$B$310),INDEX(半紙!$G$11:$G$310,742),IF(742&lt;=COUNTA(半紙!$B$11:$B$310)+COUNTA(条幅!$B$11:$B$310),INDEX(条幅!$G$11:$G$310,742-COUNTA(半紙!$B$11:$B$310)),IF(742&lt;=COUNTA(半紙!$B$11:$B$310)+COUNTA(条幅!$B$11:$B$310)+COUNTA(条幅4分の1!$B$11:$B$310),INDEX(条幅4分の1!$G$11:$G$310,742-COUNTA(半紙!$B$11:$B$310)-COUNTA(条幅!$B$11:$B$310)),"")))=0,"",IF(742&lt;=COUNTA(半紙!$B$11:$B$310),INDEX(半紙!$G$11:$G$310,742),IF(742&lt;=COUNTA(半紙!$B$11:$B$310)+COUNTA(条幅!$B$11:$B$310),INDEX(条幅!$G$11:$G$310,742-COUNTA(半紙!$B$11:$B$310)),IF(742&lt;=COUNTA(半紙!$B$11:$B$310)+COUNTA(条幅!$B$11:$B$310)+COUNTA(条幅4分の1!$B$11:$B$310),INDEX(条幅4分の1!$G$11:$G$310,742-COUNTA(半紙!$B$11:$B$310)-COUNTA(条幅!$B$11:$B$310)),""))))</f>
        <v/>
      </c>
      <c r="H747" s="38" t="str">
        <f>IF(IF(742&lt;=COUNTA(半紙!$B$11:$B$310),INDEX(半紙!$H$11:$H$310,742),IF(742&lt;=COUNTA(半紙!$B$11:$B$310)+COUNTA(条幅!$B$11:$B$310),INDEX(条幅!$H$11:$H$310,742-COUNTA(半紙!$B$11:$B$310)),IF(742&lt;=COUNTA(半紙!$B$11:$B$310)+COUNTA(条幅!$B$11:$B$310)+COUNTA(条幅4分の1!$B$11:$B$310),INDEX(条幅4分の1!$H$11:$H$310,742-COUNTA(半紙!$B$11:$B$310)-COUNTA(条幅!$B$11:$B$310)),"")))=0,"",IF(742&lt;=COUNTA(半紙!$B$11:$B$310),INDEX(半紙!$H$11:$H$310,742),IF(742&lt;=COUNTA(半紙!$B$11:$B$310)+COUNTA(条幅!$B$11:$B$310),INDEX(条幅!$H$11:$H$310,742-COUNTA(半紙!$B$11:$B$310)),IF(742&lt;=COUNTA(半紙!$B$11:$B$310)+COUNTA(条幅!$B$11:$B$310)+COUNTA(条幅4分の1!$B$11:$B$310),INDEX(条幅4分の1!$H$11:$H$310,742-COUNTA(半紙!$B$11:$B$310)-COUNTA(条幅!$B$11:$B$310)),""))))</f>
        <v/>
      </c>
      <c r="I747" s="38" t="str">
        <f>IF(IF(742&lt;=COUNTA(半紙!$B$11:$B$310),INDEX(半紙!$I$11:$I$310,742),IF(742&lt;=COUNTA(半紙!$B$11:$B$310)+COUNTA(条幅!$B$11:$B$310),INDEX(条幅!$I$11:$I$310,742-COUNTA(半紙!$B$11:$B$310)),IF(742&lt;=COUNTA(半紙!$B$11:$B$310)+COUNTA(条幅!$B$11:$B$310)+COUNTA(条幅4分の1!$B$11:$B$310),INDEX(条幅4分の1!$I$11:$I$310,742-COUNTA(半紙!$B$11:$B$310)-COUNTA(条幅!$B$11:$B$310)),"")))=0,"",IF(742&lt;=COUNTA(半紙!$B$11:$B$310),INDEX(半紙!$I$11:$I$310,742),IF(742&lt;=COUNTA(半紙!$B$11:$B$310)+COUNTA(条幅!$B$11:$B$310),INDEX(条幅!$I$11:$I$310,742-COUNTA(半紙!$B$11:$B$310)),IF(742&lt;=COUNTA(半紙!$B$11:$B$310)+COUNTA(条幅!$B$11:$B$310)+COUNTA(条幅4分の1!$B$11:$B$310),INDEX(条幅4分の1!$I$11:$I$310,742-COUNTA(半紙!$B$11:$B$310)-COUNTA(条幅!$B$11:$B$310)),""))))</f>
        <v/>
      </c>
      <c r="J747" s="38" t="str">
        <f>IF(IF(742&lt;=COUNTA(半紙!$B$11:$B$310),INDEX(半紙!$J$11:$J$310,742),IF(742&lt;=COUNTA(半紙!$B$11:$B$310)+COUNTA(条幅!$B$11:$B$310),INDEX(条幅!$J$11:$J$310,742-COUNTA(半紙!$B$11:$B$310)),IF(742&lt;=COUNTA(半紙!$B$11:$B$310)+COUNTA(条幅!$B$11:$B$310)+COUNTA(条幅4分の1!$B$11:$B$310),INDEX(条幅4分の1!$J$11:$J$310,742-COUNTA(半紙!$B$11:$B$310)-COUNTA(条幅!$B$11:$B$310)),"")))=0,"",IF(742&lt;=COUNTA(半紙!$B$11:$B$310),INDEX(半紙!$J$11:$J$310,742),IF(742&lt;=COUNTA(半紙!$B$11:$B$310)+COUNTA(条幅!$B$11:$B$310),INDEX(条幅!$J$11:$J$310,742-COUNTA(半紙!$B$11:$B$310)),IF(742&lt;=COUNTA(半紙!$B$11:$B$310)+COUNTA(条幅!$B$11:$B$310)+COUNTA(条幅4分の1!$B$11:$B$310),INDEX(条幅4分の1!$J$11:$J$310,742-COUNTA(半紙!$B$11:$B$310)-COUNTA(条幅!$B$11:$B$310)),""))))</f>
        <v/>
      </c>
      <c r="K747" s="38" t="str">
        <f>IF(IF(742&lt;=COUNTA(半紙!$B$11:$B$310),INDEX(半紙!$K$11:$K$310,742),IF(742&lt;=COUNTA(半紙!$B$11:$B$310)+COUNTA(条幅!$B$11:$B$310),INDEX(条幅!$K$11:$K$310,742-COUNTA(半紙!$B$11:$B$310)),IF(742&lt;=COUNTA(半紙!$B$11:$B$310)+COUNTA(条幅!$B$11:$B$310)+COUNTA(条幅4分の1!$B$11:$B$310),INDEX(条幅4分の1!$K$11:$K$310,742-COUNTA(半紙!$B$11:$B$310)-COUNTA(条幅!$B$11:$B$310)),"")))=0,"",IF(742&lt;=COUNTA(半紙!$B$11:$B$310),INDEX(半紙!$K$11:$K$310,742),IF(742&lt;=COUNTA(半紙!$B$11:$B$310)+COUNTA(条幅!$B$11:$B$310),INDEX(条幅!$K$11:$K$310,742-COUNTA(半紙!$B$11:$B$310)),IF(742&lt;=COUNTA(半紙!$B$11:$B$310)+COUNTA(条幅!$B$11:$B$310)+COUNTA(条幅4分の1!$B$11:$B$310),INDEX(条幅4分の1!$K$11:$K$310,742-COUNTA(半紙!$B$11:$B$310)-COUNTA(条幅!$B$11:$B$310)),""))))</f>
        <v/>
      </c>
      <c r="L747" s="48" t="str">
        <f>IF($B747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742))</f>
        <v/>
      </c>
    </row>
    <row r="748" spans="1:12" ht="15" customHeight="1">
      <c r="A748" s="37" t="str">
        <f>IF(743&lt;=COUNTA(半紙!$B$11:$B$310),"半紙",IF(743&lt;=COUNTA(半紙!$B$11:$B$310)+COUNTA(条幅!$B$11:$B$310),"条幅(半切)",IF(743&lt;=COUNTA(半紙!$B$11:$B$310)+COUNTA(条幅!$B$11:$B$310)+COUNTA(条幅4分の1!$B$11:$B$310),"条幅(1/4)","")))</f>
        <v/>
      </c>
      <c r="B748" s="38" t="str">
        <f>IF(IF(743&lt;=COUNTA(半紙!$B$11:$B$310),INDEX(半紙!$B$11:$B$310,743),IF(743&lt;=COUNTA(半紙!$B$11:$B$310)+COUNTA(条幅!$B$11:$B$310),INDEX(条幅!$B$11:$B$310,743-COUNTA(半紙!$B$11:$B$310)),IF(743&lt;=COUNTA(半紙!$B$11:$B$310)+COUNTA(条幅!$B$11:$B$310)+COUNTA(条幅4分の1!$B$11:$B$310),INDEX(条幅4分の1!$B$11:$B$310,743-COUNTA(半紙!$B$11:$B$310)-COUNTA(条幅!$B$11:$B$310)),"")))=0,"",IF(743&lt;=COUNTA(半紙!$B$11:$B$310),INDEX(半紙!$B$11:$B$310,743),IF(743&lt;=COUNTA(半紙!$B$11:$B$310)+COUNTA(条幅!$B$11:$B$310),INDEX(条幅!$B$11:$B$310,743-COUNTA(半紙!$B$11:$B$310)),IF(743&lt;=COUNTA(半紙!$B$11:$B$310)+COUNTA(条幅!$B$11:$B$310)+COUNTA(条幅4分の1!$B$11:$B$310),INDEX(条幅4分の1!$B$11:$B$310,743-COUNTA(半紙!$B$11:$B$310)-COUNTA(条幅!$B$11:$B$310)),""))))</f>
        <v/>
      </c>
      <c r="C748" s="38" t="str">
        <f>IF(IF(743&lt;=COUNTA(半紙!$B$11:$B$310),INDEX(半紙!$C$11:$C$310,743),IF(743&lt;=COUNTA(半紙!$B$11:$B$310)+COUNTA(条幅!$B$11:$B$310),INDEX(条幅!$C$11:$C$310,743-COUNTA(半紙!$B$11:$B$310)),IF(743&lt;=COUNTA(半紙!$B$11:$B$310)+COUNTA(条幅!$B$11:$B$310)+COUNTA(条幅4分の1!$B$11:$B$310),INDEX(条幅4分の1!$C$11:$C$310,743-COUNTA(半紙!$B$11:$B$310)-COUNTA(条幅!$B$11:$B$310)),"")))=0,"",IF(743&lt;=COUNTA(半紙!$B$11:$B$310),INDEX(半紙!$C$11:$C$310,743),IF(743&lt;=COUNTA(半紙!$B$11:$B$310)+COUNTA(条幅!$B$11:$B$310),INDEX(条幅!$C$11:$C$310,743-COUNTA(半紙!$B$11:$B$310)),IF(743&lt;=COUNTA(半紙!$B$11:$B$310)+COUNTA(条幅!$B$11:$B$310)+COUNTA(条幅4分の1!$B$11:$B$310),INDEX(条幅4分の1!$C$11:$C$310,743-COUNTA(半紙!$B$11:$B$310)-COUNTA(条幅!$B$11:$B$310)),""))))</f>
        <v/>
      </c>
      <c r="D748" s="38" t="str">
        <f>IF(IF(743&lt;=COUNTA(半紙!$B$11:$B$310),INDEX(半紙!$D$11:$D$310,743),IF(743&lt;=COUNTA(半紙!$B$11:$B$310)+COUNTA(条幅!$B$11:$B$310),INDEX(条幅!$D$11:$D$310,743-COUNTA(半紙!$B$11:$B$310)),IF(743&lt;=COUNTA(半紙!$B$11:$B$310)+COUNTA(条幅!$B$11:$B$310)+COUNTA(条幅4分の1!$B$11:$B$310),INDEX(条幅4分の1!$D$11:$D$310,743-COUNTA(半紙!$B$11:$B$310)-COUNTA(条幅!$B$11:$B$310)),"")))=0,"",IF(743&lt;=COUNTA(半紙!$B$11:$B$310),INDEX(半紙!$D$11:$D$310,743),IF(743&lt;=COUNTA(半紙!$B$11:$B$310)+COUNTA(条幅!$B$11:$B$310),INDEX(条幅!$D$11:$D$310,743-COUNTA(半紙!$B$11:$B$310)),IF(743&lt;=COUNTA(半紙!$B$11:$B$310)+COUNTA(条幅!$B$11:$B$310)+COUNTA(条幅4分の1!$B$11:$B$310),INDEX(条幅4分の1!$D$11:$D$310,743-COUNTA(半紙!$B$11:$B$310)-COUNTA(条幅!$B$11:$B$310)),""))))</f>
        <v/>
      </c>
      <c r="E748" s="38" t="str">
        <f>IF(IF(743&lt;=COUNTA(半紙!$B$11:$B$310),INDEX(半紙!$E$11:$E$310,743),IF(743&lt;=COUNTA(半紙!$B$11:$B$310)+COUNTA(条幅!$B$11:$B$310),INDEX(条幅!$E$11:$E$310,743-COUNTA(半紙!$B$11:$B$310)),IF(743&lt;=COUNTA(半紙!$B$11:$B$310)+COUNTA(条幅!$B$11:$B$310)+COUNTA(条幅4分の1!$B$11:$B$310),INDEX(条幅4分の1!$E$11:$E$310,743-COUNTA(半紙!$B$11:$B$310)-COUNTA(条幅!$B$11:$B$310)),"")))=0,"",IF(743&lt;=COUNTA(半紙!$B$11:$B$310),INDEX(半紙!$E$11:$E$310,743),IF(743&lt;=COUNTA(半紙!$B$11:$B$310)+COUNTA(条幅!$B$11:$B$310),INDEX(条幅!$E$11:$E$310,743-COUNTA(半紙!$B$11:$B$310)),IF(743&lt;=COUNTA(半紙!$B$11:$B$310)+COUNTA(条幅!$B$11:$B$310)+COUNTA(条幅4分の1!$B$11:$B$310),INDEX(条幅4分の1!$E$11:$E$310,743-COUNTA(半紙!$B$11:$B$310)-COUNTA(条幅!$B$11:$B$310)),""))))</f>
        <v/>
      </c>
      <c r="F748" s="38" t="str">
        <f>IF(IF(743&lt;=COUNTA(半紙!$B$11:$B$310),INDEX(半紙!$F$11:$F$310,743),IF(743&lt;=COUNTA(半紙!$B$11:$B$310)+COUNTA(条幅!$B$11:$B$310),INDEX(条幅!$F$11:$F$310,743-COUNTA(半紙!$B$11:$B$310)),IF(743&lt;=COUNTA(半紙!$B$11:$B$310)+COUNTA(条幅!$B$11:$B$310)+COUNTA(条幅4分の1!$B$11:$B$310),INDEX(条幅4分の1!$F$11:$F$310,743-COUNTA(半紙!$B$11:$B$310)-COUNTA(条幅!$B$11:$B$310)),"")))=0,"",IF(743&lt;=COUNTA(半紙!$B$11:$B$310),INDEX(半紙!$F$11:$F$310,743),IF(743&lt;=COUNTA(半紙!$B$11:$B$310)+COUNTA(条幅!$B$11:$B$310),INDEX(条幅!$F$11:$F$310,743-COUNTA(半紙!$B$11:$B$310)),IF(743&lt;=COUNTA(半紙!$B$11:$B$310)+COUNTA(条幅!$B$11:$B$310)+COUNTA(条幅4分の1!$B$11:$B$310),INDEX(条幅4分の1!$F$11:$F$310,743-COUNTA(半紙!$B$11:$B$310)-COUNTA(条幅!$B$11:$B$310)),""))))</f>
        <v/>
      </c>
      <c r="G748" s="38" t="str">
        <f>IF(IF(743&lt;=COUNTA(半紙!$B$11:$B$310),INDEX(半紙!$G$11:$G$310,743),IF(743&lt;=COUNTA(半紙!$B$11:$B$310)+COUNTA(条幅!$B$11:$B$310),INDEX(条幅!$G$11:$G$310,743-COUNTA(半紙!$B$11:$B$310)),IF(743&lt;=COUNTA(半紙!$B$11:$B$310)+COUNTA(条幅!$B$11:$B$310)+COUNTA(条幅4分の1!$B$11:$B$310),INDEX(条幅4分の1!$G$11:$G$310,743-COUNTA(半紙!$B$11:$B$310)-COUNTA(条幅!$B$11:$B$310)),"")))=0,"",IF(743&lt;=COUNTA(半紙!$B$11:$B$310),INDEX(半紙!$G$11:$G$310,743),IF(743&lt;=COUNTA(半紙!$B$11:$B$310)+COUNTA(条幅!$B$11:$B$310),INDEX(条幅!$G$11:$G$310,743-COUNTA(半紙!$B$11:$B$310)),IF(743&lt;=COUNTA(半紙!$B$11:$B$310)+COUNTA(条幅!$B$11:$B$310)+COUNTA(条幅4分の1!$B$11:$B$310),INDEX(条幅4分の1!$G$11:$G$310,743-COUNTA(半紙!$B$11:$B$310)-COUNTA(条幅!$B$11:$B$310)),""))))</f>
        <v/>
      </c>
      <c r="H748" s="38" t="str">
        <f>IF(IF(743&lt;=COUNTA(半紙!$B$11:$B$310),INDEX(半紙!$H$11:$H$310,743),IF(743&lt;=COUNTA(半紙!$B$11:$B$310)+COUNTA(条幅!$B$11:$B$310),INDEX(条幅!$H$11:$H$310,743-COUNTA(半紙!$B$11:$B$310)),IF(743&lt;=COUNTA(半紙!$B$11:$B$310)+COUNTA(条幅!$B$11:$B$310)+COUNTA(条幅4分の1!$B$11:$B$310),INDEX(条幅4分の1!$H$11:$H$310,743-COUNTA(半紙!$B$11:$B$310)-COUNTA(条幅!$B$11:$B$310)),"")))=0,"",IF(743&lt;=COUNTA(半紙!$B$11:$B$310),INDEX(半紙!$H$11:$H$310,743),IF(743&lt;=COUNTA(半紙!$B$11:$B$310)+COUNTA(条幅!$B$11:$B$310),INDEX(条幅!$H$11:$H$310,743-COUNTA(半紙!$B$11:$B$310)),IF(743&lt;=COUNTA(半紙!$B$11:$B$310)+COUNTA(条幅!$B$11:$B$310)+COUNTA(条幅4分の1!$B$11:$B$310),INDEX(条幅4分の1!$H$11:$H$310,743-COUNTA(半紙!$B$11:$B$310)-COUNTA(条幅!$B$11:$B$310)),""))))</f>
        <v/>
      </c>
      <c r="I748" s="38" t="str">
        <f>IF(IF(743&lt;=COUNTA(半紙!$B$11:$B$310),INDEX(半紙!$I$11:$I$310,743),IF(743&lt;=COUNTA(半紙!$B$11:$B$310)+COUNTA(条幅!$B$11:$B$310),INDEX(条幅!$I$11:$I$310,743-COUNTA(半紙!$B$11:$B$310)),IF(743&lt;=COUNTA(半紙!$B$11:$B$310)+COUNTA(条幅!$B$11:$B$310)+COUNTA(条幅4分の1!$B$11:$B$310),INDEX(条幅4分の1!$I$11:$I$310,743-COUNTA(半紙!$B$11:$B$310)-COUNTA(条幅!$B$11:$B$310)),"")))=0,"",IF(743&lt;=COUNTA(半紙!$B$11:$B$310),INDEX(半紙!$I$11:$I$310,743),IF(743&lt;=COUNTA(半紙!$B$11:$B$310)+COUNTA(条幅!$B$11:$B$310),INDEX(条幅!$I$11:$I$310,743-COUNTA(半紙!$B$11:$B$310)),IF(743&lt;=COUNTA(半紙!$B$11:$B$310)+COUNTA(条幅!$B$11:$B$310)+COUNTA(条幅4分の1!$B$11:$B$310),INDEX(条幅4分の1!$I$11:$I$310,743-COUNTA(半紙!$B$11:$B$310)-COUNTA(条幅!$B$11:$B$310)),""))))</f>
        <v/>
      </c>
      <c r="J748" s="38" t="str">
        <f>IF(IF(743&lt;=COUNTA(半紙!$B$11:$B$310),INDEX(半紙!$J$11:$J$310,743),IF(743&lt;=COUNTA(半紙!$B$11:$B$310)+COUNTA(条幅!$B$11:$B$310),INDEX(条幅!$J$11:$J$310,743-COUNTA(半紙!$B$11:$B$310)),IF(743&lt;=COUNTA(半紙!$B$11:$B$310)+COUNTA(条幅!$B$11:$B$310)+COUNTA(条幅4分の1!$B$11:$B$310),INDEX(条幅4分の1!$J$11:$J$310,743-COUNTA(半紙!$B$11:$B$310)-COUNTA(条幅!$B$11:$B$310)),"")))=0,"",IF(743&lt;=COUNTA(半紙!$B$11:$B$310),INDEX(半紙!$J$11:$J$310,743),IF(743&lt;=COUNTA(半紙!$B$11:$B$310)+COUNTA(条幅!$B$11:$B$310),INDEX(条幅!$J$11:$J$310,743-COUNTA(半紙!$B$11:$B$310)),IF(743&lt;=COUNTA(半紙!$B$11:$B$310)+COUNTA(条幅!$B$11:$B$310)+COUNTA(条幅4分の1!$B$11:$B$310),INDEX(条幅4分の1!$J$11:$J$310,743-COUNTA(半紙!$B$11:$B$310)-COUNTA(条幅!$B$11:$B$310)),""))))</f>
        <v/>
      </c>
      <c r="K748" s="38" t="str">
        <f>IF(IF(743&lt;=COUNTA(半紙!$B$11:$B$310),INDEX(半紙!$K$11:$K$310,743),IF(743&lt;=COUNTA(半紙!$B$11:$B$310)+COUNTA(条幅!$B$11:$B$310),INDEX(条幅!$K$11:$K$310,743-COUNTA(半紙!$B$11:$B$310)),IF(743&lt;=COUNTA(半紙!$B$11:$B$310)+COUNTA(条幅!$B$11:$B$310)+COUNTA(条幅4分の1!$B$11:$B$310),INDEX(条幅4分の1!$K$11:$K$310,743-COUNTA(半紙!$B$11:$B$310)-COUNTA(条幅!$B$11:$B$310)),"")))=0,"",IF(743&lt;=COUNTA(半紙!$B$11:$B$310),INDEX(半紙!$K$11:$K$310,743),IF(743&lt;=COUNTA(半紙!$B$11:$B$310)+COUNTA(条幅!$B$11:$B$310),INDEX(条幅!$K$11:$K$310,743-COUNTA(半紙!$B$11:$B$310)),IF(743&lt;=COUNTA(半紙!$B$11:$B$310)+COUNTA(条幅!$B$11:$B$310)+COUNTA(条幅4分の1!$B$11:$B$310),INDEX(条幅4分の1!$K$11:$K$310,743-COUNTA(半紙!$B$11:$B$310)-COUNTA(条幅!$B$11:$B$310)),""))))</f>
        <v/>
      </c>
      <c r="L748" s="48" t="str">
        <f>IF($B748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743))</f>
        <v/>
      </c>
    </row>
    <row r="749" spans="1:12" ht="15" customHeight="1">
      <c r="A749" s="37" t="str">
        <f>IF(744&lt;=COUNTA(半紙!$B$11:$B$310),"半紙",IF(744&lt;=COUNTA(半紙!$B$11:$B$310)+COUNTA(条幅!$B$11:$B$310),"条幅(半切)",IF(744&lt;=COUNTA(半紙!$B$11:$B$310)+COUNTA(条幅!$B$11:$B$310)+COUNTA(条幅4分の1!$B$11:$B$310),"条幅(1/4)","")))</f>
        <v/>
      </c>
      <c r="B749" s="38" t="str">
        <f>IF(IF(744&lt;=COUNTA(半紙!$B$11:$B$310),INDEX(半紙!$B$11:$B$310,744),IF(744&lt;=COUNTA(半紙!$B$11:$B$310)+COUNTA(条幅!$B$11:$B$310),INDEX(条幅!$B$11:$B$310,744-COUNTA(半紙!$B$11:$B$310)),IF(744&lt;=COUNTA(半紙!$B$11:$B$310)+COUNTA(条幅!$B$11:$B$310)+COUNTA(条幅4分の1!$B$11:$B$310),INDEX(条幅4分の1!$B$11:$B$310,744-COUNTA(半紙!$B$11:$B$310)-COUNTA(条幅!$B$11:$B$310)),"")))=0,"",IF(744&lt;=COUNTA(半紙!$B$11:$B$310),INDEX(半紙!$B$11:$B$310,744),IF(744&lt;=COUNTA(半紙!$B$11:$B$310)+COUNTA(条幅!$B$11:$B$310),INDEX(条幅!$B$11:$B$310,744-COUNTA(半紙!$B$11:$B$310)),IF(744&lt;=COUNTA(半紙!$B$11:$B$310)+COUNTA(条幅!$B$11:$B$310)+COUNTA(条幅4分の1!$B$11:$B$310),INDEX(条幅4分の1!$B$11:$B$310,744-COUNTA(半紙!$B$11:$B$310)-COUNTA(条幅!$B$11:$B$310)),""))))</f>
        <v/>
      </c>
      <c r="C749" s="38" t="str">
        <f>IF(IF(744&lt;=COUNTA(半紙!$B$11:$B$310),INDEX(半紙!$C$11:$C$310,744),IF(744&lt;=COUNTA(半紙!$B$11:$B$310)+COUNTA(条幅!$B$11:$B$310),INDEX(条幅!$C$11:$C$310,744-COUNTA(半紙!$B$11:$B$310)),IF(744&lt;=COUNTA(半紙!$B$11:$B$310)+COUNTA(条幅!$B$11:$B$310)+COUNTA(条幅4分の1!$B$11:$B$310),INDEX(条幅4分の1!$C$11:$C$310,744-COUNTA(半紙!$B$11:$B$310)-COUNTA(条幅!$B$11:$B$310)),"")))=0,"",IF(744&lt;=COUNTA(半紙!$B$11:$B$310),INDEX(半紙!$C$11:$C$310,744),IF(744&lt;=COUNTA(半紙!$B$11:$B$310)+COUNTA(条幅!$B$11:$B$310),INDEX(条幅!$C$11:$C$310,744-COUNTA(半紙!$B$11:$B$310)),IF(744&lt;=COUNTA(半紙!$B$11:$B$310)+COUNTA(条幅!$B$11:$B$310)+COUNTA(条幅4分の1!$B$11:$B$310),INDEX(条幅4分の1!$C$11:$C$310,744-COUNTA(半紙!$B$11:$B$310)-COUNTA(条幅!$B$11:$B$310)),""))))</f>
        <v/>
      </c>
      <c r="D749" s="38" t="str">
        <f>IF(IF(744&lt;=COUNTA(半紙!$B$11:$B$310),INDEX(半紙!$D$11:$D$310,744),IF(744&lt;=COUNTA(半紙!$B$11:$B$310)+COUNTA(条幅!$B$11:$B$310),INDEX(条幅!$D$11:$D$310,744-COUNTA(半紙!$B$11:$B$310)),IF(744&lt;=COUNTA(半紙!$B$11:$B$310)+COUNTA(条幅!$B$11:$B$310)+COUNTA(条幅4分の1!$B$11:$B$310),INDEX(条幅4分の1!$D$11:$D$310,744-COUNTA(半紙!$B$11:$B$310)-COUNTA(条幅!$B$11:$B$310)),"")))=0,"",IF(744&lt;=COUNTA(半紙!$B$11:$B$310),INDEX(半紙!$D$11:$D$310,744),IF(744&lt;=COUNTA(半紙!$B$11:$B$310)+COUNTA(条幅!$B$11:$B$310),INDEX(条幅!$D$11:$D$310,744-COUNTA(半紙!$B$11:$B$310)),IF(744&lt;=COUNTA(半紙!$B$11:$B$310)+COUNTA(条幅!$B$11:$B$310)+COUNTA(条幅4分の1!$B$11:$B$310),INDEX(条幅4分の1!$D$11:$D$310,744-COUNTA(半紙!$B$11:$B$310)-COUNTA(条幅!$B$11:$B$310)),""))))</f>
        <v/>
      </c>
      <c r="E749" s="38" t="str">
        <f>IF(IF(744&lt;=COUNTA(半紙!$B$11:$B$310),INDEX(半紙!$E$11:$E$310,744),IF(744&lt;=COUNTA(半紙!$B$11:$B$310)+COUNTA(条幅!$B$11:$B$310),INDEX(条幅!$E$11:$E$310,744-COUNTA(半紙!$B$11:$B$310)),IF(744&lt;=COUNTA(半紙!$B$11:$B$310)+COUNTA(条幅!$B$11:$B$310)+COUNTA(条幅4分の1!$B$11:$B$310),INDEX(条幅4分の1!$E$11:$E$310,744-COUNTA(半紙!$B$11:$B$310)-COUNTA(条幅!$B$11:$B$310)),"")))=0,"",IF(744&lt;=COUNTA(半紙!$B$11:$B$310),INDEX(半紙!$E$11:$E$310,744),IF(744&lt;=COUNTA(半紙!$B$11:$B$310)+COUNTA(条幅!$B$11:$B$310),INDEX(条幅!$E$11:$E$310,744-COUNTA(半紙!$B$11:$B$310)),IF(744&lt;=COUNTA(半紙!$B$11:$B$310)+COUNTA(条幅!$B$11:$B$310)+COUNTA(条幅4分の1!$B$11:$B$310),INDEX(条幅4分の1!$E$11:$E$310,744-COUNTA(半紙!$B$11:$B$310)-COUNTA(条幅!$B$11:$B$310)),""))))</f>
        <v/>
      </c>
      <c r="F749" s="38" t="str">
        <f>IF(IF(744&lt;=COUNTA(半紙!$B$11:$B$310),INDEX(半紙!$F$11:$F$310,744),IF(744&lt;=COUNTA(半紙!$B$11:$B$310)+COUNTA(条幅!$B$11:$B$310),INDEX(条幅!$F$11:$F$310,744-COUNTA(半紙!$B$11:$B$310)),IF(744&lt;=COUNTA(半紙!$B$11:$B$310)+COUNTA(条幅!$B$11:$B$310)+COUNTA(条幅4分の1!$B$11:$B$310),INDEX(条幅4分の1!$F$11:$F$310,744-COUNTA(半紙!$B$11:$B$310)-COUNTA(条幅!$B$11:$B$310)),"")))=0,"",IF(744&lt;=COUNTA(半紙!$B$11:$B$310),INDEX(半紙!$F$11:$F$310,744),IF(744&lt;=COUNTA(半紙!$B$11:$B$310)+COUNTA(条幅!$B$11:$B$310),INDEX(条幅!$F$11:$F$310,744-COUNTA(半紙!$B$11:$B$310)),IF(744&lt;=COUNTA(半紙!$B$11:$B$310)+COUNTA(条幅!$B$11:$B$310)+COUNTA(条幅4分の1!$B$11:$B$310),INDEX(条幅4分の1!$F$11:$F$310,744-COUNTA(半紙!$B$11:$B$310)-COUNTA(条幅!$B$11:$B$310)),""))))</f>
        <v/>
      </c>
      <c r="G749" s="38" t="str">
        <f>IF(IF(744&lt;=COUNTA(半紙!$B$11:$B$310),INDEX(半紙!$G$11:$G$310,744),IF(744&lt;=COUNTA(半紙!$B$11:$B$310)+COUNTA(条幅!$B$11:$B$310),INDEX(条幅!$G$11:$G$310,744-COUNTA(半紙!$B$11:$B$310)),IF(744&lt;=COUNTA(半紙!$B$11:$B$310)+COUNTA(条幅!$B$11:$B$310)+COUNTA(条幅4分の1!$B$11:$B$310),INDEX(条幅4分の1!$G$11:$G$310,744-COUNTA(半紙!$B$11:$B$310)-COUNTA(条幅!$B$11:$B$310)),"")))=0,"",IF(744&lt;=COUNTA(半紙!$B$11:$B$310),INDEX(半紙!$G$11:$G$310,744),IF(744&lt;=COUNTA(半紙!$B$11:$B$310)+COUNTA(条幅!$B$11:$B$310),INDEX(条幅!$G$11:$G$310,744-COUNTA(半紙!$B$11:$B$310)),IF(744&lt;=COUNTA(半紙!$B$11:$B$310)+COUNTA(条幅!$B$11:$B$310)+COUNTA(条幅4分の1!$B$11:$B$310),INDEX(条幅4分の1!$G$11:$G$310,744-COUNTA(半紙!$B$11:$B$310)-COUNTA(条幅!$B$11:$B$310)),""))))</f>
        <v/>
      </c>
      <c r="H749" s="38" t="str">
        <f>IF(IF(744&lt;=COUNTA(半紙!$B$11:$B$310),INDEX(半紙!$H$11:$H$310,744),IF(744&lt;=COUNTA(半紙!$B$11:$B$310)+COUNTA(条幅!$B$11:$B$310),INDEX(条幅!$H$11:$H$310,744-COUNTA(半紙!$B$11:$B$310)),IF(744&lt;=COUNTA(半紙!$B$11:$B$310)+COUNTA(条幅!$B$11:$B$310)+COUNTA(条幅4分の1!$B$11:$B$310),INDEX(条幅4分の1!$H$11:$H$310,744-COUNTA(半紙!$B$11:$B$310)-COUNTA(条幅!$B$11:$B$310)),"")))=0,"",IF(744&lt;=COUNTA(半紙!$B$11:$B$310),INDEX(半紙!$H$11:$H$310,744),IF(744&lt;=COUNTA(半紙!$B$11:$B$310)+COUNTA(条幅!$B$11:$B$310),INDEX(条幅!$H$11:$H$310,744-COUNTA(半紙!$B$11:$B$310)),IF(744&lt;=COUNTA(半紙!$B$11:$B$310)+COUNTA(条幅!$B$11:$B$310)+COUNTA(条幅4分の1!$B$11:$B$310),INDEX(条幅4分の1!$H$11:$H$310,744-COUNTA(半紙!$B$11:$B$310)-COUNTA(条幅!$B$11:$B$310)),""))))</f>
        <v/>
      </c>
      <c r="I749" s="38" t="str">
        <f>IF(IF(744&lt;=COUNTA(半紙!$B$11:$B$310),INDEX(半紙!$I$11:$I$310,744),IF(744&lt;=COUNTA(半紙!$B$11:$B$310)+COUNTA(条幅!$B$11:$B$310),INDEX(条幅!$I$11:$I$310,744-COUNTA(半紙!$B$11:$B$310)),IF(744&lt;=COUNTA(半紙!$B$11:$B$310)+COUNTA(条幅!$B$11:$B$310)+COUNTA(条幅4分の1!$B$11:$B$310),INDEX(条幅4分の1!$I$11:$I$310,744-COUNTA(半紙!$B$11:$B$310)-COUNTA(条幅!$B$11:$B$310)),"")))=0,"",IF(744&lt;=COUNTA(半紙!$B$11:$B$310),INDEX(半紙!$I$11:$I$310,744),IF(744&lt;=COUNTA(半紙!$B$11:$B$310)+COUNTA(条幅!$B$11:$B$310),INDEX(条幅!$I$11:$I$310,744-COUNTA(半紙!$B$11:$B$310)),IF(744&lt;=COUNTA(半紙!$B$11:$B$310)+COUNTA(条幅!$B$11:$B$310)+COUNTA(条幅4分の1!$B$11:$B$310),INDEX(条幅4分の1!$I$11:$I$310,744-COUNTA(半紙!$B$11:$B$310)-COUNTA(条幅!$B$11:$B$310)),""))))</f>
        <v/>
      </c>
      <c r="J749" s="38" t="str">
        <f>IF(IF(744&lt;=COUNTA(半紙!$B$11:$B$310),INDEX(半紙!$J$11:$J$310,744),IF(744&lt;=COUNTA(半紙!$B$11:$B$310)+COUNTA(条幅!$B$11:$B$310),INDEX(条幅!$J$11:$J$310,744-COUNTA(半紙!$B$11:$B$310)),IF(744&lt;=COUNTA(半紙!$B$11:$B$310)+COUNTA(条幅!$B$11:$B$310)+COUNTA(条幅4分の1!$B$11:$B$310),INDEX(条幅4分の1!$J$11:$J$310,744-COUNTA(半紙!$B$11:$B$310)-COUNTA(条幅!$B$11:$B$310)),"")))=0,"",IF(744&lt;=COUNTA(半紙!$B$11:$B$310),INDEX(半紙!$J$11:$J$310,744),IF(744&lt;=COUNTA(半紙!$B$11:$B$310)+COUNTA(条幅!$B$11:$B$310),INDEX(条幅!$J$11:$J$310,744-COUNTA(半紙!$B$11:$B$310)),IF(744&lt;=COUNTA(半紙!$B$11:$B$310)+COUNTA(条幅!$B$11:$B$310)+COUNTA(条幅4分の1!$B$11:$B$310),INDEX(条幅4分の1!$J$11:$J$310,744-COUNTA(半紙!$B$11:$B$310)-COUNTA(条幅!$B$11:$B$310)),""))))</f>
        <v/>
      </c>
      <c r="K749" s="38" t="str">
        <f>IF(IF(744&lt;=COUNTA(半紙!$B$11:$B$310),INDEX(半紙!$K$11:$K$310,744),IF(744&lt;=COUNTA(半紙!$B$11:$B$310)+COUNTA(条幅!$B$11:$B$310),INDEX(条幅!$K$11:$K$310,744-COUNTA(半紙!$B$11:$B$310)),IF(744&lt;=COUNTA(半紙!$B$11:$B$310)+COUNTA(条幅!$B$11:$B$310)+COUNTA(条幅4分の1!$B$11:$B$310),INDEX(条幅4分の1!$K$11:$K$310,744-COUNTA(半紙!$B$11:$B$310)-COUNTA(条幅!$B$11:$B$310)),"")))=0,"",IF(744&lt;=COUNTA(半紙!$B$11:$B$310),INDEX(半紙!$K$11:$K$310,744),IF(744&lt;=COUNTA(半紙!$B$11:$B$310)+COUNTA(条幅!$B$11:$B$310),INDEX(条幅!$K$11:$K$310,744-COUNTA(半紙!$B$11:$B$310)),IF(744&lt;=COUNTA(半紙!$B$11:$B$310)+COUNTA(条幅!$B$11:$B$310)+COUNTA(条幅4分の1!$B$11:$B$310),INDEX(条幅4分の1!$K$11:$K$310,744-COUNTA(半紙!$B$11:$B$310)-COUNTA(条幅!$B$11:$B$310)),""))))</f>
        <v/>
      </c>
      <c r="L749" s="48" t="str">
        <f>IF($B749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744))</f>
        <v/>
      </c>
    </row>
    <row r="750" spans="1:12" ht="15" customHeight="1">
      <c r="A750" s="37" t="str">
        <f>IF(745&lt;=COUNTA(半紙!$B$11:$B$310),"半紙",IF(745&lt;=COUNTA(半紙!$B$11:$B$310)+COUNTA(条幅!$B$11:$B$310),"条幅(半切)",IF(745&lt;=COUNTA(半紙!$B$11:$B$310)+COUNTA(条幅!$B$11:$B$310)+COUNTA(条幅4分の1!$B$11:$B$310),"条幅(1/4)","")))</f>
        <v/>
      </c>
      <c r="B750" s="38" t="str">
        <f>IF(IF(745&lt;=COUNTA(半紙!$B$11:$B$310),INDEX(半紙!$B$11:$B$310,745),IF(745&lt;=COUNTA(半紙!$B$11:$B$310)+COUNTA(条幅!$B$11:$B$310),INDEX(条幅!$B$11:$B$310,745-COUNTA(半紙!$B$11:$B$310)),IF(745&lt;=COUNTA(半紙!$B$11:$B$310)+COUNTA(条幅!$B$11:$B$310)+COUNTA(条幅4分の1!$B$11:$B$310),INDEX(条幅4分の1!$B$11:$B$310,745-COUNTA(半紙!$B$11:$B$310)-COUNTA(条幅!$B$11:$B$310)),"")))=0,"",IF(745&lt;=COUNTA(半紙!$B$11:$B$310),INDEX(半紙!$B$11:$B$310,745),IF(745&lt;=COUNTA(半紙!$B$11:$B$310)+COUNTA(条幅!$B$11:$B$310),INDEX(条幅!$B$11:$B$310,745-COUNTA(半紙!$B$11:$B$310)),IF(745&lt;=COUNTA(半紙!$B$11:$B$310)+COUNTA(条幅!$B$11:$B$310)+COUNTA(条幅4分の1!$B$11:$B$310),INDEX(条幅4分の1!$B$11:$B$310,745-COUNTA(半紙!$B$11:$B$310)-COUNTA(条幅!$B$11:$B$310)),""))))</f>
        <v/>
      </c>
      <c r="C750" s="38" t="str">
        <f>IF(IF(745&lt;=COUNTA(半紙!$B$11:$B$310),INDEX(半紙!$C$11:$C$310,745),IF(745&lt;=COUNTA(半紙!$B$11:$B$310)+COUNTA(条幅!$B$11:$B$310),INDEX(条幅!$C$11:$C$310,745-COUNTA(半紙!$B$11:$B$310)),IF(745&lt;=COUNTA(半紙!$B$11:$B$310)+COUNTA(条幅!$B$11:$B$310)+COUNTA(条幅4分の1!$B$11:$B$310),INDEX(条幅4分の1!$C$11:$C$310,745-COUNTA(半紙!$B$11:$B$310)-COUNTA(条幅!$B$11:$B$310)),"")))=0,"",IF(745&lt;=COUNTA(半紙!$B$11:$B$310),INDEX(半紙!$C$11:$C$310,745),IF(745&lt;=COUNTA(半紙!$B$11:$B$310)+COUNTA(条幅!$B$11:$B$310),INDEX(条幅!$C$11:$C$310,745-COUNTA(半紙!$B$11:$B$310)),IF(745&lt;=COUNTA(半紙!$B$11:$B$310)+COUNTA(条幅!$B$11:$B$310)+COUNTA(条幅4分の1!$B$11:$B$310),INDEX(条幅4分の1!$C$11:$C$310,745-COUNTA(半紙!$B$11:$B$310)-COUNTA(条幅!$B$11:$B$310)),""))))</f>
        <v/>
      </c>
      <c r="D750" s="38" t="str">
        <f>IF(IF(745&lt;=COUNTA(半紙!$B$11:$B$310),INDEX(半紙!$D$11:$D$310,745),IF(745&lt;=COUNTA(半紙!$B$11:$B$310)+COUNTA(条幅!$B$11:$B$310),INDEX(条幅!$D$11:$D$310,745-COUNTA(半紙!$B$11:$B$310)),IF(745&lt;=COUNTA(半紙!$B$11:$B$310)+COUNTA(条幅!$B$11:$B$310)+COUNTA(条幅4分の1!$B$11:$B$310),INDEX(条幅4分の1!$D$11:$D$310,745-COUNTA(半紙!$B$11:$B$310)-COUNTA(条幅!$B$11:$B$310)),"")))=0,"",IF(745&lt;=COUNTA(半紙!$B$11:$B$310),INDEX(半紙!$D$11:$D$310,745),IF(745&lt;=COUNTA(半紙!$B$11:$B$310)+COUNTA(条幅!$B$11:$B$310),INDEX(条幅!$D$11:$D$310,745-COUNTA(半紙!$B$11:$B$310)),IF(745&lt;=COUNTA(半紙!$B$11:$B$310)+COUNTA(条幅!$B$11:$B$310)+COUNTA(条幅4分の1!$B$11:$B$310),INDEX(条幅4分の1!$D$11:$D$310,745-COUNTA(半紙!$B$11:$B$310)-COUNTA(条幅!$B$11:$B$310)),""))))</f>
        <v/>
      </c>
      <c r="E750" s="38" t="str">
        <f>IF(IF(745&lt;=COUNTA(半紙!$B$11:$B$310),INDEX(半紙!$E$11:$E$310,745),IF(745&lt;=COUNTA(半紙!$B$11:$B$310)+COUNTA(条幅!$B$11:$B$310),INDEX(条幅!$E$11:$E$310,745-COUNTA(半紙!$B$11:$B$310)),IF(745&lt;=COUNTA(半紙!$B$11:$B$310)+COUNTA(条幅!$B$11:$B$310)+COUNTA(条幅4分の1!$B$11:$B$310),INDEX(条幅4分の1!$E$11:$E$310,745-COUNTA(半紙!$B$11:$B$310)-COUNTA(条幅!$B$11:$B$310)),"")))=0,"",IF(745&lt;=COUNTA(半紙!$B$11:$B$310),INDEX(半紙!$E$11:$E$310,745),IF(745&lt;=COUNTA(半紙!$B$11:$B$310)+COUNTA(条幅!$B$11:$B$310),INDEX(条幅!$E$11:$E$310,745-COUNTA(半紙!$B$11:$B$310)),IF(745&lt;=COUNTA(半紙!$B$11:$B$310)+COUNTA(条幅!$B$11:$B$310)+COUNTA(条幅4分の1!$B$11:$B$310),INDEX(条幅4分の1!$E$11:$E$310,745-COUNTA(半紙!$B$11:$B$310)-COUNTA(条幅!$B$11:$B$310)),""))))</f>
        <v/>
      </c>
      <c r="F750" s="38" t="str">
        <f>IF(IF(745&lt;=COUNTA(半紙!$B$11:$B$310),INDEX(半紙!$F$11:$F$310,745),IF(745&lt;=COUNTA(半紙!$B$11:$B$310)+COUNTA(条幅!$B$11:$B$310),INDEX(条幅!$F$11:$F$310,745-COUNTA(半紙!$B$11:$B$310)),IF(745&lt;=COUNTA(半紙!$B$11:$B$310)+COUNTA(条幅!$B$11:$B$310)+COUNTA(条幅4分の1!$B$11:$B$310),INDEX(条幅4分の1!$F$11:$F$310,745-COUNTA(半紙!$B$11:$B$310)-COUNTA(条幅!$B$11:$B$310)),"")))=0,"",IF(745&lt;=COUNTA(半紙!$B$11:$B$310),INDEX(半紙!$F$11:$F$310,745),IF(745&lt;=COUNTA(半紙!$B$11:$B$310)+COUNTA(条幅!$B$11:$B$310),INDEX(条幅!$F$11:$F$310,745-COUNTA(半紙!$B$11:$B$310)),IF(745&lt;=COUNTA(半紙!$B$11:$B$310)+COUNTA(条幅!$B$11:$B$310)+COUNTA(条幅4分の1!$B$11:$B$310),INDEX(条幅4分の1!$F$11:$F$310,745-COUNTA(半紙!$B$11:$B$310)-COUNTA(条幅!$B$11:$B$310)),""))))</f>
        <v/>
      </c>
      <c r="G750" s="38" t="str">
        <f>IF(IF(745&lt;=COUNTA(半紙!$B$11:$B$310),INDEX(半紙!$G$11:$G$310,745),IF(745&lt;=COUNTA(半紙!$B$11:$B$310)+COUNTA(条幅!$B$11:$B$310),INDEX(条幅!$G$11:$G$310,745-COUNTA(半紙!$B$11:$B$310)),IF(745&lt;=COUNTA(半紙!$B$11:$B$310)+COUNTA(条幅!$B$11:$B$310)+COUNTA(条幅4分の1!$B$11:$B$310),INDEX(条幅4分の1!$G$11:$G$310,745-COUNTA(半紙!$B$11:$B$310)-COUNTA(条幅!$B$11:$B$310)),"")))=0,"",IF(745&lt;=COUNTA(半紙!$B$11:$B$310),INDEX(半紙!$G$11:$G$310,745),IF(745&lt;=COUNTA(半紙!$B$11:$B$310)+COUNTA(条幅!$B$11:$B$310),INDEX(条幅!$G$11:$G$310,745-COUNTA(半紙!$B$11:$B$310)),IF(745&lt;=COUNTA(半紙!$B$11:$B$310)+COUNTA(条幅!$B$11:$B$310)+COUNTA(条幅4分の1!$B$11:$B$310),INDEX(条幅4分の1!$G$11:$G$310,745-COUNTA(半紙!$B$11:$B$310)-COUNTA(条幅!$B$11:$B$310)),""))))</f>
        <v/>
      </c>
      <c r="H750" s="38" t="str">
        <f>IF(IF(745&lt;=COUNTA(半紙!$B$11:$B$310),INDEX(半紙!$H$11:$H$310,745),IF(745&lt;=COUNTA(半紙!$B$11:$B$310)+COUNTA(条幅!$B$11:$B$310),INDEX(条幅!$H$11:$H$310,745-COUNTA(半紙!$B$11:$B$310)),IF(745&lt;=COUNTA(半紙!$B$11:$B$310)+COUNTA(条幅!$B$11:$B$310)+COUNTA(条幅4分の1!$B$11:$B$310),INDEX(条幅4分の1!$H$11:$H$310,745-COUNTA(半紙!$B$11:$B$310)-COUNTA(条幅!$B$11:$B$310)),"")))=0,"",IF(745&lt;=COUNTA(半紙!$B$11:$B$310),INDEX(半紙!$H$11:$H$310,745),IF(745&lt;=COUNTA(半紙!$B$11:$B$310)+COUNTA(条幅!$B$11:$B$310),INDEX(条幅!$H$11:$H$310,745-COUNTA(半紙!$B$11:$B$310)),IF(745&lt;=COUNTA(半紙!$B$11:$B$310)+COUNTA(条幅!$B$11:$B$310)+COUNTA(条幅4分の1!$B$11:$B$310),INDEX(条幅4分の1!$H$11:$H$310,745-COUNTA(半紙!$B$11:$B$310)-COUNTA(条幅!$B$11:$B$310)),""))))</f>
        <v/>
      </c>
      <c r="I750" s="38" t="str">
        <f>IF(IF(745&lt;=COUNTA(半紙!$B$11:$B$310),INDEX(半紙!$I$11:$I$310,745),IF(745&lt;=COUNTA(半紙!$B$11:$B$310)+COUNTA(条幅!$B$11:$B$310),INDEX(条幅!$I$11:$I$310,745-COUNTA(半紙!$B$11:$B$310)),IF(745&lt;=COUNTA(半紙!$B$11:$B$310)+COUNTA(条幅!$B$11:$B$310)+COUNTA(条幅4分の1!$B$11:$B$310),INDEX(条幅4分の1!$I$11:$I$310,745-COUNTA(半紙!$B$11:$B$310)-COUNTA(条幅!$B$11:$B$310)),"")))=0,"",IF(745&lt;=COUNTA(半紙!$B$11:$B$310),INDEX(半紙!$I$11:$I$310,745),IF(745&lt;=COUNTA(半紙!$B$11:$B$310)+COUNTA(条幅!$B$11:$B$310),INDEX(条幅!$I$11:$I$310,745-COUNTA(半紙!$B$11:$B$310)),IF(745&lt;=COUNTA(半紙!$B$11:$B$310)+COUNTA(条幅!$B$11:$B$310)+COUNTA(条幅4分の1!$B$11:$B$310),INDEX(条幅4分の1!$I$11:$I$310,745-COUNTA(半紙!$B$11:$B$310)-COUNTA(条幅!$B$11:$B$310)),""))))</f>
        <v/>
      </c>
      <c r="J750" s="38" t="str">
        <f>IF(IF(745&lt;=COUNTA(半紙!$B$11:$B$310),INDEX(半紙!$J$11:$J$310,745),IF(745&lt;=COUNTA(半紙!$B$11:$B$310)+COUNTA(条幅!$B$11:$B$310),INDEX(条幅!$J$11:$J$310,745-COUNTA(半紙!$B$11:$B$310)),IF(745&lt;=COUNTA(半紙!$B$11:$B$310)+COUNTA(条幅!$B$11:$B$310)+COUNTA(条幅4分の1!$B$11:$B$310),INDEX(条幅4分の1!$J$11:$J$310,745-COUNTA(半紙!$B$11:$B$310)-COUNTA(条幅!$B$11:$B$310)),"")))=0,"",IF(745&lt;=COUNTA(半紙!$B$11:$B$310),INDEX(半紙!$J$11:$J$310,745),IF(745&lt;=COUNTA(半紙!$B$11:$B$310)+COUNTA(条幅!$B$11:$B$310),INDEX(条幅!$J$11:$J$310,745-COUNTA(半紙!$B$11:$B$310)),IF(745&lt;=COUNTA(半紙!$B$11:$B$310)+COUNTA(条幅!$B$11:$B$310)+COUNTA(条幅4分の1!$B$11:$B$310),INDEX(条幅4分の1!$J$11:$J$310,745-COUNTA(半紙!$B$11:$B$310)-COUNTA(条幅!$B$11:$B$310)),""))))</f>
        <v/>
      </c>
      <c r="K750" s="38" t="str">
        <f>IF(IF(745&lt;=COUNTA(半紙!$B$11:$B$310),INDEX(半紙!$K$11:$K$310,745),IF(745&lt;=COUNTA(半紙!$B$11:$B$310)+COUNTA(条幅!$B$11:$B$310),INDEX(条幅!$K$11:$K$310,745-COUNTA(半紙!$B$11:$B$310)),IF(745&lt;=COUNTA(半紙!$B$11:$B$310)+COUNTA(条幅!$B$11:$B$310)+COUNTA(条幅4分の1!$B$11:$B$310),INDEX(条幅4分の1!$K$11:$K$310,745-COUNTA(半紙!$B$11:$B$310)-COUNTA(条幅!$B$11:$B$310)),"")))=0,"",IF(745&lt;=COUNTA(半紙!$B$11:$B$310),INDEX(半紙!$K$11:$K$310,745),IF(745&lt;=COUNTA(半紙!$B$11:$B$310)+COUNTA(条幅!$B$11:$B$310),INDEX(条幅!$K$11:$K$310,745-COUNTA(半紙!$B$11:$B$310)),IF(745&lt;=COUNTA(半紙!$B$11:$B$310)+COUNTA(条幅!$B$11:$B$310)+COUNTA(条幅4分の1!$B$11:$B$310),INDEX(条幅4分の1!$K$11:$K$310,745-COUNTA(半紙!$B$11:$B$310)-COUNTA(条幅!$B$11:$B$310)),""))))</f>
        <v/>
      </c>
      <c r="L750" s="48" t="str">
        <f>IF($B750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745))</f>
        <v/>
      </c>
    </row>
    <row r="751" spans="1:12" ht="15" customHeight="1">
      <c r="A751" s="37" t="str">
        <f>IF(746&lt;=COUNTA(半紙!$B$11:$B$310),"半紙",IF(746&lt;=COUNTA(半紙!$B$11:$B$310)+COUNTA(条幅!$B$11:$B$310),"条幅(半切)",IF(746&lt;=COUNTA(半紙!$B$11:$B$310)+COUNTA(条幅!$B$11:$B$310)+COUNTA(条幅4分の1!$B$11:$B$310),"条幅(1/4)","")))</f>
        <v/>
      </c>
      <c r="B751" s="38" t="str">
        <f>IF(IF(746&lt;=COUNTA(半紙!$B$11:$B$310),INDEX(半紙!$B$11:$B$310,746),IF(746&lt;=COUNTA(半紙!$B$11:$B$310)+COUNTA(条幅!$B$11:$B$310),INDEX(条幅!$B$11:$B$310,746-COUNTA(半紙!$B$11:$B$310)),IF(746&lt;=COUNTA(半紙!$B$11:$B$310)+COUNTA(条幅!$B$11:$B$310)+COUNTA(条幅4分の1!$B$11:$B$310),INDEX(条幅4分の1!$B$11:$B$310,746-COUNTA(半紙!$B$11:$B$310)-COUNTA(条幅!$B$11:$B$310)),"")))=0,"",IF(746&lt;=COUNTA(半紙!$B$11:$B$310),INDEX(半紙!$B$11:$B$310,746),IF(746&lt;=COUNTA(半紙!$B$11:$B$310)+COUNTA(条幅!$B$11:$B$310),INDEX(条幅!$B$11:$B$310,746-COUNTA(半紙!$B$11:$B$310)),IF(746&lt;=COUNTA(半紙!$B$11:$B$310)+COUNTA(条幅!$B$11:$B$310)+COUNTA(条幅4分の1!$B$11:$B$310),INDEX(条幅4分の1!$B$11:$B$310,746-COUNTA(半紙!$B$11:$B$310)-COUNTA(条幅!$B$11:$B$310)),""))))</f>
        <v/>
      </c>
      <c r="C751" s="38" t="str">
        <f>IF(IF(746&lt;=COUNTA(半紙!$B$11:$B$310),INDEX(半紙!$C$11:$C$310,746),IF(746&lt;=COUNTA(半紙!$B$11:$B$310)+COUNTA(条幅!$B$11:$B$310),INDEX(条幅!$C$11:$C$310,746-COUNTA(半紙!$B$11:$B$310)),IF(746&lt;=COUNTA(半紙!$B$11:$B$310)+COUNTA(条幅!$B$11:$B$310)+COUNTA(条幅4分の1!$B$11:$B$310),INDEX(条幅4分の1!$C$11:$C$310,746-COUNTA(半紙!$B$11:$B$310)-COUNTA(条幅!$B$11:$B$310)),"")))=0,"",IF(746&lt;=COUNTA(半紙!$B$11:$B$310),INDEX(半紙!$C$11:$C$310,746),IF(746&lt;=COUNTA(半紙!$B$11:$B$310)+COUNTA(条幅!$B$11:$B$310),INDEX(条幅!$C$11:$C$310,746-COUNTA(半紙!$B$11:$B$310)),IF(746&lt;=COUNTA(半紙!$B$11:$B$310)+COUNTA(条幅!$B$11:$B$310)+COUNTA(条幅4分の1!$B$11:$B$310),INDEX(条幅4分の1!$C$11:$C$310,746-COUNTA(半紙!$B$11:$B$310)-COUNTA(条幅!$B$11:$B$310)),""))))</f>
        <v/>
      </c>
      <c r="D751" s="38" t="str">
        <f>IF(IF(746&lt;=COUNTA(半紙!$B$11:$B$310),INDEX(半紙!$D$11:$D$310,746),IF(746&lt;=COUNTA(半紙!$B$11:$B$310)+COUNTA(条幅!$B$11:$B$310),INDEX(条幅!$D$11:$D$310,746-COUNTA(半紙!$B$11:$B$310)),IF(746&lt;=COUNTA(半紙!$B$11:$B$310)+COUNTA(条幅!$B$11:$B$310)+COUNTA(条幅4分の1!$B$11:$B$310),INDEX(条幅4分の1!$D$11:$D$310,746-COUNTA(半紙!$B$11:$B$310)-COUNTA(条幅!$B$11:$B$310)),"")))=0,"",IF(746&lt;=COUNTA(半紙!$B$11:$B$310),INDEX(半紙!$D$11:$D$310,746),IF(746&lt;=COUNTA(半紙!$B$11:$B$310)+COUNTA(条幅!$B$11:$B$310),INDEX(条幅!$D$11:$D$310,746-COUNTA(半紙!$B$11:$B$310)),IF(746&lt;=COUNTA(半紙!$B$11:$B$310)+COUNTA(条幅!$B$11:$B$310)+COUNTA(条幅4分の1!$B$11:$B$310),INDEX(条幅4分の1!$D$11:$D$310,746-COUNTA(半紙!$B$11:$B$310)-COUNTA(条幅!$B$11:$B$310)),""))))</f>
        <v/>
      </c>
      <c r="E751" s="38" t="str">
        <f>IF(IF(746&lt;=COUNTA(半紙!$B$11:$B$310),INDEX(半紙!$E$11:$E$310,746),IF(746&lt;=COUNTA(半紙!$B$11:$B$310)+COUNTA(条幅!$B$11:$B$310),INDEX(条幅!$E$11:$E$310,746-COUNTA(半紙!$B$11:$B$310)),IF(746&lt;=COUNTA(半紙!$B$11:$B$310)+COUNTA(条幅!$B$11:$B$310)+COUNTA(条幅4分の1!$B$11:$B$310),INDEX(条幅4分の1!$E$11:$E$310,746-COUNTA(半紙!$B$11:$B$310)-COUNTA(条幅!$B$11:$B$310)),"")))=0,"",IF(746&lt;=COUNTA(半紙!$B$11:$B$310),INDEX(半紙!$E$11:$E$310,746),IF(746&lt;=COUNTA(半紙!$B$11:$B$310)+COUNTA(条幅!$B$11:$B$310),INDEX(条幅!$E$11:$E$310,746-COUNTA(半紙!$B$11:$B$310)),IF(746&lt;=COUNTA(半紙!$B$11:$B$310)+COUNTA(条幅!$B$11:$B$310)+COUNTA(条幅4分の1!$B$11:$B$310),INDEX(条幅4分の1!$E$11:$E$310,746-COUNTA(半紙!$B$11:$B$310)-COUNTA(条幅!$B$11:$B$310)),""))))</f>
        <v/>
      </c>
      <c r="F751" s="38" t="str">
        <f>IF(IF(746&lt;=COUNTA(半紙!$B$11:$B$310),INDEX(半紙!$F$11:$F$310,746),IF(746&lt;=COUNTA(半紙!$B$11:$B$310)+COUNTA(条幅!$B$11:$B$310),INDEX(条幅!$F$11:$F$310,746-COUNTA(半紙!$B$11:$B$310)),IF(746&lt;=COUNTA(半紙!$B$11:$B$310)+COUNTA(条幅!$B$11:$B$310)+COUNTA(条幅4分の1!$B$11:$B$310),INDEX(条幅4分の1!$F$11:$F$310,746-COUNTA(半紙!$B$11:$B$310)-COUNTA(条幅!$B$11:$B$310)),"")))=0,"",IF(746&lt;=COUNTA(半紙!$B$11:$B$310),INDEX(半紙!$F$11:$F$310,746),IF(746&lt;=COUNTA(半紙!$B$11:$B$310)+COUNTA(条幅!$B$11:$B$310),INDEX(条幅!$F$11:$F$310,746-COUNTA(半紙!$B$11:$B$310)),IF(746&lt;=COUNTA(半紙!$B$11:$B$310)+COUNTA(条幅!$B$11:$B$310)+COUNTA(条幅4分の1!$B$11:$B$310),INDEX(条幅4分の1!$F$11:$F$310,746-COUNTA(半紙!$B$11:$B$310)-COUNTA(条幅!$B$11:$B$310)),""))))</f>
        <v/>
      </c>
      <c r="G751" s="38" t="str">
        <f>IF(IF(746&lt;=COUNTA(半紙!$B$11:$B$310),INDEX(半紙!$G$11:$G$310,746),IF(746&lt;=COUNTA(半紙!$B$11:$B$310)+COUNTA(条幅!$B$11:$B$310),INDEX(条幅!$G$11:$G$310,746-COUNTA(半紙!$B$11:$B$310)),IF(746&lt;=COUNTA(半紙!$B$11:$B$310)+COUNTA(条幅!$B$11:$B$310)+COUNTA(条幅4分の1!$B$11:$B$310),INDEX(条幅4分の1!$G$11:$G$310,746-COUNTA(半紙!$B$11:$B$310)-COUNTA(条幅!$B$11:$B$310)),"")))=0,"",IF(746&lt;=COUNTA(半紙!$B$11:$B$310),INDEX(半紙!$G$11:$G$310,746),IF(746&lt;=COUNTA(半紙!$B$11:$B$310)+COUNTA(条幅!$B$11:$B$310),INDEX(条幅!$G$11:$G$310,746-COUNTA(半紙!$B$11:$B$310)),IF(746&lt;=COUNTA(半紙!$B$11:$B$310)+COUNTA(条幅!$B$11:$B$310)+COUNTA(条幅4分の1!$B$11:$B$310),INDEX(条幅4分の1!$G$11:$G$310,746-COUNTA(半紙!$B$11:$B$310)-COUNTA(条幅!$B$11:$B$310)),""))))</f>
        <v/>
      </c>
      <c r="H751" s="38" t="str">
        <f>IF(IF(746&lt;=COUNTA(半紙!$B$11:$B$310),INDEX(半紙!$H$11:$H$310,746),IF(746&lt;=COUNTA(半紙!$B$11:$B$310)+COUNTA(条幅!$B$11:$B$310),INDEX(条幅!$H$11:$H$310,746-COUNTA(半紙!$B$11:$B$310)),IF(746&lt;=COUNTA(半紙!$B$11:$B$310)+COUNTA(条幅!$B$11:$B$310)+COUNTA(条幅4分の1!$B$11:$B$310),INDEX(条幅4分の1!$H$11:$H$310,746-COUNTA(半紙!$B$11:$B$310)-COUNTA(条幅!$B$11:$B$310)),"")))=0,"",IF(746&lt;=COUNTA(半紙!$B$11:$B$310),INDEX(半紙!$H$11:$H$310,746),IF(746&lt;=COUNTA(半紙!$B$11:$B$310)+COUNTA(条幅!$B$11:$B$310),INDEX(条幅!$H$11:$H$310,746-COUNTA(半紙!$B$11:$B$310)),IF(746&lt;=COUNTA(半紙!$B$11:$B$310)+COUNTA(条幅!$B$11:$B$310)+COUNTA(条幅4分の1!$B$11:$B$310),INDEX(条幅4分の1!$H$11:$H$310,746-COUNTA(半紙!$B$11:$B$310)-COUNTA(条幅!$B$11:$B$310)),""))))</f>
        <v/>
      </c>
      <c r="I751" s="38" t="str">
        <f>IF(IF(746&lt;=COUNTA(半紙!$B$11:$B$310),INDEX(半紙!$I$11:$I$310,746),IF(746&lt;=COUNTA(半紙!$B$11:$B$310)+COUNTA(条幅!$B$11:$B$310),INDEX(条幅!$I$11:$I$310,746-COUNTA(半紙!$B$11:$B$310)),IF(746&lt;=COUNTA(半紙!$B$11:$B$310)+COUNTA(条幅!$B$11:$B$310)+COUNTA(条幅4分の1!$B$11:$B$310),INDEX(条幅4分の1!$I$11:$I$310,746-COUNTA(半紙!$B$11:$B$310)-COUNTA(条幅!$B$11:$B$310)),"")))=0,"",IF(746&lt;=COUNTA(半紙!$B$11:$B$310),INDEX(半紙!$I$11:$I$310,746),IF(746&lt;=COUNTA(半紙!$B$11:$B$310)+COUNTA(条幅!$B$11:$B$310),INDEX(条幅!$I$11:$I$310,746-COUNTA(半紙!$B$11:$B$310)),IF(746&lt;=COUNTA(半紙!$B$11:$B$310)+COUNTA(条幅!$B$11:$B$310)+COUNTA(条幅4分の1!$B$11:$B$310),INDEX(条幅4分の1!$I$11:$I$310,746-COUNTA(半紙!$B$11:$B$310)-COUNTA(条幅!$B$11:$B$310)),""))))</f>
        <v/>
      </c>
      <c r="J751" s="38" t="str">
        <f>IF(IF(746&lt;=COUNTA(半紙!$B$11:$B$310),INDEX(半紙!$J$11:$J$310,746),IF(746&lt;=COUNTA(半紙!$B$11:$B$310)+COUNTA(条幅!$B$11:$B$310),INDEX(条幅!$J$11:$J$310,746-COUNTA(半紙!$B$11:$B$310)),IF(746&lt;=COUNTA(半紙!$B$11:$B$310)+COUNTA(条幅!$B$11:$B$310)+COUNTA(条幅4分の1!$B$11:$B$310),INDEX(条幅4分の1!$J$11:$J$310,746-COUNTA(半紙!$B$11:$B$310)-COUNTA(条幅!$B$11:$B$310)),"")))=0,"",IF(746&lt;=COUNTA(半紙!$B$11:$B$310),INDEX(半紙!$J$11:$J$310,746),IF(746&lt;=COUNTA(半紙!$B$11:$B$310)+COUNTA(条幅!$B$11:$B$310),INDEX(条幅!$J$11:$J$310,746-COUNTA(半紙!$B$11:$B$310)),IF(746&lt;=COUNTA(半紙!$B$11:$B$310)+COUNTA(条幅!$B$11:$B$310)+COUNTA(条幅4分の1!$B$11:$B$310),INDEX(条幅4分の1!$J$11:$J$310,746-COUNTA(半紙!$B$11:$B$310)-COUNTA(条幅!$B$11:$B$310)),""))))</f>
        <v/>
      </c>
      <c r="K751" s="38" t="str">
        <f>IF(IF(746&lt;=COUNTA(半紙!$B$11:$B$310),INDEX(半紙!$K$11:$K$310,746),IF(746&lt;=COUNTA(半紙!$B$11:$B$310)+COUNTA(条幅!$B$11:$B$310),INDEX(条幅!$K$11:$K$310,746-COUNTA(半紙!$B$11:$B$310)),IF(746&lt;=COUNTA(半紙!$B$11:$B$310)+COUNTA(条幅!$B$11:$B$310)+COUNTA(条幅4分の1!$B$11:$B$310),INDEX(条幅4分の1!$K$11:$K$310,746-COUNTA(半紙!$B$11:$B$310)-COUNTA(条幅!$B$11:$B$310)),"")))=0,"",IF(746&lt;=COUNTA(半紙!$B$11:$B$310),INDEX(半紙!$K$11:$K$310,746),IF(746&lt;=COUNTA(半紙!$B$11:$B$310)+COUNTA(条幅!$B$11:$B$310),INDEX(条幅!$K$11:$K$310,746-COUNTA(半紙!$B$11:$B$310)),IF(746&lt;=COUNTA(半紙!$B$11:$B$310)+COUNTA(条幅!$B$11:$B$310)+COUNTA(条幅4分の1!$B$11:$B$310),INDEX(条幅4分の1!$K$11:$K$310,746-COUNTA(半紙!$B$11:$B$310)-COUNTA(条幅!$B$11:$B$310)),""))))</f>
        <v/>
      </c>
      <c r="L751" s="48" t="str">
        <f>IF($B751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746))</f>
        <v/>
      </c>
    </row>
    <row r="752" spans="1:12" ht="15" customHeight="1">
      <c r="A752" s="37" t="str">
        <f>IF(747&lt;=COUNTA(半紙!$B$11:$B$310),"半紙",IF(747&lt;=COUNTA(半紙!$B$11:$B$310)+COUNTA(条幅!$B$11:$B$310),"条幅(半切)",IF(747&lt;=COUNTA(半紙!$B$11:$B$310)+COUNTA(条幅!$B$11:$B$310)+COUNTA(条幅4分の1!$B$11:$B$310),"条幅(1/4)","")))</f>
        <v/>
      </c>
      <c r="B752" s="38" t="str">
        <f>IF(IF(747&lt;=COUNTA(半紙!$B$11:$B$310),INDEX(半紙!$B$11:$B$310,747),IF(747&lt;=COUNTA(半紙!$B$11:$B$310)+COUNTA(条幅!$B$11:$B$310),INDEX(条幅!$B$11:$B$310,747-COUNTA(半紙!$B$11:$B$310)),IF(747&lt;=COUNTA(半紙!$B$11:$B$310)+COUNTA(条幅!$B$11:$B$310)+COUNTA(条幅4分の1!$B$11:$B$310),INDEX(条幅4分の1!$B$11:$B$310,747-COUNTA(半紙!$B$11:$B$310)-COUNTA(条幅!$B$11:$B$310)),"")))=0,"",IF(747&lt;=COUNTA(半紙!$B$11:$B$310),INDEX(半紙!$B$11:$B$310,747),IF(747&lt;=COUNTA(半紙!$B$11:$B$310)+COUNTA(条幅!$B$11:$B$310),INDEX(条幅!$B$11:$B$310,747-COUNTA(半紙!$B$11:$B$310)),IF(747&lt;=COUNTA(半紙!$B$11:$B$310)+COUNTA(条幅!$B$11:$B$310)+COUNTA(条幅4分の1!$B$11:$B$310),INDEX(条幅4分の1!$B$11:$B$310,747-COUNTA(半紙!$B$11:$B$310)-COUNTA(条幅!$B$11:$B$310)),""))))</f>
        <v/>
      </c>
      <c r="C752" s="38" t="str">
        <f>IF(IF(747&lt;=COUNTA(半紙!$B$11:$B$310),INDEX(半紙!$C$11:$C$310,747),IF(747&lt;=COUNTA(半紙!$B$11:$B$310)+COUNTA(条幅!$B$11:$B$310),INDEX(条幅!$C$11:$C$310,747-COUNTA(半紙!$B$11:$B$310)),IF(747&lt;=COUNTA(半紙!$B$11:$B$310)+COUNTA(条幅!$B$11:$B$310)+COUNTA(条幅4分の1!$B$11:$B$310),INDEX(条幅4分の1!$C$11:$C$310,747-COUNTA(半紙!$B$11:$B$310)-COUNTA(条幅!$B$11:$B$310)),"")))=0,"",IF(747&lt;=COUNTA(半紙!$B$11:$B$310),INDEX(半紙!$C$11:$C$310,747),IF(747&lt;=COUNTA(半紙!$B$11:$B$310)+COUNTA(条幅!$B$11:$B$310),INDEX(条幅!$C$11:$C$310,747-COUNTA(半紙!$B$11:$B$310)),IF(747&lt;=COUNTA(半紙!$B$11:$B$310)+COUNTA(条幅!$B$11:$B$310)+COUNTA(条幅4分の1!$B$11:$B$310),INDEX(条幅4分の1!$C$11:$C$310,747-COUNTA(半紙!$B$11:$B$310)-COUNTA(条幅!$B$11:$B$310)),""))))</f>
        <v/>
      </c>
      <c r="D752" s="38" t="str">
        <f>IF(IF(747&lt;=COUNTA(半紙!$B$11:$B$310),INDEX(半紙!$D$11:$D$310,747),IF(747&lt;=COUNTA(半紙!$B$11:$B$310)+COUNTA(条幅!$B$11:$B$310),INDEX(条幅!$D$11:$D$310,747-COUNTA(半紙!$B$11:$B$310)),IF(747&lt;=COUNTA(半紙!$B$11:$B$310)+COUNTA(条幅!$B$11:$B$310)+COUNTA(条幅4分の1!$B$11:$B$310),INDEX(条幅4分の1!$D$11:$D$310,747-COUNTA(半紙!$B$11:$B$310)-COUNTA(条幅!$B$11:$B$310)),"")))=0,"",IF(747&lt;=COUNTA(半紙!$B$11:$B$310),INDEX(半紙!$D$11:$D$310,747),IF(747&lt;=COUNTA(半紙!$B$11:$B$310)+COUNTA(条幅!$B$11:$B$310),INDEX(条幅!$D$11:$D$310,747-COUNTA(半紙!$B$11:$B$310)),IF(747&lt;=COUNTA(半紙!$B$11:$B$310)+COUNTA(条幅!$B$11:$B$310)+COUNTA(条幅4分の1!$B$11:$B$310),INDEX(条幅4分の1!$D$11:$D$310,747-COUNTA(半紙!$B$11:$B$310)-COUNTA(条幅!$B$11:$B$310)),""))))</f>
        <v/>
      </c>
      <c r="E752" s="38" t="str">
        <f>IF(IF(747&lt;=COUNTA(半紙!$B$11:$B$310),INDEX(半紙!$E$11:$E$310,747),IF(747&lt;=COUNTA(半紙!$B$11:$B$310)+COUNTA(条幅!$B$11:$B$310),INDEX(条幅!$E$11:$E$310,747-COUNTA(半紙!$B$11:$B$310)),IF(747&lt;=COUNTA(半紙!$B$11:$B$310)+COUNTA(条幅!$B$11:$B$310)+COUNTA(条幅4分の1!$B$11:$B$310),INDEX(条幅4分の1!$E$11:$E$310,747-COUNTA(半紙!$B$11:$B$310)-COUNTA(条幅!$B$11:$B$310)),"")))=0,"",IF(747&lt;=COUNTA(半紙!$B$11:$B$310),INDEX(半紙!$E$11:$E$310,747),IF(747&lt;=COUNTA(半紙!$B$11:$B$310)+COUNTA(条幅!$B$11:$B$310),INDEX(条幅!$E$11:$E$310,747-COUNTA(半紙!$B$11:$B$310)),IF(747&lt;=COUNTA(半紙!$B$11:$B$310)+COUNTA(条幅!$B$11:$B$310)+COUNTA(条幅4分の1!$B$11:$B$310),INDEX(条幅4分の1!$E$11:$E$310,747-COUNTA(半紙!$B$11:$B$310)-COUNTA(条幅!$B$11:$B$310)),""))))</f>
        <v/>
      </c>
      <c r="F752" s="38" t="str">
        <f>IF(IF(747&lt;=COUNTA(半紙!$B$11:$B$310),INDEX(半紙!$F$11:$F$310,747),IF(747&lt;=COUNTA(半紙!$B$11:$B$310)+COUNTA(条幅!$B$11:$B$310),INDEX(条幅!$F$11:$F$310,747-COUNTA(半紙!$B$11:$B$310)),IF(747&lt;=COUNTA(半紙!$B$11:$B$310)+COUNTA(条幅!$B$11:$B$310)+COUNTA(条幅4分の1!$B$11:$B$310),INDEX(条幅4分の1!$F$11:$F$310,747-COUNTA(半紙!$B$11:$B$310)-COUNTA(条幅!$B$11:$B$310)),"")))=0,"",IF(747&lt;=COUNTA(半紙!$B$11:$B$310),INDEX(半紙!$F$11:$F$310,747),IF(747&lt;=COUNTA(半紙!$B$11:$B$310)+COUNTA(条幅!$B$11:$B$310),INDEX(条幅!$F$11:$F$310,747-COUNTA(半紙!$B$11:$B$310)),IF(747&lt;=COUNTA(半紙!$B$11:$B$310)+COUNTA(条幅!$B$11:$B$310)+COUNTA(条幅4分の1!$B$11:$B$310),INDEX(条幅4分の1!$F$11:$F$310,747-COUNTA(半紙!$B$11:$B$310)-COUNTA(条幅!$B$11:$B$310)),""))))</f>
        <v/>
      </c>
      <c r="G752" s="38" t="str">
        <f>IF(IF(747&lt;=COUNTA(半紙!$B$11:$B$310),INDEX(半紙!$G$11:$G$310,747),IF(747&lt;=COUNTA(半紙!$B$11:$B$310)+COUNTA(条幅!$B$11:$B$310),INDEX(条幅!$G$11:$G$310,747-COUNTA(半紙!$B$11:$B$310)),IF(747&lt;=COUNTA(半紙!$B$11:$B$310)+COUNTA(条幅!$B$11:$B$310)+COUNTA(条幅4分の1!$B$11:$B$310),INDEX(条幅4分の1!$G$11:$G$310,747-COUNTA(半紙!$B$11:$B$310)-COUNTA(条幅!$B$11:$B$310)),"")))=0,"",IF(747&lt;=COUNTA(半紙!$B$11:$B$310),INDEX(半紙!$G$11:$G$310,747),IF(747&lt;=COUNTA(半紙!$B$11:$B$310)+COUNTA(条幅!$B$11:$B$310),INDEX(条幅!$G$11:$G$310,747-COUNTA(半紙!$B$11:$B$310)),IF(747&lt;=COUNTA(半紙!$B$11:$B$310)+COUNTA(条幅!$B$11:$B$310)+COUNTA(条幅4分の1!$B$11:$B$310),INDEX(条幅4分の1!$G$11:$G$310,747-COUNTA(半紙!$B$11:$B$310)-COUNTA(条幅!$B$11:$B$310)),""))))</f>
        <v/>
      </c>
      <c r="H752" s="38" t="str">
        <f>IF(IF(747&lt;=COUNTA(半紙!$B$11:$B$310),INDEX(半紙!$H$11:$H$310,747),IF(747&lt;=COUNTA(半紙!$B$11:$B$310)+COUNTA(条幅!$B$11:$B$310),INDEX(条幅!$H$11:$H$310,747-COUNTA(半紙!$B$11:$B$310)),IF(747&lt;=COUNTA(半紙!$B$11:$B$310)+COUNTA(条幅!$B$11:$B$310)+COUNTA(条幅4分の1!$B$11:$B$310),INDEX(条幅4分の1!$H$11:$H$310,747-COUNTA(半紙!$B$11:$B$310)-COUNTA(条幅!$B$11:$B$310)),"")))=0,"",IF(747&lt;=COUNTA(半紙!$B$11:$B$310),INDEX(半紙!$H$11:$H$310,747),IF(747&lt;=COUNTA(半紙!$B$11:$B$310)+COUNTA(条幅!$B$11:$B$310),INDEX(条幅!$H$11:$H$310,747-COUNTA(半紙!$B$11:$B$310)),IF(747&lt;=COUNTA(半紙!$B$11:$B$310)+COUNTA(条幅!$B$11:$B$310)+COUNTA(条幅4分の1!$B$11:$B$310),INDEX(条幅4分の1!$H$11:$H$310,747-COUNTA(半紙!$B$11:$B$310)-COUNTA(条幅!$B$11:$B$310)),""))))</f>
        <v/>
      </c>
      <c r="I752" s="38" t="str">
        <f>IF(IF(747&lt;=COUNTA(半紙!$B$11:$B$310),INDEX(半紙!$I$11:$I$310,747),IF(747&lt;=COUNTA(半紙!$B$11:$B$310)+COUNTA(条幅!$B$11:$B$310),INDEX(条幅!$I$11:$I$310,747-COUNTA(半紙!$B$11:$B$310)),IF(747&lt;=COUNTA(半紙!$B$11:$B$310)+COUNTA(条幅!$B$11:$B$310)+COUNTA(条幅4分の1!$B$11:$B$310),INDEX(条幅4分の1!$I$11:$I$310,747-COUNTA(半紙!$B$11:$B$310)-COUNTA(条幅!$B$11:$B$310)),"")))=0,"",IF(747&lt;=COUNTA(半紙!$B$11:$B$310),INDEX(半紙!$I$11:$I$310,747),IF(747&lt;=COUNTA(半紙!$B$11:$B$310)+COUNTA(条幅!$B$11:$B$310),INDEX(条幅!$I$11:$I$310,747-COUNTA(半紙!$B$11:$B$310)),IF(747&lt;=COUNTA(半紙!$B$11:$B$310)+COUNTA(条幅!$B$11:$B$310)+COUNTA(条幅4分の1!$B$11:$B$310),INDEX(条幅4分の1!$I$11:$I$310,747-COUNTA(半紙!$B$11:$B$310)-COUNTA(条幅!$B$11:$B$310)),""))))</f>
        <v/>
      </c>
      <c r="J752" s="38" t="str">
        <f>IF(IF(747&lt;=COUNTA(半紙!$B$11:$B$310),INDEX(半紙!$J$11:$J$310,747),IF(747&lt;=COUNTA(半紙!$B$11:$B$310)+COUNTA(条幅!$B$11:$B$310),INDEX(条幅!$J$11:$J$310,747-COUNTA(半紙!$B$11:$B$310)),IF(747&lt;=COUNTA(半紙!$B$11:$B$310)+COUNTA(条幅!$B$11:$B$310)+COUNTA(条幅4分の1!$B$11:$B$310),INDEX(条幅4分の1!$J$11:$J$310,747-COUNTA(半紙!$B$11:$B$310)-COUNTA(条幅!$B$11:$B$310)),"")))=0,"",IF(747&lt;=COUNTA(半紙!$B$11:$B$310),INDEX(半紙!$J$11:$J$310,747),IF(747&lt;=COUNTA(半紙!$B$11:$B$310)+COUNTA(条幅!$B$11:$B$310),INDEX(条幅!$J$11:$J$310,747-COUNTA(半紙!$B$11:$B$310)),IF(747&lt;=COUNTA(半紙!$B$11:$B$310)+COUNTA(条幅!$B$11:$B$310)+COUNTA(条幅4分の1!$B$11:$B$310),INDEX(条幅4分の1!$J$11:$J$310,747-COUNTA(半紙!$B$11:$B$310)-COUNTA(条幅!$B$11:$B$310)),""))))</f>
        <v/>
      </c>
      <c r="K752" s="38" t="str">
        <f>IF(IF(747&lt;=COUNTA(半紙!$B$11:$B$310),INDEX(半紙!$K$11:$K$310,747),IF(747&lt;=COUNTA(半紙!$B$11:$B$310)+COUNTA(条幅!$B$11:$B$310),INDEX(条幅!$K$11:$K$310,747-COUNTA(半紙!$B$11:$B$310)),IF(747&lt;=COUNTA(半紙!$B$11:$B$310)+COUNTA(条幅!$B$11:$B$310)+COUNTA(条幅4分の1!$B$11:$B$310),INDEX(条幅4分の1!$K$11:$K$310,747-COUNTA(半紙!$B$11:$B$310)-COUNTA(条幅!$B$11:$B$310)),"")))=0,"",IF(747&lt;=COUNTA(半紙!$B$11:$B$310),INDEX(半紙!$K$11:$K$310,747),IF(747&lt;=COUNTA(半紙!$B$11:$B$310)+COUNTA(条幅!$B$11:$B$310),INDEX(条幅!$K$11:$K$310,747-COUNTA(半紙!$B$11:$B$310)),IF(747&lt;=COUNTA(半紙!$B$11:$B$310)+COUNTA(条幅!$B$11:$B$310)+COUNTA(条幅4分の1!$B$11:$B$310),INDEX(条幅4分の1!$K$11:$K$310,747-COUNTA(半紙!$B$11:$B$310)-COUNTA(条幅!$B$11:$B$310)),""))))</f>
        <v/>
      </c>
      <c r="L752" s="48" t="str">
        <f>IF($B752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747))</f>
        <v/>
      </c>
    </row>
    <row r="753" spans="1:12" ht="15" customHeight="1">
      <c r="A753" s="37" t="str">
        <f>IF(748&lt;=COUNTA(半紙!$B$11:$B$310),"半紙",IF(748&lt;=COUNTA(半紙!$B$11:$B$310)+COUNTA(条幅!$B$11:$B$310),"条幅(半切)",IF(748&lt;=COUNTA(半紙!$B$11:$B$310)+COUNTA(条幅!$B$11:$B$310)+COUNTA(条幅4分の1!$B$11:$B$310),"条幅(1/4)","")))</f>
        <v/>
      </c>
      <c r="B753" s="38" t="str">
        <f>IF(IF(748&lt;=COUNTA(半紙!$B$11:$B$310),INDEX(半紙!$B$11:$B$310,748),IF(748&lt;=COUNTA(半紙!$B$11:$B$310)+COUNTA(条幅!$B$11:$B$310),INDEX(条幅!$B$11:$B$310,748-COUNTA(半紙!$B$11:$B$310)),IF(748&lt;=COUNTA(半紙!$B$11:$B$310)+COUNTA(条幅!$B$11:$B$310)+COUNTA(条幅4分の1!$B$11:$B$310),INDEX(条幅4分の1!$B$11:$B$310,748-COUNTA(半紙!$B$11:$B$310)-COUNTA(条幅!$B$11:$B$310)),"")))=0,"",IF(748&lt;=COUNTA(半紙!$B$11:$B$310),INDEX(半紙!$B$11:$B$310,748),IF(748&lt;=COUNTA(半紙!$B$11:$B$310)+COUNTA(条幅!$B$11:$B$310),INDEX(条幅!$B$11:$B$310,748-COUNTA(半紙!$B$11:$B$310)),IF(748&lt;=COUNTA(半紙!$B$11:$B$310)+COUNTA(条幅!$B$11:$B$310)+COUNTA(条幅4分の1!$B$11:$B$310),INDEX(条幅4分の1!$B$11:$B$310,748-COUNTA(半紙!$B$11:$B$310)-COUNTA(条幅!$B$11:$B$310)),""))))</f>
        <v/>
      </c>
      <c r="C753" s="38" t="str">
        <f>IF(IF(748&lt;=COUNTA(半紙!$B$11:$B$310),INDEX(半紙!$C$11:$C$310,748),IF(748&lt;=COUNTA(半紙!$B$11:$B$310)+COUNTA(条幅!$B$11:$B$310),INDEX(条幅!$C$11:$C$310,748-COUNTA(半紙!$B$11:$B$310)),IF(748&lt;=COUNTA(半紙!$B$11:$B$310)+COUNTA(条幅!$B$11:$B$310)+COUNTA(条幅4分の1!$B$11:$B$310),INDEX(条幅4分の1!$C$11:$C$310,748-COUNTA(半紙!$B$11:$B$310)-COUNTA(条幅!$B$11:$B$310)),"")))=0,"",IF(748&lt;=COUNTA(半紙!$B$11:$B$310),INDEX(半紙!$C$11:$C$310,748),IF(748&lt;=COUNTA(半紙!$B$11:$B$310)+COUNTA(条幅!$B$11:$B$310),INDEX(条幅!$C$11:$C$310,748-COUNTA(半紙!$B$11:$B$310)),IF(748&lt;=COUNTA(半紙!$B$11:$B$310)+COUNTA(条幅!$B$11:$B$310)+COUNTA(条幅4分の1!$B$11:$B$310),INDEX(条幅4分の1!$C$11:$C$310,748-COUNTA(半紙!$B$11:$B$310)-COUNTA(条幅!$B$11:$B$310)),""))))</f>
        <v/>
      </c>
      <c r="D753" s="38" t="str">
        <f>IF(IF(748&lt;=COUNTA(半紙!$B$11:$B$310),INDEX(半紙!$D$11:$D$310,748),IF(748&lt;=COUNTA(半紙!$B$11:$B$310)+COUNTA(条幅!$B$11:$B$310),INDEX(条幅!$D$11:$D$310,748-COUNTA(半紙!$B$11:$B$310)),IF(748&lt;=COUNTA(半紙!$B$11:$B$310)+COUNTA(条幅!$B$11:$B$310)+COUNTA(条幅4分の1!$B$11:$B$310),INDEX(条幅4分の1!$D$11:$D$310,748-COUNTA(半紙!$B$11:$B$310)-COUNTA(条幅!$B$11:$B$310)),"")))=0,"",IF(748&lt;=COUNTA(半紙!$B$11:$B$310),INDEX(半紙!$D$11:$D$310,748),IF(748&lt;=COUNTA(半紙!$B$11:$B$310)+COUNTA(条幅!$B$11:$B$310),INDEX(条幅!$D$11:$D$310,748-COUNTA(半紙!$B$11:$B$310)),IF(748&lt;=COUNTA(半紙!$B$11:$B$310)+COUNTA(条幅!$B$11:$B$310)+COUNTA(条幅4分の1!$B$11:$B$310),INDEX(条幅4分の1!$D$11:$D$310,748-COUNTA(半紙!$B$11:$B$310)-COUNTA(条幅!$B$11:$B$310)),""))))</f>
        <v/>
      </c>
      <c r="E753" s="38" t="str">
        <f>IF(IF(748&lt;=COUNTA(半紙!$B$11:$B$310),INDEX(半紙!$E$11:$E$310,748),IF(748&lt;=COUNTA(半紙!$B$11:$B$310)+COUNTA(条幅!$B$11:$B$310),INDEX(条幅!$E$11:$E$310,748-COUNTA(半紙!$B$11:$B$310)),IF(748&lt;=COUNTA(半紙!$B$11:$B$310)+COUNTA(条幅!$B$11:$B$310)+COUNTA(条幅4分の1!$B$11:$B$310),INDEX(条幅4分の1!$E$11:$E$310,748-COUNTA(半紙!$B$11:$B$310)-COUNTA(条幅!$B$11:$B$310)),"")))=0,"",IF(748&lt;=COUNTA(半紙!$B$11:$B$310),INDEX(半紙!$E$11:$E$310,748),IF(748&lt;=COUNTA(半紙!$B$11:$B$310)+COUNTA(条幅!$B$11:$B$310),INDEX(条幅!$E$11:$E$310,748-COUNTA(半紙!$B$11:$B$310)),IF(748&lt;=COUNTA(半紙!$B$11:$B$310)+COUNTA(条幅!$B$11:$B$310)+COUNTA(条幅4分の1!$B$11:$B$310),INDEX(条幅4分の1!$E$11:$E$310,748-COUNTA(半紙!$B$11:$B$310)-COUNTA(条幅!$B$11:$B$310)),""))))</f>
        <v/>
      </c>
      <c r="F753" s="38" t="str">
        <f>IF(IF(748&lt;=COUNTA(半紙!$B$11:$B$310),INDEX(半紙!$F$11:$F$310,748),IF(748&lt;=COUNTA(半紙!$B$11:$B$310)+COUNTA(条幅!$B$11:$B$310),INDEX(条幅!$F$11:$F$310,748-COUNTA(半紙!$B$11:$B$310)),IF(748&lt;=COUNTA(半紙!$B$11:$B$310)+COUNTA(条幅!$B$11:$B$310)+COUNTA(条幅4分の1!$B$11:$B$310),INDEX(条幅4分の1!$F$11:$F$310,748-COUNTA(半紙!$B$11:$B$310)-COUNTA(条幅!$B$11:$B$310)),"")))=0,"",IF(748&lt;=COUNTA(半紙!$B$11:$B$310),INDEX(半紙!$F$11:$F$310,748),IF(748&lt;=COUNTA(半紙!$B$11:$B$310)+COUNTA(条幅!$B$11:$B$310),INDEX(条幅!$F$11:$F$310,748-COUNTA(半紙!$B$11:$B$310)),IF(748&lt;=COUNTA(半紙!$B$11:$B$310)+COUNTA(条幅!$B$11:$B$310)+COUNTA(条幅4分の1!$B$11:$B$310),INDEX(条幅4分の1!$F$11:$F$310,748-COUNTA(半紙!$B$11:$B$310)-COUNTA(条幅!$B$11:$B$310)),""))))</f>
        <v/>
      </c>
      <c r="G753" s="38" t="str">
        <f>IF(IF(748&lt;=COUNTA(半紙!$B$11:$B$310),INDEX(半紙!$G$11:$G$310,748),IF(748&lt;=COUNTA(半紙!$B$11:$B$310)+COUNTA(条幅!$B$11:$B$310),INDEX(条幅!$G$11:$G$310,748-COUNTA(半紙!$B$11:$B$310)),IF(748&lt;=COUNTA(半紙!$B$11:$B$310)+COUNTA(条幅!$B$11:$B$310)+COUNTA(条幅4分の1!$B$11:$B$310),INDEX(条幅4分の1!$G$11:$G$310,748-COUNTA(半紙!$B$11:$B$310)-COUNTA(条幅!$B$11:$B$310)),"")))=0,"",IF(748&lt;=COUNTA(半紙!$B$11:$B$310),INDEX(半紙!$G$11:$G$310,748),IF(748&lt;=COUNTA(半紙!$B$11:$B$310)+COUNTA(条幅!$B$11:$B$310),INDEX(条幅!$G$11:$G$310,748-COUNTA(半紙!$B$11:$B$310)),IF(748&lt;=COUNTA(半紙!$B$11:$B$310)+COUNTA(条幅!$B$11:$B$310)+COUNTA(条幅4分の1!$B$11:$B$310),INDEX(条幅4分の1!$G$11:$G$310,748-COUNTA(半紙!$B$11:$B$310)-COUNTA(条幅!$B$11:$B$310)),""))))</f>
        <v/>
      </c>
      <c r="H753" s="38" t="str">
        <f>IF(IF(748&lt;=COUNTA(半紙!$B$11:$B$310),INDEX(半紙!$H$11:$H$310,748),IF(748&lt;=COUNTA(半紙!$B$11:$B$310)+COUNTA(条幅!$B$11:$B$310),INDEX(条幅!$H$11:$H$310,748-COUNTA(半紙!$B$11:$B$310)),IF(748&lt;=COUNTA(半紙!$B$11:$B$310)+COUNTA(条幅!$B$11:$B$310)+COUNTA(条幅4分の1!$B$11:$B$310),INDEX(条幅4分の1!$H$11:$H$310,748-COUNTA(半紙!$B$11:$B$310)-COUNTA(条幅!$B$11:$B$310)),"")))=0,"",IF(748&lt;=COUNTA(半紙!$B$11:$B$310),INDEX(半紙!$H$11:$H$310,748),IF(748&lt;=COUNTA(半紙!$B$11:$B$310)+COUNTA(条幅!$B$11:$B$310),INDEX(条幅!$H$11:$H$310,748-COUNTA(半紙!$B$11:$B$310)),IF(748&lt;=COUNTA(半紙!$B$11:$B$310)+COUNTA(条幅!$B$11:$B$310)+COUNTA(条幅4分の1!$B$11:$B$310),INDEX(条幅4分の1!$H$11:$H$310,748-COUNTA(半紙!$B$11:$B$310)-COUNTA(条幅!$B$11:$B$310)),""))))</f>
        <v/>
      </c>
      <c r="I753" s="38" t="str">
        <f>IF(IF(748&lt;=COUNTA(半紙!$B$11:$B$310),INDEX(半紙!$I$11:$I$310,748),IF(748&lt;=COUNTA(半紙!$B$11:$B$310)+COUNTA(条幅!$B$11:$B$310),INDEX(条幅!$I$11:$I$310,748-COUNTA(半紙!$B$11:$B$310)),IF(748&lt;=COUNTA(半紙!$B$11:$B$310)+COUNTA(条幅!$B$11:$B$310)+COUNTA(条幅4分の1!$B$11:$B$310),INDEX(条幅4分の1!$I$11:$I$310,748-COUNTA(半紙!$B$11:$B$310)-COUNTA(条幅!$B$11:$B$310)),"")))=0,"",IF(748&lt;=COUNTA(半紙!$B$11:$B$310),INDEX(半紙!$I$11:$I$310,748),IF(748&lt;=COUNTA(半紙!$B$11:$B$310)+COUNTA(条幅!$B$11:$B$310),INDEX(条幅!$I$11:$I$310,748-COUNTA(半紙!$B$11:$B$310)),IF(748&lt;=COUNTA(半紙!$B$11:$B$310)+COUNTA(条幅!$B$11:$B$310)+COUNTA(条幅4分の1!$B$11:$B$310),INDEX(条幅4分の1!$I$11:$I$310,748-COUNTA(半紙!$B$11:$B$310)-COUNTA(条幅!$B$11:$B$310)),""))))</f>
        <v/>
      </c>
      <c r="J753" s="38" t="str">
        <f>IF(IF(748&lt;=COUNTA(半紙!$B$11:$B$310),INDEX(半紙!$J$11:$J$310,748),IF(748&lt;=COUNTA(半紙!$B$11:$B$310)+COUNTA(条幅!$B$11:$B$310),INDEX(条幅!$J$11:$J$310,748-COUNTA(半紙!$B$11:$B$310)),IF(748&lt;=COUNTA(半紙!$B$11:$B$310)+COUNTA(条幅!$B$11:$B$310)+COUNTA(条幅4分の1!$B$11:$B$310),INDEX(条幅4分の1!$J$11:$J$310,748-COUNTA(半紙!$B$11:$B$310)-COUNTA(条幅!$B$11:$B$310)),"")))=0,"",IF(748&lt;=COUNTA(半紙!$B$11:$B$310),INDEX(半紙!$J$11:$J$310,748),IF(748&lt;=COUNTA(半紙!$B$11:$B$310)+COUNTA(条幅!$B$11:$B$310),INDEX(条幅!$J$11:$J$310,748-COUNTA(半紙!$B$11:$B$310)),IF(748&lt;=COUNTA(半紙!$B$11:$B$310)+COUNTA(条幅!$B$11:$B$310)+COUNTA(条幅4分の1!$B$11:$B$310),INDEX(条幅4分の1!$J$11:$J$310,748-COUNTA(半紙!$B$11:$B$310)-COUNTA(条幅!$B$11:$B$310)),""))))</f>
        <v/>
      </c>
      <c r="K753" s="38" t="str">
        <f>IF(IF(748&lt;=COUNTA(半紙!$B$11:$B$310),INDEX(半紙!$K$11:$K$310,748),IF(748&lt;=COUNTA(半紙!$B$11:$B$310)+COUNTA(条幅!$B$11:$B$310),INDEX(条幅!$K$11:$K$310,748-COUNTA(半紙!$B$11:$B$310)),IF(748&lt;=COUNTA(半紙!$B$11:$B$310)+COUNTA(条幅!$B$11:$B$310)+COUNTA(条幅4分の1!$B$11:$B$310),INDEX(条幅4分の1!$K$11:$K$310,748-COUNTA(半紙!$B$11:$B$310)-COUNTA(条幅!$B$11:$B$310)),"")))=0,"",IF(748&lt;=COUNTA(半紙!$B$11:$B$310),INDEX(半紙!$K$11:$K$310,748),IF(748&lt;=COUNTA(半紙!$B$11:$B$310)+COUNTA(条幅!$B$11:$B$310),INDEX(条幅!$K$11:$K$310,748-COUNTA(半紙!$B$11:$B$310)),IF(748&lt;=COUNTA(半紙!$B$11:$B$310)+COUNTA(条幅!$B$11:$B$310)+COUNTA(条幅4分の1!$B$11:$B$310),INDEX(条幅4分の1!$K$11:$K$310,748-COUNTA(半紙!$B$11:$B$310)-COUNTA(条幅!$B$11:$B$310)),""))))</f>
        <v/>
      </c>
      <c r="L753" s="48" t="str">
        <f>IF($B753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748))</f>
        <v/>
      </c>
    </row>
    <row r="754" spans="1:12" ht="15" customHeight="1">
      <c r="A754" s="37" t="str">
        <f>IF(749&lt;=COUNTA(半紙!$B$11:$B$310),"半紙",IF(749&lt;=COUNTA(半紙!$B$11:$B$310)+COUNTA(条幅!$B$11:$B$310),"条幅(半切)",IF(749&lt;=COUNTA(半紙!$B$11:$B$310)+COUNTA(条幅!$B$11:$B$310)+COUNTA(条幅4分の1!$B$11:$B$310),"条幅(1/4)","")))</f>
        <v/>
      </c>
      <c r="B754" s="38" t="str">
        <f>IF(IF(749&lt;=COUNTA(半紙!$B$11:$B$310),INDEX(半紙!$B$11:$B$310,749),IF(749&lt;=COUNTA(半紙!$B$11:$B$310)+COUNTA(条幅!$B$11:$B$310),INDEX(条幅!$B$11:$B$310,749-COUNTA(半紙!$B$11:$B$310)),IF(749&lt;=COUNTA(半紙!$B$11:$B$310)+COUNTA(条幅!$B$11:$B$310)+COUNTA(条幅4分の1!$B$11:$B$310),INDEX(条幅4分の1!$B$11:$B$310,749-COUNTA(半紙!$B$11:$B$310)-COUNTA(条幅!$B$11:$B$310)),"")))=0,"",IF(749&lt;=COUNTA(半紙!$B$11:$B$310),INDEX(半紙!$B$11:$B$310,749),IF(749&lt;=COUNTA(半紙!$B$11:$B$310)+COUNTA(条幅!$B$11:$B$310),INDEX(条幅!$B$11:$B$310,749-COUNTA(半紙!$B$11:$B$310)),IF(749&lt;=COUNTA(半紙!$B$11:$B$310)+COUNTA(条幅!$B$11:$B$310)+COUNTA(条幅4分の1!$B$11:$B$310),INDEX(条幅4分の1!$B$11:$B$310,749-COUNTA(半紙!$B$11:$B$310)-COUNTA(条幅!$B$11:$B$310)),""))))</f>
        <v/>
      </c>
      <c r="C754" s="38" t="str">
        <f>IF(IF(749&lt;=COUNTA(半紙!$B$11:$B$310),INDEX(半紙!$C$11:$C$310,749),IF(749&lt;=COUNTA(半紙!$B$11:$B$310)+COUNTA(条幅!$B$11:$B$310),INDEX(条幅!$C$11:$C$310,749-COUNTA(半紙!$B$11:$B$310)),IF(749&lt;=COUNTA(半紙!$B$11:$B$310)+COUNTA(条幅!$B$11:$B$310)+COUNTA(条幅4分の1!$B$11:$B$310),INDEX(条幅4分の1!$C$11:$C$310,749-COUNTA(半紙!$B$11:$B$310)-COUNTA(条幅!$B$11:$B$310)),"")))=0,"",IF(749&lt;=COUNTA(半紙!$B$11:$B$310),INDEX(半紙!$C$11:$C$310,749),IF(749&lt;=COUNTA(半紙!$B$11:$B$310)+COUNTA(条幅!$B$11:$B$310),INDEX(条幅!$C$11:$C$310,749-COUNTA(半紙!$B$11:$B$310)),IF(749&lt;=COUNTA(半紙!$B$11:$B$310)+COUNTA(条幅!$B$11:$B$310)+COUNTA(条幅4分の1!$B$11:$B$310),INDEX(条幅4分の1!$C$11:$C$310,749-COUNTA(半紙!$B$11:$B$310)-COUNTA(条幅!$B$11:$B$310)),""))))</f>
        <v/>
      </c>
      <c r="D754" s="38" t="str">
        <f>IF(IF(749&lt;=COUNTA(半紙!$B$11:$B$310),INDEX(半紙!$D$11:$D$310,749),IF(749&lt;=COUNTA(半紙!$B$11:$B$310)+COUNTA(条幅!$B$11:$B$310),INDEX(条幅!$D$11:$D$310,749-COUNTA(半紙!$B$11:$B$310)),IF(749&lt;=COUNTA(半紙!$B$11:$B$310)+COUNTA(条幅!$B$11:$B$310)+COUNTA(条幅4分の1!$B$11:$B$310),INDEX(条幅4分の1!$D$11:$D$310,749-COUNTA(半紙!$B$11:$B$310)-COUNTA(条幅!$B$11:$B$310)),"")))=0,"",IF(749&lt;=COUNTA(半紙!$B$11:$B$310),INDEX(半紙!$D$11:$D$310,749),IF(749&lt;=COUNTA(半紙!$B$11:$B$310)+COUNTA(条幅!$B$11:$B$310),INDEX(条幅!$D$11:$D$310,749-COUNTA(半紙!$B$11:$B$310)),IF(749&lt;=COUNTA(半紙!$B$11:$B$310)+COUNTA(条幅!$B$11:$B$310)+COUNTA(条幅4分の1!$B$11:$B$310),INDEX(条幅4分の1!$D$11:$D$310,749-COUNTA(半紙!$B$11:$B$310)-COUNTA(条幅!$B$11:$B$310)),""))))</f>
        <v/>
      </c>
      <c r="E754" s="38" t="str">
        <f>IF(IF(749&lt;=COUNTA(半紙!$B$11:$B$310),INDEX(半紙!$E$11:$E$310,749),IF(749&lt;=COUNTA(半紙!$B$11:$B$310)+COUNTA(条幅!$B$11:$B$310),INDEX(条幅!$E$11:$E$310,749-COUNTA(半紙!$B$11:$B$310)),IF(749&lt;=COUNTA(半紙!$B$11:$B$310)+COUNTA(条幅!$B$11:$B$310)+COUNTA(条幅4分の1!$B$11:$B$310),INDEX(条幅4分の1!$E$11:$E$310,749-COUNTA(半紙!$B$11:$B$310)-COUNTA(条幅!$B$11:$B$310)),"")))=0,"",IF(749&lt;=COUNTA(半紙!$B$11:$B$310),INDEX(半紙!$E$11:$E$310,749),IF(749&lt;=COUNTA(半紙!$B$11:$B$310)+COUNTA(条幅!$B$11:$B$310),INDEX(条幅!$E$11:$E$310,749-COUNTA(半紙!$B$11:$B$310)),IF(749&lt;=COUNTA(半紙!$B$11:$B$310)+COUNTA(条幅!$B$11:$B$310)+COUNTA(条幅4分の1!$B$11:$B$310),INDEX(条幅4分の1!$E$11:$E$310,749-COUNTA(半紙!$B$11:$B$310)-COUNTA(条幅!$B$11:$B$310)),""))))</f>
        <v/>
      </c>
      <c r="F754" s="38" t="str">
        <f>IF(IF(749&lt;=COUNTA(半紙!$B$11:$B$310),INDEX(半紙!$F$11:$F$310,749),IF(749&lt;=COUNTA(半紙!$B$11:$B$310)+COUNTA(条幅!$B$11:$B$310),INDEX(条幅!$F$11:$F$310,749-COUNTA(半紙!$B$11:$B$310)),IF(749&lt;=COUNTA(半紙!$B$11:$B$310)+COUNTA(条幅!$B$11:$B$310)+COUNTA(条幅4分の1!$B$11:$B$310),INDEX(条幅4分の1!$F$11:$F$310,749-COUNTA(半紙!$B$11:$B$310)-COUNTA(条幅!$B$11:$B$310)),"")))=0,"",IF(749&lt;=COUNTA(半紙!$B$11:$B$310),INDEX(半紙!$F$11:$F$310,749),IF(749&lt;=COUNTA(半紙!$B$11:$B$310)+COUNTA(条幅!$B$11:$B$310),INDEX(条幅!$F$11:$F$310,749-COUNTA(半紙!$B$11:$B$310)),IF(749&lt;=COUNTA(半紙!$B$11:$B$310)+COUNTA(条幅!$B$11:$B$310)+COUNTA(条幅4分の1!$B$11:$B$310),INDEX(条幅4分の1!$F$11:$F$310,749-COUNTA(半紙!$B$11:$B$310)-COUNTA(条幅!$B$11:$B$310)),""))))</f>
        <v/>
      </c>
      <c r="G754" s="38" t="str">
        <f>IF(IF(749&lt;=COUNTA(半紙!$B$11:$B$310),INDEX(半紙!$G$11:$G$310,749),IF(749&lt;=COUNTA(半紙!$B$11:$B$310)+COUNTA(条幅!$B$11:$B$310),INDEX(条幅!$G$11:$G$310,749-COUNTA(半紙!$B$11:$B$310)),IF(749&lt;=COUNTA(半紙!$B$11:$B$310)+COUNTA(条幅!$B$11:$B$310)+COUNTA(条幅4分の1!$B$11:$B$310),INDEX(条幅4分の1!$G$11:$G$310,749-COUNTA(半紙!$B$11:$B$310)-COUNTA(条幅!$B$11:$B$310)),"")))=0,"",IF(749&lt;=COUNTA(半紙!$B$11:$B$310),INDEX(半紙!$G$11:$G$310,749),IF(749&lt;=COUNTA(半紙!$B$11:$B$310)+COUNTA(条幅!$B$11:$B$310),INDEX(条幅!$G$11:$G$310,749-COUNTA(半紙!$B$11:$B$310)),IF(749&lt;=COUNTA(半紙!$B$11:$B$310)+COUNTA(条幅!$B$11:$B$310)+COUNTA(条幅4分の1!$B$11:$B$310),INDEX(条幅4分の1!$G$11:$G$310,749-COUNTA(半紙!$B$11:$B$310)-COUNTA(条幅!$B$11:$B$310)),""))))</f>
        <v/>
      </c>
      <c r="H754" s="38" t="str">
        <f>IF(IF(749&lt;=COUNTA(半紙!$B$11:$B$310),INDEX(半紙!$H$11:$H$310,749),IF(749&lt;=COUNTA(半紙!$B$11:$B$310)+COUNTA(条幅!$B$11:$B$310),INDEX(条幅!$H$11:$H$310,749-COUNTA(半紙!$B$11:$B$310)),IF(749&lt;=COUNTA(半紙!$B$11:$B$310)+COUNTA(条幅!$B$11:$B$310)+COUNTA(条幅4分の1!$B$11:$B$310),INDEX(条幅4分の1!$H$11:$H$310,749-COUNTA(半紙!$B$11:$B$310)-COUNTA(条幅!$B$11:$B$310)),"")))=0,"",IF(749&lt;=COUNTA(半紙!$B$11:$B$310),INDEX(半紙!$H$11:$H$310,749),IF(749&lt;=COUNTA(半紙!$B$11:$B$310)+COUNTA(条幅!$B$11:$B$310),INDEX(条幅!$H$11:$H$310,749-COUNTA(半紙!$B$11:$B$310)),IF(749&lt;=COUNTA(半紙!$B$11:$B$310)+COUNTA(条幅!$B$11:$B$310)+COUNTA(条幅4分の1!$B$11:$B$310),INDEX(条幅4分の1!$H$11:$H$310,749-COUNTA(半紙!$B$11:$B$310)-COUNTA(条幅!$B$11:$B$310)),""))))</f>
        <v/>
      </c>
      <c r="I754" s="38" t="str">
        <f>IF(IF(749&lt;=COUNTA(半紙!$B$11:$B$310),INDEX(半紙!$I$11:$I$310,749),IF(749&lt;=COUNTA(半紙!$B$11:$B$310)+COUNTA(条幅!$B$11:$B$310),INDEX(条幅!$I$11:$I$310,749-COUNTA(半紙!$B$11:$B$310)),IF(749&lt;=COUNTA(半紙!$B$11:$B$310)+COUNTA(条幅!$B$11:$B$310)+COUNTA(条幅4分の1!$B$11:$B$310),INDEX(条幅4分の1!$I$11:$I$310,749-COUNTA(半紙!$B$11:$B$310)-COUNTA(条幅!$B$11:$B$310)),"")))=0,"",IF(749&lt;=COUNTA(半紙!$B$11:$B$310),INDEX(半紙!$I$11:$I$310,749),IF(749&lt;=COUNTA(半紙!$B$11:$B$310)+COUNTA(条幅!$B$11:$B$310),INDEX(条幅!$I$11:$I$310,749-COUNTA(半紙!$B$11:$B$310)),IF(749&lt;=COUNTA(半紙!$B$11:$B$310)+COUNTA(条幅!$B$11:$B$310)+COUNTA(条幅4分の1!$B$11:$B$310),INDEX(条幅4分の1!$I$11:$I$310,749-COUNTA(半紙!$B$11:$B$310)-COUNTA(条幅!$B$11:$B$310)),""))))</f>
        <v/>
      </c>
      <c r="J754" s="38" t="str">
        <f>IF(IF(749&lt;=COUNTA(半紙!$B$11:$B$310),INDEX(半紙!$J$11:$J$310,749),IF(749&lt;=COUNTA(半紙!$B$11:$B$310)+COUNTA(条幅!$B$11:$B$310),INDEX(条幅!$J$11:$J$310,749-COUNTA(半紙!$B$11:$B$310)),IF(749&lt;=COUNTA(半紙!$B$11:$B$310)+COUNTA(条幅!$B$11:$B$310)+COUNTA(条幅4分の1!$B$11:$B$310),INDEX(条幅4分の1!$J$11:$J$310,749-COUNTA(半紙!$B$11:$B$310)-COUNTA(条幅!$B$11:$B$310)),"")))=0,"",IF(749&lt;=COUNTA(半紙!$B$11:$B$310),INDEX(半紙!$J$11:$J$310,749),IF(749&lt;=COUNTA(半紙!$B$11:$B$310)+COUNTA(条幅!$B$11:$B$310),INDEX(条幅!$J$11:$J$310,749-COUNTA(半紙!$B$11:$B$310)),IF(749&lt;=COUNTA(半紙!$B$11:$B$310)+COUNTA(条幅!$B$11:$B$310)+COUNTA(条幅4分の1!$B$11:$B$310),INDEX(条幅4分の1!$J$11:$J$310,749-COUNTA(半紙!$B$11:$B$310)-COUNTA(条幅!$B$11:$B$310)),""))))</f>
        <v/>
      </c>
      <c r="K754" s="38" t="str">
        <f>IF(IF(749&lt;=COUNTA(半紙!$B$11:$B$310),INDEX(半紙!$K$11:$K$310,749),IF(749&lt;=COUNTA(半紙!$B$11:$B$310)+COUNTA(条幅!$B$11:$B$310),INDEX(条幅!$K$11:$K$310,749-COUNTA(半紙!$B$11:$B$310)),IF(749&lt;=COUNTA(半紙!$B$11:$B$310)+COUNTA(条幅!$B$11:$B$310)+COUNTA(条幅4分の1!$B$11:$B$310),INDEX(条幅4分の1!$K$11:$K$310,749-COUNTA(半紙!$B$11:$B$310)-COUNTA(条幅!$B$11:$B$310)),"")))=0,"",IF(749&lt;=COUNTA(半紙!$B$11:$B$310),INDEX(半紙!$K$11:$K$310,749),IF(749&lt;=COUNTA(半紙!$B$11:$B$310)+COUNTA(条幅!$B$11:$B$310),INDEX(条幅!$K$11:$K$310,749-COUNTA(半紙!$B$11:$B$310)),IF(749&lt;=COUNTA(半紙!$B$11:$B$310)+COUNTA(条幅!$B$11:$B$310)+COUNTA(条幅4分の1!$B$11:$B$310),INDEX(条幅4分の1!$K$11:$K$310,749-COUNTA(半紙!$B$11:$B$310)-COUNTA(条幅!$B$11:$B$310)),""))))</f>
        <v/>
      </c>
      <c r="L754" s="48" t="str">
        <f>IF($B754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749))</f>
        <v/>
      </c>
    </row>
    <row r="755" spans="1:12" ht="15" customHeight="1">
      <c r="A755" s="37" t="str">
        <f>IF(750&lt;=COUNTA(半紙!$B$11:$B$310),"半紙",IF(750&lt;=COUNTA(半紙!$B$11:$B$310)+COUNTA(条幅!$B$11:$B$310),"条幅(半切)",IF(750&lt;=COUNTA(半紙!$B$11:$B$310)+COUNTA(条幅!$B$11:$B$310)+COUNTA(条幅4分の1!$B$11:$B$310),"条幅(1/4)","")))</f>
        <v/>
      </c>
      <c r="B755" s="38" t="str">
        <f>IF(IF(750&lt;=COUNTA(半紙!$B$11:$B$310),INDEX(半紙!$B$11:$B$310,750),IF(750&lt;=COUNTA(半紙!$B$11:$B$310)+COUNTA(条幅!$B$11:$B$310),INDEX(条幅!$B$11:$B$310,750-COUNTA(半紙!$B$11:$B$310)),IF(750&lt;=COUNTA(半紙!$B$11:$B$310)+COUNTA(条幅!$B$11:$B$310)+COUNTA(条幅4分の1!$B$11:$B$310),INDEX(条幅4分の1!$B$11:$B$310,750-COUNTA(半紙!$B$11:$B$310)-COUNTA(条幅!$B$11:$B$310)),"")))=0,"",IF(750&lt;=COUNTA(半紙!$B$11:$B$310),INDEX(半紙!$B$11:$B$310,750),IF(750&lt;=COUNTA(半紙!$B$11:$B$310)+COUNTA(条幅!$B$11:$B$310),INDEX(条幅!$B$11:$B$310,750-COUNTA(半紙!$B$11:$B$310)),IF(750&lt;=COUNTA(半紙!$B$11:$B$310)+COUNTA(条幅!$B$11:$B$310)+COUNTA(条幅4分の1!$B$11:$B$310),INDEX(条幅4分の1!$B$11:$B$310,750-COUNTA(半紙!$B$11:$B$310)-COUNTA(条幅!$B$11:$B$310)),""))))</f>
        <v/>
      </c>
      <c r="C755" s="38" t="str">
        <f>IF(IF(750&lt;=COUNTA(半紙!$B$11:$B$310),INDEX(半紙!$C$11:$C$310,750),IF(750&lt;=COUNTA(半紙!$B$11:$B$310)+COUNTA(条幅!$B$11:$B$310),INDEX(条幅!$C$11:$C$310,750-COUNTA(半紙!$B$11:$B$310)),IF(750&lt;=COUNTA(半紙!$B$11:$B$310)+COUNTA(条幅!$B$11:$B$310)+COUNTA(条幅4分の1!$B$11:$B$310),INDEX(条幅4分の1!$C$11:$C$310,750-COUNTA(半紙!$B$11:$B$310)-COUNTA(条幅!$B$11:$B$310)),"")))=0,"",IF(750&lt;=COUNTA(半紙!$B$11:$B$310),INDEX(半紙!$C$11:$C$310,750),IF(750&lt;=COUNTA(半紙!$B$11:$B$310)+COUNTA(条幅!$B$11:$B$310),INDEX(条幅!$C$11:$C$310,750-COUNTA(半紙!$B$11:$B$310)),IF(750&lt;=COUNTA(半紙!$B$11:$B$310)+COUNTA(条幅!$B$11:$B$310)+COUNTA(条幅4分の1!$B$11:$B$310),INDEX(条幅4分の1!$C$11:$C$310,750-COUNTA(半紙!$B$11:$B$310)-COUNTA(条幅!$B$11:$B$310)),""))))</f>
        <v/>
      </c>
      <c r="D755" s="38" t="str">
        <f>IF(IF(750&lt;=COUNTA(半紙!$B$11:$B$310),INDEX(半紙!$D$11:$D$310,750),IF(750&lt;=COUNTA(半紙!$B$11:$B$310)+COUNTA(条幅!$B$11:$B$310),INDEX(条幅!$D$11:$D$310,750-COUNTA(半紙!$B$11:$B$310)),IF(750&lt;=COUNTA(半紙!$B$11:$B$310)+COUNTA(条幅!$B$11:$B$310)+COUNTA(条幅4分の1!$B$11:$B$310),INDEX(条幅4分の1!$D$11:$D$310,750-COUNTA(半紙!$B$11:$B$310)-COUNTA(条幅!$B$11:$B$310)),"")))=0,"",IF(750&lt;=COUNTA(半紙!$B$11:$B$310),INDEX(半紙!$D$11:$D$310,750),IF(750&lt;=COUNTA(半紙!$B$11:$B$310)+COUNTA(条幅!$B$11:$B$310),INDEX(条幅!$D$11:$D$310,750-COUNTA(半紙!$B$11:$B$310)),IF(750&lt;=COUNTA(半紙!$B$11:$B$310)+COUNTA(条幅!$B$11:$B$310)+COUNTA(条幅4分の1!$B$11:$B$310),INDEX(条幅4分の1!$D$11:$D$310,750-COUNTA(半紙!$B$11:$B$310)-COUNTA(条幅!$B$11:$B$310)),""))))</f>
        <v/>
      </c>
      <c r="E755" s="38" t="str">
        <f>IF(IF(750&lt;=COUNTA(半紙!$B$11:$B$310),INDEX(半紙!$E$11:$E$310,750),IF(750&lt;=COUNTA(半紙!$B$11:$B$310)+COUNTA(条幅!$B$11:$B$310),INDEX(条幅!$E$11:$E$310,750-COUNTA(半紙!$B$11:$B$310)),IF(750&lt;=COUNTA(半紙!$B$11:$B$310)+COUNTA(条幅!$B$11:$B$310)+COUNTA(条幅4分の1!$B$11:$B$310),INDEX(条幅4分の1!$E$11:$E$310,750-COUNTA(半紙!$B$11:$B$310)-COUNTA(条幅!$B$11:$B$310)),"")))=0,"",IF(750&lt;=COUNTA(半紙!$B$11:$B$310),INDEX(半紙!$E$11:$E$310,750),IF(750&lt;=COUNTA(半紙!$B$11:$B$310)+COUNTA(条幅!$B$11:$B$310),INDEX(条幅!$E$11:$E$310,750-COUNTA(半紙!$B$11:$B$310)),IF(750&lt;=COUNTA(半紙!$B$11:$B$310)+COUNTA(条幅!$B$11:$B$310)+COUNTA(条幅4分の1!$B$11:$B$310),INDEX(条幅4分の1!$E$11:$E$310,750-COUNTA(半紙!$B$11:$B$310)-COUNTA(条幅!$B$11:$B$310)),""))))</f>
        <v/>
      </c>
      <c r="F755" s="38" t="str">
        <f>IF(IF(750&lt;=COUNTA(半紙!$B$11:$B$310),INDEX(半紙!$F$11:$F$310,750),IF(750&lt;=COUNTA(半紙!$B$11:$B$310)+COUNTA(条幅!$B$11:$B$310),INDEX(条幅!$F$11:$F$310,750-COUNTA(半紙!$B$11:$B$310)),IF(750&lt;=COUNTA(半紙!$B$11:$B$310)+COUNTA(条幅!$B$11:$B$310)+COUNTA(条幅4分の1!$B$11:$B$310),INDEX(条幅4分の1!$F$11:$F$310,750-COUNTA(半紙!$B$11:$B$310)-COUNTA(条幅!$B$11:$B$310)),"")))=0,"",IF(750&lt;=COUNTA(半紙!$B$11:$B$310),INDEX(半紙!$F$11:$F$310,750),IF(750&lt;=COUNTA(半紙!$B$11:$B$310)+COUNTA(条幅!$B$11:$B$310),INDEX(条幅!$F$11:$F$310,750-COUNTA(半紙!$B$11:$B$310)),IF(750&lt;=COUNTA(半紙!$B$11:$B$310)+COUNTA(条幅!$B$11:$B$310)+COUNTA(条幅4分の1!$B$11:$B$310),INDEX(条幅4分の1!$F$11:$F$310,750-COUNTA(半紙!$B$11:$B$310)-COUNTA(条幅!$B$11:$B$310)),""))))</f>
        <v/>
      </c>
      <c r="G755" s="38" t="str">
        <f>IF(IF(750&lt;=COUNTA(半紙!$B$11:$B$310),INDEX(半紙!$G$11:$G$310,750),IF(750&lt;=COUNTA(半紙!$B$11:$B$310)+COUNTA(条幅!$B$11:$B$310),INDEX(条幅!$G$11:$G$310,750-COUNTA(半紙!$B$11:$B$310)),IF(750&lt;=COUNTA(半紙!$B$11:$B$310)+COUNTA(条幅!$B$11:$B$310)+COUNTA(条幅4分の1!$B$11:$B$310),INDEX(条幅4分の1!$G$11:$G$310,750-COUNTA(半紙!$B$11:$B$310)-COUNTA(条幅!$B$11:$B$310)),"")))=0,"",IF(750&lt;=COUNTA(半紙!$B$11:$B$310),INDEX(半紙!$G$11:$G$310,750),IF(750&lt;=COUNTA(半紙!$B$11:$B$310)+COUNTA(条幅!$B$11:$B$310),INDEX(条幅!$G$11:$G$310,750-COUNTA(半紙!$B$11:$B$310)),IF(750&lt;=COUNTA(半紙!$B$11:$B$310)+COUNTA(条幅!$B$11:$B$310)+COUNTA(条幅4分の1!$B$11:$B$310),INDEX(条幅4分の1!$G$11:$G$310,750-COUNTA(半紙!$B$11:$B$310)-COUNTA(条幅!$B$11:$B$310)),""))))</f>
        <v/>
      </c>
      <c r="H755" s="38" t="str">
        <f>IF(IF(750&lt;=COUNTA(半紙!$B$11:$B$310),INDEX(半紙!$H$11:$H$310,750),IF(750&lt;=COUNTA(半紙!$B$11:$B$310)+COUNTA(条幅!$B$11:$B$310),INDEX(条幅!$H$11:$H$310,750-COUNTA(半紙!$B$11:$B$310)),IF(750&lt;=COUNTA(半紙!$B$11:$B$310)+COUNTA(条幅!$B$11:$B$310)+COUNTA(条幅4分の1!$B$11:$B$310),INDEX(条幅4分の1!$H$11:$H$310,750-COUNTA(半紙!$B$11:$B$310)-COUNTA(条幅!$B$11:$B$310)),"")))=0,"",IF(750&lt;=COUNTA(半紙!$B$11:$B$310),INDEX(半紙!$H$11:$H$310,750),IF(750&lt;=COUNTA(半紙!$B$11:$B$310)+COUNTA(条幅!$B$11:$B$310),INDEX(条幅!$H$11:$H$310,750-COUNTA(半紙!$B$11:$B$310)),IF(750&lt;=COUNTA(半紙!$B$11:$B$310)+COUNTA(条幅!$B$11:$B$310)+COUNTA(条幅4分の1!$B$11:$B$310),INDEX(条幅4分の1!$H$11:$H$310,750-COUNTA(半紙!$B$11:$B$310)-COUNTA(条幅!$B$11:$B$310)),""))))</f>
        <v/>
      </c>
      <c r="I755" s="38" t="str">
        <f>IF(IF(750&lt;=COUNTA(半紙!$B$11:$B$310),INDEX(半紙!$I$11:$I$310,750),IF(750&lt;=COUNTA(半紙!$B$11:$B$310)+COUNTA(条幅!$B$11:$B$310),INDEX(条幅!$I$11:$I$310,750-COUNTA(半紙!$B$11:$B$310)),IF(750&lt;=COUNTA(半紙!$B$11:$B$310)+COUNTA(条幅!$B$11:$B$310)+COUNTA(条幅4分の1!$B$11:$B$310),INDEX(条幅4分の1!$I$11:$I$310,750-COUNTA(半紙!$B$11:$B$310)-COUNTA(条幅!$B$11:$B$310)),"")))=0,"",IF(750&lt;=COUNTA(半紙!$B$11:$B$310),INDEX(半紙!$I$11:$I$310,750),IF(750&lt;=COUNTA(半紙!$B$11:$B$310)+COUNTA(条幅!$B$11:$B$310),INDEX(条幅!$I$11:$I$310,750-COUNTA(半紙!$B$11:$B$310)),IF(750&lt;=COUNTA(半紙!$B$11:$B$310)+COUNTA(条幅!$B$11:$B$310)+COUNTA(条幅4分の1!$B$11:$B$310),INDEX(条幅4分の1!$I$11:$I$310,750-COUNTA(半紙!$B$11:$B$310)-COUNTA(条幅!$B$11:$B$310)),""))))</f>
        <v/>
      </c>
      <c r="J755" s="38" t="str">
        <f>IF(IF(750&lt;=COUNTA(半紙!$B$11:$B$310),INDEX(半紙!$J$11:$J$310,750),IF(750&lt;=COUNTA(半紙!$B$11:$B$310)+COUNTA(条幅!$B$11:$B$310),INDEX(条幅!$J$11:$J$310,750-COUNTA(半紙!$B$11:$B$310)),IF(750&lt;=COUNTA(半紙!$B$11:$B$310)+COUNTA(条幅!$B$11:$B$310)+COUNTA(条幅4分の1!$B$11:$B$310),INDEX(条幅4分の1!$J$11:$J$310,750-COUNTA(半紙!$B$11:$B$310)-COUNTA(条幅!$B$11:$B$310)),"")))=0,"",IF(750&lt;=COUNTA(半紙!$B$11:$B$310),INDEX(半紙!$J$11:$J$310,750),IF(750&lt;=COUNTA(半紙!$B$11:$B$310)+COUNTA(条幅!$B$11:$B$310),INDEX(条幅!$J$11:$J$310,750-COUNTA(半紙!$B$11:$B$310)),IF(750&lt;=COUNTA(半紙!$B$11:$B$310)+COUNTA(条幅!$B$11:$B$310)+COUNTA(条幅4分の1!$B$11:$B$310),INDEX(条幅4分の1!$J$11:$J$310,750-COUNTA(半紙!$B$11:$B$310)-COUNTA(条幅!$B$11:$B$310)),""))))</f>
        <v/>
      </c>
      <c r="K755" s="38" t="str">
        <f>IF(IF(750&lt;=COUNTA(半紙!$B$11:$B$310),INDEX(半紙!$K$11:$K$310,750),IF(750&lt;=COUNTA(半紙!$B$11:$B$310)+COUNTA(条幅!$B$11:$B$310),INDEX(条幅!$K$11:$K$310,750-COUNTA(半紙!$B$11:$B$310)),IF(750&lt;=COUNTA(半紙!$B$11:$B$310)+COUNTA(条幅!$B$11:$B$310)+COUNTA(条幅4分の1!$B$11:$B$310),INDEX(条幅4分の1!$K$11:$K$310,750-COUNTA(半紙!$B$11:$B$310)-COUNTA(条幅!$B$11:$B$310)),"")))=0,"",IF(750&lt;=COUNTA(半紙!$B$11:$B$310),INDEX(半紙!$K$11:$K$310,750),IF(750&lt;=COUNTA(半紙!$B$11:$B$310)+COUNTA(条幅!$B$11:$B$310),INDEX(条幅!$K$11:$K$310,750-COUNTA(半紙!$B$11:$B$310)),IF(750&lt;=COUNTA(半紙!$B$11:$B$310)+COUNTA(条幅!$B$11:$B$310)+COUNTA(条幅4分の1!$B$11:$B$310),INDEX(条幅4分の1!$K$11:$K$310,750-COUNTA(半紙!$B$11:$B$310)-COUNTA(条幅!$B$11:$B$310)),""))))</f>
        <v/>
      </c>
      <c r="L755" s="48" t="str">
        <f>IF($B755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750))</f>
        <v/>
      </c>
    </row>
    <row r="756" spans="1:12" ht="15" customHeight="1">
      <c r="A756" s="37" t="str">
        <f>IF(751&lt;=COUNTA(半紙!$B$11:$B$310),"半紙",IF(751&lt;=COUNTA(半紙!$B$11:$B$310)+COUNTA(条幅!$B$11:$B$310),"条幅(半切)",IF(751&lt;=COUNTA(半紙!$B$11:$B$310)+COUNTA(条幅!$B$11:$B$310)+COUNTA(条幅4分の1!$B$11:$B$310),"条幅(1/4)","")))</f>
        <v/>
      </c>
      <c r="B756" s="38" t="str">
        <f>IF(IF(751&lt;=COUNTA(半紙!$B$11:$B$310),INDEX(半紙!$B$11:$B$310,751),IF(751&lt;=COUNTA(半紙!$B$11:$B$310)+COUNTA(条幅!$B$11:$B$310),INDEX(条幅!$B$11:$B$310,751-COUNTA(半紙!$B$11:$B$310)),IF(751&lt;=COUNTA(半紙!$B$11:$B$310)+COUNTA(条幅!$B$11:$B$310)+COUNTA(条幅4分の1!$B$11:$B$310),INDEX(条幅4分の1!$B$11:$B$310,751-COUNTA(半紙!$B$11:$B$310)-COUNTA(条幅!$B$11:$B$310)),"")))=0,"",IF(751&lt;=COUNTA(半紙!$B$11:$B$310),INDEX(半紙!$B$11:$B$310,751),IF(751&lt;=COUNTA(半紙!$B$11:$B$310)+COUNTA(条幅!$B$11:$B$310),INDEX(条幅!$B$11:$B$310,751-COUNTA(半紙!$B$11:$B$310)),IF(751&lt;=COUNTA(半紙!$B$11:$B$310)+COUNTA(条幅!$B$11:$B$310)+COUNTA(条幅4分の1!$B$11:$B$310),INDEX(条幅4分の1!$B$11:$B$310,751-COUNTA(半紙!$B$11:$B$310)-COUNTA(条幅!$B$11:$B$310)),""))))</f>
        <v/>
      </c>
      <c r="C756" s="38" t="str">
        <f>IF(IF(751&lt;=COUNTA(半紙!$B$11:$B$310),INDEX(半紙!$C$11:$C$310,751),IF(751&lt;=COUNTA(半紙!$B$11:$B$310)+COUNTA(条幅!$B$11:$B$310),INDEX(条幅!$C$11:$C$310,751-COUNTA(半紙!$B$11:$B$310)),IF(751&lt;=COUNTA(半紙!$B$11:$B$310)+COUNTA(条幅!$B$11:$B$310)+COUNTA(条幅4分の1!$B$11:$B$310),INDEX(条幅4分の1!$C$11:$C$310,751-COUNTA(半紙!$B$11:$B$310)-COUNTA(条幅!$B$11:$B$310)),"")))=0,"",IF(751&lt;=COUNTA(半紙!$B$11:$B$310),INDEX(半紙!$C$11:$C$310,751),IF(751&lt;=COUNTA(半紙!$B$11:$B$310)+COUNTA(条幅!$B$11:$B$310),INDEX(条幅!$C$11:$C$310,751-COUNTA(半紙!$B$11:$B$310)),IF(751&lt;=COUNTA(半紙!$B$11:$B$310)+COUNTA(条幅!$B$11:$B$310)+COUNTA(条幅4分の1!$B$11:$B$310),INDEX(条幅4分の1!$C$11:$C$310,751-COUNTA(半紙!$B$11:$B$310)-COUNTA(条幅!$B$11:$B$310)),""))))</f>
        <v/>
      </c>
      <c r="D756" s="38" t="str">
        <f>IF(IF(751&lt;=COUNTA(半紙!$B$11:$B$310),INDEX(半紙!$D$11:$D$310,751),IF(751&lt;=COUNTA(半紙!$B$11:$B$310)+COUNTA(条幅!$B$11:$B$310),INDEX(条幅!$D$11:$D$310,751-COUNTA(半紙!$B$11:$B$310)),IF(751&lt;=COUNTA(半紙!$B$11:$B$310)+COUNTA(条幅!$B$11:$B$310)+COUNTA(条幅4分の1!$B$11:$B$310),INDEX(条幅4分の1!$D$11:$D$310,751-COUNTA(半紙!$B$11:$B$310)-COUNTA(条幅!$B$11:$B$310)),"")))=0,"",IF(751&lt;=COUNTA(半紙!$B$11:$B$310),INDEX(半紙!$D$11:$D$310,751),IF(751&lt;=COUNTA(半紙!$B$11:$B$310)+COUNTA(条幅!$B$11:$B$310),INDEX(条幅!$D$11:$D$310,751-COUNTA(半紙!$B$11:$B$310)),IF(751&lt;=COUNTA(半紙!$B$11:$B$310)+COUNTA(条幅!$B$11:$B$310)+COUNTA(条幅4分の1!$B$11:$B$310),INDEX(条幅4分の1!$D$11:$D$310,751-COUNTA(半紙!$B$11:$B$310)-COUNTA(条幅!$B$11:$B$310)),""))))</f>
        <v/>
      </c>
      <c r="E756" s="38" t="str">
        <f>IF(IF(751&lt;=COUNTA(半紙!$B$11:$B$310),INDEX(半紙!$E$11:$E$310,751),IF(751&lt;=COUNTA(半紙!$B$11:$B$310)+COUNTA(条幅!$B$11:$B$310),INDEX(条幅!$E$11:$E$310,751-COUNTA(半紙!$B$11:$B$310)),IF(751&lt;=COUNTA(半紙!$B$11:$B$310)+COUNTA(条幅!$B$11:$B$310)+COUNTA(条幅4分の1!$B$11:$B$310),INDEX(条幅4分の1!$E$11:$E$310,751-COUNTA(半紙!$B$11:$B$310)-COUNTA(条幅!$B$11:$B$310)),"")))=0,"",IF(751&lt;=COUNTA(半紙!$B$11:$B$310),INDEX(半紙!$E$11:$E$310,751),IF(751&lt;=COUNTA(半紙!$B$11:$B$310)+COUNTA(条幅!$B$11:$B$310),INDEX(条幅!$E$11:$E$310,751-COUNTA(半紙!$B$11:$B$310)),IF(751&lt;=COUNTA(半紙!$B$11:$B$310)+COUNTA(条幅!$B$11:$B$310)+COUNTA(条幅4分の1!$B$11:$B$310),INDEX(条幅4分の1!$E$11:$E$310,751-COUNTA(半紙!$B$11:$B$310)-COUNTA(条幅!$B$11:$B$310)),""))))</f>
        <v/>
      </c>
      <c r="F756" s="38" t="str">
        <f>IF(IF(751&lt;=COUNTA(半紙!$B$11:$B$310),INDEX(半紙!$F$11:$F$310,751),IF(751&lt;=COUNTA(半紙!$B$11:$B$310)+COUNTA(条幅!$B$11:$B$310),INDEX(条幅!$F$11:$F$310,751-COUNTA(半紙!$B$11:$B$310)),IF(751&lt;=COUNTA(半紙!$B$11:$B$310)+COUNTA(条幅!$B$11:$B$310)+COUNTA(条幅4分の1!$B$11:$B$310),INDEX(条幅4分の1!$F$11:$F$310,751-COUNTA(半紙!$B$11:$B$310)-COUNTA(条幅!$B$11:$B$310)),"")))=0,"",IF(751&lt;=COUNTA(半紙!$B$11:$B$310),INDEX(半紙!$F$11:$F$310,751),IF(751&lt;=COUNTA(半紙!$B$11:$B$310)+COUNTA(条幅!$B$11:$B$310),INDEX(条幅!$F$11:$F$310,751-COUNTA(半紙!$B$11:$B$310)),IF(751&lt;=COUNTA(半紙!$B$11:$B$310)+COUNTA(条幅!$B$11:$B$310)+COUNTA(条幅4分の1!$B$11:$B$310),INDEX(条幅4分の1!$F$11:$F$310,751-COUNTA(半紙!$B$11:$B$310)-COUNTA(条幅!$B$11:$B$310)),""))))</f>
        <v/>
      </c>
      <c r="G756" s="38" t="str">
        <f>IF(IF(751&lt;=COUNTA(半紙!$B$11:$B$310),INDEX(半紙!$G$11:$G$310,751),IF(751&lt;=COUNTA(半紙!$B$11:$B$310)+COUNTA(条幅!$B$11:$B$310),INDEX(条幅!$G$11:$G$310,751-COUNTA(半紙!$B$11:$B$310)),IF(751&lt;=COUNTA(半紙!$B$11:$B$310)+COUNTA(条幅!$B$11:$B$310)+COUNTA(条幅4分の1!$B$11:$B$310),INDEX(条幅4分の1!$G$11:$G$310,751-COUNTA(半紙!$B$11:$B$310)-COUNTA(条幅!$B$11:$B$310)),"")))=0,"",IF(751&lt;=COUNTA(半紙!$B$11:$B$310),INDEX(半紙!$G$11:$G$310,751),IF(751&lt;=COUNTA(半紙!$B$11:$B$310)+COUNTA(条幅!$B$11:$B$310),INDEX(条幅!$G$11:$G$310,751-COUNTA(半紙!$B$11:$B$310)),IF(751&lt;=COUNTA(半紙!$B$11:$B$310)+COUNTA(条幅!$B$11:$B$310)+COUNTA(条幅4分の1!$B$11:$B$310),INDEX(条幅4分の1!$G$11:$G$310,751-COUNTA(半紙!$B$11:$B$310)-COUNTA(条幅!$B$11:$B$310)),""))))</f>
        <v/>
      </c>
      <c r="H756" s="38" t="str">
        <f>IF(IF(751&lt;=COUNTA(半紙!$B$11:$B$310),INDEX(半紙!$H$11:$H$310,751),IF(751&lt;=COUNTA(半紙!$B$11:$B$310)+COUNTA(条幅!$B$11:$B$310),INDEX(条幅!$H$11:$H$310,751-COUNTA(半紙!$B$11:$B$310)),IF(751&lt;=COUNTA(半紙!$B$11:$B$310)+COUNTA(条幅!$B$11:$B$310)+COUNTA(条幅4分の1!$B$11:$B$310),INDEX(条幅4分の1!$H$11:$H$310,751-COUNTA(半紙!$B$11:$B$310)-COUNTA(条幅!$B$11:$B$310)),"")))=0,"",IF(751&lt;=COUNTA(半紙!$B$11:$B$310),INDEX(半紙!$H$11:$H$310,751),IF(751&lt;=COUNTA(半紙!$B$11:$B$310)+COUNTA(条幅!$B$11:$B$310),INDEX(条幅!$H$11:$H$310,751-COUNTA(半紙!$B$11:$B$310)),IF(751&lt;=COUNTA(半紙!$B$11:$B$310)+COUNTA(条幅!$B$11:$B$310)+COUNTA(条幅4分の1!$B$11:$B$310),INDEX(条幅4分の1!$H$11:$H$310,751-COUNTA(半紙!$B$11:$B$310)-COUNTA(条幅!$B$11:$B$310)),""))))</f>
        <v/>
      </c>
      <c r="I756" s="38" t="str">
        <f>IF(IF(751&lt;=COUNTA(半紙!$B$11:$B$310),INDEX(半紙!$I$11:$I$310,751),IF(751&lt;=COUNTA(半紙!$B$11:$B$310)+COUNTA(条幅!$B$11:$B$310),INDEX(条幅!$I$11:$I$310,751-COUNTA(半紙!$B$11:$B$310)),IF(751&lt;=COUNTA(半紙!$B$11:$B$310)+COUNTA(条幅!$B$11:$B$310)+COUNTA(条幅4分の1!$B$11:$B$310),INDEX(条幅4分の1!$I$11:$I$310,751-COUNTA(半紙!$B$11:$B$310)-COUNTA(条幅!$B$11:$B$310)),"")))=0,"",IF(751&lt;=COUNTA(半紙!$B$11:$B$310),INDEX(半紙!$I$11:$I$310,751),IF(751&lt;=COUNTA(半紙!$B$11:$B$310)+COUNTA(条幅!$B$11:$B$310),INDEX(条幅!$I$11:$I$310,751-COUNTA(半紙!$B$11:$B$310)),IF(751&lt;=COUNTA(半紙!$B$11:$B$310)+COUNTA(条幅!$B$11:$B$310)+COUNTA(条幅4分の1!$B$11:$B$310),INDEX(条幅4分の1!$I$11:$I$310,751-COUNTA(半紙!$B$11:$B$310)-COUNTA(条幅!$B$11:$B$310)),""))))</f>
        <v/>
      </c>
      <c r="J756" s="38" t="str">
        <f>IF(IF(751&lt;=COUNTA(半紙!$B$11:$B$310),INDEX(半紙!$J$11:$J$310,751),IF(751&lt;=COUNTA(半紙!$B$11:$B$310)+COUNTA(条幅!$B$11:$B$310),INDEX(条幅!$J$11:$J$310,751-COUNTA(半紙!$B$11:$B$310)),IF(751&lt;=COUNTA(半紙!$B$11:$B$310)+COUNTA(条幅!$B$11:$B$310)+COUNTA(条幅4分の1!$B$11:$B$310),INDEX(条幅4分の1!$J$11:$J$310,751-COUNTA(半紙!$B$11:$B$310)-COUNTA(条幅!$B$11:$B$310)),"")))=0,"",IF(751&lt;=COUNTA(半紙!$B$11:$B$310),INDEX(半紙!$J$11:$J$310,751),IF(751&lt;=COUNTA(半紙!$B$11:$B$310)+COUNTA(条幅!$B$11:$B$310),INDEX(条幅!$J$11:$J$310,751-COUNTA(半紙!$B$11:$B$310)),IF(751&lt;=COUNTA(半紙!$B$11:$B$310)+COUNTA(条幅!$B$11:$B$310)+COUNTA(条幅4分の1!$B$11:$B$310),INDEX(条幅4分の1!$J$11:$J$310,751-COUNTA(半紙!$B$11:$B$310)-COUNTA(条幅!$B$11:$B$310)),""))))</f>
        <v/>
      </c>
      <c r="K756" s="38" t="str">
        <f>IF(IF(751&lt;=COUNTA(半紙!$B$11:$B$310),INDEX(半紙!$K$11:$K$310,751),IF(751&lt;=COUNTA(半紙!$B$11:$B$310)+COUNTA(条幅!$B$11:$B$310),INDEX(条幅!$K$11:$K$310,751-COUNTA(半紙!$B$11:$B$310)),IF(751&lt;=COUNTA(半紙!$B$11:$B$310)+COUNTA(条幅!$B$11:$B$310)+COUNTA(条幅4分の1!$B$11:$B$310),INDEX(条幅4分の1!$K$11:$K$310,751-COUNTA(半紙!$B$11:$B$310)-COUNTA(条幅!$B$11:$B$310)),"")))=0,"",IF(751&lt;=COUNTA(半紙!$B$11:$B$310),INDEX(半紙!$K$11:$K$310,751),IF(751&lt;=COUNTA(半紙!$B$11:$B$310)+COUNTA(条幅!$B$11:$B$310),INDEX(条幅!$K$11:$K$310,751-COUNTA(半紙!$B$11:$B$310)),IF(751&lt;=COUNTA(半紙!$B$11:$B$310)+COUNTA(条幅!$B$11:$B$310)+COUNTA(条幅4分の1!$B$11:$B$310),INDEX(条幅4分の1!$K$11:$K$310,751-COUNTA(半紙!$B$11:$B$310)-COUNTA(条幅!$B$11:$B$310)),""))))</f>
        <v/>
      </c>
      <c r="L756" s="48" t="str">
        <f>IF($B756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751))</f>
        <v/>
      </c>
    </row>
    <row r="757" spans="1:12" ht="15" customHeight="1">
      <c r="A757" s="37" t="str">
        <f>IF(752&lt;=COUNTA(半紙!$B$11:$B$310),"半紙",IF(752&lt;=COUNTA(半紙!$B$11:$B$310)+COUNTA(条幅!$B$11:$B$310),"条幅(半切)",IF(752&lt;=COUNTA(半紙!$B$11:$B$310)+COUNTA(条幅!$B$11:$B$310)+COUNTA(条幅4分の1!$B$11:$B$310),"条幅(1/4)","")))</f>
        <v/>
      </c>
      <c r="B757" s="38" t="str">
        <f>IF(IF(752&lt;=COUNTA(半紙!$B$11:$B$310),INDEX(半紙!$B$11:$B$310,752),IF(752&lt;=COUNTA(半紙!$B$11:$B$310)+COUNTA(条幅!$B$11:$B$310),INDEX(条幅!$B$11:$B$310,752-COUNTA(半紙!$B$11:$B$310)),IF(752&lt;=COUNTA(半紙!$B$11:$B$310)+COUNTA(条幅!$B$11:$B$310)+COUNTA(条幅4分の1!$B$11:$B$310),INDEX(条幅4分の1!$B$11:$B$310,752-COUNTA(半紙!$B$11:$B$310)-COUNTA(条幅!$B$11:$B$310)),"")))=0,"",IF(752&lt;=COUNTA(半紙!$B$11:$B$310),INDEX(半紙!$B$11:$B$310,752),IF(752&lt;=COUNTA(半紙!$B$11:$B$310)+COUNTA(条幅!$B$11:$B$310),INDEX(条幅!$B$11:$B$310,752-COUNTA(半紙!$B$11:$B$310)),IF(752&lt;=COUNTA(半紙!$B$11:$B$310)+COUNTA(条幅!$B$11:$B$310)+COUNTA(条幅4分の1!$B$11:$B$310),INDEX(条幅4分の1!$B$11:$B$310,752-COUNTA(半紙!$B$11:$B$310)-COUNTA(条幅!$B$11:$B$310)),""))))</f>
        <v/>
      </c>
      <c r="C757" s="38" t="str">
        <f>IF(IF(752&lt;=COUNTA(半紙!$B$11:$B$310),INDEX(半紙!$C$11:$C$310,752),IF(752&lt;=COUNTA(半紙!$B$11:$B$310)+COUNTA(条幅!$B$11:$B$310),INDEX(条幅!$C$11:$C$310,752-COUNTA(半紙!$B$11:$B$310)),IF(752&lt;=COUNTA(半紙!$B$11:$B$310)+COUNTA(条幅!$B$11:$B$310)+COUNTA(条幅4分の1!$B$11:$B$310),INDEX(条幅4分の1!$C$11:$C$310,752-COUNTA(半紙!$B$11:$B$310)-COUNTA(条幅!$B$11:$B$310)),"")))=0,"",IF(752&lt;=COUNTA(半紙!$B$11:$B$310),INDEX(半紙!$C$11:$C$310,752),IF(752&lt;=COUNTA(半紙!$B$11:$B$310)+COUNTA(条幅!$B$11:$B$310),INDEX(条幅!$C$11:$C$310,752-COUNTA(半紙!$B$11:$B$310)),IF(752&lt;=COUNTA(半紙!$B$11:$B$310)+COUNTA(条幅!$B$11:$B$310)+COUNTA(条幅4分の1!$B$11:$B$310),INDEX(条幅4分の1!$C$11:$C$310,752-COUNTA(半紙!$B$11:$B$310)-COUNTA(条幅!$B$11:$B$310)),""))))</f>
        <v/>
      </c>
      <c r="D757" s="38" t="str">
        <f>IF(IF(752&lt;=COUNTA(半紙!$B$11:$B$310),INDEX(半紙!$D$11:$D$310,752),IF(752&lt;=COUNTA(半紙!$B$11:$B$310)+COUNTA(条幅!$B$11:$B$310),INDEX(条幅!$D$11:$D$310,752-COUNTA(半紙!$B$11:$B$310)),IF(752&lt;=COUNTA(半紙!$B$11:$B$310)+COUNTA(条幅!$B$11:$B$310)+COUNTA(条幅4分の1!$B$11:$B$310),INDEX(条幅4分の1!$D$11:$D$310,752-COUNTA(半紙!$B$11:$B$310)-COUNTA(条幅!$B$11:$B$310)),"")))=0,"",IF(752&lt;=COUNTA(半紙!$B$11:$B$310),INDEX(半紙!$D$11:$D$310,752),IF(752&lt;=COUNTA(半紙!$B$11:$B$310)+COUNTA(条幅!$B$11:$B$310),INDEX(条幅!$D$11:$D$310,752-COUNTA(半紙!$B$11:$B$310)),IF(752&lt;=COUNTA(半紙!$B$11:$B$310)+COUNTA(条幅!$B$11:$B$310)+COUNTA(条幅4分の1!$B$11:$B$310),INDEX(条幅4分の1!$D$11:$D$310,752-COUNTA(半紙!$B$11:$B$310)-COUNTA(条幅!$B$11:$B$310)),""))))</f>
        <v/>
      </c>
      <c r="E757" s="38" t="str">
        <f>IF(IF(752&lt;=COUNTA(半紙!$B$11:$B$310),INDEX(半紙!$E$11:$E$310,752),IF(752&lt;=COUNTA(半紙!$B$11:$B$310)+COUNTA(条幅!$B$11:$B$310),INDEX(条幅!$E$11:$E$310,752-COUNTA(半紙!$B$11:$B$310)),IF(752&lt;=COUNTA(半紙!$B$11:$B$310)+COUNTA(条幅!$B$11:$B$310)+COUNTA(条幅4分の1!$B$11:$B$310),INDEX(条幅4分の1!$E$11:$E$310,752-COUNTA(半紙!$B$11:$B$310)-COUNTA(条幅!$B$11:$B$310)),"")))=0,"",IF(752&lt;=COUNTA(半紙!$B$11:$B$310),INDEX(半紙!$E$11:$E$310,752),IF(752&lt;=COUNTA(半紙!$B$11:$B$310)+COUNTA(条幅!$B$11:$B$310),INDEX(条幅!$E$11:$E$310,752-COUNTA(半紙!$B$11:$B$310)),IF(752&lt;=COUNTA(半紙!$B$11:$B$310)+COUNTA(条幅!$B$11:$B$310)+COUNTA(条幅4分の1!$B$11:$B$310),INDEX(条幅4分の1!$E$11:$E$310,752-COUNTA(半紙!$B$11:$B$310)-COUNTA(条幅!$B$11:$B$310)),""))))</f>
        <v/>
      </c>
      <c r="F757" s="38" t="str">
        <f>IF(IF(752&lt;=COUNTA(半紙!$B$11:$B$310),INDEX(半紙!$F$11:$F$310,752),IF(752&lt;=COUNTA(半紙!$B$11:$B$310)+COUNTA(条幅!$B$11:$B$310),INDEX(条幅!$F$11:$F$310,752-COUNTA(半紙!$B$11:$B$310)),IF(752&lt;=COUNTA(半紙!$B$11:$B$310)+COUNTA(条幅!$B$11:$B$310)+COUNTA(条幅4分の1!$B$11:$B$310),INDEX(条幅4分の1!$F$11:$F$310,752-COUNTA(半紙!$B$11:$B$310)-COUNTA(条幅!$B$11:$B$310)),"")))=0,"",IF(752&lt;=COUNTA(半紙!$B$11:$B$310),INDEX(半紙!$F$11:$F$310,752),IF(752&lt;=COUNTA(半紙!$B$11:$B$310)+COUNTA(条幅!$B$11:$B$310),INDEX(条幅!$F$11:$F$310,752-COUNTA(半紙!$B$11:$B$310)),IF(752&lt;=COUNTA(半紙!$B$11:$B$310)+COUNTA(条幅!$B$11:$B$310)+COUNTA(条幅4分の1!$B$11:$B$310),INDEX(条幅4分の1!$F$11:$F$310,752-COUNTA(半紙!$B$11:$B$310)-COUNTA(条幅!$B$11:$B$310)),""))))</f>
        <v/>
      </c>
      <c r="G757" s="38" t="str">
        <f>IF(IF(752&lt;=COUNTA(半紙!$B$11:$B$310),INDEX(半紙!$G$11:$G$310,752),IF(752&lt;=COUNTA(半紙!$B$11:$B$310)+COUNTA(条幅!$B$11:$B$310),INDEX(条幅!$G$11:$G$310,752-COUNTA(半紙!$B$11:$B$310)),IF(752&lt;=COUNTA(半紙!$B$11:$B$310)+COUNTA(条幅!$B$11:$B$310)+COUNTA(条幅4分の1!$B$11:$B$310),INDEX(条幅4分の1!$G$11:$G$310,752-COUNTA(半紙!$B$11:$B$310)-COUNTA(条幅!$B$11:$B$310)),"")))=0,"",IF(752&lt;=COUNTA(半紙!$B$11:$B$310),INDEX(半紙!$G$11:$G$310,752),IF(752&lt;=COUNTA(半紙!$B$11:$B$310)+COUNTA(条幅!$B$11:$B$310),INDEX(条幅!$G$11:$G$310,752-COUNTA(半紙!$B$11:$B$310)),IF(752&lt;=COUNTA(半紙!$B$11:$B$310)+COUNTA(条幅!$B$11:$B$310)+COUNTA(条幅4分の1!$B$11:$B$310),INDEX(条幅4分の1!$G$11:$G$310,752-COUNTA(半紙!$B$11:$B$310)-COUNTA(条幅!$B$11:$B$310)),""))))</f>
        <v/>
      </c>
      <c r="H757" s="38" t="str">
        <f>IF(IF(752&lt;=COUNTA(半紙!$B$11:$B$310),INDEX(半紙!$H$11:$H$310,752),IF(752&lt;=COUNTA(半紙!$B$11:$B$310)+COUNTA(条幅!$B$11:$B$310),INDEX(条幅!$H$11:$H$310,752-COUNTA(半紙!$B$11:$B$310)),IF(752&lt;=COUNTA(半紙!$B$11:$B$310)+COUNTA(条幅!$B$11:$B$310)+COUNTA(条幅4分の1!$B$11:$B$310),INDEX(条幅4分の1!$H$11:$H$310,752-COUNTA(半紙!$B$11:$B$310)-COUNTA(条幅!$B$11:$B$310)),"")))=0,"",IF(752&lt;=COUNTA(半紙!$B$11:$B$310),INDEX(半紙!$H$11:$H$310,752),IF(752&lt;=COUNTA(半紙!$B$11:$B$310)+COUNTA(条幅!$B$11:$B$310),INDEX(条幅!$H$11:$H$310,752-COUNTA(半紙!$B$11:$B$310)),IF(752&lt;=COUNTA(半紙!$B$11:$B$310)+COUNTA(条幅!$B$11:$B$310)+COUNTA(条幅4分の1!$B$11:$B$310),INDEX(条幅4分の1!$H$11:$H$310,752-COUNTA(半紙!$B$11:$B$310)-COUNTA(条幅!$B$11:$B$310)),""))))</f>
        <v/>
      </c>
      <c r="I757" s="38" t="str">
        <f>IF(IF(752&lt;=COUNTA(半紙!$B$11:$B$310),INDEX(半紙!$I$11:$I$310,752),IF(752&lt;=COUNTA(半紙!$B$11:$B$310)+COUNTA(条幅!$B$11:$B$310),INDEX(条幅!$I$11:$I$310,752-COUNTA(半紙!$B$11:$B$310)),IF(752&lt;=COUNTA(半紙!$B$11:$B$310)+COUNTA(条幅!$B$11:$B$310)+COUNTA(条幅4分の1!$B$11:$B$310),INDEX(条幅4分の1!$I$11:$I$310,752-COUNTA(半紙!$B$11:$B$310)-COUNTA(条幅!$B$11:$B$310)),"")))=0,"",IF(752&lt;=COUNTA(半紙!$B$11:$B$310),INDEX(半紙!$I$11:$I$310,752),IF(752&lt;=COUNTA(半紙!$B$11:$B$310)+COUNTA(条幅!$B$11:$B$310),INDEX(条幅!$I$11:$I$310,752-COUNTA(半紙!$B$11:$B$310)),IF(752&lt;=COUNTA(半紙!$B$11:$B$310)+COUNTA(条幅!$B$11:$B$310)+COUNTA(条幅4分の1!$B$11:$B$310),INDEX(条幅4分の1!$I$11:$I$310,752-COUNTA(半紙!$B$11:$B$310)-COUNTA(条幅!$B$11:$B$310)),""))))</f>
        <v/>
      </c>
      <c r="J757" s="38" t="str">
        <f>IF(IF(752&lt;=COUNTA(半紙!$B$11:$B$310),INDEX(半紙!$J$11:$J$310,752),IF(752&lt;=COUNTA(半紙!$B$11:$B$310)+COUNTA(条幅!$B$11:$B$310),INDEX(条幅!$J$11:$J$310,752-COUNTA(半紙!$B$11:$B$310)),IF(752&lt;=COUNTA(半紙!$B$11:$B$310)+COUNTA(条幅!$B$11:$B$310)+COUNTA(条幅4分の1!$B$11:$B$310),INDEX(条幅4分の1!$J$11:$J$310,752-COUNTA(半紙!$B$11:$B$310)-COUNTA(条幅!$B$11:$B$310)),"")))=0,"",IF(752&lt;=COUNTA(半紙!$B$11:$B$310),INDEX(半紙!$J$11:$J$310,752),IF(752&lt;=COUNTA(半紙!$B$11:$B$310)+COUNTA(条幅!$B$11:$B$310),INDEX(条幅!$J$11:$J$310,752-COUNTA(半紙!$B$11:$B$310)),IF(752&lt;=COUNTA(半紙!$B$11:$B$310)+COUNTA(条幅!$B$11:$B$310)+COUNTA(条幅4分の1!$B$11:$B$310),INDEX(条幅4分の1!$J$11:$J$310,752-COUNTA(半紙!$B$11:$B$310)-COUNTA(条幅!$B$11:$B$310)),""))))</f>
        <v/>
      </c>
      <c r="K757" s="38" t="str">
        <f>IF(IF(752&lt;=COUNTA(半紙!$B$11:$B$310),INDEX(半紙!$K$11:$K$310,752),IF(752&lt;=COUNTA(半紙!$B$11:$B$310)+COUNTA(条幅!$B$11:$B$310),INDEX(条幅!$K$11:$K$310,752-COUNTA(半紙!$B$11:$B$310)),IF(752&lt;=COUNTA(半紙!$B$11:$B$310)+COUNTA(条幅!$B$11:$B$310)+COUNTA(条幅4分の1!$B$11:$B$310),INDEX(条幅4分の1!$K$11:$K$310,752-COUNTA(半紙!$B$11:$B$310)-COUNTA(条幅!$B$11:$B$310)),"")))=0,"",IF(752&lt;=COUNTA(半紙!$B$11:$B$310),INDEX(半紙!$K$11:$K$310,752),IF(752&lt;=COUNTA(半紙!$B$11:$B$310)+COUNTA(条幅!$B$11:$B$310),INDEX(条幅!$K$11:$K$310,752-COUNTA(半紙!$B$11:$B$310)),IF(752&lt;=COUNTA(半紙!$B$11:$B$310)+COUNTA(条幅!$B$11:$B$310)+COUNTA(条幅4分の1!$B$11:$B$310),INDEX(条幅4分の1!$K$11:$K$310,752-COUNTA(半紙!$B$11:$B$310)-COUNTA(条幅!$B$11:$B$310)),""))))</f>
        <v/>
      </c>
      <c r="L757" s="48" t="str">
        <f>IF($B757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752))</f>
        <v/>
      </c>
    </row>
    <row r="758" spans="1:12" ht="15" customHeight="1">
      <c r="A758" s="37" t="str">
        <f>IF(753&lt;=COUNTA(半紙!$B$11:$B$310),"半紙",IF(753&lt;=COUNTA(半紙!$B$11:$B$310)+COUNTA(条幅!$B$11:$B$310),"条幅(半切)",IF(753&lt;=COUNTA(半紙!$B$11:$B$310)+COUNTA(条幅!$B$11:$B$310)+COUNTA(条幅4分の1!$B$11:$B$310),"条幅(1/4)","")))</f>
        <v/>
      </c>
      <c r="B758" s="38" t="str">
        <f>IF(IF(753&lt;=COUNTA(半紙!$B$11:$B$310),INDEX(半紙!$B$11:$B$310,753),IF(753&lt;=COUNTA(半紙!$B$11:$B$310)+COUNTA(条幅!$B$11:$B$310),INDEX(条幅!$B$11:$B$310,753-COUNTA(半紙!$B$11:$B$310)),IF(753&lt;=COUNTA(半紙!$B$11:$B$310)+COUNTA(条幅!$B$11:$B$310)+COUNTA(条幅4分の1!$B$11:$B$310),INDEX(条幅4分の1!$B$11:$B$310,753-COUNTA(半紙!$B$11:$B$310)-COUNTA(条幅!$B$11:$B$310)),"")))=0,"",IF(753&lt;=COUNTA(半紙!$B$11:$B$310),INDEX(半紙!$B$11:$B$310,753),IF(753&lt;=COUNTA(半紙!$B$11:$B$310)+COUNTA(条幅!$B$11:$B$310),INDEX(条幅!$B$11:$B$310,753-COUNTA(半紙!$B$11:$B$310)),IF(753&lt;=COUNTA(半紙!$B$11:$B$310)+COUNTA(条幅!$B$11:$B$310)+COUNTA(条幅4分の1!$B$11:$B$310),INDEX(条幅4分の1!$B$11:$B$310,753-COUNTA(半紙!$B$11:$B$310)-COUNTA(条幅!$B$11:$B$310)),""))))</f>
        <v/>
      </c>
      <c r="C758" s="38" t="str">
        <f>IF(IF(753&lt;=COUNTA(半紙!$B$11:$B$310),INDEX(半紙!$C$11:$C$310,753),IF(753&lt;=COUNTA(半紙!$B$11:$B$310)+COUNTA(条幅!$B$11:$B$310),INDEX(条幅!$C$11:$C$310,753-COUNTA(半紙!$B$11:$B$310)),IF(753&lt;=COUNTA(半紙!$B$11:$B$310)+COUNTA(条幅!$B$11:$B$310)+COUNTA(条幅4分の1!$B$11:$B$310),INDEX(条幅4分の1!$C$11:$C$310,753-COUNTA(半紙!$B$11:$B$310)-COUNTA(条幅!$B$11:$B$310)),"")))=0,"",IF(753&lt;=COUNTA(半紙!$B$11:$B$310),INDEX(半紙!$C$11:$C$310,753),IF(753&lt;=COUNTA(半紙!$B$11:$B$310)+COUNTA(条幅!$B$11:$B$310),INDEX(条幅!$C$11:$C$310,753-COUNTA(半紙!$B$11:$B$310)),IF(753&lt;=COUNTA(半紙!$B$11:$B$310)+COUNTA(条幅!$B$11:$B$310)+COUNTA(条幅4分の1!$B$11:$B$310),INDEX(条幅4分の1!$C$11:$C$310,753-COUNTA(半紙!$B$11:$B$310)-COUNTA(条幅!$B$11:$B$310)),""))))</f>
        <v/>
      </c>
      <c r="D758" s="38" t="str">
        <f>IF(IF(753&lt;=COUNTA(半紙!$B$11:$B$310),INDEX(半紙!$D$11:$D$310,753),IF(753&lt;=COUNTA(半紙!$B$11:$B$310)+COUNTA(条幅!$B$11:$B$310),INDEX(条幅!$D$11:$D$310,753-COUNTA(半紙!$B$11:$B$310)),IF(753&lt;=COUNTA(半紙!$B$11:$B$310)+COUNTA(条幅!$B$11:$B$310)+COUNTA(条幅4分の1!$B$11:$B$310),INDEX(条幅4分の1!$D$11:$D$310,753-COUNTA(半紙!$B$11:$B$310)-COUNTA(条幅!$B$11:$B$310)),"")))=0,"",IF(753&lt;=COUNTA(半紙!$B$11:$B$310),INDEX(半紙!$D$11:$D$310,753),IF(753&lt;=COUNTA(半紙!$B$11:$B$310)+COUNTA(条幅!$B$11:$B$310),INDEX(条幅!$D$11:$D$310,753-COUNTA(半紙!$B$11:$B$310)),IF(753&lt;=COUNTA(半紙!$B$11:$B$310)+COUNTA(条幅!$B$11:$B$310)+COUNTA(条幅4分の1!$B$11:$B$310),INDEX(条幅4分の1!$D$11:$D$310,753-COUNTA(半紙!$B$11:$B$310)-COUNTA(条幅!$B$11:$B$310)),""))))</f>
        <v/>
      </c>
      <c r="E758" s="38" t="str">
        <f>IF(IF(753&lt;=COUNTA(半紙!$B$11:$B$310),INDEX(半紙!$E$11:$E$310,753),IF(753&lt;=COUNTA(半紙!$B$11:$B$310)+COUNTA(条幅!$B$11:$B$310),INDEX(条幅!$E$11:$E$310,753-COUNTA(半紙!$B$11:$B$310)),IF(753&lt;=COUNTA(半紙!$B$11:$B$310)+COUNTA(条幅!$B$11:$B$310)+COUNTA(条幅4分の1!$B$11:$B$310),INDEX(条幅4分の1!$E$11:$E$310,753-COUNTA(半紙!$B$11:$B$310)-COUNTA(条幅!$B$11:$B$310)),"")))=0,"",IF(753&lt;=COUNTA(半紙!$B$11:$B$310),INDEX(半紙!$E$11:$E$310,753),IF(753&lt;=COUNTA(半紙!$B$11:$B$310)+COUNTA(条幅!$B$11:$B$310),INDEX(条幅!$E$11:$E$310,753-COUNTA(半紙!$B$11:$B$310)),IF(753&lt;=COUNTA(半紙!$B$11:$B$310)+COUNTA(条幅!$B$11:$B$310)+COUNTA(条幅4分の1!$B$11:$B$310),INDEX(条幅4分の1!$E$11:$E$310,753-COUNTA(半紙!$B$11:$B$310)-COUNTA(条幅!$B$11:$B$310)),""))))</f>
        <v/>
      </c>
      <c r="F758" s="38" t="str">
        <f>IF(IF(753&lt;=COUNTA(半紙!$B$11:$B$310),INDEX(半紙!$F$11:$F$310,753),IF(753&lt;=COUNTA(半紙!$B$11:$B$310)+COUNTA(条幅!$B$11:$B$310),INDEX(条幅!$F$11:$F$310,753-COUNTA(半紙!$B$11:$B$310)),IF(753&lt;=COUNTA(半紙!$B$11:$B$310)+COUNTA(条幅!$B$11:$B$310)+COUNTA(条幅4分の1!$B$11:$B$310),INDEX(条幅4分の1!$F$11:$F$310,753-COUNTA(半紙!$B$11:$B$310)-COUNTA(条幅!$B$11:$B$310)),"")))=0,"",IF(753&lt;=COUNTA(半紙!$B$11:$B$310),INDEX(半紙!$F$11:$F$310,753),IF(753&lt;=COUNTA(半紙!$B$11:$B$310)+COUNTA(条幅!$B$11:$B$310),INDEX(条幅!$F$11:$F$310,753-COUNTA(半紙!$B$11:$B$310)),IF(753&lt;=COUNTA(半紙!$B$11:$B$310)+COUNTA(条幅!$B$11:$B$310)+COUNTA(条幅4分の1!$B$11:$B$310),INDEX(条幅4分の1!$F$11:$F$310,753-COUNTA(半紙!$B$11:$B$310)-COUNTA(条幅!$B$11:$B$310)),""))))</f>
        <v/>
      </c>
      <c r="G758" s="38" t="str">
        <f>IF(IF(753&lt;=COUNTA(半紙!$B$11:$B$310),INDEX(半紙!$G$11:$G$310,753),IF(753&lt;=COUNTA(半紙!$B$11:$B$310)+COUNTA(条幅!$B$11:$B$310),INDEX(条幅!$G$11:$G$310,753-COUNTA(半紙!$B$11:$B$310)),IF(753&lt;=COUNTA(半紙!$B$11:$B$310)+COUNTA(条幅!$B$11:$B$310)+COUNTA(条幅4分の1!$B$11:$B$310),INDEX(条幅4分の1!$G$11:$G$310,753-COUNTA(半紙!$B$11:$B$310)-COUNTA(条幅!$B$11:$B$310)),"")))=0,"",IF(753&lt;=COUNTA(半紙!$B$11:$B$310),INDEX(半紙!$G$11:$G$310,753),IF(753&lt;=COUNTA(半紙!$B$11:$B$310)+COUNTA(条幅!$B$11:$B$310),INDEX(条幅!$G$11:$G$310,753-COUNTA(半紙!$B$11:$B$310)),IF(753&lt;=COUNTA(半紙!$B$11:$B$310)+COUNTA(条幅!$B$11:$B$310)+COUNTA(条幅4分の1!$B$11:$B$310),INDEX(条幅4分の1!$G$11:$G$310,753-COUNTA(半紙!$B$11:$B$310)-COUNTA(条幅!$B$11:$B$310)),""))))</f>
        <v/>
      </c>
      <c r="H758" s="38" t="str">
        <f>IF(IF(753&lt;=COUNTA(半紙!$B$11:$B$310),INDEX(半紙!$H$11:$H$310,753),IF(753&lt;=COUNTA(半紙!$B$11:$B$310)+COUNTA(条幅!$B$11:$B$310),INDEX(条幅!$H$11:$H$310,753-COUNTA(半紙!$B$11:$B$310)),IF(753&lt;=COUNTA(半紙!$B$11:$B$310)+COUNTA(条幅!$B$11:$B$310)+COUNTA(条幅4分の1!$B$11:$B$310),INDEX(条幅4分の1!$H$11:$H$310,753-COUNTA(半紙!$B$11:$B$310)-COUNTA(条幅!$B$11:$B$310)),"")))=0,"",IF(753&lt;=COUNTA(半紙!$B$11:$B$310),INDEX(半紙!$H$11:$H$310,753),IF(753&lt;=COUNTA(半紙!$B$11:$B$310)+COUNTA(条幅!$B$11:$B$310),INDEX(条幅!$H$11:$H$310,753-COUNTA(半紙!$B$11:$B$310)),IF(753&lt;=COUNTA(半紙!$B$11:$B$310)+COUNTA(条幅!$B$11:$B$310)+COUNTA(条幅4分の1!$B$11:$B$310),INDEX(条幅4分の1!$H$11:$H$310,753-COUNTA(半紙!$B$11:$B$310)-COUNTA(条幅!$B$11:$B$310)),""))))</f>
        <v/>
      </c>
      <c r="I758" s="38" t="str">
        <f>IF(IF(753&lt;=COUNTA(半紙!$B$11:$B$310),INDEX(半紙!$I$11:$I$310,753),IF(753&lt;=COUNTA(半紙!$B$11:$B$310)+COUNTA(条幅!$B$11:$B$310),INDEX(条幅!$I$11:$I$310,753-COUNTA(半紙!$B$11:$B$310)),IF(753&lt;=COUNTA(半紙!$B$11:$B$310)+COUNTA(条幅!$B$11:$B$310)+COUNTA(条幅4分の1!$B$11:$B$310),INDEX(条幅4分の1!$I$11:$I$310,753-COUNTA(半紙!$B$11:$B$310)-COUNTA(条幅!$B$11:$B$310)),"")))=0,"",IF(753&lt;=COUNTA(半紙!$B$11:$B$310),INDEX(半紙!$I$11:$I$310,753),IF(753&lt;=COUNTA(半紙!$B$11:$B$310)+COUNTA(条幅!$B$11:$B$310),INDEX(条幅!$I$11:$I$310,753-COUNTA(半紙!$B$11:$B$310)),IF(753&lt;=COUNTA(半紙!$B$11:$B$310)+COUNTA(条幅!$B$11:$B$310)+COUNTA(条幅4分の1!$B$11:$B$310),INDEX(条幅4分の1!$I$11:$I$310,753-COUNTA(半紙!$B$11:$B$310)-COUNTA(条幅!$B$11:$B$310)),""))))</f>
        <v/>
      </c>
      <c r="J758" s="38" t="str">
        <f>IF(IF(753&lt;=COUNTA(半紙!$B$11:$B$310),INDEX(半紙!$J$11:$J$310,753),IF(753&lt;=COUNTA(半紙!$B$11:$B$310)+COUNTA(条幅!$B$11:$B$310),INDEX(条幅!$J$11:$J$310,753-COUNTA(半紙!$B$11:$B$310)),IF(753&lt;=COUNTA(半紙!$B$11:$B$310)+COUNTA(条幅!$B$11:$B$310)+COUNTA(条幅4分の1!$B$11:$B$310),INDEX(条幅4分の1!$J$11:$J$310,753-COUNTA(半紙!$B$11:$B$310)-COUNTA(条幅!$B$11:$B$310)),"")))=0,"",IF(753&lt;=COUNTA(半紙!$B$11:$B$310),INDEX(半紙!$J$11:$J$310,753),IF(753&lt;=COUNTA(半紙!$B$11:$B$310)+COUNTA(条幅!$B$11:$B$310),INDEX(条幅!$J$11:$J$310,753-COUNTA(半紙!$B$11:$B$310)),IF(753&lt;=COUNTA(半紙!$B$11:$B$310)+COUNTA(条幅!$B$11:$B$310)+COUNTA(条幅4分の1!$B$11:$B$310),INDEX(条幅4分の1!$J$11:$J$310,753-COUNTA(半紙!$B$11:$B$310)-COUNTA(条幅!$B$11:$B$310)),""))))</f>
        <v/>
      </c>
      <c r="K758" s="38" t="str">
        <f>IF(IF(753&lt;=COUNTA(半紙!$B$11:$B$310),INDEX(半紙!$K$11:$K$310,753),IF(753&lt;=COUNTA(半紙!$B$11:$B$310)+COUNTA(条幅!$B$11:$B$310),INDEX(条幅!$K$11:$K$310,753-COUNTA(半紙!$B$11:$B$310)),IF(753&lt;=COUNTA(半紙!$B$11:$B$310)+COUNTA(条幅!$B$11:$B$310)+COUNTA(条幅4分の1!$B$11:$B$310),INDEX(条幅4分の1!$K$11:$K$310,753-COUNTA(半紙!$B$11:$B$310)-COUNTA(条幅!$B$11:$B$310)),"")))=0,"",IF(753&lt;=COUNTA(半紙!$B$11:$B$310),INDEX(半紙!$K$11:$K$310,753),IF(753&lt;=COUNTA(半紙!$B$11:$B$310)+COUNTA(条幅!$B$11:$B$310),INDEX(条幅!$K$11:$K$310,753-COUNTA(半紙!$B$11:$B$310)),IF(753&lt;=COUNTA(半紙!$B$11:$B$310)+COUNTA(条幅!$B$11:$B$310)+COUNTA(条幅4分の1!$B$11:$B$310),INDEX(条幅4分の1!$K$11:$K$310,753-COUNTA(半紙!$B$11:$B$310)-COUNTA(条幅!$B$11:$B$310)),""))))</f>
        <v/>
      </c>
      <c r="L758" s="48" t="str">
        <f>IF($B758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753))</f>
        <v/>
      </c>
    </row>
    <row r="759" spans="1:12" ht="15" customHeight="1">
      <c r="A759" s="37" t="str">
        <f>IF(754&lt;=COUNTA(半紙!$B$11:$B$310),"半紙",IF(754&lt;=COUNTA(半紙!$B$11:$B$310)+COUNTA(条幅!$B$11:$B$310),"条幅(半切)",IF(754&lt;=COUNTA(半紙!$B$11:$B$310)+COUNTA(条幅!$B$11:$B$310)+COUNTA(条幅4分の1!$B$11:$B$310),"条幅(1/4)","")))</f>
        <v/>
      </c>
      <c r="B759" s="38" t="str">
        <f>IF(IF(754&lt;=COUNTA(半紙!$B$11:$B$310),INDEX(半紙!$B$11:$B$310,754),IF(754&lt;=COUNTA(半紙!$B$11:$B$310)+COUNTA(条幅!$B$11:$B$310),INDEX(条幅!$B$11:$B$310,754-COUNTA(半紙!$B$11:$B$310)),IF(754&lt;=COUNTA(半紙!$B$11:$B$310)+COUNTA(条幅!$B$11:$B$310)+COUNTA(条幅4分の1!$B$11:$B$310),INDEX(条幅4分の1!$B$11:$B$310,754-COUNTA(半紙!$B$11:$B$310)-COUNTA(条幅!$B$11:$B$310)),"")))=0,"",IF(754&lt;=COUNTA(半紙!$B$11:$B$310),INDEX(半紙!$B$11:$B$310,754),IF(754&lt;=COUNTA(半紙!$B$11:$B$310)+COUNTA(条幅!$B$11:$B$310),INDEX(条幅!$B$11:$B$310,754-COUNTA(半紙!$B$11:$B$310)),IF(754&lt;=COUNTA(半紙!$B$11:$B$310)+COUNTA(条幅!$B$11:$B$310)+COUNTA(条幅4分の1!$B$11:$B$310),INDEX(条幅4分の1!$B$11:$B$310,754-COUNTA(半紙!$B$11:$B$310)-COUNTA(条幅!$B$11:$B$310)),""))))</f>
        <v/>
      </c>
      <c r="C759" s="38" t="str">
        <f>IF(IF(754&lt;=COUNTA(半紙!$B$11:$B$310),INDEX(半紙!$C$11:$C$310,754),IF(754&lt;=COUNTA(半紙!$B$11:$B$310)+COUNTA(条幅!$B$11:$B$310),INDEX(条幅!$C$11:$C$310,754-COUNTA(半紙!$B$11:$B$310)),IF(754&lt;=COUNTA(半紙!$B$11:$B$310)+COUNTA(条幅!$B$11:$B$310)+COUNTA(条幅4分の1!$B$11:$B$310),INDEX(条幅4分の1!$C$11:$C$310,754-COUNTA(半紙!$B$11:$B$310)-COUNTA(条幅!$B$11:$B$310)),"")))=0,"",IF(754&lt;=COUNTA(半紙!$B$11:$B$310),INDEX(半紙!$C$11:$C$310,754),IF(754&lt;=COUNTA(半紙!$B$11:$B$310)+COUNTA(条幅!$B$11:$B$310),INDEX(条幅!$C$11:$C$310,754-COUNTA(半紙!$B$11:$B$310)),IF(754&lt;=COUNTA(半紙!$B$11:$B$310)+COUNTA(条幅!$B$11:$B$310)+COUNTA(条幅4分の1!$B$11:$B$310),INDEX(条幅4分の1!$C$11:$C$310,754-COUNTA(半紙!$B$11:$B$310)-COUNTA(条幅!$B$11:$B$310)),""))))</f>
        <v/>
      </c>
      <c r="D759" s="38" t="str">
        <f>IF(IF(754&lt;=COUNTA(半紙!$B$11:$B$310),INDEX(半紙!$D$11:$D$310,754),IF(754&lt;=COUNTA(半紙!$B$11:$B$310)+COUNTA(条幅!$B$11:$B$310),INDEX(条幅!$D$11:$D$310,754-COUNTA(半紙!$B$11:$B$310)),IF(754&lt;=COUNTA(半紙!$B$11:$B$310)+COUNTA(条幅!$B$11:$B$310)+COUNTA(条幅4分の1!$B$11:$B$310),INDEX(条幅4分の1!$D$11:$D$310,754-COUNTA(半紙!$B$11:$B$310)-COUNTA(条幅!$B$11:$B$310)),"")))=0,"",IF(754&lt;=COUNTA(半紙!$B$11:$B$310),INDEX(半紙!$D$11:$D$310,754),IF(754&lt;=COUNTA(半紙!$B$11:$B$310)+COUNTA(条幅!$B$11:$B$310),INDEX(条幅!$D$11:$D$310,754-COUNTA(半紙!$B$11:$B$310)),IF(754&lt;=COUNTA(半紙!$B$11:$B$310)+COUNTA(条幅!$B$11:$B$310)+COUNTA(条幅4分の1!$B$11:$B$310),INDEX(条幅4分の1!$D$11:$D$310,754-COUNTA(半紙!$B$11:$B$310)-COUNTA(条幅!$B$11:$B$310)),""))))</f>
        <v/>
      </c>
      <c r="E759" s="38" t="str">
        <f>IF(IF(754&lt;=COUNTA(半紙!$B$11:$B$310),INDEX(半紙!$E$11:$E$310,754),IF(754&lt;=COUNTA(半紙!$B$11:$B$310)+COUNTA(条幅!$B$11:$B$310),INDEX(条幅!$E$11:$E$310,754-COUNTA(半紙!$B$11:$B$310)),IF(754&lt;=COUNTA(半紙!$B$11:$B$310)+COUNTA(条幅!$B$11:$B$310)+COUNTA(条幅4分の1!$B$11:$B$310),INDEX(条幅4分の1!$E$11:$E$310,754-COUNTA(半紙!$B$11:$B$310)-COUNTA(条幅!$B$11:$B$310)),"")))=0,"",IF(754&lt;=COUNTA(半紙!$B$11:$B$310),INDEX(半紙!$E$11:$E$310,754),IF(754&lt;=COUNTA(半紙!$B$11:$B$310)+COUNTA(条幅!$B$11:$B$310),INDEX(条幅!$E$11:$E$310,754-COUNTA(半紙!$B$11:$B$310)),IF(754&lt;=COUNTA(半紙!$B$11:$B$310)+COUNTA(条幅!$B$11:$B$310)+COUNTA(条幅4分の1!$B$11:$B$310),INDEX(条幅4分の1!$E$11:$E$310,754-COUNTA(半紙!$B$11:$B$310)-COUNTA(条幅!$B$11:$B$310)),""))))</f>
        <v/>
      </c>
      <c r="F759" s="38" t="str">
        <f>IF(IF(754&lt;=COUNTA(半紙!$B$11:$B$310),INDEX(半紙!$F$11:$F$310,754),IF(754&lt;=COUNTA(半紙!$B$11:$B$310)+COUNTA(条幅!$B$11:$B$310),INDEX(条幅!$F$11:$F$310,754-COUNTA(半紙!$B$11:$B$310)),IF(754&lt;=COUNTA(半紙!$B$11:$B$310)+COUNTA(条幅!$B$11:$B$310)+COUNTA(条幅4分の1!$B$11:$B$310),INDEX(条幅4分の1!$F$11:$F$310,754-COUNTA(半紙!$B$11:$B$310)-COUNTA(条幅!$B$11:$B$310)),"")))=0,"",IF(754&lt;=COUNTA(半紙!$B$11:$B$310),INDEX(半紙!$F$11:$F$310,754),IF(754&lt;=COUNTA(半紙!$B$11:$B$310)+COUNTA(条幅!$B$11:$B$310),INDEX(条幅!$F$11:$F$310,754-COUNTA(半紙!$B$11:$B$310)),IF(754&lt;=COUNTA(半紙!$B$11:$B$310)+COUNTA(条幅!$B$11:$B$310)+COUNTA(条幅4分の1!$B$11:$B$310),INDEX(条幅4分の1!$F$11:$F$310,754-COUNTA(半紙!$B$11:$B$310)-COUNTA(条幅!$B$11:$B$310)),""))))</f>
        <v/>
      </c>
      <c r="G759" s="38" t="str">
        <f>IF(IF(754&lt;=COUNTA(半紙!$B$11:$B$310),INDEX(半紙!$G$11:$G$310,754),IF(754&lt;=COUNTA(半紙!$B$11:$B$310)+COUNTA(条幅!$B$11:$B$310),INDEX(条幅!$G$11:$G$310,754-COUNTA(半紙!$B$11:$B$310)),IF(754&lt;=COUNTA(半紙!$B$11:$B$310)+COUNTA(条幅!$B$11:$B$310)+COUNTA(条幅4分の1!$B$11:$B$310),INDEX(条幅4分の1!$G$11:$G$310,754-COUNTA(半紙!$B$11:$B$310)-COUNTA(条幅!$B$11:$B$310)),"")))=0,"",IF(754&lt;=COUNTA(半紙!$B$11:$B$310),INDEX(半紙!$G$11:$G$310,754),IF(754&lt;=COUNTA(半紙!$B$11:$B$310)+COUNTA(条幅!$B$11:$B$310),INDEX(条幅!$G$11:$G$310,754-COUNTA(半紙!$B$11:$B$310)),IF(754&lt;=COUNTA(半紙!$B$11:$B$310)+COUNTA(条幅!$B$11:$B$310)+COUNTA(条幅4分の1!$B$11:$B$310),INDEX(条幅4分の1!$G$11:$G$310,754-COUNTA(半紙!$B$11:$B$310)-COUNTA(条幅!$B$11:$B$310)),""))))</f>
        <v/>
      </c>
      <c r="H759" s="38" t="str">
        <f>IF(IF(754&lt;=COUNTA(半紙!$B$11:$B$310),INDEX(半紙!$H$11:$H$310,754),IF(754&lt;=COUNTA(半紙!$B$11:$B$310)+COUNTA(条幅!$B$11:$B$310),INDEX(条幅!$H$11:$H$310,754-COUNTA(半紙!$B$11:$B$310)),IF(754&lt;=COUNTA(半紙!$B$11:$B$310)+COUNTA(条幅!$B$11:$B$310)+COUNTA(条幅4分の1!$B$11:$B$310),INDEX(条幅4分の1!$H$11:$H$310,754-COUNTA(半紙!$B$11:$B$310)-COUNTA(条幅!$B$11:$B$310)),"")))=0,"",IF(754&lt;=COUNTA(半紙!$B$11:$B$310),INDEX(半紙!$H$11:$H$310,754),IF(754&lt;=COUNTA(半紙!$B$11:$B$310)+COUNTA(条幅!$B$11:$B$310),INDEX(条幅!$H$11:$H$310,754-COUNTA(半紙!$B$11:$B$310)),IF(754&lt;=COUNTA(半紙!$B$11:$B$310)+COUNTA(条幅!$B$11:$B$310)+COUNTA(条幅4分の1!$B$11:$B$310),INDEX(条幅4分の1!$H$11:$H$310,754-COUNTA(半紙!$B$11:$B$310)-COUNTA(条幅!$B$11:$B$310)),""))))</f>
        <v/>
      </c>
      <c r="I759" s="38" t="str">
        <f>IF(IF(754&lt;=COUNTA(半紙!$B$11:$B$310),INDEX(半紙!$I$11:$I$310,754),IF(754&lt;=COUNTA(半紙!$B$11:$B$310)+COUNTA(条幅!$B$11:$B$310),INDEX(条幅!$I$11:$I$310,754-COUNTA(半紙!$B$11:$B$310)),IF(754&lt;=COUNTA(半紙!$B$11:$B$310)+COUNTA(条幅!$B$11:$B$310)+COUNTA(条幅4分の1!$B$11:$B$310),INDEX(条幅4分の1!$I$11:$I$310,754-COUNTA(半紙!$B$11:$B$310)-COUNTA(条幅!$B$11:$B$310)),"")))=0,"",IF(754&lt;=COUNTA(半紙!$B$11:$B$310),INDEX(半紙!$I$11:$I$310,754),IF(754&lt;=COUNTA(半紙!$B$11:$B$310)+COUNTA(条幅!$B$11:$B$310),INDEX(条幅!$I$11:$I$310,754-COUNTA(半紙!$B$11:$B$310)),IF(754&lt;=COUNTA(半紙!$B$11:$B$310)+COUNTA(条幅!$B$11:$B$310)+COUNTA(条幅4分の1!$B$11:$B$310),INDEX(条幅4分の1!$I$11:$I$310,754-COUNTA(半紙!$B$11:$B$310)-COUNTA(条幅!$B$11:$B$310)),""))))</f>
        <v/>
      </c>
      <c r="J759" s="38" t="str">
        <f>IF(IF(754&lt;=COUNTA(半紙!$B$11:$B$310),INDEX(半紙!$J$11:$J$310,754),IF(754&lt;=COUNTA(半紙!$B$11:$B$310)+COUNTA(条幅!$B$11:$B$310),INDEX(条幅!$J$11:$J$310,754-COUNTA(半紙!$B$11:$B$310)),IF(754&lt;=COUNTA(半紙!$B$11:$B$310)+COUNTA(条幅!$B$11:$B$310)+COUNTA(条幅4分の1!$B$11:$B$310),INDEX(条幅4分の1!$J$11:$J$310,754-COUNTA(半紙!$B$11:$B$310)-COUNTA(条幅!$B$11:$B$310)),"")))=0,"",IF(754&lt;=COUNTA(半紙!$B$11:$B$310),INDEX(半紙!$J$11:$J$310,754),IF(754&lt;=COUNTA(半紙!$B$11:$B$310)+COUNTA(条幅!$B$11:$B$310),INDEX(条幅!$J$11:$J$310,754-COUNTA(半紙!$B$11:$B$310)),IF(754&lt;=COUNTA(半紙!$B$11:$B$310)+COUNTA(条幅!$B$11:$B$310)+COUNTA(条幅4分の1!$B$11:$B$310),INDEX(条幅4分の1!$J$11:$J$310,754-COUNTA(半紙!$B$11:$B$310)-COUNTA(条幅!$B$11:$B$310)),""))))</f>
        <v/>
      </c>
      <c r="K759" s="38" t="str">
        <f>IF(IF(754&lt;=COUNTA(半紙!$B$11:$B$310),INDEX(半紙!$K$11:$K$310,754),IF(754&lt;=COUNTA(半紙!$B$11:$B$310)+COUNTA(条幅!$B$11:$B$310),INDEX(条幅!$K$11:$K$310,754-COUNTA(半紙!$B$11:$B$310)),IF(754&lt;=COUNTA(半紙!$B$11:$B$310)+COUNTA(条幅!$B$11:$B$310)+COUNTA(条幅4分の1!$B$11:$B$310),INDEX(条幅4分の1!$K$11:$K$310,754-COUNTA(半紙!$B$11:$B$310)-COUNTA(条幅!$B$11:$B$310)),"")))=0,"",IF(754&lt;=COUNTA(半紙!$B$11:$B$310),INDEX(半紙!$K$11:$K$310,754),IF(754&lt;=COUNTA(半紙!$B$11:$B$310)+COUNTA(条幅!$B$11:$B$310),INDEX(条幅!$K$11:$K$310,754-COUNTA(半紙!$B$11:$B$310)),IF(754&lt;=COUNTA(半紙!$B$11:$B$310)+COUNTA(条幅!$B$11:$B$310)+COUNTA(条幅4分の1!$B$11:$B$310),INDEX(条幅4分の1!$K$11:$K$310,754-COUNTA(半紙!$B$11:$B$310)-COUNTA(条幅!$B$11:$B$310)),""))))</f>
        <v/>
      </c>
      <c r="L759" s="48" t="str">
        <f>IF($B759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754))</f>
        <v/>
      </c>
    </row>
    <row r="760" spans="1:12" ht="15" customHeight="1">
      <c r="A760" s="37" t="str">
        <f>IF(755&lt;=COUNTA(半紙!$B$11:$B$310),"半紙",IF(755&lt;=COUNTA(半紙!$B$11:$B$310)+COUNTA(条幅!$B$11:$B$310),"条幅(半切)",IF(755&lt;=COUNTA(半紙!$B$11:$B$310)+COUNTA(条幅!$B$11:$B$310)+COUNTA(条幅4分の1!$B$11:$B$310),"条幅(1/4)","")))</f>
        <v/>
      </c>
      <c r="B760" s="38" t="str">
        <f>IF(IF(755&lt;=COUNTA(半紙!$B$11:$B$310),INDEX(半紙!$B$11:$B$310,755),IF(755&lt;=COUNTA(半紙!$B$11:$B$310)+COUNTA(条幅!$B$11:$B$310),INDEX(条幅!$B$11:$B$310,755-COUNTA(半紙!$B$11:$B$310)),IF(755&lt;=COUNTA(半紙!$B$11:$B$310)+COUNTA(条幅!$B$11:$B$310)+COUNTA(条幅4分の1!$B$11:$B$310),INDEX(条幅4分の1!$B$11:$B$310,755-COUNTA(半紙!$B$11:$B$310)-COUNTA(条幅!$B$11:$B$310)),"")))=0,"",IF(755&lt;=COUNTA(半紙!$B$11:$B$310),INDEX(半紙!$B$11:$B$310,755),IF(755&lt;=COUNTA(半紙!$B$11:$B$310)+COUNTA(条幅!$B$11:$B$310),INDEX(条幅!$B$11:$B$310,755-COUNTA(半紙!$B$11:$B$310)),IF(755&lt;=COUNTA(半紙!$B$11:$B$310)+COUNTA(条幅!$B$11:$B$310)+COUNTA(条幅4分の1!$B$11:$B$310),INDEX(条幅4分の1!$B$11:$B$310,755-COUNTA(半紙!$B$11:$B$310)-COUNTA(条幅!$B$11:$B$310)),""))))</f>
        <v/>
      </c>
      <c r="C760" s="38" t="str">
        <f>IF(IF(755&lt;=COUNTA(半紙!$B$11:$B$310),INDEX(半紙!$C$11:$C$310,755),IF(755&lt;=COUNTA(半紙!$B$11:$B$310)+COUNTA(条幅!$B$11:$B$310),INDEX(条幅!$C$11:$C$310,755-COUNTA(半紙!$B$11:$B$310)),IF(755&lt;=COUNTA(半紙!$B$11:$B$310)+COUNTA(条幅!$B$11:$B$310)+COUNTA(条幅4分の1!$B$11:$B$310),INDEX(条幅4分の1!$C$11:$C$310,755-COUNTA(半紙!$B$11:$B$310)-COUNTA(条幅!$B$11:$B$310)),"")))=0,"",IF(755&lt;=COUNTA(半紙!$B$11:$B$310),INDEX(半紙!$C$11:$C$310,755),IF(755&lt;=COUNTA(半紙!$B$11:$B$310)+COUNTA(条幅!$B$11:$B$310),INDEX(条幅!$C$11:$C$310,755-COUNTA(半紙!$B$11:$B$310)),IF(755&lt;=COUNTA(半紙!$B$11:$B$310)+COUNTA(条幅!$B$11:$B$310)+COUNTA(条幅4分の1!$B$11:$B$310),INDEX(条幅4分の1!$C$11:$C$310,755-COUNTA(半紙!$B$11:$B$310)-COUNTA(条幅!$B$11:$B$310)),""))))</f>
        <v/>
      </c>
      <c r="D760" s="38" t="str">
        <f>IF(IF(755&lt;=COUNTA(半紙!$B$11:$B$310),INDEX(半紙!$D$11:$D$310,755),IF(755&lt;=COUNTA(半紙!$B$11:$B$310)+COUNTA(条幅!$B$11:$B$310),INDEX(条幅!$D$11:$D$310,755-COUNTA(半紙!$B$11:$B$310)),IF(755&lt;=COUNTA(半紙!$B$11:$B$310)+COUNTA(条幅!$B$11:$B$310)+COUNTA(条幅4分の1!$B$11:$B$310),INDEX(条幅4分の1!$D$11:$D$310,755-COUNTA(半紙!$B$11:$B$310)-COUNTA(条幅!$B$11:$B$310)),"")))=0,"",IF(755&lt;=COUNTA(半紙!$B$11:$B$310),INDEX(半紙!$D$11:$D$310,755),IF(755&lt;=COUNTA(半紙!$B$11:$B$310)+COUNTA(条幅!$B$11:$B$310),INDEX(条幅!$D$11:$D$310,755-COUNTA(半紙!$B$11:$B$310)),IF(755&lt;=COUNTA(半紙!$B$11:$B$310)+COUNTA(条幅!$B$11:$B$310)+COUNTA(条幅4分の1!$B$11:$B$310),INDEX(条幅4分の1!$D$11:$D$310,755-COUNTA(半紙!$B$11:$B$310)-COUNTA(条幅!$B$11:$B$310)),""))))</f>
        <v/>
      </c>
      <c r="E760" s="38" t="str">
        <f>IF(IF(755&lt;=COUNTA(半紙!$B$11:$B$310),INDEX(半紙!$E$11:$E$310,755),IF(755&lt;=COUNTA(半紙!$B$11:$B$310)+COUNTA(条幅!$B$11:$B$310),INDEX(条幅!$E$11:$E$310,755-COUNTA(半紙!$B$11:$B$310)),IF(755&lt;=COUNTA(半紙!$B$11:$B$310)+COUNTA(条幅!$B$11:$B$310)+COUNTA(条幅4分の1!$B$11:$B$310),INDEX(条幅4分の1!$E$11:$E$310,755-COUNTA(半紙!$B$11:$B$310)-COUNTA(条幅!$B$11:$B$310)),"")))=0,"",IF(755&lt;=COUNTA(半紙!$B$11:$B$310),INDEX(半紙!$E$11:$E$310,755),IF(755&lt;=COUNTA(半紙!$B$11:$B$310)+COUNTA(条幅!$B$11:$B$310),INDEX(条幅!$E$11:$E$310,755-COUNTA(半紙!$B$11:$B$310)),IF(755&lt;=COUNTA(半紙!$B$11:$B$310)+COUNTA(条幅!$B$11:$B$310)+COUNTA(条幅4分の1!$B$11:$B$310),INDEX(条幅4分の1!$E$11:$E$310,755-COUNTA(半紙!$B$11:$B$310)-COUNTA(条幅!$B$11:$B$310)),""))))</f>
        <v/>
      </c>
      <c r="F760" s="38" t="str">
        <f>IF(IF(755&lt;=COUNTA(半紙!$B$11:$B$310),INDEX(半紙!$F$11:$F$310,755),IF(755&lt;=COUNTA(半紙!$B$11:$B$310)+COUNTA(条幅!$B$11:$B$310),INDEX(条幅!$F$11:$F$310,755-COUNTA(半紙!$B$11:$B$310)),IF(755&lt;=COUNTA(半紙!$B$11:$B$310)+COUNTA(条幅!$B$11:$B$310)+COUNTA(条幅4分の1!$B$11:$B$310),INDEX(条幅4分の1!$F$11:$F$310,755-COUNTA(半紙!$B$11:$B$310)-COUNTA(条幅!$B$11:$B$310)),"")))=0,"",IF(755&lt;=COUNTA(半紙!$B$11:$B$310),INDEX(半紙!$F$11:$F$310,755),IF(755&lt;=COUNTA(半紙!$B$11:$B$310)+COUNTA(条幅!$B$11:$B$310),INDEX(条幅!$F$11:$F$310,755-COUNTA(半紙!$B$11:$B$310)),IF(755&lt;=COUNTA(半紙!$B$11:$B$310)+COUNTA(条幅!$B$11:$B$310)+COUNTA(条幅4分の1!$B$11:$B$310),INDEX(条幅4分の1!$F$11:$F$310,755-COUNTA(半紙!$B$11:$B$310)-COUNTA(条幅!$B$11:$B$310)),""))))</f>
        <v/>
      </c>
      <c r="G760" s="38" t="str">
        <f>IF(IF(755&lt;=COUNTA(半紙!$B$11:$B$310),INDEX(半紙!$G$11:$G$310,755),IF(755&lt;=COUNTA(半紙!$B$11:$B$310)+COUNTA(条幅!$B$11:$B$310),INDEX(条幅!$G$11:$G$310,755-COUNTA(半紙!$B$11:$B$310)),IF(755&lt;=COUNTA(半紙!$B$11:$B$310)+COUNTA(条幅!$B$11:$B$310)+COUNTA(条幅4分の1!$B$11:$B$310),INDEX(条幅4分の1!$G$11:$G$310,755-COUNTA(半紙!$B$11:$B$310)-COUNTA(条幅!$B$11:$B$310)),"")))=0,"",IF(755&lt;=COUNTA(半紙!$B$11:$B$310),INDEX(半紙!$G$11:$G$310,755),IF(755&lt;=COUNTA(半紙!$B$11:$B$310)+COUNTA(条幅!$B$11:$B$310),INDEX(条幅!$G$11:$G$310,755-COUNTA(半紙!$B$11:$B$310)),IF(755&lt;=COUNTA(半紙!$B$11:$B$310)+COUNTA(条幅!$B$11:$B$310)+COUNTA(条幅4分の1!$B$11:$B$310),INDEX(条幅4分の1!$G$11:$G$310,755-COUNTA(半紙!$B$11:$B$310)-COUNTA(条幅!$B$11:$B$310)),""))))</f>
        <v/>
      </c>
      <c r="H760" s="38" t="str">
        <f>IF(IF(755&lt;=COUNTA(半紙!$B$11:$B$310),INDEX(半紙!$H$11:$H$310,755),IF(755&lt;=COUNTA(半紙!$B$11:$B$310)+COUNTA(条幅!$B$11:$B$310),INDEX(条幅!$H$11:$H$310,755-COUNTA(半紙!$B$11:$B$310)),IF(755&lt;=COUNTA(半紙!$B$11:$B$310)+COUNTA(条幅!$B$11:$B$310)+COUNTA(条幅4分の1!$B$11:$B$310),INDEX(条幅4分の1!$H$11:$H$310,755-COUNTA(半紙!$B$11:$B$310)-COUNTA(条幅!$B$11:$B$310)),"")))=0,"",IF(755&lt;=COUNTA(半紙!$B$11:$B$310),INDEX(半紙!$H$11:$H$310,755),IF(755&lt;=COUNTA(半紙!$B$11:$B$310)+COUNTA(条幅!$B$11:$B$310),INDEX(条幅!$H$11:$H$310,755-COUNTA(半紙!$B$11:$B$310)),IF(755&lt;=COUNTA(半紙!$B$11:$B$310)+COUNTA(条幅!$B$11:$B$310)+COUNTA(条幅4分の1!$B$11:$B$310),INDEX(条幅4分の1!$H$11:$H$310,755-COUNTA(半紙!$B$11:$B$310)-COUNTA(条幅!$B$11:$B$310)),""))))</f>
        <v/>
      </c>
      <c r="I760" s="38" t="str">
        <f>IF(IF(755&lt;=COUNTA(半紙!$B$11:$B$310),INDEX(半紙!$I$11:$I$310,755),IF(755&lt;=COUNTA(半紙!$B$11:$B$310)+COUNTA(条幅!$B$11:$B$310),INDEX(条幅!$I$11:$I$310,755-COUNTA(半紙!$B$11:$B$310)),IF(755&lt;=COUNTA(半紙!$B$11:$B$310)+COUNTA(条幅!$B$11:$B$310)+COUNTA(条幅4分の1!$B$11:$B$310),INDEX(条幅4分の1!$I$11:$I$310,755-COUNTA(半紙!$B$11:$B$310)-COUNTA(条幅!$B$11:$B$310)),"")))=0,"",IF(755&lt;=COUNTA(半紙!$B$11:$B$310),INDEX(半紙!$I$11:$I$310,755),IF(755&lt;=COUNTA(半紙!$B$11:$B$310)+COUNTA(条幅!$B$11:$B$310),INDEX(条幅!$I$11:$I$310,755-COUNTA(半紙!$B$11:$B$310)),IF(755&lt;=COUNTA(半紙!$B$11:$B$310)+COUNTA(条幅!$B$11:$B$310)+COUNTA(条幅4分の1!$B$11:$B$310),INDEX(条幅4分の1!$I$11:$I$310,755-COUNTA(半紙!$B$11:$B$310)-COUNTA(条幅!$B$11:$B$310)),""))))</f>
        <v/>
      </c>
      <c r="J760" s="38" t="str">
        <f>IF(IF(755&lt;=COUNTA(半紙!$B$11:$B$310),INDEX(半紙!$J$11:$J$310,755),IF(755&lt;=COUNTA(半紙!$B$11:$B$310)+COUNTA(条幅!$B$11:$B$310),INDEX(条幅!$J$11:$J$310,755-COUNTA(半紙!$B$11:$B$310)),IF(755&lt;=COUNTA(半紙!$B$11:$B$310)+COUNTA(条幅!$B$11:$B$310)+COUNTA(条幅4分の1!$B$11:$B$310),INDEX(条幅4分の1!$J$11:$J$310,755-COUNTA(半紙!$B$11:$B$310)-COUNTA(条幅!$B$11:$B$310)),"")))=0,"",IF(755&lt;=COUNTA(半紙!$B$11:$B$310),INDEX(半紙!$J$11:$J$310,755),IF(755&lt;=COUNTA(半紙!$B$11:$B$310)+COUNTA(条幅!$B$11:$B$310),INDEX(条幅!$J$11:$J$310,755-COUNTA(半紙!$B$11:$B$310)),IF(755&lt;=COUNTA(半紙!$B$11:$B$310)+COUNTA(条幅!$B$11:$B$310)+COUNTA(条幅4分の1!$B$11:$B$310),INDEX(条幅4分の1!$J$11:$J$310,755-COUNTA(半紙!$B$11:$B$310)-COUNTA(条幅!$B$11:$B$310)),""))))</f>
        <v/>
      </c>
      <c r="K760" s="38" t="str">
        <f>IF(IF(755&lt;=COUNTA(半紙!$B$11:$B$310),INDEX(半紙!$K$11:$K$310,755),IF(755&lt;=COUNTA(半紙!$B$11:$B$310)+COUNTA(条幅!$B$11:$B$310),INDEX(条幅!$K$11:$K$310,755-COUNTA(半紙!$B$11:$B$310)),IF(755&lt;=COUNTA(半紙!$B$11:$B$310)+COUNTA(条幅!$B$11:$B$310)+COUNTA(条幅4分の1!$B$11:$B$310),INDEX(条幅4分の1!$K$11:$K$310,755-COUNTA(半紙!$B$11:$B$310)-COUNTA(条幅!$B$11:$B$310)),"")))=0,"",IF(755&lt;=COUNTA(半紙!$B$11:$B$310),INDEX(半紙!$K$11:$K$310,755),IF(755&lt;=COUNTA(半紙!$B$11:$B$310)+COUNTA(条幅!$B$11:$B$310),INDEX(条幅!$K$11:$K$310,755-COUNTA(半紙!$B$11:$B$310)),IF(755&lt;=COUNTA(半紙!$B$11:$B$310)+COUNTA(条幅!$B$11:$B$310)+COUNTA(条幅4分の1!$B$11:$B$310),INDEX(条幅4分の1!$K$11:$K$310,755-COUNTA(半紙!$B$11:$B$310)-COUNTA(条幅!$B$11:$B$310)),""))))</f>
        <v/>
      </c>
      <c r="L760" s="48" t="str">
        <f>IF($B760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755))</f>
        <v/>
      </c>
    </row>
    <row r="761" spans="1:12" ht="15" customHeight="1">
      <c r="A761" s="37" t="str">
        <f>IF(756&lt;=COUNTA(半紙!$B$11:$B$310),"半紙",IF(756&lt;=COUNTA(半紙!$B$11:$B$310)+COUNTA(条幅!$B$11:$B$310),"条幅(半切)",IF(756&lt;=COUNTA(半紙!$B$11:$B$310)+COUNTA(条幅!$B$11:$B$310)+COUNTA(条幅4分の1!$B$11:$B$310),"条幅(1/4)","")))</f>
        <v/>
      </c>
      <c r="B761" s="38" t="str">
        <f>IF(IF(756&lt;=COUNTA(半紙!$B$11:$B$310),INDEX(半紙!$B$11:$B$310,756),IF(756&lt;=COUNTA(半紙!$B$11:$B$310)+COUNTA(条幅!$B$11:$B$310),INDEX(条幅!$B$11:$B$310,756-COUNTA(半紙!$B$11:$B$310)),IF(756&lt;=COUNTA(半紙!$B$11:$B$310)+COUNTA(条幅!$B$11:$B$310)+COUNTA(条幅4分の1!$B$11:$B$310),INDEX(条幅4分の1!$B$11:$B$310,756-COUNTA(半紙!$B$11:$B$310)-COUNTA(条幅!$B$11:$B$310)),"")))=0,"",IF(756&lt;=COUNTA(半紙!$B$11:$B$310),INDEX(半紙!$B$11:$B$310,756),IF(756&lt;=COUNTA(半紙!$B$11:$B$310)+COUNTA(条幅!$B$11:$B$310),INDEX(条幅!$B$11:$B$310,756-COUNTA(半紙!$B$11:$B$310)),IF(756&lt;=COUNTA(半紙!$B$11:$B$310)+COUNTA(条幅!$B$11:$B$310)+COUNTA(条幅4分の1!$B$11:$B$310),INDEX(条幅4分の1!$B$11:$B$310,756-COUNTA(半紙!$B$11:$B$310)-COUNTA(条幅!$B$11:$B$310)),""))))</f>
        <v/>
      </c>
      <c r="C761" s="38" t="str">
        <f>IF(IF(756&lt;=COUNTA(半紙!$B$11:$B$310),INDEX(半紙!$C$11:$C$310,756),IF(756&lt;=COUNTA(半紙!$B$11:$B$310)+COUNTA(条幅!$B$11:$B$310),INDEX(条幅!$C$11:$C$310,756-COUNTA(半紙!$B$11:$B$310)),IF(756&lt;=COUNTA(半紙!$B$11:$B$310)+COUNTA(条幅!$B$11:$B$310)+COUNTA(条幅4分の1!$B$11:$B$310),INDEX(条幅4分の1!$C$11:$C$310,756-COUNTA(半紙!$B$11:$B$310)-COUNTA(条幅!$B$11:$B$310)),"")))=0,"",IF(756&lt;=COUNTA(半紙!$B$11:$B$310),INDEX(半紙!$C$11:$C$310,756),IF(756&lt;=COUNTA(半紙!$B$11:$B$310)+COUNTA(条幅!$B$11:$B$310),INDEX(条幅!$C$11:$C$310,756-COUNTA(半紙!$B$11:$B$310)),IF(756&lt;=COUNTA(半紙!$B$11:$B$310)+COUNTA(条幅!$B$11:$B$310)+COUNTA(条幅4分の1!$B$11:$B$310),INDEX(条幅4分の1!$C$11:$C$310,756-COUNTA(半紙!$B$11:$B$310)-COUNTA(条幅!$B$11:$B$310)),""))))</f>
        <v/>
      </c>
      <c r="D761" s="38" t="str">
        <f>IF(IF(756&lt;=COUNTA(半紙!$B$11:$B$310),INDEX(半紙!$D$11:$D$310,756),IF(756&lt;=COUNTA(半紙!$B$11:$B$310)+COUNTA(条幅!$B$11:$B$310),INDEX(条幅!$D$11:$D$310,756-COUNTA(半紙!$B$11:$B$310)),IF(756&lt;=COUNTA(半紙!$B$11:$B$310)+COUNTA(条幅!$B$11:$B$310)+COUNTA(条幅4分の1!$B$11:$B$310),INDEX(条幅4分の1!$D$11:$D$310,756-COUNTA(半紙!$B$11:$B$310)-COUNTA(条幅!$B$11:$B$310)),"")))=0,"",IF(756&lt;=COUNTA(半紙!$B$11:$B$310),INDEX(半紙!$D$11:$D$310,756),IF(756&lt;=COUNTA(半紙!$B$11:$B$310)+COUNTA(条幅!$B$11:$B$310),INDEX(条幅!$D$11:$D$310,756-COUNTA(半紙!$B$11:$B$310)),IF(756&lt;=COUNTA(半紙!$B$11:$B$310)+COUNTA(条幅!$B$11:$B$310)+COUNTA(条幅4分の1!$B$11:$B$310),INDEX(条幅4分の1!$D$11:$D$310,756-COUNTA(半紙!$B$11:$B$310)-COUNTA(条幅!$B$11:$B$310)),""))))</f>
        <v/>
      </c>
      <c r="E761" s="38" t="str">
        <f>IF(IF(756&lt;=COUNTA(半紙!$B$11:$B$310),INDEX(半紙!$E$11:$E$310,756),IF(756&lt;=COUNTA(半紙!$B$11:$B$310)+COUNTA(条幅!$B$11:$B$310),INDEX(条幅!$E$11:$E$310,756-COUNTA(半紙!$B$11:$B$310)),IF(756&lt;=COUNTA(半紙!$B$11:$B$310)+COUNTA(条幅!$B$11:$B$310)+COUNTA(条幅4分の1!$B$11:$B$310),INDEX(条幅4分の1!$E$11:$E$310,756-COUNTA(半紙!$B$11:$B$310)-COUNTA(条幅!$B$11:$B$310)),"")))=0,"",IF(756&lt;=COUNTA(半紙!$B$11:$B$310),INDEX(半紙!$E$11:$E$310,756),IF(756&lt;=COUNTA(半紙!$B$11:$B$310)+COUNTA(条幅!$B$11:$B$310),INDEX(条幅!$E$11:$E$310,756-COUNTA(半紙!$B$11:$B$310)),IF(756&lt;=COUNTA(半紙!$B$11:$B$310)+COUNTA(条幅!$B$11:$B$310)+COUNTA(条幅4分の1!$B$11:$B$310),INDEX(条幅4分の1!$E$11:$E$310,756-COUNTA(半紙!$B$11:$B$310)-COUNTA(条幅!$B$11:$B$310)),""))))</f>
        <v/>
      </c>
      <c r="F761" s="38" t="str">
        <f>IF(IF(756&lt;=COUNTA(半紙!$B$11:$B$310),INDEX(半紙!$F$11:$F$310,756),IF(756&lt;=COUNTA(半紙!$B$11:$B$310)+COUNTA(条幅!$B$11:$B$310),INDEX(条幅!$F$11:$F$310,756-COUNTA(半紙!$B$11:$B$310)),IF(756&lt;=COUNTA(半紙!$B$11:$B$310)+COUNTA(条幅!$B$11:$B$310)+COUNTA(条幅4分の1!$B$11:$B$310),INDEX(条幅4分の1!$F$11:$F$310,756-COUNTA(半紙!$B$11:$B$310)-COUNTA(条幅!$B$11:$B$310)),"")))=0,"",IF(756&lt;=COUNTA(半紙!$B$11:$B$310),INDEX(半紙!$F$11:$F$310,756),IF(756&lt;=COUNTA(半紙!$B$11:$B$310)+COUNTA(条幅!$B$11:$B$310),INDEX(条幅!$F$11:$F$310,756-COUNTA(半紙!$B$11:$B$310)),IF(756&lt;=COUNTA(半紙!$B$11:$B$310)+COUNTA(条幅!$B$11:$B$310)+COUNTA(条幅4分の1!$B$11:$B$310),INDEX(条幅4分の1!$F$11:$F$310,756-COUNTA(半紙!$B$11:$B$310)-COUNTA(条幅!$B$11:$B$310)),""))))</f>
        <v/>
      </c>
      <c r="G761" s="38" t="str">
        <f>IF(IF(756&lt;=COUNTA(半紙!$B$11:$B$310),INDEX(半紙!$G$11:$G$310,756),IF(756&lt;=COUNTA(半紙!$B$11:$B$310)+COUNTA(条幅!$B$11:$B$310),INDEX(条幅!$G$11:$G$310,756-COUNTA(半紙!$B$11:$B$310)),IF(756&lt;=COUNTA(半紙!$B$11:$B$310)+COUNTA(条幅!$B$11:$B$310)+COUNTA(条幅4分の1!$B$11:$B$310),INDEX(条幅4分の1!$G$11:$G$310,756-COUNTA(半紙!$B$11:$B$310)-COUNTA(条幅!$B$11:$B$310)),"")))=0,"",IF(756&lt;=COUNTA(半紙!$B$11:$B$310),INDEX(半紙!$G$11:$G$310,756),IF(756&lt;=COUNTA(半紙!$B$11:$B$310)+COUNTA(条幅!$B$11:$B$310),INDEX(条幅!$G$11:$G$310,756-COUNTA(半紙!$B$11:$B$310)),IF(756&lt;=COUNTA(半紙!$B$11:$B$310)+COUNTA(条幅!$B$11:$B$310)+COUNTA(条幅4分の1!$B$11:$B$310),INDEX(条幅4分の1!$G$11:$G$310,756-COUNTA(半紙!$B$11:$B$310)-COUNTA(条幅!$B$11:$B$310)),""))))</f>
        <v/>
      </c>
      <c r="H761" s="38" t="str">
        <f>IF(IF(756&lt;=COUNTA(半紙!$B$11:$B$310),INDEX(半紙!$H$11:$H$310,756),IF(756&lt;=COUNTA(半紙!$B$11:$B$310)+COUNTA(条幅!$B$11:$B$310),INDEX(条幅!$H$11:$H$310,756-COUNTA(半紙!$B$11:$B$310)),IF(756&lt;=COUNTA(半紙!$B$11:$B$310)+COUNTA(条幅!$B$11:$B$310)+COUNTA(条幅4分の1!$B$11:$B$310),INDEX(条幅4分の1!$H$11:$H$310,756-COUNTA(半紙!$B$11:$B$310)-COUNTA(条幅!$B$11:$B$310)),"")))=0,"",IF(756&lt;=COUNTA(半紙!$B$11:$B$310),INDEX(半紙!$H$11:$H$310,756),IF(756&lt;=COUNTA(半紙!$B$11:$B$310)+COUNTA(条幅!$B$11:$B$310),INDEX(条幅!$H$11:$H$310,756-COUNTA(半紙!$B$11:$B$310)),IF(756&lt;=COUNTA(半紙!$B$11:$B$310)+COUNTA(条幅!$B$11:$B$310)+COUNTA(条幅4分の1!$B$11:$B$310),INDEX(条幅4分の1!$H$11:$H$310,756-COUNTA(半紙!$B$11:$B$310)-COUNTA(条幅!$B$11:$B$310)),""))))</f>
        <v/>
      </c>
      <c r="I761" s="38" t="str">
        <f>IF(IF(756&lt;=COUNTA(半紙!$B$11:$B$310),INDEX(半紙!$I$11:$I$310,756),IF(756&lt;=COUNTA(半紙!$B$11:$B$310)+COUNTA(条幅!$B$11:$B$310),INDEX(条幅!$I$11:$I$310,756-COUNTA(半紙!$B$11:$B$310)),IF(756&lt;=COUNTA(半紙!$B$11:$B$310)+COUNTA(条幅!$B$11:$B$310)+COUNTA(条幅4分の1!$B$11:$B$310),INDEX(条幅4分の1!$I$11:$I$310,756-COUNTA(半紙!$B$11:$B$310)-COUNTA(条幅!$B$11:$B$310)),"")))=0,"",IF(756&lt;=COUNTA(半紙!$B$11:$B$310),INDEX(半紙!$I$11:$I$310,756),IF(756&lt;=COUNTA(半紙!$B$11:$B$310)+COUNTA(条幅!$B$11:$B$310),INDEX(条幅!$I$11:$I$310,756-COUNTA(半紙!$B$11:$B$310)),IF(756&lt;=COUNTA(半紙!$B$11:$B$310)+COUNTA(条幅!$B$11:$B$310)+COUNTA(条幅4分の1!$B$11:$B$310),INDEX(条幅4分の1!$I$11:$I$310,756-COUNTA(半紙!$B$11:$B$310)-COUNTA(条幅!$B$11:$B$310)),""))))</f>
        <v/>
      </c>
      <c r="J761" s="38" t="str">
        <f>IF(IF(756&lt;=COUNTA(半紙!$B$11:$B$310),INDEX(半紙!$J$11:$J$310,756),IF(756&lt;=COUNTA(半紙!$B$11:$B$310)+COUNTA(条幅!$B$11:$B$310),INDEX(条幅!$J$11:$J$310,756-COUNTA(半紙!$B$11:$B$310)),IF(756&lt;=COUNTA(半紙!$B$11:$B$310)+COUNTA(条幅!$B$11:$B$310)+COUNTA(条幅4分の1!$B$11:$B$310),INDEX(条幅4分の1!$J$11:$J$310,756-COUNTA(半紙!$B$11:$B$310)-COUNTA(条幅!$B$11:$B$310)),"")))=0,"",IF(756&lt;=COUNTA(半紙!$B$11:$B$310),INDEX(半紙!$J$11:$J$310,756),IF(756&lt;=COUNTA(半紙!$B$11:$B$310)+COUNTA(条幅!$B$11:$B$310),INDEX(条幅!$J$11:$J$310,756-COUNTA(半紙!$B$11:$B$310)),IF(756&lt;=COUNTA(半紙!$B$11:$B$310)+COUNTA(条幅!$B$11:$B$310)+COUNTA(条幅4分の1!$B$11:$B$310),INDEX(条幅4分の1!$J$11:$J$310,756-COUNTA(半紙!$B$11:$B$310)-COUNTA(条幅!$B$11:$B$310)),""))))</f>
        <v/>
      </c>
      <c r="K761" s="38" t="str">
        <f>IF(IF(756&lt;=COUNTA(半紙!$B$11:$B$310),INDEX(半紙!$K$11:$K$310,756),IF(756&lt;=COUNTA(半紙!$B$11:$B$310)+COUNTA(条幅!$B$11:$B$310),INDEX(条幅!$K$11:$K$310,756-COUNTA(半紙!$B$11:$B$310)),IF(756&lt;=COUNTA(半紙!$B$11:$B$310)+COUNTA(条幅!$B$11:$B$310)+COUNTA(条幅4分の1!$B$11:$B$310),INDEX(条幅4分の1!$K$11:$K$310,756-COUNTA(半紙!$B$11:$B$310)-COUNTA(条幅!$B$11:$B$310)),"")))=0,"",IF(756&lt;=COUNTA(半紙!$B$11:$B$310),INDEX(半紙!$K$11:$K$310,756),IF(756&lt;=COUNTA(半紙!$B$11:$B$310)+COUNTA(条幅!$B$11:$B$310),INDEX(条幅!$K$11:$K$310,756-COUNTA(半紙!$B$11:$B$310)),IF(756&lt;=COUNTA(半紙!$B$11:$B$310)+COUNTA(条幅!$B$11:$B$310)+COUNTA(条幅4分の1!$B$11:$B$310),INDEX(条幅4分の1!$K$11:$K$310,756-COUNTA(半紙!$B$11:$B$310)-COUNTA(条幅!$B$11:$B$310)),""))))</f>
        <v/>
      </c>
      <c r="L761" s="48" t="str">
        <f>IF($B761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756))</f>
        <v/>
      </c>
    </row>
    <row r="762" spans="1:12" ht="15" customHeight="1">
      <c r="A762" s="37" t="str">
        <f>IF(757&lt;=COUNTA(半紙!$B$11:$B$310),"半紙",IF(757&lt;=COUNTA(半紙!$B$11:$B$310)+COUNTA(条幅!$B$11:$B$310),"条幅(半切)",IF(757&lt;=COUNTA(半紙!$B$11:$B$310)+COUNTA(条幅!$B$11:$B$310)+COUNTA(条幅4分の1!$B$11:$B$310),"条幅(1/4)","")))</f>
        <v/>
      </c>
      <c r="B762" s="38" t="str">
        <f>IF(IF(757&lt;=COUNTA(半紙!$B$11:$B$310),INDEX(半紙!$B$11:$B$310,757),IF(757&lt;=COUNTA(半紙!$B$11:$B$310)+COUNTA(条幅!$B$11:$B$310),INDEX(条幅!$B$11:$B$310,757-COUNTA(半紙!$B$11:$B$310)),IF(757&lt;=COUNTA(半紙!$B$11:$B$310)+COUNTA(条幅!$B$11:$B$310)+COUNTA(条幅4分の1!$B$11:$B$310),INDEX(条幅4分の1!$B$11:$B$310,757-COUNTA(半紙!$B$11:$B$310)-COUNTA(条幅!$B$11:$B$310)),"")))=0,"",IF(757&lt;=COUNTA(半紙!$B$11:$B$310),INDEX(半紙!$B$11:$B$310,757),IF(757&lt;=COUNTA(半紙!$B$11:$B$310)+COUNTA(条幅!$B$11:$B$310),INDEX(条幅!$B$11:$B$310,757-COUNTA(半紙!$B$11:$B$310)),IF(757&lt;=COUNTA(半紙!$B$11:$B$310)+COUNTA(条幅!$B$11:$B$310)+COUNTA(条幅4分の1!$B$11:$B$310),INDEX(条幅4分の1!$B$11:$B$310,757-COUNTA(半紙!$B$11:$B$310)-COUNTA(条幅!$B$11:$B$310)),""))))</f>
        <v/>
      </c>
      <c r="C762" s="38" t="str">
        <f>IF(IF(757&lt;=COUNTA(半紙!$B$11:$B$310),INDEX(半紙!$C$11:$C$310,757),IF(757&lt;=COUNTA(半紙!$B$11:$B$310)+COUNTA(条幅!$B$11:$B$310),INDEX(条幅!$C$11:$C$310,757-COUNTA(半紙!$B$11:$B$310)),IF(757&lt;=COUNTA(半紙!$B$11:$B$310)+COUNTA(条幅!$B$11:$B$310)+COUNTA(条幅4分の1!$B$11:$B$310),INDEX(条幅4分の1!$C$11:$C$310,757-COUNTA(半紙!$B$11:$B$310)-COUNTA(条幅!$B$11:$B$310)),"")))=0,"",IF(757&lt;=COUNTA(半紙!$B$11:$B$310),INDEX(半紙!$C$11:$C$310,757),IF(757&lt;=COUNTA(半紙!$B$11:$B$310)+COUNTA(条幅!$B$11:$B$310),INDEX(条幅!$C$11:$C$310,757-COUNTA(半紙!$B$11:$B$310)),IF(757&lt;=COUNTA(半紙!$B$11:$B$310)+COUNTA(条幅!$B$11:$B$310)+COUNTA(条幅4分の1!$B$11:$B$310),INDEX(条幅4分の1!$C$11:$C$310,757-COUNTA(半紙!$B$11:$B$310)-COUNTA(条幅!$B$11:$B$310)),""))))</f>
        <v/>
      </c>
      <c r="D762" s="38" t="str">
        <f>IF(IF(757&lt;=COUNTA(半紙!$B$11:$B$310),INDEX(半紙!$D$11:$D$310,757),IF(757&lt;=COUNTA(半紙!$B$11:$B$310)+COUNTA(条幅!$B$11:$B$310),INDEX(条幅!$D$11:$D$310,757-COUNTA(半紙!$B$11:$B$310)),IF(757&lt;=COUNTA(半紙!$B$11:$B$310)+COUNTA(条幅!$B$11:$B$310)+COUNTA(条幅4分の1!$B$11:$B$310),INDEX(条幅4分の1!$D$11:$D$310,757-COUNTA(半紙!$B$11:$B$310)-COUNTA(条幅!$B$11:$B$310)),"")))=0,"",IF(757&lt;=COUNTA(半紙!$B$11:$B$310),INDEX(半紙!$D$11:$D$310,757),IF(757&lt;=COUNTA(半紙!$B$11:$B$310)+COUNTA(条幅!$B$11:$B$310),INDEX(条幅!$D$11:$D$310,757-COUNTA(半紙!$B$11:$B$310)),IF(757&lt;=COUNTA(半紙!$B$11:$B$310)+COUNTA(条幅!$B$11:$B$310)+COUNTA(条幅4分の1!$B$11:$B$310),INDEX(条幅4分の1!$D$11:$D$310,757-COUNTA(半紙!$B$11:$B$310)-COUNTA(条幅!$B$11:$B$310)),""))))</f>
        <v/>
      </c>
      <c r="E762" s="38" t="str">
        <f>IF(IF(757&lt;=COUNTA(半紙!$B$11:$B$310),INDEX(半紙!$E$11:$E$310,757),IF(757&lt;=COUNTA(半紙!$B$11:$B$310)+COUNTA(条幅!$B$11:$B$310),INDEX(条幅!$E$11:$E$310,757-COUNTA(半紙!$B$11:$B$310)),IF(757&lt;=COUNTA(半紙!$B$11:$B$310)+COUNTA(条幅!$B$11:$B$310)+COUNTA(条幅4分の1!$B$11:$B$310),INDEX(条幅4分の1!$E$11:$E$310,757-COUNTA(半紙!$B$11:$B$310)-COUNTA(条幅!$B$11:$B$310)),"")))=0,"",IF(757&lt;=COUNTA(半紙!$B$11:$B$310),INDEX(半紙!$E$11:$E$310,757),IF(757&lt;=COUNTA(半紙!$B$11:$B$310)+COUNTA(条幅!$B$11:$B$310),INDEX(条幅!$E$11:$E$310,757-COUNTA(半紙!$B$11:$B$310)),IF(757&lt;=COUNTA(半紙!$B$11:$B$310)+COUNTA(条幅!$B$11:$B$310)+COUNTA(条幅4分の1!$B$11:$B$310),INDEX(条幅4分の1!$E$11:$E$310,757-COUNTA(半紙!$B$11:$B$310)-COUNTA(条幅!$B$11:$B$310)),""))))</f>
        <v/>
      </c>
      <c r="F762" s="38" t="str">
        <f>IF(IF(757&lt;=COUNTA(半紙!$B$11:$B$310),INDEX(半紙!$F$11:$F$310,757),IF(757&lt;=COUNTA(半紙!$B$11:$B$310)+COUNTA(条幅!$B$11:$B$310),INDEX(条幅!$F$11:$F$310,757-COUNTA(半紙!$B$11:$B$310)),IF(757&lt;=COUNTA(半紙!$B$11:$B$310)+COUNTA(条幅!$B$11:$B$310)+COUNTA(条幅4分の1!$B$11:$B$310),INDEX(条幅4分の1!$F$11:$F$310,757-COUNTA(半紙!$B$11:$B$310)-COUNTA(条幅!$B$11:$B$310)),"")))=0,"",IF(757&lt;=COUNTA(半紙!$B$11:$B$310),INDEX(半紙!$F$11:$F$310,757),IF(757&lt;=COUNTA(半紙!$B$11:$B$310)+COUNTA(条幅!$B$11:$B$310),INDEX(条幅!$F$11:$F$310,757-COUNTA(半紙!$B$11:$B$310)),IF(757&lt;=COUNTA(半紙!$B$11:$B$310)+COUNTA(条幅!$B$11:$B$310)+COUNTA(条幅4分の1!$B$11:$B$310),INDEX(条幅4分の1!$F$11:$F$310,757-COUNTA(半紙!$B$11:$B$310)-COUNTA(条幅!$B$11:$B$310)),""))))</f>
        <v/>
      </c>
      <c r="G762" s="38" t="str">
        <f>IF(IF(757&lt;=COUNTA(半紙!$B$11:$B$310),INDEX(半紙!$G$11:$G$310,757),IF(757&lt;=COUNTA(半紙!$B$11:$B$310)+COUNTA(条幅!$B$11:$B$310),INDEX(条幅!$G$11:$G$310,757-COUNTA(半紙!$B$11:$B$310)),IF(757&lt;=COUNTA(半紙!$B$11:$B$310)+COUNTA(条幅!$B$11:$B$310)+COUNTA(条幅4分の1!$B$11:$B$310),INDEX(条幅4分の1!$G$11:$G$310,757-COUNTA(半紙!$B$11:$B$310)-COUNTA(条幅!$B$11:$B$310)),"")))=0,"",IF(757&lt;=COUNTA(半紙!$B$11:$B$310),INDEX(半紙!$G$11:$G$310,757),IF(757&lt;=COUNTA(半紙!$B$11:$B$310)+COUNTA(条幅!$B$11:$B$310),INDEX(条幅!$G$11:$G$310,757-COUNTA(半紙!$B$11:$B$310)),IF(757&lt;=COUNTA(半紙!$B$11:$B$310)+COUNTA(条幅!$B$11:$B$310)+COUNTA(条幅4分の1!$B$11:$B$310),INDEX(条幅4分の1!$G$11:$G$310,757-COUNTA(半紙!$B$11:$B$310)-COUNTA(条幅!$B$11:$B$310)),""))))</f>
        <v/>
      </c>
      <c r="H762" s="38" t="str">
        <f>IF(IF(757&lt;=COUNTA(半紙!$B$11:$B$310),INDEX(半紙!$H$11:$H$310,757),IF(757&lt;=COUNTA(半紙!$B$11:$B$310)+COUNTA(条幅!$B$11:$B$310),INDEX(条幅!$H$11:$H$310,757-COUNTA(半紙!$B$11:$B$310)),IF(757&lt;=COUNTA(半紙!$B$11:$B$310)+COUNTA(条幅!$B$11:$B$310)+COUNTA(条幅4分の1!$B$11:$B$310),INDEX(条幅4分の1!$H$11:$H$310,757-COUNTA(半紙!$B$11:$B$310)-COUNTA(条幅!$B$11:$B$310)),"")))=0,"",IF(757&lt;=COUNTA(半紙!$B$11:$B$310),INDEX(半紙!$H$11:$H$310,757),IF(757&lt;=COUNTA(半紙!$B$11:$B$310)+COUNTA(条幅!$B$11:$B$310),INDEX(条幅!$H$11:$H$310,757-COUNTA(半紙!$B$11:$B$310)),IF(757&lt;=COUNTA(半紙!$B$11:$B$310)+COUNTA(条幅!$B$11:$B$310)+COUNTA(条幅4分の1!$B$11:$B$310),INDEX(条幅4分の1!$H$11:$H$310,757-COUNTA(半紙!$B$11:$B$310)-COUNTA(条幅!$B$11:$B$310)),""))))</f>
        <v/>
      </c>
      <c r="I762" s="38" t="str">
        <f>IF(IF(757&lt;=COUNTA(半紙!$B$11:$B$310),INDEX(半紙!$I$11:$I$310,757),IF(757&lt;=COUNTA(半紙!$B$11:$B$310)+COUNTA(条幅!$B$11:$B$310),INDEX(条幅!$I$11:$I$310,757-COUNTA(半紙!$B$11:$B$310)),IF(757&lt;=COUNTA(半紙!$B$11:$B$310)+COUNTA(条幅!$B$11:$B$310)+COUNTA(条幅4分の1!$B$11:$B$310),INDEX(条幅4分の1!$I$11:$I$310,757-COUNTA(半紙!$B$11:$B$310)-COUNTA(条幅!$B$11:$B$310)),"")))=0,"",IF(757&lt;=COUNTA(半紙!$B$11:$B$310),INDEX(半紙!$I$11:$I$310,757),IF(757&lt;=COUNTA(半紙!$B$11:$B$310)+COUNTA(条幅!$B$11:$B$310),INDEX(条幅!$I$11:$I$310,757-COUNTA(半紙!$B$11:$B$310)),IF(757&lt;=COUNTA(半紙!$B$11:$B$310)+COUNTA(条幅!$B$11:$B$310)+COUNTA(条幅4分の1!$B$11:$B$310),INDEX(条幅4分の1!$I$11:$I$310,757-COUNTA(半紙!$B$11:$B$310)-COUNTA(条幅!$B$11:$B$310)),""))))</f>
        <v/>
      </c>
      <c r="J762" s="38" t="str">
        <f>IF(IF(757&lt;=COUNTA(半紙!$B$11:$B$310),INDEX(半紙!$J$11:$J$310,757),IF(757&lt;=COUNTA(半紙!$B$11:$B$310)+COUNTA(条幅!$B$11:$B$310),INDEX(条幅!$J$11:$J$310,757-COUNTA(半紙!$B$11:$B$310)),IF(757&lt;=COUNTA(半紙!$B$11:$B$310)+COUNTA(条幅!$B$11:$B$310)+COUNTA(条幅4分の1!$B$11:$B$310),INDEX(条幅4分の1!$J$11:$J$310,757-COUNTA(半紙!$B$11:$B$310)-COUNTA(条幅!$B$11:$B$310)),"")))=0,"",IF(757&lt;=COUNTA(半紙!$B$11:$B$310),INDEX(半紙!$J$11:$J$310,757),IF(757&lt;=COUNTA(半紙!$B$11:$B$310)+COUNTA(条幅!$B$11:$B$310),INDEX(条幅!$J$11:$J$310,757-COUNTA(半紙!$B$11:$B$310)),IF(757&lt;=COUNTA(半紙!$B$11:$B$310)+COUNTA(条幅!$B$11:$B$310)+COUNTA(条幅4分の1!$B$11:$B$310),INDEX(条幅4分の1!$J$11:$J$310,757-COUNTA(半紙!$B$11:$B$310)-COUNTA(条幅!$B$11:$B$310)),""))))</f>
        <v/>
      </c>
      <c r="K762" s="38" t="str">
        <f>IF(IF(757&lt;=COUNTA(半紙!$B$11:$B$310),INDEX(半紙!$K$11:$K$310,757),IF(757&lt;=COUNTA(半紙!$B$11:$B$310)+COUNTA(条幅!$B$11:$B$310),INDEX(条幅!$K$11:$K$310,757-COUNTA(半紙!$B$11:$B$310)),IF(757&lt;=COUNTA(半紙!$B$11:$B$310)+COUNTA(条幅!$B$11:$B$310)+COUNTA(条幅4分の1!$B$11:$B$310),INDEX(条幅4分の1!$K$11:$K$310,757-COUNTA(半紙!$B$11:$B$310)-COUNTA(条幅!$B$11:$B$310)),"")))=0,"",IF(757&lt;=COUNTA(半紙!$B$11:$B$310),INDEX(半紙!$K$11:$K$310,757),IF(757&lt;=COUNTA(半紙!$B$11:$B$310)+COUNTA(条幅!$B$11:$B$310),INDEX(条幅!$K$11:$K$310,757-COUNTA(半紙!$B$11:$B$310)),IF(757&lt;=COUNTA(半紙!$B$11:$B$310)+COUNTA(条幅!$B$11:$B$310)+COUNTA(条幅4分の1!$B$11:$B$310),INDEX(条幅4分の1!$K$11:$K$310,757-COUNTA(半紙!$B$11:$B$310)-COUNTA(条幅!$B$11:$B$310)),""))))</f>
        <v/>
      </c>
      <c r="L762" s="48" t="str">
        <f>IF($B762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757))</f>
        <v/>
      </c>
    </row>
    <row r="763" spans="1:12" ht="15" customHeight="1">
      <c r="A763" s="37" t="str">
        <f>IF(758&lt;=COUNTA(半紙!$B$11:$B$310),"半紙",IF(758&lt;=COUNTA(半紙!$B$11:$B$310)+COUNTA(条幅!$B$11:$B$310),"条幅(半切)",IF(758&lt;=COUNTA(半紙!$B$11:$B$310)+COUNTA(条幅!$B$11:$B$310)+COUNTA(条幅4分の1!$B$11:$B$310),"条幅(1/4)","")))</f>
        <v/>
      </c>
      <c r="B763" s="38" t="str">
        <f>IF(IF(758&lt;=COUNTA(半紙!$B$11:$B$310),INDEX(半紙!$B$11:$B$310,758),IF(758&lt;=COUNTA(半紙!$B$11:$B$310)+COUNTA(条幅!$B$11:$B$310),INDEX(条幅!$B$11:$B$310,758-COUNTA(半紙!$B$11:$B$310)),IF(758&lt;=COUNTA(半紙!$B$11:$B$310)+COUNTA(条幅!$B$11:$B$310)+COUNTA(条幅4分の1!$B$11:$B$310),INDEX(条幅4分の1!$B$11:$B$310,758-COUNTA(半紙!$B$11:$B$310)-COUNTA(条幅!$B$11:$B$310)),"")))=0,"",IF(758&lt;=COUNTA(半紙!$B$11:$B$310),INDEX(半紙!$B$11:$B$310,758),IF(758&lt;=COUNTA(半紙!$B$11:$B$310)+COUNTA(条幅!$B$11:$B$310),INDEX(条幅!$B$11:$B$310,758-COUNTA(半紙!$B$11:$B$310)),IF(758&lt;=COUNTA(半紙!$B$11:$B$310)+COUNTA(条幅!$B$11:$B$310)+COUNTA(条幅4分の1!$B$11:$B$310),INDEX(条幅4分の1!$B$11:$B$310,758-COUNTA(半紙!$B$11:$B$310)-COUNTA(条幅!$B$11:$B$310)),""))))</f>
        <v/>
      </c>
      <c r="C763" s="38" t="str">
        <f>IF(IF(758&lt;=COUNTA(半紙!$B$11:$B$310),INDEX(半紙!$C$11:$C$310,758),IF(758&lt;=COUNTA(半紙!$B$11:$B$310)+COUNTA(条幅!$B$11:$B$310),INDEX(条幅!$C$11:$C$310,758-COUNTA(半紙!$B$11:$B$310)),IF(758&lt;=COUNTA(半紙!$B$11:$B$310)+COUNTA(条幅!$B$11:$B$310)+COUNTA(条幅4分の1!$B$11:$B$310),INDEX(条幅4分の1!$C$11:$C$310,758-COUNTA(半紙!$B$11:$B$310)-COUNTA(条幅!$B$11:$B$310)),"")))=0,"",IF(758&lt;=COUNTA(半紙!$B$11:$B$310),INDEX(半紙!$C$11:$C$310,758),IF(758&lt;=COUNTA(半紙!$B$11:$B$310)+COUNTA(条幅!$B$11:$B$310),INDEX(条幅!$C$11:$C$310,758-COUNTA(半紙!$B$11:$B$310)),IF(758&lt;=COUNTA(半紙!$B$11:$B$310)+COUNTA(条幅!$B$11:$B$310)+COUNTA(条幅4分の1!$B$11:$B$310),INDEX(条幅4分の1!$C$11:$C$310,758-COUNTA(半紙!$B$11:$B$310)-COUNTA(条幅!$B$11:$B$310)),""))))</f>
        <v/>
      </c>
      <c r="D763" s="38" t="str">
        <f>IF(IF(758&lt;=COUNTA(半紙!$B$11:$B$310),INDEX(半紙!$D$11:$D$310,758),IF(758&lt;=COUNTA(半紙!$B$11:$B$310)+COUNTA(条幅!$B$11:$B$310),INDEX(条幅!$D$11:$D$310,758-COUNTA(半紙!$B$11:$B$310)),IF(758&lt;=COUNTA(半紙!$B$11:$B$310)+COUNTA(条幅!$B$11:$B$310)+COUNTA(条幅4分の1!$B$11:$B$310),INDEX(条幅4分の1!$D$11:$D$310,758-COUNTA(半紙!$B$11:$B$310)-COUNTA(条幅!$B$11:$B$310)),"")))=0,"",IF(758&lt;=COUNTA(半紙!$B$11:$B$310),INDEX(半紙!$D$11:$D$310,758),IF(758&lt;=COUNTA(半紙!$B$11:$B$310)+COUNTA(条幅!$B$11:$B$310),INDEX(条幅!$D$11:$D$310,758-COUNTA(半紙!$B$11:$B$310)),IF(758&lt;=COUNTA(半紙!$B$11:$B$310)+COUNTA(条幅!$B$11:$B$310)+COUNTA(条幅4分の1!$B$11:$B$310),INDEX(条幅4分の1!$D$11:$D$310,758-COUNTA(半紙!$B$11:$B$310)-COUNTA(条幅!$B$11:$B$310)),""))))</f>
        <v/>
      </c>
      <c r="E763" s="38" t="str">
        <f>IF(IF(758&lt;=COUNTA(半紙!$B$11:$B$310),INDEX(半紙!$E$11:$E$310,758),IF(758&lt;=COUNTA(半紙!$B$11:$B$310)+COUNTA(条幅!$B$11:$B$310),INDEX(条幅!$E$11:$E$310,758-COUNTA(半紙!$B$11:$B$310)),IF(758&lt;=COUNTA(半紙!$B$11:$B$310)+COUNTA(条幅!$B$11:$B$310)+COUNTA(条幅4分の1!$B$11:$B$310),INDEX(条幅4分の1!$E$11:$E$310,758-COUNTA(半紙!$B$11:$B$310)-COUNTA(条幅!$B$11:$B$310)),"")))=0,"",IF(758&lt;=COUNTA(半紙!$B$11:$B$310),INDEX(半紙!$E$11:$E$310,758),IF(758&lt;=COUNTA(半紙!$B$11:$B$310)+COUNTA(条幅!$B$11:$B$310),INDEX(条幅!$E$11:$E$310,758-COUNTA(半紙!$B$11:$B$310)),IF(758&lt;=COUNTA(半紙!$B$11:$B$310)+COUNTA(条幅!$B$11:$B$310)+COUNTA(条幅4分の1!$B$11:$B$310),INDEX(条幅4分の1!$E$11:$E$310,758-COUNTA(半紙!$B$11:$B$310)-COUNTA(条幅!$B$11:$B$310)),""))))</f>
        <v/>
      </c>
      <c r="F763" s="38" t="str">
        <f>IF(IF(758&lt;=COUNTA(半紙!$B$11:$B$310),INDEX(半紙!$F$11:$F$310,758),IF(758&lt;=COUNTA(半紙!$B$11:$B$310)+COUNTA(条幅!$B$11:$B$310),INDEX(条幅!$F$11:$F$310,758-COUNTA(半紙!$B$11:$B$310)),IF(758&lt;=COUNTA(半紙!$B$11:$B$310)+COUNTA(条幅!$B$11:$B$310)+COUNTA(条幅4分の1!$B$11:$B$310),INDEX(条幅4分の1!$F$11:$F$310,758-COUNTA(半紙!$B$11:$B$310)-COUNTA(条幅!$B$11:$B$310)),"")))=0,"",IF(758&lt;=COUNTA(半紙!$B$11:$B$310),INDEX(半紙!$F$11:$F$310,758),IF(758&lt;=COUNTA(半紙!$B$11:$B$310)+COUNTA(条幅!$B$11:$B$310),INDEX(条幅!$F$11:$F$310,758-COUNTA(半紙!$B$11:$B$310)),IF(758&lt;=COUNTA(半紙!$B$11:$B$310)+COUNTA(条幅!$B$11:$B$310)+COUNTA(条幅4分の1!$B$11:$B$310),INDEX(条幅4分の1!$F$11:$F$310,758-COUNTA(半紙!$B$11:$B$310)-COUNTA(条幅!$B$11:$B$310)),""))))</f>
        <v/>
      </c>
      <c r="G763" s="38" t="str">
        <f>IF(IF(758&lt;=COUNTA(半紙!$B$11:$B$310),INDEX(半紙!$G$11:$G$310,758),IF(758&lt;=COUNTA(半紙!$B$11:$B$310)+COUNTA(条幅!$B$11:$B$310),INDEX(条幅!$G$11:$G$310,758-COUNTA(半紙!$B$11:$B$310)),IF(758&lt;=COUNTA(半紙!$B$11:$B$310)+COUNTA(条幅!$B$11:$B$310)+COUNTA(条幅4分の1!$B$11:$B$310),INDEX(条幅4分の1!$G$11:$G$310,758-COUNTA(半紙!$B$11:$B$310)-COUNTA(条幅!$B$11:$B$310)),"")))=0,"",IF(758&lt;=COUNTA(半紙!$B$11:$B$310),INDEX(半紙!$G$11:$G$310,758),IF(758&lt;=COUNTA(半紙!$B$11:$B$310)+COUNTA(条幅!$B$11:$B$310),INDEX(条幅!$G$11:$G$310,758-COUNTA(半紙!$B$11:$B$310)),IF(758&lt;=COUNTA(半紙!$B$11:$B$310)+COUNTA(条幅!$B$11:$B$310)+COUNTA(条幅4分の1!$B$11:$B$310),INDEX(条幅4分の1!$G$11:$G$310,758-COUNTA(半紙!$B$11:$B$310)-COUNTA(条幅!$B$11:$B$310)),""))))</f>
        <v/>
      </c>
      <c r="H763" s="38" t="str">
        <f>IF(IF(758&lt;=COUNTA(半紙!$B$11:$B$310),INDEX(半紙!$H$11:$H$310,758),IF(758&lt;=COUNTA(半紙!$B$11:$B$310)+COUNTA(条幅!$B$11:$B$310),INDEX(条幅!$H$11:$H$310,758-COUNTA(半紙!$B$11:$B$310)),IF(758&lt;=COUNTA(半紙!$B$11:$B$310)+COUNTA(条幅!$B$11:$B$310)+COUNTA(条幅4分の1!$B$11:$B$310),INDEX(条幅4分の1!$H$11:$H$310,758-COUNTA(半紙!$B$11:$B$310)-COUNTA(条幅!$B$11:$B$310)),"")))=0,"",IF(758&lt;=COUNTA(半紙!$B$11:$B$310),INDEX(半紙!$H$11:$H$310,758),IF(758&lt;=COUNTA(半紙!$B$11:$B$310)+COUNTA(条幅!$B$11:$B$310),INDEX(条幅!$H$11:$H$310,758-COUNTA(半紙!$B$11:$B$310)),IF(758&lt;=COUNTA(半紙!$B$11:$B$310)+COUNTA(条幅!$B$11:$B$310)+COUNTA(条幅4分の1!$B$11:$B$310),INDEX(条幅4分の1!$H$11:$H$310,758-COUNTA(半紙!$B$11:$B$310)-COUNTA(条幅!$B$11:$B$310)),""))))</f>
        <v/>
      </c>
      <c r="I763" s="38" t="str">
        <f>IF(IF(758&lt;=COUNTA(半紙!$B$11:$B$310),INDEX(半紙!$I$11:$I$310,758),IF(758&lt;=COUNTA(半紙!$B$11:$B$310)+COUNTA(条幅!$B$11:$B$310),INDEX(条幅!$I$11:$I$310,758-COUNTA(半紙!$B$11:$B$310)),IF(758&lt;=COUNTA(半紙!$B$11:$B$310)+COUNTA(条幅!$B$11:$B$310)+COUNTA(条幅4分の1!$B$11:$B$310),INDEX(条幅4分の1!$I$11:$I$310,758-COUNTA(半紙!$B$11:$B$310)-COUNTA(条幅!$B$11:$B$310)),"")))=0,"",IF(758&lt;=COUNTA(半紙!$B$11:$B$310),INDEX(半紙!$I$11:$I$310,758),IF(758&lt;=COUNTA(半紙!$B$11:$B$310)+COUNTA(条幅!$B$11:$B$310),INDEX(条幅!$I$11:$I$310,758-COUNTA(半紙!$B$11:$B$310)),IF(758&lt;=COUNTA(半紙!$B$11:$B$310)+COUNTA(条幅!$B$11:$B$310)+COUNTA(条幅4分の1!$B$11:$B$310),INDEX(条幅4分の1!$I$11:$I$310,758-COUNTA(半紙!$B$11:$B$310)-COUNTA(条幅!$B$11:$B$310)),""))))</f>
        <v/>
      </c>
      <c r="J763" s="38" t="str">
        <f>IF(IF(758&lt;=COUNTA(半紙!$B$11:$B$310),INDEX(半紙!$J$11:$J$310,758),IF(758&lt;=COUNTA(半紙!$B$11:$B$310)+COUNTA(条幅!$B$11:$B$310),INDEX(条幅!$J$11:$J$310,758-COUNTA(半紙!$B$11:$B$310)),IF(758&lt;=COUNTA(半紙!$B$11:$B$310)+COUNTA(条幅!$B$11:$B$310)+COUNTA(条幅4分の1!$B$11:$B$310),INDEX(条幅4分の1!$J$11:$J$310,758-COUNTA(半紙!$B$11:$B$310)-COUNTA(条幅!$B$11:$B$310)),"")))=0,"",IF(758&lt;=COUNTA(半紙!$B$11:$B$310),INDEX(半紙!$J$11:$J$310,758),IF(758&lt;=COUNTA(半紙!$B$11:$B$310)+COUNTA(条幅!$B$11:$B$310),INDEX(条幅!$J$11:$J$310,758-COUNTA(半紙!$B$11:$B$310)),IF(758&lt;=COUNTA(半紙!$B$11:$B$310)+COUNTA(条幅!$B$11:$B$310)+COUNTA(条幅4分の1!$B$11:$B$310),INDEX(条幅4分の1!$J$11:$J$310,758-COUNTA(半紙!$B$11:$B$310)-COUNTA(条幅!$B$11:$B$310)),""))))</f>
        <v/>
      </c>
      <c r="K763" s="38" t="str">
        <f>IF(IF(758&lt;=COUNTA(半紙!$B$11:$B$310),INDEX(半紙!$K$11:$K$310,758),IF(758&lt;=COUNTA(半紙!$B$11:$B$310)+COUNTA(条幅!$B$11:$B$310),INDEX(条幅!$K$11:$K$310,758-COUNTA(半紙!$B$11:$B$310)),IF(758&lt;=COUNTA(半紙!$B$11:$B$310)+COUNTA(条幅!$B$11:$B$310)+COUNTA(条幅4分の1!$B$11:$B$310),INDEX(条幅4分の1!$K$11:$K$310,758-COUNTA(半紙!$B$11:$B$310)-COUNTA(条幅!$B$11:$B$310)),"")))=0,"",IF(758&lt;=COUNTA(半紙!$B$11:$B$310),INDEX(半紙!$K$11:$K$310,758),IF(758&lt;=COUNTA(半紙!$B$11:$B$310)+COUNTA(条幅!$B$11:$B$310),INDEX(条幅!$K$11:$K$310,758-COUNTA(半紙!$B$11:$B$310)),IF(758&lt;=COUNTA(半紙!$B$11:$B$310)+COUNTA(条幅!$B$11:$B$310)+COUNTA(条幅4分の1!$B$11:$B$310),INDEX(条幅4分の1!$K$11:$K$310,758-COUNTA(半紙!$B$11:$B$310)-COUNTA(条幅!$B$11:$B$310)),""))))</f>
        <v/>
      </c>
      <c r="L763" s="48" t="str">
        <f>IF($B763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758))</f>
        <v/>
      </c>
    </row>
    <row r="764" spans="1:12" ht="15" customHeight="1">
      <c r="A764" s="37" t="str">
        <f>IF(759&lt;=COUNTA(半紙!$B$11:$B$310),"半紙",IF(759&lt;=COUNTA(半紙!$B$11:$B$310)+COUNTA(条幅!$B$11:$B$310),"条幅(半切)",IF(759&lt;=COUNTA(半紙!$B$11:$B$310)+COUNTA(条幅!$B$11:$B$310)+COUNTA(条幅4分の1!$B$11:$B$310),"条幅(1/4)","")))</f>
        <v/>
      </c>
      <c r="B764" s="38" t="str">
        <f>IF(IF(759&lt;=COUNTA(半紙!$B$11:$B$310),INDEX(半紙!$B$11:$B$310,759),IF(759&lt;=COUNTA(半紙!$B$11:$B$310)+COUNTA(条幅!$B$11:$B$310),INDEX(条幅!$B$11:$B$310,759-COUNTA(半紙!$B$11:$B$310)),IF(759&lt;=COUNTA(半紙!$B$11:$B$310)+COUNTA(条幅!$B$11:$B$310)+COUNTA(条幅4分の1!$B$11:$B$310),INDEX(条幅4分の1!$B$11:$B$310,759-COUNTA(半紙!$B$11:$B$310)-COUNTA(条幅!$B$11:$B$310)),"")))=0,"",IF(759&lt;=COUNTA(半紙!$B$11:$B$310),INDEX(半紙!$B$11:$B$310,759),IF(759&lt;=COUNTA(半紙!$B$11:$B$310)+COUNTA(条幅!$B$11:$B$310),INDEX(条幅!$B$11:$B$310,759-COUNTA(半紙!$B$11:$B$310)),IF(759&lt;=COUNTA(半紙!$B$11:$B$310)+COUNTA(条幅!$B$11:$B$310)+COUNTA(条幅4分の1!$B$11:$B$310),INDEX(条幅4分の1!$B$11:$B$310,759-COUNTA(半紙!$B$11:$B$310)-COUNTA(条幅!$B$11:$B$310)),""))))</f>
        <v/>
      </c>
      <c r="C764" s="38" t="str">
        <f>IF(IF(759&lt;=COUNTA(半紙!$B$11:$B$310),INDEX(半紙!$C$11:$C$310,759),IF(759&lt;=COUNTA(半紙!$B$11:$B$310)+COUNTA(条幅!$B$11:$B$310),INDEX(条幅!$C$11:$C$310,759-COUNTA(半紙!$B$11:$B$310)),IF(759&lt;=COUNTA(半紙!$B$11:$B$310)+COUNTA(条幅!$B$11:$B$310)+COUNTA(条幅4分の1!$B$11:$B$310),INDEX(条幅4分の1!$C$11:$C$310,759-COUNTA(半紙!$B$11:$B$310)-COUNTA(条幅!$B$11:$B$310)),"")))=0,"",IF(759&lt;=COUNTA(半紙!$B$11:$B$310),INDEX(半紙!$C$11:$C$310,759),IF(759&lt;=COUNTA(半紙!$B$11:$B$310)+COUNTA(条幅!$B$11:$B$310),INDEX(条幅!$C$11:$C$310,759-COUNTA(半紙!$B$11:$B$310)),IF(759&lt;=COUNTA(半紙!$B$11:$B$310)+COUNTA(条幅!$B$11:$B$310)+COUNTA(条幅4分の1!$B$11:$B$310),INDEX(条幅4分の1!$C$11:$C$310,759-COUNTA(半紙!$B$11:$B$310)-COUNTA(条幅!$B$11:$B$310)),""))))</f>
        <v/>
      </c>
      <c r="D764" s="38" t="str">
        <f>IF(IF(759&lt;=COUNTA(半紙!$B$11:$B$310),INDEX(半紙!$D$11:$D$310,759),IF(759&lt;=COUNTA(半紙!$B$11:$B$310)+COUNTA(条幅!$B$11:$B$310),INDEX(条幅!$D$11:$D$310,759-COUNTA(半紙!$B$11:$B$310)),IF(759&lt;=COUNTA(半紙!$B$11:$B$310)+COUNTA(条幅!$B$11:$B$310)+COUNTA(条幅4分の1!$B$11:$B$310),INDEX(条幅4分の1!$D$11:$D$310,759-COUNTA(半紙!$B$11:$B$310)-COUNTA(条幅!$B$11:$B$310)),"")))=0,"",IF(759&lt;=COUNTA(半紙!$B$11:$B$310),INDEX(半紙!$D$11:$D$310,759),IF(759&lt;=COUNTA(半紙!$B$11:$B$310)+COUNTA(条幅!$B$11:$B$310),INDEX(条幅!$D$11:$D$310,759-COUNTA(半紙!$B$11:$B$310)),IF(759&lt;=COUNTA(半紙!$B$11:$B$310)+COUNTA(条幅!$B$11:$B$310)+COUNTA(条幅4分の1!$B$11:$B$310),INDEX(条幅4分の1!$D$11:$D$310,759-COUNTA(半紙!$B$11:$B$310)-COUNTA(条幅!$B$11:$B$310)),""))))</f>
        <v/>
      </c>
      <c r="E764" s="38" t="str">
        <f>IF(IF(759&lt;=COUNTA(半紙!$B$11:$B$310),INDEX(半紙!$E$11:$E$310,759),IF(759&lt;=COUNTA(半紙!$B$11:$B$310)+COUNTA(条幅!$B$11:$B$310),INDEX(条幅!$E$11:$E$310,759-COUNTA(半紙!$B$11:$B$310)),IF(759&lt;=COUNTA(半紙!$B$11:$B$310)+COUNTA(条幅!$B$11:$B$310)+COUNTA(条幅4分の1!$B$11:$B$310),INDEX(条幅4分の1!$E$11:$E$310,759-COUNTA(半紙!$B$11:$B$310)-COUNTA(条幅!$B$11:$B$310)),"")))=0,"",IF(759&lt;=COUNTA(半紙!$B$11:$B$310),INDEX(半紙!$E$11:$E$310,759),IF(759&lt;=COUNTA(半紙!$B$11:$B$310)+COUNTA(条幅!$B$11:$B$310),INDEX(条幅!$E$11:$E$310,759-COUNTA(半紙!$B$11:$B$310)),IF(759&lt;=COUNTA(半紙!$B$11:$B$310)+COUNTA(条幅!$B$11:$B$310)+COUNTA(条幅4分の1!$B$11:$B$310),INDEX(条幅4分の1!$E$11:$E$310,759-COUNTA(半紙!$B$11:$B$310)-COUNTA(条幅!$B$11:$B$310)),""))))</f>
        <v/>
      </c>
      <c r="F764" s="38" t="str">
        <f>IF(IF(759&lt;=COUNTA(半紙!$B$11:$B$310),INDEX(半紙!$F$11:$F$310,759),IF(759&lt;=COUNTA(半紙!$B$11:$B$310)+COUNTA(条幅!$B$11:$B$310),INDEX(条幅!$F$11:$F$310,759-COUNTA(半紙!$B$11:$B$310)),IF(759&lt;=COUNTA(半紙!$B$11:$B$310)+COUNTA(条幅!$B$11:$B$310)+COUNTA(条幅4分の1!$B$11:$B$310),INDEX(条幅4分の1!$F$11:$F$310,759-COUNTA(半紙!$B$11:$B$310)-COUNTA(条幅!$B$11:$B$310)),"")))=0,"",IF(759&lt;=COUNTA(半紙!$B$11:$B$310),INDEX(半紙!$F$11:$F$310,759),IF(759&lt;=COUNTA(半紙!$B$11:$B$310)+COUNTA(条幅!$B$11:$B$310),INDEX(条幅!$F$11:$F$310,759-COUNTA(半紙!$B$11:$B$310)),IF(759&lt;=COUNTA(半紙!$B$11:$B$310)+COUNTA(条幅!$B$11:$B$310)+COUNTA(条幅4分の1!$B$11:$B$310),INDEX(条幅4分の1!$F$11:$F$310,759-COUNTA(半紙!$B$11:$B$310)-COUNTA(条幅!$B$11:$B$310)),""))))</f>
        <v/>
      </c>
      <c r="G764" s="38" t="str">
        <f>IF(IF(759&lt;=COUNTA(半紙!$B$11:$B$310),INDEX(半紙!$G$11:$G$310,759),IF(759&lt;=COUNTA(半紙!$B$11:$B$310)+COUNTA(条幅!$B$11:$B$310),INDEX(条幅!$G$11:$G$310,759-COUNTA(半紙!$B$11:$B$310)),IF(759&lt;=COUNTA(半紙!$B$11:$B$310)+COUNTA(条幅!$B$11:$B$310)+COUNTA(条幅4分の1!$B$11:$B$310),INDEX(条幅4分の1!$G$11:$G$310,759-COUNTA(半紙!$B$11:$B$310)-COUNTA(条幅!$B$11:$B$310)),"")))=0,"",IF(759&lt;=COUNTA(半紙!$B$11:$B$310),INDEX(半紙!$G$11:$G$310,759),IF(759&lt;=COUNTA(半紙!$B$11:$B$310)+COUNTA(条幅!$B$11:$B$310),INDEX(条幅!$G$11:$G$310,759-COUNTA(半紙!$B$11:$B$310)),IF(759&lt;=COUNTA(半紙!$B$11:$B$310)+COUNTA(条幅!$B$11:$B$310)+COUNTA(条幅4分の1!$B$11:$B$310),INDEX(条幅4分の1!$G$11:$G$310,759-COUNTA(半紙!$B$11:$B$310)-COUNTA(条幅!$B$11:$B$310)),""))))</f>
        <v/>
      </c>
      <c r="H764" s="38" t="str">
        <f>IF(IF(759&lt;=COUNTA(半紙!$B$11:$B$310),INDEX(半紙!$H$11:$H$310,759),IF(759&lt;=COUNTA(半紙!$B$11:$B$310)+COUNTA(条幅!$B$11:$B$310),INDEX(条幅!$H$11:$H$310,759-COUNTA(半紙!$B$11:$B$310)),IF(759&lt;=COUNTA(半紙!$B$11:$B$310)+COUNTA(条幅!$B$11:$B$310)+COUNTA(条幅4分の1!$B$11:$B$310),INDEX(条幅4分の1!$H$11:$H$310,759-COUNTA(半紙!$B$11:$B$310)-COUNTA(条幅!$B$11:$B$310)),"")))=0,"",IF(759&lt;=COUNTA(半紙!$B$11:$B$310),INDEX(半紙!$H$11:$H$310,759),IF(759&lt;=COUNTA(半紙!$B$11:$B$310)+COUNTA(条幅!$B$11:$B$310),INDEX(条幅!$H$11:$H$310,759-COUNTA(半紙!$B$11:$B$310)),IF(759&lt;=COUNTA(半紙!$B$11:$B$310)+COUNTA(条幅!$B$11:$B$310)+COUNTA(条幅4分の1!$B$11:$B$310),INDEX(条幅4分の1!$H$11:$H$310,759-COUNTA(半紙!$B$11:$B$310)-COUNTA(条幅!$B$11:$B$310)),""))))</f>
        <v/>
      </c>
      <c r="I764" s="38" t="str">
        <f>IF(IF(759&lt;=COUNTA(半紙!$B$11:$B$310),INDEX(半紙!$I$11:$I$310,759),IF(759&lt;=COUNTA(半紙!$B$11:$B$310)+COUNTA(条幅!$B$11:$B$310),INDEX(条幅!$I$11:$I$310,759-COUNTA(半紙!$B$11:$B$310)),IF(759&lt;=COUNTA(半紙!$B$11:$B$310)+COUNTA(条幅!$B$11:$B$310)+COUNTA(条幅4分の1!$B$11:$B$310),INDEX(条幅4分の1!$I$11:$I$310,759-COUNTA(半紙!$B$11:$B$310)-COUNTA(条幅!$B$11:$B$310)),"")))=0,"",IF(759&lt;=COUNTA(半紙!$B$11:$B$310),INDEX(半紙!$I$11:$I$310,759),IF(759&lt;=COUNTA(半紙!$B$11:$B$310)+COUNTA(条幅!$B$11:$B$310),INDEX(条幅!$I$11:$I$310,759-COUNTA(半紙!$B$11:$B$310)),IF(759&lt;=COUNTA(半紙!$B$11:$B$310)+COUNTA(条幅!$B$11:$B$310)+COUNTA(条幅4分の1!$B$11:$B$310),INDEX(条幅4分の1!$I$11:$I$310,759-COUNTA(半紙!$B$11:$B$310)-COUNTA(条幅!$B$11:$B$310)),""))))</f>
        <v/>
      </c>
      <c r="J764" s="38" t="str">
        <f>IF(IF(759&lt;=COUNTA(半紙!$B$11:$B$310),INDEX(半紙!$J$11:$J$310,759),IF(759&lt;=COUNTA(半紙!$B$11:$B$310)+COUNTA(条幅!$B$11:$B$310),INDEX(条幅!$J$11:$J$310,759-COUNTA(半紙!$B$11:$B$310)),IF(759&lt;=COUNTA(半紙!$B$11:$B$310)+COUNTA(条幅!$B$11:$B$310)+COUNTA(条幅4分の1!$B$11:$B$310),INDEX(条幅4分の1!$J$11:$J$310,759-COUNTA(半紙!$B$11:$B$310)-COUNTA(条幅!$B$11:$B$310)),"")))=0,"",IF(759&lt;=COUNTA(半紙!$B$11:$B$310),INDEX(半紙!$J$11:$J$310,759),IF(759&lt;=COUNTA(半紙!$B$11:$B$310)+COUNTA(条幅!$B$11:$B$310),INDEX(条幅!$J$11:$J$310,759-COUNTA(半紙!$B$11:$B$310)),IF(759&lt;=COUNTA(半紙!$B$11:$B$310)+COUNTA(条幅!$B$11:$B$310)+COUNTA(条幅4分の1!$B$11:$B$310),INDEX(条幅4分の1!$J$11:$J$310,759-COUNTA(半紙!$B$11:$B$310)-COUNTA(条幅!$B$11:$B$310)),""))))</f>
        <v/>
      </c>
      <c r="K764" s="38" t="str">
        <f>IF(IF(759&lt;=COUNTA(半紙!$B$11:$B$310),INDEX(半紙!$K$11:$K$310,759),IF(759&lt;=COUNTA(半紙!$B$11:$B$310)+COUNTA(条幅!$B$11:$B$310),INDEX(条幅!$K$11:$K$310,759-COUNTA(半紙!$B$11:$B$310)),IF(759&lt;=COUNTA(半紙!$B$11:$B$310)+COUNTA(条幅!$B$11:$B$310)+COUNTA(条幅4分の1!$B$11:$B$310),INDEX(条幅4分の1!$K$11:$K$310,759-COUNTA(半紙!$B$11:$B$310)-COUNTA(条幅!$B$11:$B$310)),"")))=0,"",IF(759&lt;=COUNTA(半紙!$B$11:$B$310),INDEX(半紙!$K$11:$K$310,759),IF(759&lt;=COUNTA(半紙!$B$11:$B$310)+COUNTA(条幅!$B$11:$B$310),INDEX(条幅!$K$11:$K$310,759-COUNTA(半紙!$B$11:$B$310)),IF(759&lt;=COUNTA(半紙!$B$11:$B$310)+COUNTA(条幅!$B$11:$B$310)+COUNTA(条幅4分の1!$B$11:$B$310),INDEX(条幅4分の1!$K$11:$K$310,759-COUNTA(半紙!$B$11:$B$310)-COUNTA(条幅!$B$11:$B$310)),""))))</f>
        <v/>
      </c>
      <c r="L764" s="48" t="str">
        <f>IF($B764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759))</f>
        <v/>
      </c>
    </row>
    <row r="765" spans="1:12" ht="15" customHeight="1">
      <c r="A765" s="37" t="str">
        <f>IF(760&lt;=COUNTA(半紙!$B$11:$B$310),"半紙",IF(760&lt;=COUNTA(半紙!$B$11:$B$310)+COUNTA(条幅!$B$11:$B$310),"条幅(半切)",IF(760&lt;=COUNTA(半紙!$B$11:$B$310)+COUNTA(条幅!$B$11:$B$310)+COUNTA(条幅4分の1!$B$11:$B$310),"条幅(1/4)","")))</f>
        <v/>
      </c>
      <c r="B765" s="38" t="str">
        <f>IF(IF(760&lt;=COUNTA(半紙!$B$11:$B$310),INDEX(半紙!$B$11:$B$310,760),IF(760&lt;=COUNTA(半紙!$B$11:$B$310)+COUNTA(条幅!$B$11:$B$310),INDEX(条幅!$B$11:$B$310,760-COUNTA(半紙!$B$11:$B$310)),IF(760&lt;=COUNTA(半紙!$B$11:$B$310)+COUNTA(条幅!$B$11:$B$310)+COUNTA(条幅4分の1!$B$11:$B$310),INDEX(条幅4分の1!$B$11:$B$310,760-COUNTA(半紙!$B$11:$B$310)-COUNTA(条幅!$B$11:$B$310)),"")))=0,"",IF(760&lt;=COUNTA(半紙!$B$11:$B$310),INDEX(半紙!$B$11:$B$310,760),IF(760&lt;=COUNTA(半紙!$B$11:$B$310)+COUNTA(条幅!$B$11:$B$310),INDEX(条幅!$B$11:$B$310,760-COUNTA(半紙!$B$11:$B$310)),IF(760&lt;=COUNTA(半紙!$B$11:$B$310)+COUNTA(条幅!$B$11:$B$310)+COUNTA(条幅4分の1!$B$11:$B$310),INDEX(条幅4分の1!$B$11:$B$310,760-COUNTA(半紙!$B$11:$B$310)-COUNTA(条幅!$B$11:$B$310)),""))))</f>
        <v/>
      </c>
      <c r="C765" s="38" t="str">
        <f>IF(IF(760&lt;=COUNTA(半紙!$B$11:$B$310),INDEX(半紙!$C$11:$C$310,760),IF(760&lt;=COUNTA(半紙!$B$11:$B$310)+COUNTA(条幅!$B$11:$B$310),INDEX(条幅!$C$11:$C$310,760-COUNTA(半紙!$B$11:$B$310)),IF(760&lt;=COUNTA(半紙!$B$11:$B$310)+COUNTA(条幅!$B$11:$B$310)+COUNTA(条幅4分の1!$B$11:$B$310),INDEX(条幅4分の1!$C$11:$C$310,760-COUNTA(半紙!$B$11:$B$310)-COUNTA(条幅!$B$11:$B$310)),"")))=0,"",IF(760&lt;=COUNTA(半紙!$B$11:$B$310),INDEX(半紙!$C$11:$C$310,760),IF(760&lt;=COUNTA(半紙!$B$11:$B$310)+COUNTA(条幅!$B$11:$B$310),INDEX(条幅!$C$11:$C$310,760-COUNTA(半紙!$B$11:$B$310)),IF(760&lt;=COUNTA(半紙!$B$11:$B$310)+COUNTA(条幅!$B$11:$B$310)+COUNTA(条幅4分の1!$B$11:$B$310),INDEX(条幅4分の1!$C$11:$C$310,760-COUNTA(半紙!$B$11:$B$310)-COUNTA(条幅!$B$11:$B$310)),""))))</f>
        <v/>
      </c>
      <c r="D765" s="38" t="str">
        <f>IF(IF(760&lt;=COUNTA(半紙!$B$11:$B$310),INDEX(半紙!$D$11:$D$310,760),IF(760&lt;=COUNTA(半紙!$B$11:$B$310)+COUNTA(条幅!$B$11:$B$310),INDEX(条幅!$D$11:$D$310,760-COUNTA(半紙!$B$11:$B$310)),IF(760&lt;=COUNTA(半紙!$B$11:$B$310)+COUNTA(条幅!$B$11:$B$310)+COUNTA(条幅4分の1!$B$11:$B$310),INDEX(条幅4分の1!$D$11:$D$310,760-COUNTA(半紙!$B$11:$B$310)-COUNTA(条幅!$B$11:$B$310)),"")))=0,"",IF(760&lt;=COUNTA(半紙!$B$11:$B$310),INDEX(半紙!$D$11:$D$310,760),IF(760&lt;=COUNTA(半紙!$B$11:$B$310)+COUNTA(条幅!$B$11:$B$310),INDEX(条幅!$D$11:$D$310,760-COUNTA(半紙!$B$11:$B$310)),IF(760&lt;=COUNTA(半紙!$B$11:$B$310)+COUNTA(条幅!$B$11:$B$310)+COUNTA(条幅4分の1!$B$11:$B$310),INDEX(条幅4分の1!$D$11:$D$310,760-COUNTA(半紙!$B$11:$B$310)-COUNTA(条幅!$B$11:$B$310)),""))))</f>
        <v/>
      </c>
      <c r="E765" s="38" t="str">
        <f>IF(IF(760&lt;=COUNTA(半紙!$B$11:$B$310),INDEX(半紙!$E$11:$E$310,760),IF(760&lt;=COUNTA(半紙!$B$11:$B$310)+COUNTA(条幅!$B$11:$B$310),INDEX(条幅!$E$11:$E$310,760-COUNTA(半紙!$B$11:$B$310)),IF(760&lt;=COUNTA(半紙!$B$11:$B$310)+COUNTA(条幅!$B$11:$B$310)+COUNTA(条幅4分の1!$B$11:$B$310),INDEX(条幅4分の1!$E$11:$E$310,760-COUNTA(半紙!$B$11:$B$310)-COUNTA(条幅!$B$11:$B$310)),"")))=0,"",IF(760&lt;=COUNTA(半紙!$B$11:$B$310),INDEX(半紙!$E$11:$E$310,760),IF(760&lt;=COUNTA(半紙!$B$11:$B$310)+COUNTA(条幅!$B$11:$B$310),INDEX(条幅!$E$11:$E$310,760-COUNTA(半紙!$B$11:$B$310)),IF(760&lt;=COUNTA(半紙!$B$11:$B$310)+COUNTA(条幅!$B$11:$B$310)+COUNTA(条幅4分の1!$B$11:$B$310),INDEX(条幅4分の1!$E$11:$E$310,760-COUNTA(半紙!$B$11:$B$310)-COUNTA(条幅!$B$11:$B$310)),""))))</f>
        <v/>
      </c>
      <c r="F765" s="38" t="str">
        <f>IF(IF(760&lt;=COUNTA(半紙!$B$11:$B$310),INDEX(半紙!$F$11:$F$310,760),IF(760&lt;=COUNTA(半紙!$B$11:$B$310)+COUNTA(条幅!$B$11:$B$310),INDEX(条幅!$F$11:$F$310,760-COUNTA(半紙!$B$11:$B$310)),IF(760&lt;=COUNTA(半紙!$B$11:$B$310)+COUNTA(条幅!$B$11:$B$310)+COUNTA(条幅4分の1!$B$11:$B$310),INDEX(条幅4分の1!$F$11:$F$310,760-COUNTA(半紙!$B$11:$B$310)-COUNTA(条幅!$B$11:$B$310)),"")))=0,"",IF(760&lt;=COUNTA(半紙!$B$11:$B$310),INDEX(半紙!$F$11:$F$310,760),IF(760&lt;=COUNTA(半紙!$B$11:$B$310)+COUNTA(条幅!$B$11:$B$310),INDEX(条幅!$F$11:$F$310,760-COUNTA(半紙!$B$11:$B$310)),IF(760&lt;=COUNTA(半紙!$B$11:$B$310)+COUNTA(条幅!$B$11:$B$310)+COUNTA(条幅4分の1!$B$11:$B$310),INDEX(条幅4分の1!$F$11:$F$310,760-COUNTA(半紙!$B$11:$B$310)-COUNTA(条幅!$B$11:$B$310)),""))))</f>
        <v/>
      </c>
      <c r="G765" s="38" t="str">
        <f>IF(IF(760&lt;=COUNTA(半紙!$B$11:$B$310),INDEX(半紙!$G$11:$G$310,760),IF(760&lt;=COUNTA(半紙!$B$11:$B$310)+COUNTA(条幅!$B$11:$B$310),INDEX(条幅!$G$11:$G$310,760-COUNTA(半紙!$B$11:$B$310)),IF(760&lt;=COUNTA(半紙!$B$11:$B$310)+COUNTA(条幅!$B$11:$B$310)+COUNTA(条幅4分の1!$B$11:$B$310),INDEX(条幅4分の1!$G$11:$G$310,760-COUNTA(半紙!$B$11:$B$310)-COUNTA(条幅!$B$11:$B$310)),"")))=0,"",IF(760&lt;=COUNTA(半紙!$B$11:$B$310),INDEX(半紙!$G$11:$G$310,760),IF(760&lt;=COUNTA(半紙!$B$11:$B$310)+COUNTA(条幅!$B$11:$B$310),INDEX(条幅!$G$11:$G$310,760-COUNTA(半紙!$B$11:$B$310)),IF(760&lt;=COUNTA(半紙!$B$11:$B$310)+COUNTA(条幅!$B$11:$B$310)+COUNTA(条幅4分の1!$B$11:$B$310),INDEX(条幅4分の1!$G$11:$G$310,760-COUNTA(半紙!$B$11:$B$310)-COUNTA(条幅!$B$11:$B$310)),""))))</f>
        <v/>
      </c>
      <c r="H765" s="38" t="str">
        <f>IF(IF(760&lt;=COUNTA(半紙!$B$11:$B$310),INDEX(半紙!$H$11:$H$310,760),IF(760&lt;=COUNTA(半紙!$B$11:$B$310)+COUNTA(条幅!$B$11:$B$310),INDEX(条幅!$H$11:$H$310,760-COUNTA(半紙!$B$11:$B$310)),IF(760&lt;=COUNTA(半紙!$B$11:$B$310)+COUNTA(条幅!$B$11:$B$310)+COUNTA(条幅4分の1!$B$11:$B$310),INDEX(条幅4分の1!$H$11:$H$310,760-COUNTA(半紙!$B$11:$B$310)-COUNTA(条幅!$B$11:$B$310)),"")))=0,"",IF(760&lt;=COUNTA(半紙!$B$11:$B$310),INDEX(半紙!$H$11:$H$310,760),IF(760&lt;=COUNTA(半紙!$B$11:$B$310)+COUNTA(条幅!$B$11:$B$310),INDEX(条幅!$H$11:$H$310,760-COUNTA(半紙!$B$11:$B$310)),IF(760&lt;=COUNTA(半紙!$B$11:$B$310)+COUNTA(条幅!$B$11:$B$310)+COUNTA(条幅4分の1!$B$11:$B$310),INDEX(条幅4分の1!$H$11:$H$310,760-COUNTA(半紙!$B$11:$B$310)-COUNTA(条幅!$B$11:$B$310)),""))))</f>
        <v/>
      </c>
      <c r="I765" s="38" t="str">
        <f>IF(IF(760&lt;=COUNTA(半紙!$B$11:$B$310),INDEX(半紙!$I$11:$I$310,760),IF(760&lt;=COUNTA(半紙!$B$11:$B$310)+COUNTA(条幅!$B$11:$B$310),INDEX(条幅!$I$11:$I$310,760-COUNTA(半紙!$B$11:$B$310)),IF(760&lt;=COUNTA(半紙!$B$11:$B$310)+COUNTA(条幅!$B$11:$B$310)+COUNTA(条幅4分の1!$B$11:$B$310),INDEX(条幅4分の1!$I$11:$I$310,760-COUNTA(半紙!$B$11:$B$310)-COUNTA(条幅!$B$11:$B$310)),"")))=0,"",IF(760&lt;=COUNTA(半紙!$B$11:$B$310),INDEX(半紙!$I$11:$I$310,760),IF(760&lt;=COUNTA(半紙!$B$11:$B$310)+COUNTA(条幅!$B$11:$B$310),INDEX(条幅!$I$11:$I$310,760-COUNTA(半紙!$B$11:$B$310)),IF(760&lt;=COUNTA(半紙!$B$11:$B$310)+COUNTA(条幅!$B$11:$B$310)+COUNTA(条幅4分の1!$B$11:$B$310),INDEX(条幅4分の1!$I$11:$I$310,760-COUNTA(半紙!$B$11:$B$310)-COUNTA(条幅!$B$11:$B$310)),""))))</f>
        <v/>
      </c>
      <c r="J765" s="38" t="str">
        <f>IF(IF(760&lt;=COUNTA(半紙!$B$11:$B$310),INDEX(半紙!$J$11:$J$310,760),IF(760&lt;=COUNTA(半紙!$B$11:$B$310)+COUNTA(条幅!$B$11:$B$310),INDEX(条幅!$J$11:$J$310,760-COUNTA(半紙!$B$11:$B$310)),IF(760&lt;=COUNTA(半紙!$B$11:$B$310)+COUNTA(条幅!$B$11:$B$310)+COUNTA(条幅4分の1!$B$11:$B$310),INDEX(条幅4分の1!$J$11:$J$310,760-COUNTA(半紙!$B$11:$B$310)-COUNTA(条幅!$B$11:$B$310)),"")))=0,"",IF(760&lt;=COUNTA(半紙!$B$11:$B$310),INDEX(半紙!$J$11:$J$310,760),IF(760&lt;=COUNTA(半紙!$B$11:$B$310)+COUNTA(条幅!$B$11:$B$310),INDEX(条幅!$J$11:$J$310,760-COUNTA(半紙!$B$11:$B$310)),IF(760&lt;=COUNTA(半紙!$B$11:$B$310)+COUNTA(条幅!$B$11:$B$310)+COUNTA(条幅4分の1!$B$11:$B$310),INDEX(条幅4分の1!$J$11:$J$310,760-COUNTA(半紙!$B$11:$B$310)-COUNTA(条幅!$B$11:$B$310)),""))))</f>
        <v/>
      </c>
      <c r="K765" s="38" t="str">
        <f>IF(IF(760&lt;=COUNTA(半紙!$B$11:$B$310),INDEX(半紙!$K$11:$K$310,760),IF(760&lt;=COUNTA(半紙!$B$11:$B$310)+COUNTA(条幅!$B$11:$B$310),INDEX(条幅!$K$11:$K$310,760-COUNTA(半紙!$B$11:$B$310)),IF(760&lt;=COUNTA(半紙!$B$11:$B$310)+COUNTA(条幅!$B$11:$B$310)+COUNTA(条幅4分の1!$B$11:$B$310),INDEX(条幅4分の1!$K$11:$K$310,760-COUNTA(半紙!$B$11:$B$310)-COUNTA(条幅!$B$11:$B$310)),"")))=0,"",IF(760&lt;=COUNTA(半紙!$B$11:$B$310),INDEX(半紙!$K$11:$K$310,760),IF(760&lt;=COUNTA(半紙!$B$11:$B$310)+COUNTA(条幅!$B$11:$B$310),INDEX(条幅!$K$11:$K$310,760-COUNTA(半紙!$B$11:$B$310)),IF(760&lt;=COUNTA(半紙!$B$11:$B$310)+COUNTA(条幅!$B$11:$B$310)+COUNTA(条幅4分の1!$B$11:$B$310),INDEX(条幅4分の1!$K$11:$K$310,760-COUNTA(半紙!$B$11:$B$310)-COUNTA(条幅!$B$11:$B$310)),""))))</f>
        <v/>
      </c>
      <c r="L765" s="48" t="str">
        <f>IF($B765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760))</f>
        <v/>
      </c>
    </row>
    <row r="766" spans="1:12" ht="15" customHeight="1">
      <c r="A766" s="37" t="str">
        <f>IF(761&lt;=COUNTA(半紙!$B$11:$B$310),"半紙",IF(761&lt;=COUNTA(半紙!$B$11:$B$310)+COUNTA(条幅!$B$11:$B$310),"条幅(半切)",IF(761&lt;=COUNTA(半紙!$B$11:$B$310)+COUNTA(条幅!$B$11:$B$310)+COUNTA(条幅4分の1!$B$11:$B$310),"条幅(1/4)","")))</f>
        <v/>
      </c>
      <c r="B766" s="38" t="str">
        <f>IF(IF(761&lt;=COUNTA(半紙!$B$11:$B$310),INDEX(半紙!$B$11:$B$310,761),IF(761&lt;=COUNTA(半紙!$B$11:$B$310)+COUNTA(条幅!$B$11:$B$310),INDEX(条幅!$B$11:$B$310,761-COUNTA(半紙!$B$11:$B$310)),IF(761&lt;=COUNTA(半紙!$B$11:$B$310)+COUNTA(条幅!$B$11:$B$310)+COUNTA(条幅4分の1!$B$11:$B$310),INDEX(条幅4分の1!$B$11:$B$310,761-COUNTA(半紙!$B$11:$B$310)-COUNTA(条幅!$B$11:$B$310)),"")))=0,"",IF(761&lt;=COUNTA(半紙!$B$11:$B$310),INDEX(半紙!$B$11:$B$310,761),IF(761&lt;=COUNTA(半紙!$B$11:$B$310)+COUNTA(条幅!$B$11:$B$310),INDEX(条幅!$B$11:$B$310,761-COUNTA(半紙!$B$11:$B$310)),IF(761&lt;=COUNTA(半紙!$B$11:$B$310)+COUNTA(条幅!$B$11:$B$310)+COUNTA(条幅4分の1!$B$11:$B$310),INDEX(条幅4分の1!$B$11:$B$310,761-COUNTA(半紙!$B$11:$B$310)-COUNTA(条幅!$B$11:$B$310)),""))))</f>
        <v/>
      </c>
      <c r="C766" s="38" t="str">
        <f>IF(IF(761&lt;=COUNTA(半紙!$B$11:$B$310),INDEX(半紙!$C$11:$C$310,761),IF(761&lt;=COUNTA(半紙!$B$11:$B$310)+COUNTA(条幅!$B$11:$B$310),INDEX(条幅!$C$11:$C$310,761-COUNTA(半紙!$B$11:$B$310)),IF(761&lt;=COUNTA(半紙!$B$11:$B$310)+COUNTA(条幅!$B$11:$B$310)+COUNTA(条幅4分の1!$B$11:$B$310),INDEX(条幅4分の1!$C$11:$C$310,761-COUNTA(半紙!$B$11:$B$310)-COUNTA(条幅!$B$11:$B$310)),"")))=0,"",IF(761&lt;=COUNTA(半紙!$B$11:$B$310),INDEX(半紙!$C$11:$C$310,761),IF(761&lt;=COUNTA(半紙!$B$11:$B$310)+COUNTA(条幅!$B$11:$B$310),INDEX(条幅!$C$11:$C$310,761-COUNTA(半紙!$B$11:$B$310)),IF(761&lt;=COUNTA(半紙!$B$11:$B$310)+COUNTA(条幅!$B$11:$B$310)+COUNTA(条幅4分の1!$B$11:$B$310),INDEX(条幅4分の1!$C$11:$C$310,761-COUNTA(半紙!$B$11:$B$310)-COUNTA(条幅!$B$11:$B$310)),""))))</f>
        <v/>
      </c>
      <c r="D766" s="38" t="str">
        <f>IF(IF(761&lt;=COUNTA(半紙!$B$11:$B$310),INDEX(半紙!$D$11:$D$310,761),IF(761&lt;=COUNTA(半紙!$B$11:$B$310)+COUNTA(条幅!$B$11:$B$310),INDEX(条幅!$D$11:$D$310,761-COUNTA(半紙!$B$11:$B$310)),IF(761&lt;=COUNTA(半紙!$B$11:$B$310)+COUNTA(条幅!$B$11:$B$310)+COUNTA(条幅4分の1!$B$11:$B$310),INDEX(条幅4分の1!$D$11:$D$310,761-COUNTA(半紙!$B$11:$B$310)-COUNTA(条幅!$B$11:$B$310)),"")))=0,"",IF(761&lt;=COUNTA(半紙!$B$11:$B$310),INDEX(半紙!$D$11:$D$310,761),IF(761&lt;=COUNTA(半紙!$B$11:$B$310)+COUNTA(条幅!$B$11:$B$310),INDEX(条幅!$D$11:$D$310,761-COUNTA(半紙!$B$11:$B$310)),IF(761&lt;=COUNTA(半紙!$B$11:$B$310)+COUNTA(条幅!$B$11:$B$310)+COUNTA(条幅4分の1!$B$11:$B$310),INDEX(条幅4分の1!$D$11:$D$310,761-COUNTA(半紙!$B$11:$B$310)-COUNTA(条幅!$B$11:$B$310)),""))))</f>
        <v/>
      </c>
      <c r="E766" s="38" t="str">
        <f>IF(IF(761&lt;=COUNTA(半紙!$B$11:$B$310),INDEX(半紙!$E$11:$E$310,761),IF(761&lt;=COUNTA(半紙!$B$11:$B$310)+COUNTA(条幅!$B$11:$B$310),INDEX(条幅!$E$11:$E$310,761-COUNTA(半紙!$B$11:$B$310)),IF(761&lt;=COUNTA(半紙!$B$11:$B$310)+COUNTA(条幅!$B$11:$B$310)+COUNTA(条幅4分の1!$B$11:$B$310),INDEX(条幅4分の1!$E$11:$E$310,761-COUNTA(半紙!$B$11:$B$310)-COUNTA(条幅!$B$11:$B$310)),"")))=0,"",IF(761&lt;=COUNTA(半紙!$B$11:$B$310),INDEX(半紙!$E$11:$E$310,761),IF(761&lt;=COUNTA(半紙!$B$11:$B$310)+COUNTA(条幅!$B$11:$B$310),INDEX(条幅!$E$11:$E$310,761-COUNTA(半紙!$B$11:$B$310)),IF(761&lt;=COUNTA(半紙!$B$11:$B$310)+COUNTA(条幅!$B$11:$B$310)+COUNTA(条幅4分の1!$B$11:$B$310),INDEX(条幅4分の1!$E$11:$E$310,761-COUNTA(半紙!$B$11:$B$310)-COUNTA(条幅!$B$11:$B$310)),""))))</f>
        <v/>
      </c>
      <c r="F766" s="38" t="str">
        <f>IF(IF(761&lt;=COUNTA(半紙!$B$11:$B$310),INDEX(半紙!$F$11:$F$310,761),IF(761&lt;=COUNTA(半紙!$B$11:$B$310)+COUNTA(条幅!$B$11:$B$310),INDEX(条幅!$F$11:$F$310,761-COUNTA(半紙!$B$11:$B$310)),IF(761&lt;=COUNTA(半紙!$B$11:$B$310)+COUNTA(条幅!$B$11:$B$310)+COUNTA(条幅4分の1!$B$11:$B$310),INDEX(条幅4分の1!$F$11:$F$310,761-COUNTA(半紙!$B$11:$B$310)-COUNTA(条幅!$B$11:$B$310)),"")))=0,"",IF(761&lt;=COUNTA(半紙!$B$11:$B$310),INDEX(半紙!$F$11:$F$310,761),IF(761&lt;=COUNTA(半紙!$B$11:$B$310)+COUNTA(条幅!$B$11:$B$310),INDEX(条幅!$F$11:$F$310,761-COUNTA(半紙!$B$11:$B$310)),IF(761&lt;=COUNTA(半紙!$B$11:$B$310)+COUNTA(条幅!$B$11:$B$310)+COUNTA(条幅4分の1!$B$11:$B$310),INDEX(条幅4分の1!$F$11:$F$310,761-COUNTA(半紙!$B$11:$B$310)-COUNTA(条幅!$B$11:$B$310)),""))))</f>
        <v/>
      </c>
      <c r="G766" s="38" t="str">
        <f>IF(IF(761&lt;=COUNTA(半紙!$B$11:$B$310),INDEX(半紙!$G$11:$G$310,761),IF(761&lt;=COUNTA(半紙!$B$11:$B$310)+COUNTA(条幅!$B$11:$B$310),INDEX(条幅!$G$11:$G$310,761-COUNTA(半紙!$B$11:$B$310)),IF(761&lt;=COUNTA(半紙!$B$11:$B$310)+COUNTA(条幅!$B$11:$B$310)+COUNTA(条幅4分の1!$B$11:$B$310),INDEX(条幅4分の1!$G$11:$G$310,761-COUNTA(半紙!$B$11:$B$310)-COUNTA(条幅!$B$11:$B$310)),"")))=0,"",IF(761&lt;=COUNTA(半紙!$B$11:$B$310),INDEX(半紙!$G$11:$G$310,761),IF(761&lt;=COUNTA(半紙!$B$11:$B$310)+COUNTA(条幅!$B$11:$B$310),INDEX(条幅!$G$11:$G$310,761-COUNTA(半紙!$B$11:$B$310)),IF(761&lt;=COUNTA(半紙!$B$11:$B$310)+COUNTA(条幅!$B$11:$B$310)+COUNTA(条幅4分の1!$B$11:$B$310),INDEX(条幅4分の1!$G$11:$G$310,761-COUNTA(半紙!$B$11:$B$310)-COUNTA(条幅!$B$11:$B$310)),""))))</f>
        <v/>
      </c>
      <c r="H766" s="38" t="str">
        <f>IF(IF(761&lt;=COUNTA(半紙!$B$11:$B$310),INDEX(半紙!$H$11:$H$310,761),IF(761&lt;=COUNTA(半紙!$B$11:$B$310)+COUNTA(条幅!$B$11:$B$310),INDEX(条幅!$H$11:$H$310,761-COUNTA(半紙!$B$11:$B$310)),IF(761&lt;=COUNTA(半紙!$B$11:$B$310)+COUNTA(条幅!$B$11:$B$310)+COUNTA(条幅4分の1!$B$11:$B$310),INDEX(条幅4分の1!$H$11:$H$310,761-COUNTA(半紙!$B$11:$B$310)-COUNTA(条幅!$B$11:$B$310)),"")))=0,"",IF(761&lt;=COUNTA(半紙!$B$11:$B$310),INDEX(半紙!$H$11:$H$310,761),IF(761&lt;=COUNTA(半紙!$B$11:$B$310)+COUNTA(条幅!$B$11:$B$310),INDEX(条幅!$H$11:$H$310,761-COUNTA(半紙!$B$11:$B$310)),IF(761&lt;=COUNTA(半紙!$B$11:$B$310)+COUNTA(条幅!$B$11:$B$310)+COUNTA(条幅4分の1!$B$11:$B$310),INDEX(条幅4分の1!$H$11:$H$310,761-COUNTA(半紙!$B$11:$B$310)-COUNTA(条幅!$B$11:$B$310)),""))))</f>
        <v/>
      </c>
      <c r="I766" s="38" t="str">
        <f>IF(IF(761&lt;=COUNTA(半紙!$B$11:$B$310),INDEX(半紙!$I$11:$I$310,761),IF(761&lt;=COUNTA(半紙!$B$11:$B$310)+COUNTA(条幅!$B$11:$B$310),INDEX(条幅!$I$11:$I$310,761-COUNTA(半紙!$B$11:$B$310)),IF(761&lt;=COUNTA(半紙!$B$11:$B$310)+COUNTA(条幅!$B$11:$B$310)+COUNTA(条幅4分の1!$B$11:$B$310),INDEX(条幅4分の1!$I$11:$I$310,761-COUNTA(半紙!$B$11:$B$310)-COUNTA(条幅!$B$11:$B$310)),"")))=0,"",IF(761&lt;=COUNTA(半紙!$B$11:$B$310),INDEX(半紙!$I$11:$I$310,761),IF(761&lt;=COUNTA(半紙!$B$11:$B$310)+COUNTA(条幅!$B$11:$B$310),INDEX(条幅!$I$11:$I$310,761-COUNTA(半紙!$B$11:$B$310)),IF(761&lt;=COUNTA(半紙!$B$11:$B$310)+COUNTA(条幅!$B$11:$B$310)+COUNTA(条幅4分の1!$B$11:$B$310),INDEX(条幅4分の1!$I$11:$I$310,761-COUNTA(半紙!$B$11:$B$310)-COUNTA(条幅!$B$11:$B$310)),""))))</f>
        <v/>
      </c>
      <c r="J766" s="38" t="str">
        <f>IF(IF(761&lt;=COUNTA(半紙!$B$11:$B$310),INDEX(半紙!$J$11:$J$310,761),IF(761&lt;=COUNTA(半紙!$B$11:$B$310)+COUNTA(条幅!$B$11:$B$310),INDEX(条幅!$J$11:$J$310,761-COUNTA(半紙!$B$11:$B$310)),IF(761&lt;=COUNTA(半紙!$B$11:$B$310)+COUNTA(条幅!$B$11:$B$310)+COUNTA(条幅4分の1!$B$11:$B$310),INDEX(条幅4分の1!$J$11:$J$310,761-COUNTA(半紙!$B$11:$B$310)-COUNTA(条幅!$B$11:$B$310)),"")))=0,"",IF(761&lt;=COUNTA(半紙!$B$11:$B$310),INDEX(半紙!$J$11:$J$310,761),IF(761&lt;=COUNTA(半紙!$B$11:$B$310)+COUNTA(条幅!$B$11:$B$310),INDEX(条幅!$J$11:$J$310,761-COUNTA(半紙!$B$11:$B$310)),IF(761&lt;=COUNTA(半紙!$B$11:$B$310)+COUNTA(条幅!$B$11:$B$310)+COUNTA(条幅4分の1!$B$11:$B$310),INDEX(条幅4分の1!$J$11:$J$310,761-COUNTA(半紙!$B$11:$B$310)-COUNTA(条幅!$B$11:$B$310)),""))))</f>
        <v/>
      </c>
      <c r="K766" s="38" t="str">
        <f>IF(IF(761&lt;=COUNTA(半紙!$B$11:$B$310),INDEX(半紙!$K$11:$K$310,761),IF(761&lt;=COUNTA(半紙!$B$11:$B$310)+COUNTA(条幅!$B$11:$B$310),INDEX(条幅!$K$11:$K$310,761-COUNTA(半紙!$B$11:$B$310)),IF(761&lt;=COUNTA(半紙!$B$11:$B$310)+COUNTA(条幅!$B$11:$B$310)+COUNTA(条幅4分の1!$B$11:$B$310),INDEX(条幅4分の1!$K$11:$K$310,761-COUNTA(半紙!$B$11:$B$310)-COUNTA(条幅!$B$11:$B$310)),"")))=0,"",IF(761&lt;=COUNTA(半紙!$B$11:$B$310),INDEX(半紙!$K$11:$K$310,761),IF(761&lt;=COUNTA(半紙!$B$11:$B$310)+COUNTA(条幅!$B$11:$B$310),INDEX(条幅!$K$11:$K$310,761-COUNTA(半紙!$B$11:$B$310)),IF(761&lt;=COUNTA(半紙!$B$11:$B$310)+COUNTA(条幅!$B$11:$B$310)+COUNTA(条幅4分の1!$B$11:$B$310),INDEX(条幅4分の1!$K$11:$K$310,761-COUNTA(半紙!$B$11:$B$310)-COUNTA(条幅!$B$11:$B$310)),""))))</f>
        <v/>
      </c>
      <c r="L766" s="48" t="str">
        <f>IF($B766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761))</f>
        <v/>
      </c>
    </row>
    <row r="767" spans="1:12" ht="15" customHeight="1">
      <c r="A767" s="37" t="str">
        <f>IF(762&lt;=COUNTA(半紙!$B$11:$B$310),"半紙",IF(762&lt;=COUNTA(半紙!$B$11:$B$310)+COUNTA(条幅!$B$11:$B$310),"条幅(半切)",IF(762&lt;=COUNTA(半紙!$B$11:$B$310)+COUNTA(条幅!$B$11:$B$310)+COUNTA(条幅4分の1!$B$11:$B$310),"条幅(1/4)","")))</f>
        <v/>
      </c>
      <c r="B767" s="38" t="str">
        <f>IF(IF(762&lt;=COUNTA(半紙!$B$11:$B$310),INDEX(半紙!$B$11:$B$310,762),IF(762&lt;=COUNTA(半紙!$B$11:$B$310)+COUNTA(条幅!$B$11:$B$310),INDEX(条幅!$B$11:$B$310,762-COUNTA(半紙!$B$11:$B$310)),IF(762&lt;=COUNTA(半紙!$B$11:$B$310)+COUNTA(条幅!$B$11:$B$310)+COUNTA(条幅4分の1!$B$11:$B$310),INDEX(条幅4分の1!$B$11:$B$310,762-COUNTA(半紙!$B$11:$B$310)-COUNTA(条幅!$B$11:$B$310)),"")))=0,"",IF(762&lt;=COUNTA(半紙!$B$11:$B$310),INDEX(半紙!$B$11:$B$310,762),IF(762&lt;=COUNTA(半紙!$B$11:$B$310)+COUNTA(条幅!$B$11:$B$310),INDEX(条幅!$B$11:$B$310,762-COUNTA(半紙!$B$11:$B$310)),IF(762&lt;=COUNTA(半紙!$B$11:$B$310)+COUNTA(条幅!$B$11:$B$310)+COUNTA(条幅4分の1!$B$11:$B$310),INDEX(条幅4分の1!$B$11:$B$310,762-COUNTA(半紙!$B$11:$B$310)-COUNTA(条幅!$B$11:$B$310)),""))))</f>
        <v/>
      </c>
      <c r="C767" s="38" t="str">
        <f>IF(IF(762&lt;=COUNTA(半紙!$B$11:$B$310),INDEX(半紙!$C$11:$C$310,762),IF(762&lt;=COUNTA(半紙!$B$11:$B$310)+COUNTA(条幅!$B$11:$B$310),INDEX(条幅!$C$11:$C$310,762-COUNTA(半紙!$B$11:$B$310)),IF(762&lt;=COUNTA(半紙!$B$11:$B$310)+COUNTA(条幅!$B$11:$B$310)+COUNTA(条幅4分の1!$B$11:$B$310),INDEX(条幅4分の1!$C$11:$C$310,762-COUNTA(半紙!$B$11:$B$310)-COUNTA(条幅!$B$11:$B$310)),"")))=0,"",IF(762&lt;=COUNTA(半紙!$B$11:$B$310),INDEX(半紙!$C$11:$C$310,762),IF(762&lt;=COUNTA(半紙!$B$11:$B$310)+COUNTA(条幅!$B$11:$B$310),INDEX(条幅!$C$11:$C$310,762-COUNTA(半紙!$B$11:$B$310)),IF(762&lt;=COUNTA(半紙!$B$11:$B$310)+COUNTA(条幅!$B$11:$B$310)+COUNTA(条幅4分の1!$B$11:$B$310),INDEX(条幅4分の1!$C$11:$C$310,762-COUNTA(半紙!$B$11:$B$310)-COUNTA(条幅!$B$11:$B$310)),""))))</f>
        <v/>
      </c>
      <c r="D767" s="38" t="str">
        <f>IF(IF(762&lt;=COUNTA(半紙!$B$11:$B$310),INDEX(半紙!$D$11:$D$310,762),IF(762&lt;=COUNTA(半紙!$B$11:$B$310)+COUNTA(条幅!$B$11:$B$310),INDEX(条幅!$D$11:$D$310,762-COUNTA(半紙!$B$11:$B$310)),IF(762&lt;=COUNTA(半紙!$B$11:$B$310)+COUNTA(条幅!$B$11:$B$310)+COUNTA(条幅4分の1!$B$11:$B$310),INDEX(条幅4分の1!$D$11:$D$310,762-COUNTA(半紙!$B$11:$B$310)-COUNTA(条幅!$B$11:$B$310)),"")))=0,"",IF(762&lt;=COUNTA(半紙!$B$11:$B$310),INDEX(半紙!$D$11:$D$310,762),IF(762&lt;=COUNTA(半紙!$B$11:$B$310)+COUNTA(条幅!$B$11:$B$310),INDEX(条幅!$D$11:$D$310,762-COUNTA(半紙!$B$11:$B$310)),IF(762&lt;=COUNTA(半紙!$B$11:$B$310)+COUNTA(条幅!$B$11:$B$310)+COUNTA(条幅4分の1!$B$11:$B$310),INDEX(条幅4分の1!$D$11:$D$310,762-COUNTA(半紙!$B$11:$B$310)-COUNTA(条幅!$B$11:$B$310)),""))))</f>
        <v/>
      </c>
      <c r="E767" s="38" t="str">
        <f>IF(IF(762&lt;=COUNTA(半紙!$B$11:$B$310),INDEX(半紙!$E$11:$E$310,762),IF(762&lt;=COUNTA(半紙!$B$11:$B$310)+COUNTA(条幅!$B$11:$B$310),INDEX(条幅!$E$11:$E$310,762-COUNTA(半紙!$B$11:$B$310)),IF(762&lt;=COUNTA(半紙!$B$11:$B$310)+COUNTA(条幅!$B$11:$B$310)+COUNTA(条幅4分の1!$B$11:$B$310),INDEX(条幅4分の1!$E$11:$E$310,762-COUNTA(半紙!$B$11:$B$310)-COUNTA(条幅!$B$11:$B$310)),"")))=0,"",IF(762&lt;=COUNTA(半紙!$B$11:$B$310),INDEX(半紙!$E$11:$E$310,762),IF(762&lt;=COUNTA(半紙!$B$11:$B$310)+COUNTA(条幅!$B$11:$B$310),INDEX(条幅!$E$11:$E$310,762-COUNTA(半紙!$B$11:$B$310)),IF(762&lt;=COUNTA(半紙!$B$11:$B$310)+COUNTA(条幅!$B$11:$B$310)+COUNTA(条幅4分の1!$B$11:$B$310),INDEX(条幅4分の1!$E$11:$E$310,762-COUNTA(半紙!$B$11:$B$310)-COUNTA(条幅!$B$11:$B$310)),""))))</f>
        <v/>
      </c>
      <c r="F767" s="38" t="str">
        <f>IF(IF(762&lt;=COUNTA(半紙!$B$11:$B$310),INDEX(半紙!$F$11:$F$310,762),IF(762&lt;=COUNTA(半紙!$B$11:$B$310)+COUNTA(条幅!$B$11:$B$310),INDEX(条幅!$F$11:$F$310,762-COUNTA(半紙!$B$11:$B$310)),IF(762&lt;=COUNTA(半紙!$B$11:$B$310)+COUNTA(条幅!$B$11:$B$310)+COUNTA(条幅4分の1!$B$11:$B$310),INDEX(条幅4分の1!$F$11:$F$310,762-COUNTA(半紙!$B$11:$B$310)-COUNTA(条幅!$B$11:$B$310)),"")))=0,"",IF(762&lt;=COUNTA(半紙!$B$11:$B$310),INDEX(半紙!$F$11:$F$310,762),IF(762&lt;=COUNTA(半紙!$B$11:$B$310)+COUNTA(条幅!$B$11:$B$310),INDEX(条幅!$F$11:$F$310,762-COUNTA(半紙!$B$11:$B$310)),IF(762&lt;=COUNTA(半紙!$B$11:$B$310)+COUNTA(条幅!$B$11:$B$310)+COUNTA(条幅4分の1!$B$11:$B$310),INDEX(条幅4分の1!$F$11:$F$310,762-COUNTA(半紙!$B$11:$B$310)-COUNTA(条幅!$B$11:$B$310)),""))))</f>
        <v/>
      </c>
      <c r="G767" s="38" t="str">
        <f>IF(IF(762&lt;=COUNTA(半紙!$B$11:$B$310),INDEX(半紙!$G$11:$G$310,762),IF(762&lt;=COUNTA(半紙!$B$11:$B$310)+COUNTA(条幅!$B$11:$B$310),INDEX(条幅!$G$11:$G$310,762-COUNTA(半紙!$B$11:$B$310)),IF(762&lt;=COUNTA(半紙!$B$11:$B$310)+COUNTA(条幅!$B$11:$B$310)+COUNTA(条幅4分の1!$B$11:$B$310),INDEX(条幅4分の1!$G$11:$G$310,762-COUNTA(半紙!$B$11:$B$310)-COUNTA(条幅!$B$11:$B$310)),"")))=0,"",IF(762&lt;=COUNTA(半紙!$B$11:$B$310),INDEX(半紙!$G$11:$G$310,762),IF(762&lt;=COUNTA(半紙!$B$11:$B$310)+COUNTA(条幅!$B$11:$B$310),INDEX(条幅!$G$11:$G$310,762-COUNTA(半紙!$B$11:$B$310)),IF(762&lt;=COUNTA(半紙!$B$11:$B$310)+COUNTA(条幅!$B$11:$B$310)+COUNTA(条幅4分の1!$B$11:$B$310),INDEX(条幅4分の1!$G$11:$G$310,762-COUNTA(半紙!$B$11:$B$310)-COUNTA(条幅!$B$11:$B$310)),""))))</f>
        <v/>
      </c>
      <c r="H767" s="38" t="str">
        <f>IF(IF(762&lt;=COUNTA(半紙!$B$11:$B$310),INDEX(半紙!$H$11:$H$310,762),IF(762&lt;=COUNTA(半紙!$B$11:$B$310)+COUNTA(条幅!$B$11:$B$310),INDEX(条幅!$H$11:$H$310,762-COUNTA(半紙!$B$11:$B$310)),IF(762&lt;=COUNTA(半紙!$B$11:$B$310)+COUNTA(条幅!$B$11:$B$310)+COUNTA(条幅4分の1!$B$11:$B$310),INDEX(条幅4分の1!$H$11:$H$310,762-COUNTA(半紙!$B$11:$B$310)-COUNTA(条幅!$B$11:$B$310)),"")))=0,"",IF(762&lt;=COUNTA(半紙!$B$11:$B$310),INDEX(半紙!$H$11:$H$310,762),IF(762&lt;=COUNTA(半紙!$B$11:$B$310)+COUNTA(条幅!$B$11:$B$310),INDEX(条幅!$H$11:$H$310,762-COUNTA(半紙!$B$11:$B$310)),IF(762&lt;=COUNTA(半紙!$B$11:$B$310)+COUNTA(条幅!$B$11:$B$310)+COUNTA(条幅4分の1!$B$11:$B$310),INDEX(条幅4分の1!$H$11:$H$310,762-COUNTA(半紙!$B$11:$B$310)-COUNTA(条幅!$B$11:$B$310)),""))))</f>
        <v/>
      </c>
      <c r="I767" s="38" t="str">
        <f>IF(IF(762&lt;=COUNTA(半紙!$B$11:$B$310),INDEX(半紙!$I$11:$I$310,762),IF(762&lt;=COUNTA(半紙!$B$11:$B$310)+COUNTA(条幅!$B$11:$B$310),INDEX(条幅!$I$11:$I$310,762-COUNTA(半紙!$B$11:$B$310)),IF(762&lt;=COUNTA(半紙!$B$11:$B$310)+COUNTA(条幅!$B$11:$B$310)+COUNTA(条幅4分の1!$B$11:$B$310),INDEX(条幅4分の1!$I$11:$I$310,762-COUNTA(半紙!$B$11:$B$310)-COUNTA(条幅!$B$11:$B$310)),"")))=0,"",IF(762&lt;=COUNTA(半紙!$B$11:$B$310),INDEX(半紙!$I$11:$I$310,762),IF(762&lt;=COUNTA(半紙!$B$11:$B$310)+COUNTA(条幅!$B$11:$B$310),INDEX(条幅!$I$11:$I$310,762-COUNTA(半紙!$B$11:$B$310)),IF(762&lt;=COUNTA(半紙!$B$11:$B$310)+COUNTA(条幅!$B$11:$B$310)+COUNTA(条幅4分の1!$B$11:$B$310),INDEX(条幅4分の1!$I$11:$I$310,762-COUNTA(半紙!$B$11:$B$310)-COUNTA(条幅!$B$11:$B$310)),""))))</f>
        <v/>
      </c>
      <c r="J767" s="38" t="str">
        <f>IF(IF(762&lt;=COUNTA(半紙!$B$11:$B$310),INDEX(半紙!$J$11:$J$310,762),IF(762&lt;=COUNTA(半紙!$B$11:$B$310)+COUNTA(条幅!$B$11:$B$310),INDEX(条幅!$J$11:$J$310,762-COUNTA(半紙!$B$11:$B$310)),IF(762&lt;=COUNTA(半紙!$B$11:$B$310)+COUNTA(条幅!$B$11:$B$310)+COUNTA(条幅4分の1!$B$11:$B$310),INDEX(条幅4分の1!$J$11:$J$310,762-COUNTA(半紙!$B$11:$B$310)-COUNTA(条幅!$B$11:$B$310)),"")))=0,"",IF(762&lt;=COUNTA(半紙!$B$11:$B$310),INDEX(半紙!$J$11:$J$310,762),IF(762&lt;=COUNTA(半紙!$B$11:$B$310)+COUNTA(条幅!$B$11:$B$310),INDEX(条幅!$J$11:$J$310,762-COUNTA(半紙!$B$11:$B$310)),IF(762&lt;=COUNTA(半紙!$B$11:$B$310)+COUNTA(条幅!$B$11:$B$310)+COUNTA(条幅4分の1!$B$11:$B$310),INDEX(条幅4分の1!$J$11:$J$310,762-COUNTA(半紙!$B$11:$B$310)-COUNTA(条幅!$B$11:$B$310)),""))))</f>
        <v/>
      </c>
      <c r="K767" s="38" t="str">
        <f>IF(IF(762&lt;=COUNTA(半紙!$B$11:$B$310),INDEX(半紙!$K$11:$K$310,762),IF(762&lt;=COUNTA(半紙!$B$11:$B$310)+COUNTA(条幅!$B$11:$B$310),INDEX(条幅!$K$11:$K$310,762-COUNTA(半紙!$B$11:$B$310)),IF(762&lt;=COUNTA(半紙!$B$11:$B$310)+COUNTA(条幅!$B$11:$B$310)+COUNTA(条幅4分の1!$B$11:$B$310),INDEX(条幅4分の1!$K$11:$K$310,762-COUNTA(半紙!$B$11:$B$310)-COUNTA(条幅!$B$11:$B$310)),"")))=0,"",IF(762&lt;=COUNTA(半紙!$B$11:$B$310),INDEX(半紙!$K$11:$K$310,762),IF(762&lt;=COUNTA(半紙!$B$11:$B$310)+COUNTA(条幅!$B$11:$B$310),INDEX(条幅!$K$11:$K$310,762-COUNTA(半紙!$B$11:$B$310)),IF(762&lt;=COUNTA(半紙!$B$11:$B$310)+COUNTA(条幅!$B$11:$B$310)+COUNTA(条幅4分の1!$B$11:$B$310),INDEX(条幅4分の1!$K$11:$K$310,762-COUNTA(半紙!$B$11:$B$310)-COUNTA(条幅!$B$11:$B$310)),""))))</f>
        <v/>
      </c>
      <c r="L767" s="48" t="str">
        <f>IF($B767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762))</f>
        <v/>
      </c>
    </row>
    <row r="768" spans="1:12" ht="15" customHeight="1">
      <c r="A768" s="37" t="str">
        <f>IF(763&lt;=COUNTA(半紙!$B$11:$B$310),"半紙",IF(763&lt;=COUNTA(半紙!$B$11:$B$310)+COUNTA(条幅!$B$11:$B$310),"条幅(半切)",IF(763&lt;=COUNTA(半紙!$B$11:$B$310)+COUNTA(条幅!$B$11:$B$310)+COUNTA(条幅4分の1!$B$11:$B$310),"条幅(1/4)","")))</f>
        <v/>
      </c>
      <c r="B768" s="38" t="str">
        <f>IF(IF(763&lt;=COUNTA(半紙!$B$11:$B$310),INDEX(半紙!$B$11:$B$310,763),IF(763&lt;=COUNTA(半紙!$B$11:$B$310)+COUNTA(条幅!$B$11:$B$310),INDEX(条幅!$B$11:$B$310,763-COUNTA(半紙!$B$11:$B$310)),IF(763&lt;=COUNTA(半紙!$B$11:$B$310)+COUNTA(条幅!$B$11:$B$310)+COUNTA(条幅4分の1!$B$11:$B$310),INDEX(条幅4分の1!$B$11:$B$310,763-COUNTA(半紙!$B$11:$B$310)-COUNTA(条幅!$B$11:$B$310)),"")))=0,"",IF(763&lt;=COUNTA(半紙!$B$11:$B$310),INDEX(半紙!$B$11:$B$310,763),IF(763&lt;=COUNTA(半紙!$B$11:$B$310)+COUNTA(条幅!$B$11:$B$310),INDEX(条幅!$B$11:$B$310,763-COUNTA(半紙!$B$11:$B$310)),IF(763&lt;=COUNTA(半紙!$B$11:$B$310)+COUNTA(条幅!$B$11:$B$310)+COUNTA(条幅4分の1!$B$11:$B$310),INDEX(条幅4分の1!$B$11:$B$310,763-COUNTA(半紙!$B$11:$B$310)-COUNTA(条幅!$B$11:$B$310)),""))))</f>
        <v/>
      </c>
      <c r="C768" s="38" t="str">
        <f>IF(IF(763&lt;=COUNTA(半紙!$B$11:$B$310),INDEX(半紙!$C$11:$C$310,763),IF(763&lt;=COUNTA(半紙!$B$11:$B$310)+COUNTA(条幅!$B$11:$B$310),INDEX(条幅!$C$11:$C$310,763-COUNTA(半紙!$B$11:$B$310)),IF(763&lt;=COUNTA(半紙!$B$11:$B$310)+COUNTA(条幅!$B$11:$B$310)+COUNTA(条幅4分の1!$B$11:$B$310),INDEX(条幅4分の1!$C$11:$C$310,763-COUNTA(半紙!$B$11:$B$310)-COUNTA(条幅!$B$11:$B$310)),"")))=0,"",IF(763&lt;=COUNTA(半紙!$B$11:$B$310),INDEX(半紙!$C$11:$C$310,763),IF(763&lt;=COUNTA(半紙!$B$11:$B$310)+COUNTA(条幅!$B$11:$B$310),INDEX(条幅!$C$11:$C$310,763-COUNTA(半紙!$B$11:$B$310)),IF(763&lt;=COUNTA(半紙!$B$11:$B$310)+COUNTA(条幅!$B$11:$B$310)+COUNTA(条幅4分の1!$B$11:$B$310),INDEX(条幅4分の1!$C$11:$C$310,763-COUNTA(半紙!$B$11:$B$310)-COUNTA(条幅!$B$11:$B$310)),""))))</f>
        <v/>
      </c>
      <c r="D768" s="38" t="str">
        <f>IF(IF(763&lt;=COUNTA(半紙!$B$11:$B$310),INDEX(半紙!$D$11:$D$310,763),IF(763&lt;=COUNTA(半紙!$B$11:$B$310)+COUNTA(条幅!$B$11:$B$310),INDEX(条幅!$D$11:$D$310,763-COUNTA(半紙!$B$11:$B$310)),IF(763&lt;=COUNTA(半紙!$B$11:$B$310)+COUNTA(条幅!$B$11:$B$310)+COUNTA(条幅4分の1!$B$11:$B$310),INDEX(条幅4分の1!$D$11:$D$310,763-COUNTA(半紙!$B$11:$B$310)-COUNTA(条幅!$B$11:$B$310)),"")))=0,"",IF(763&lt;=COUNTA(半紙!$B$11:$B$310),INDEX(半紙!$D$11:$D$310,763),IF(763&lt;=COUNTA(半紙!$B$11:$B$310)+COUNTA(条幅!$B$11:$B$310),INDEX(条幅!$D$11:$D$310,763-COUNTA(半紙!$B$11:$B$310)),IF(763&lt;=COUNTA(半紙!$B$11:$B$310)+COUNTA(条幅!$B$11:$B$310)+COUNTA(条幅4分の1!$B$11:$B$310),INDEX(条幅4分の1!$D$11:$D$310,763-COUNTA(半紙!$B$11:$B$310)-COUNTA(条幅!$B$11:$B$310)),""))))</f>
        <v/>
      </c>
      <c r="E768" s="38" t="str">
        <f>IF(IF(763&lt;=COUNTA(半紙!$B$11:$B$310),INDEX(半紙!$E$11:$E$310,763),IF(763&lt;=COUNTA(半紙!$B$11:$B$310)+COUNTA(条幅!$B$11:$B$310),INDEX(条幅!$E$11:$E$310,763-COUNTA(半紙!$B$11:$B$310)),IF(763&lt;=COUNTA(半紙!$B$11:$B$310)+COUNTA(条幅!$B$11:$B$310)+COUNTA(条幅4分の1!$B$11:$B$310),INDEX(条幅4分の1!$E$11:$E$310,763-COUNTA(半紙!$B$11:$B$310)-COUNTA(条幅!$B$11:$B$310)),"")))=0,"",IF(763&lt;=COUNTA(半紙!$B$11:$B$310),INDEX(半紙!$E$11:$E$310,763),IF(763&lt;=COUNTA(半紙!$B$11:$B$310)+COUNTA(条幅!$B$11:$B$310),INDEX(条幅!$E$11:$E$310,763-COUNTA(半紙!$B$11:$B$310)),IF(763&lt;=COUNTA(半紙!$B$11:$B$310)+COUNTA(条幅!$B$11:$B$310)+COUNTA(条幅4分の1!$B$11:$B$310),INDEX(条幅4分の1!$E$11:$E$310,763-COUNTA(半紙!$B$11:$B$310)-COUNTA(条幅!$B$11:$B$310)),""))))</f>
        <v/>
      </c>
      <c r="F768" s="38" t="str">
        <f>IF(IF(763&lt;=COUNTA(半紙!$B$11:$B$310),INDEX(半紙!$F$11:$F$310,763),IF(763&lt;=COUNTA(半紙!$B$11:$B$310)+COUNTA(条幅!$B$11:$B$310),INDEX(条幅!$F$11:$F$310,763-COUNTA(半紙!$B$11:$B$310)),IF(763&lt;=COUNTA(半紙!$B$11:$B$310)+COUNTA(条幅!$B$11:$B$310)+COUNTA(条幅4分の1!$B$11:$B$310),INDEX(条幅4分の1!$F$11:$F$310,763-COUNTA(半紙!$B$11:$B$310)-COUNTA(条幅!$B$11:$B$310)),"")))=0,"",IF(763&lt;=COUNTA(半紙!$B$11:$B$310),INDEX(半紙!$F$11:$F$310,763),IF(763&lt;=COUNTA(半紙!$B$11:$B$310)+COUNTA(条幅!$B$11:$B$310),INDEX(条幅!$F$11:$F$310,763-COUNTA(半紙!$B$11:$B$310)),IF(763&lt;=COUNTA(半紙!$B$11:$B$310)+COUNTA(条幅!$B$11:$B$310)+COUNTA(条幅4分の1!$B$11:$B$310),INDEX(条幅4分の1!$F$11:$F$310,763-COUNTA(半紙!$B$11:$B$310)-COUNTA(条幅!$B$11:$B$310)),""))))</f>
        <v/>
      </c>
      <c r="G768" s="38" t="str">
        <f>IF(IF(763&lt;=COUNTA(半紙!$B$11:$B$310),INDEX(半紙!$G$11:$G$310,763),IF(763&lt;=COUNTA(半紙!$B$11:$B$310)+COUNTA(条幅!$B$11:$B$310),INDEX(条幅!$G$11:$G$310,763-COUNTA(半紙!$B$11:$B$310)),IF(763&lt;=COUNTA(半紙!$B$11:$B$310)+COUNTA(条幅!$B$11:$B$310)+COUNTA(条幅4分の1!$B$11:$B$310),INDEX(条幅4分の1!$G$11:$G$310,763-COUNTA(半紙!$B$11:$B$310)-COUNTA(条幅!$B$11:$B$310)),"")))=0,"",IF(763&lt;=COUNTA(半紙!$B$11:$B$310),INDEX(半紙!$G$11:$G$310,763),IF(763&lt;=COUNTA(半紙!$B$11:$B$310)+COUNTA(条幅!$B$11:$B$310),INDEX(条幅!$G$11:$G$310,763-COUNTA(半紙!$B$11:$B$310)),IF(763&lt;=COUNTA(半紙!$B$11:$B$310)+COUNTA(条幅!$B$11:$B$310)+COUNTA(条幅4分の1!$B$11:$B$310),INDEX(条幅4分の1!$G$11:$G$310,763-COUNTA(半紙!$B$11:$B$310)-COUNTA(条幅!$B$11:$B$310)),""))))</f>
        <v/>
      </c>
      <c r="H768" s="38" t="str">
        <f>IF(IF(763&lt;=COUNTA(半紙!$B$11:$B$310),INDEX(半紙!$H$11:$H$310,763),IF(763&lt;=COUNTA(半紙!$B$11:$B$310)+COUNTA(条幅!$B$11:$B$310),INDEX(条幅!$H$11:$H$310,763-COUNTA(半紙!$B$11:$B$310)),IF(763&lt;=COUNTA(半紙!$B$11:$B$310)+COUNTA(条幅!$B$11:$B$310)+COUNTA(条幅4分の1!$B$11:$B$310),INDEX(条幅4分の1!$H$11:$H$310,763-COUNTA(半紙!$B$11:$B$310)-COUNTA(条幅!$B$11:$B$310)),"")))=0,"",IF(763&lt;=COUNTA(半紙!$B$11:$B$310),INDEX(半紙!$H$11:$H$310,763),IF(763&lt;=COUNTA(半紙!$B$11:$B$310)+COUNTA(条幅!$B$11:$B$310),INDEX(条幅!$H$11:$H$310,763-COUNTA(半紙!$B$11:$B$310)),IF(763&lt;=COUNTA(半紙!$B$11:$B$310)+COUNTA(条幅!$B$11:$B$310)+COUNTA(条幅4分の1!$B$11:$B$310),INDEX(条幅4分の1!$H$11:$H$310,763-COUNTA(半紙!$B$11:$B$310)-COUNTA(条幅!$B$11:$B$310)),""))))</f>
        <v/>
      </c>
      <c r="I768" s="38" t="str">
        <f>IF(IF(763&lt;=COUNTA(半紙!$B$11:$B$310),INDEX(半紙!$I$11:$I$310,763),IF(763&lt;=COUNTA(半紙!$B$11:$B$310)+COUNTA(条幅!$B$11:$B$310),INDEX(条幅!$I$11:$I$310,763-COUNTA(半紙!$B$11:$B$310)),IF(763&lt;=COUNTA(半紙!$B$11:$B$310)+COUNTA(条幅!$B$11:$B$310)+COUNTA(条幅4分の1!$B$11:$B$310),INDEX(条幅4分の1!$I$11:$I$310,763-COUNTA(半紙!$B$11:$B$310)-COUNTA(条幅!$B$11:$B$310)),"")))=0,"",IF(763&lt;=COUNTA(半紙!$B$11:$B$310),INDEX(半紙!$I$11:$I$310,763),IF(763&lt;=COUNTA(半紙!$B$11:$B$310)+COUNTA(条幅!$B$11:$B$310),INDEX(条幅!$I$11:$I$310,763-COUNTA(半紙!$B$11:$B$310)),IF(763&lt;=COUNTA(半紙!$B$11:$B$310)+COUNTA(条幅!$B$11:$B$310)+COUNTA(条幅4分の1!$B$11:$B$310),INDEX(条幅4分の1!$I$11:$I$310,763-COUNTA(半紙!$B$11:$B$310)-COUNTA(条幅!$B$11:$B$310)),""))))</f>
        <v/>
      </c>
      <c r="J768" s="38" t="str">
        <f>IF(IF(763&lt;=COUNTA(半紙!$B$11:$B$310),INDEX(半紙!$J$11:$J$310,763),IF(763&lt;=COUNTA(半紙!$B$11:$B$310)+COUNTA(条幅!$B$11:$B$310),INDEX(条幅!$J$11:$J$310,763-COUNTA(半紙!$B$11:$B$310)),IF(763&lt;=COUNTA(半紙!$B$11:$B$310)+COUNTA(条幅!$B$11:$B$310)+COUNTA(条幅4分の1!$B$11:$B$310),INDEX(条幅4分の1!$J$11:$J$310,763-COUNTA(半紙!$B$11:$B$310)-COUNTA(条幅!$B$11:$B$310)),"")))=0,"",IF(763&lt;=COUNTA(半紙!$B$11:$B$310),INDEX(半紙!$J$11:$J$310,763),IF(763&lt;=COUNTA(半紙!$B$11:$B$310)+COUNTA(条幅!$B$11:$B$310),INDEX(条幅!$J$11:$J$310,763-COUNTA(半紙!$B$11:$B$310)),IF(763&lt;=COUNTA(半紙!$B$11:$B$310)+COUNTA(条幅!$B$11:$B$310)+COUNTA(条幅4分の1!$B$11:$B$310),INDEX(条幅4分の1!$J$11:$J$310,763-COUNTA(半紙!$B$11:$B$310)-COUNTA(条幅!$B$11:$B$310)),""))))</f>
        <v/>
      </c>
      <c r="K768" s="38" t="str">
        <f>IF(IF(763&lt;=COUNTA(半紙!$B$11:$B$310),INDEX(半紙!$K$11:$K$310,763),IF(763&lt;=COUNTA(半紙!$B$11:$B$310)+COUNTA(条幅!$B$11:$B$310),INDEX(条幅!$K$11:$K$310,763-COUNTA(半紙!$B$11:$B$310)),IF(763&lt;=COUNTA(半紙!$B$11:$B$310)+COUNTA(条幅!$B$11:$B$310)+COUNTA(条幅4分の1!$B$11:$B$310),INDEX(条幅4分の1!$K$11:$K$310,763-COUNTA(半紙!$B$11:$B$310)-COUNTA(条幅!$B$11:$B$310)),"")))=0,"",IF(763&lt;=COUNTA(半紙!$B$11:$B$310),INDEX(半紙!$K$11:$K$310,763),IF(763&lt;=COUNTA(半紙!$B$11:$B$310)+COUNTA(条幅!$B$11:$B$310),INDEX(条幅!$K$11:$K$310,763-COUNTA(半紙!$B$11:$B$310)),IF(763&lt;=COUNTA(半紙!$B$11:$B$310)+COUNTA(条幅!$B$11:$B$310)+COUNTA(条幅4分の1!$B$11:$B$310),INDEX(条幅4分の1!$K$11:$K$310,763-COUNTA(半紙!$B$11:$B$310)-COUNTA(条幅!$B$11:$B$310)),""))))</f>
        <v/>
      </c>
      <c r="L768" s="48" t="str">
        <f>IF($B768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763))</f>
        <v/>
      </c>
    </row>
    <row r="769" spans="1:12" ht="15" customHeight="1">
      <c r="A769" s="37" t="str">
        <f>IF(764&lt;=COUNTA(半紙!$B$11:$B$310),"半紙",IF(764&lt;=COUNTA(半紙!$B$11:$B$310)+COUNTA(条幅!$B$11:$B$310),"条幅(半切)",IF(764&lt;=COUNTA(半紙!$B$11:$B$310)+COUNTA(条幅!$B$11:$B$310)+COUNTA(条幅4分の1!$B$11:$B$310),"条幅(1/4)","")))</f>
        <v/>
      </c>
      <c r="B769" s="38" t="str">
        <f>IF(IF(764&lt;=COUNTA(半紙!$B$11:$B$310),INDEX(半紙!$B$11:$B$310,764),IF(764&lt;=COUNTA(半紙!$B$11:$B$310)+COUNTA(条幅!$B$11:$B$310),INDEX(条幅!$B$11:$B$310,764-COUNTA(半紙!$B$11:$B$310)),IF(764&lt;=COUNTA(半紙!$B$11:$B$310)+COUNTA(条幅!$B$11:$B$310)+COUNTA(条幅4分の1!$B$11:$B$310),INDEX(条幅4分の1!$B$11:$B$310,764-COUNTA(半紙!$B$11:$B$310)-COUNTA(条幅!$B$11:$B$310)),"")))=0,"",IF(764&lt;=COUNTA(半紙!$B$11:$B$310),INDEX(半紙!$B$11:$B$310,764),IF(764&lt;=COUNTA(半紙!$B$11:$B$310)+COUNTA(条幅!$B$11:$B$310),INDEX(条幅!$B$11:$B$310,764-COUNTA(半紙!$B$11:$B$310)),IF(764&lt;=COUNTA(半紙!$B$11:$B$310)+COUNTA(条幅!$B$11:$B$310)+COUNTA(条幅4分の1!$B$11:$B$310),INDEX(条幅4分の1!$B$11:$B$310,764-COUNTA(半紙!$B$11:$B$310)-COUNTA(条幅!$B$11:$B$310)),""))))</f>
        <v/>
      </c>
      <c r="C769" s="38" t="str">
        <f>IF(IF(764&lt;=COUNTA(半紙!$B$11:$B$310),INDEX(半紙!$C$11:$C$310,764),IF(764&lt;=COUNTA(半紙!$B$11:$B$310)+COUNTA(条幅!$B$11:$B$310),INDEX(条幅!$C$11:$C$310,764-COUNTA(半紙!$B$11:$B$310)),IF(764&lt;=COUNTA(半紙!$B$11:$B$310)+COUNTA(条幅!$B$11:$B$310)+COUNTA(条幅4分の1!$B$11:$B$310),INDEX(条幅4分の1!$C$11:$C$310,764-COUNTA(半紙!$B$11:$B$310)-COUNTA(条幅!$B$11:$B$310)),"")))=0,"",IF(764&lt;=COUNTA(半紙!$B$11:$B$310),INDEX(半紙!$C$11:$C$310,764),IF(764&lt;=COUNTA(半紙!$B$11:$B$310)+COUNTA(条幅!$B$11:$B$310),INDEX(条幅!$C$11:$C$310,764-COUNTA(半紙!$B$11:$B$310)),IF(764&lt;=COUNTA(半紙!$B$11:$B$310)+COUNTA(条幅!$B$11:$B$310)+COUNTA(条幅4分の1!$B$11:$B$310),INDEX(条幅4分の1!$C$11:$C$310,764-COUNTA(半紙!$B$11:$B$310)-COUNTA(条幅!$B$11:$B$310)),""))))</f>
        <v/>
      </c>
      <c r="D769" s="38" t="str">
        <f>IF(IF(764&lt;=COUNTA(半紙!$B$11:$B$310),INDEX(半紙!$D$11:$D$310,764),IF(764&lt;=COUNTA(半紙!$B$11:$B$310)+COUNTA(条幅!$B$11:$B$310),INDEX(条幅!$D$11:$D$310,764-COUNTA(半紙!$B$11:$B$310)),IF(764&lt;=COUNTA(半紙!$B$11:$B$310)+COUNTA(条幅!$B$11:$B$310)+COUNTA(条幅4分の1!$B$11:$B$310),INDEX(条幅4分の1!$D$11:$D$310,764-COUNTA(半紙!$B$11:$B$310)-COUNTA(条幅!$B$11:$B$310)),"")))=0,"",IF(764&lt;=COUNTA(半紙!$B$11:$B$310),INDEX(半紙!$D$11:$D$310,764),IF(764&lt;=COUNTA(半紙!$B$11:$B$310)+COUNTA(条幅!$B$11:$B$310),INDEX(条幅!$D$11:$D$310,764-COUNTA(半紙!$B$11:$B$310)),IF(764&lt;=COUNTA(半紙!$B$11:$B$310)+COUNTA(条幅!$B$11:$B$310)+COUNTA(条幅4分の1!$B$11:$B$310),INDEX(条幅4分の1!$D$11:$D$310,764-COUNTA(半紙!$B$11:$B$310)-COUNTA(条幅!$B$11:$B$310)),""))))</f>
        <v/>
      </c>
      <c r="E769" s="38" t="str">
        <f>IF(IF(764&lt;=COUNTA(半紙!$B$11:$B$310),INDEX(半紙!$E$11:$E$310,764),IF(764&lt;=COUNTA(半紙!$B$11:$B$310)+COUNTA(条幅!$B$11:$B$310),INDEX(条幅!$E$11:$E$310,764-COUNTA(半紙!$B$11:$B$310)),IF(764&lt;=COUNTA(半紙!$B$11:$B$310)+COUNTA(条幅!$B$11:$B$310)+COUNTA(条幅4分の1!$B$11:$B$310),INDEX(条幅4分の1!$E$11:$E$310,764-COUNTA(半紙!$B$11:$B$310)-COUNTA(条幅!$B$11:$B$310)),"")))=0,"",IF(764&lt;=COUNTA(半紙!$B$11:$B$310),INDEX(半紙!$E$11:$E$310,764),IF(764&lt;=COUNTA(半紙!$B$11:$B$310)+COUNTA(条幅!$B$11:$B$310),INDEX(条幅!$E$11:$E$310,764-COUNTA(半紙!$B$11:$B$310)),IF(764&lt;=COUNTA(半紙!$B$11:$B$310)+COUNTA(条幅!$B$11:$B$310)+COUNTA(条幅4分の1!$B$11:$B$310),INDEX(条幅4分の1!$E$11:$E$310,764-COUNTA(半紙!$B$11:$B$310)-COUNTA(条幅!$B$11:$B$310)),""))))</f>
        <v/>
      </c>
      <c r="F769" s="38" t="str">
        <f>IF(IF(764&lt;=COUNTA(半紙!$B$11:$B$310),INDEX(半紙!$F$11:$F$310,764),IF(764&lt;=COUNTA(半紙!$B$11:$B$310)+COUNTA(条幅!$B$11:$B$310),INDEX(条幅!$F$11:$F$310,764-COUNTA(半紙!$B$11:$B$310)),IF(764&lt;=COUNTA(半紙!$B$11:$B$310)+COUNTA(条幅!$B$11:$B$310)+COUNTA(条幅4分の1!$B$11:$B$310),INDEX(条幅4分の1!$F$11:$F$310,764-COUNTA(半紙!$B$11:$B$310)-COUNTA(条幅!$B$11:$B$310)),"")))=0,"",IF(764&lt;=COUNTA(半紙!$B$11:$B$310),INDEX(半紙!$F$11:$F$310,764),IF(764&lt;=COUNTA(半紙!$B$11:$B$310)+COUNTA(条幅!$B$11:$B$310),INDEX(条幅!$F$11:$F$310,764-COUNTA(半紙!$B$11:$B$310)),IF(764&lt;=COUNTA(半紙!$B$11:$B$310)+COUNTA(条幅!$B$11:$B$310)+COUNTA(条幅4分の1!$B$11:$B$310),INDEX(条幅4分の1!$F$11:$F$310,764-COUNTA(半紙!$B$11:$B$310)-COUNTA(条幅!$B$11:$B$310)),""))))</f>
        <v/>
      </c>
      <c r="G769" s="38" t="str">
        <f>IF(IF(764&lt;=COUNTA(半紙!$B$11:$B$310),INDEX(半紙!$G$11:$G$310,764),IF(764&lt;=COUNTA(半紙!$B$11:$B$310)+COUNTA(条幅!$B$11:$B$310),INDEX(条幅!$G$11:$G$310,764-COUNTA(半紙!$B$11:$B$310)),IF(764&lt;=COUNTA(半紙!$B$11:$B$310)+COUNTA(条幅!$B$11:$B$310)+COUNTA(条幅4分の1!$B$11:$B$310),INDEX(条幅4分の1!$G$11:$G$310,764-COUNTA(半紙!$B$11:$B$310)-COUNTA(条幅!$B$11:$B$310)),"")))=0,"",IF(764&lt;=COUNTA(半紙!$B$11:$B$310),INDEX(半紙!$G$11:$G$310,764),IF(764&lt;=COUNTA(半紙!$B$11:$B$310)+COUNTA(条幅!$B$11:$B$310),INDEX(条幅!$G$11:$G$310,764-COUNTA(半紙!$B$11:$B$310)),IF(764&lt;=COUNTA(半紙!$B$11:$B$310)+COUNTA(条幅!$B$11:$B$310)+COUNTA(条幅4分の1!$B$11:$B$310),INDEX(条幅4分の1!$G$11:$G$310,764-COUNTA(半紙!$B$11:$B$310)-COUNTA(条幅!$B$11:$B$310)),""))))</f>
        <v/>
      </c>
      <c r="H769" s="38" t="str">
        <f>IF(IF(764&lt;=COUNTA(半紙!$B$11:$B$310),INDEX(半紙!$H$11:$H$310,764),IF(764&lt;=COUNTA(半紙!$B$11:$B$310)+COUNTA(条幅!$B$11:$B$310),INDEX(条幅!$H$11:$H$310,764-COUNTA(半紙!$B$11:$B$310)),IF(764&lt;=COUNTA(半紙!$B$11:$B$310)+COUNTA(条幅!$B$11:$B$310)+COUNTA(条幅4分の1!$B$11:$B$310),INDEX(条幅4分の1!$H$11:$H$310,764-COUNTA(半紙!$B$11:$B$310)-COUNTA(条幅!$B$11:$B$310)),"")))=0,"",IF(764&lt;=COUNTA(半紙!$B$11:$B$310),INDEX(半紙!$H$11:$H$310,764),IF(764&lt;=COUNTA(半紙!$B$11:$B$310)+COUNTA(条幅!$B$11:$B$310),INDEX(条幅!$H$11:$H$310,764-COUNTA(半紙!$B$11:$B$310)),IF(764&lt;=COUNTA(半紙!$B$11:$B$310)+COUNTA(条幅!$B$11:$B$310)+COUNTA(条幅4分の1!$B$11:$B$310),INDEX(条幅4分の1!$H$11:$H$310,764-COUNTA(半紙!$B$11:$B$310)-COUNTA(条幅!$B$11:$B$310)),""))))</f>
        <v/>
      </c>
      <c r="I769" s="38" t="str">
        <f>IF(IF(764&lt;=COUNTA(半紙!$B$11:$B$310),INDEX(半紙!$I$11:$I$310,764),IF(764&lt;=COUNTA(半紙!$B$11:$B$310)+COUNTA(条幅!$B$11:$B$310),INDEX(条幅!$I$11:$I$310,764-COUNTA(半紙!$B$11:$B$310)),IF(764&lt;=COUNTA(半紙!$B$11:$B$310)+COUNTA(条幅!$B$11:$B$310)+COUNTA(条幅4分の1!$B$11:$B$310),INDEX(条幅4分の1!$I$11:$I$310,764-COUNTA(半紙!$B$11:$B$310)-COUNTA(条幅!$B$11:$B$310)),"")))=0,"",IF(764&lt;=COUNTA(半紙!$B$11:$B$310),INDEX(半紙!$I$11:$I$310,764),IF(764&lt;=COUNTA(半紙!$B$11:$B$310)+COUNTA(条幅!$B$11:$B$310),INDEX(条幅!$I$11:$I$310,764-COUNTA(半紙!$B$11:$B$310)),IF(764&lt;=COUNTA(半紙!$B$11:$B$310)+COUNTA(条幅!$B$11:$B$310)+COUNTA(条幅4分の1!$B$11:$B$310),INDEX(条幅4分の1!$I$11:$I$310,764-COUNTA(半紙!$B$11:$B$310)-COUNTA(条幅!$B$11:$B$310)),""))))</f>
        <v/>
      </c>
      <c r="J769" s="38" t="str">
        <f>IF(IF(764&lt;=COUNTA(半紙!$B$11:$B$310),INDEX(半紙!$J$11:$J$310,764),IF(764&lt;=COUNTA(半紙!$B$11:$B$310)+COUNTA(条幅!$B$11:$B$310),INDEX(条幅!$J$11:$J$310,764-COUNTA(半紙!$B$11:$B$310)),IF(764&lt;=COUNTA(半紙!$B$11:$B$310)+COUNTA(条幅!$B$11:$B$310)+COUNTA(条幅4分の1!$B$11:$B$310),INDEX(条幅4分の1!$J$11:$J$310,764-COUNTA(半紙!$B$11:$B$310)-COUNTA(条幅!$B$11:$B$310)),"")))=0,"",IF(764&lt;=COUNTA(半紙!$B$11:$B$310),INDEX(半紙!$J$11:$J$310,764),IF(764&lt;=COUNTA(半紙!$B$11:$B$310)+COUNTA(条幅!$B$11:$B$310),INDEX(条幅!$J$11:$J$310,764-COUNTA(半紙!$B$11:$B$310)),IF(764&lt;=COUNTA(半紙!$B$11:$B$310)+COUNTA(条幅!$B$11:$B$310)+COUNTA(条幅4分の1!$B$11:$B$310),INDEX(条幅4分の1!$J$11:$J$310,764-COUNTA(半紙!$B$11:$B$310)-COUNTA(条幅!$B$11:$B$310)),""))))</f>
        <v/>
      </c>
      <c r="K769" s="38" t="str">
        <f>IF(IF(764&lt;=COUNTA(半紙!$B$11:$B$310),INDEX(半紙!$K$11:$K$310,764),IF(764&lt;=COUNTA(半紙!$B$11:$B$310)+COUNTA(条幅!$B$11:$B$310),INDEX(条幅!$K$11:$K$310,764-COUNTA(半紙!$B$11:$B$310)),IF(764&lt;=COUNTA(半紙!$B$11:$B$310)+COUNTA(条幅!$B$11:$B$310)+COUNTA(条幅4分の1!$B$11:$B$310),INDEX(条幅4分の1!$K$11:$K$310,764-COUNTA(半紙!$B$11:$B$310)-COUNTA(条幅!$B$11:$B$310)),"")))=0,"",IF(764&lt;=COUNTA(半紙!$B$11:$B$310),INDEX(半紙!$K$11:$K$310,764),IF(764&lt;=COUNTA(半紙!$B$11:$B$310)+COUNTA(条幅!$B$11:$B$310),INDEX(条幅!$K$11:$K$310,764-COUNTA(半紙!$B$11:$B$310)),IF(764&lt;=COUNTA(半紙!$B$11:$B$310)+COUNTA(条幅!$B$11:$B$310)+COUNTA(条幅4分の1!$B$11:$B$310),INDEX(条幅4分の1!$K$11:$K$310,764-COUNTA(半紙!$B$11:$B$310)-COUNTA(条幅!$B$11:$B$310)),""))))</f>
        <v/>
      </c>
      <c r="L769" s="48" t="str">
        <f>IF($B769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764))</f>
        <v/>
      </c>
    </row>
    <row r="770" spans="1:12" ht="15" customHeight="1">
      <c r="A770" s="37" t="str">
        <f>IF(765&lt;=COUNTA(半紙!$B$11:$B$310),"半紙",IF(765&lt;=COUNTA(半紙!$B$11:$B$310)+COUNTA(条幅!$B$11:$B$310),"条幅(半切)",IF(765&lt;=COUNTA(半紙!$B$11:$B$310)+COUNTA(条幅!$B$11:$B$310)+COUNTA(条幅4分の1!$B$11:$B$310),"条幅(1/4)","")))</f>
        <v/>
      </c>
      <c r="B770" s="38" t="str">
        <f>IF(IF(765&lt;=COUNTA(半紙!$B$11:$B$310),INDEX(半紙!$B$11:$B$310,765),IF(765&lt;=COUNTA(半紙!$B$11:$B$310)+COUNTA(条幅!$B$11:$B$310),INDEX(条幅!$B$11:$B$310,765-COUNTA(半紙!$B$11:$B$310)),IF(765&lt;=COUNTA(半紙!$B$11:$B$310)+COUNTA(条幅!$B$11:$B$310)+COUNTA(条幅4分の1!$B$11:$B$310),INDEX(条幅4分の1!$B$11:$B$310,765-COUNTA(半紙!$B$11:$B$310)-COUNTA(条幅!$B$11:$B$310)),"")))=0,"",IF(765&lt;=COUNTA(半紙!$B$11:$B$310),INDEX(半紙!$B$11:$B$310,765),IF(765&lt;=COUNTA(半紙!$B$11:$B$310)+COUNTA(条幅!$B$11:$B$310),INDEX(条幅!$B$11:$B$310,765-COUNTA(半紙!$B$11:$B$310)),IF(765&lt;=COUNTA(半紙!$B$11:$B$310)+COUNTA(条幅!$B$11:$B$310)+COUNTA(条幅4分の1!$B$11:$B$310),INDEX(条幅4分の1!$B$11:$B$310,765-COUNTA(半紙!$B$11:$B$310)-COUNTA(条幅!$B$11:$B$310)),""))))</f>
        <v/>
      </c>
      <c r="C770" s="38" t="str">
        <f>IF(IF(765&lt;=COUNTA(半紙!$B$11:$B$310),INDEX(半紙!$C$11:$C$310,765),IF(765&lt;=COUNTA(半紙!$B$11:$B$310)+COUNTA(条幅!$B$11:$B$310),INDEX(条幅!$C$11:$C$310,765-COUNTA(半紙!$B$11:$B$310)),IF(765&lt;=COUNTA(半紙!$B$11:$B$310)+COUNTA(条幅!$B$11:$B$310)+COUNTA(条幅4分の1!$B$11:$B$310),INDEX(条幅4分の1!$C$11:$C$310,765-COUNTA(半紙!$B$11:$B$310)-COUNTA(条幅!$B$11:$B$310)),"")))=0,"",IF(765&lt;=COUNTA(半紙!$B$11:$B$310),INDEX(半紙!$C$11:$C$310,765),IF(765&lt;=COUNTA(半紙!$B$11:$B$310)+COUNTA(条幅!$B$11:$B$310),INDEX(条幅!$C$11:$C$310,765-COUNTA(半紙!$B$11:$B$310)),IF(765&lt;=COUNTA(半紙!$B$11:$B$310)+COUNTA(条幅!$B$11:$B$310)+COUNTA(条幅4分の1!$B$11:$B$310),INDEX(条幅4分の1!$C$11:$C$310,765-COUNTA(半紙!$B$11:$B$310)-COUNTA(条幅!$B$11:$B$310)),""))))</f>
        <v/>
      </c>
      <c r="D770" s="38" t="str">
        <f>IF(IF(765&lt;=COUNTA(半紙!$B$11:$B$310),INDEX(半紙!$D$11:$D$310,765),IF(765&lt;=COUNTA(半紙!$B$11:$B$310)+COUNTA(条幅!$B$11:$B$310),INDEX(条幅!$D$11:$D$310,765-COUNTA(半紙!$B$11:$B$310)),IF(765&lt;=COUNTA(半紙!$B$11:$B$310)+COUNTA(条幅!$B$11:$B$310)+COUNTA(条幅4分の1!$B$11:$B$310),INDEX(条幅4分の1!$D$11:$D$310,765-COUNTA(半紙!$B$11:$B$310)-COUNTA(条幅!$B$11:$B$310)),"")))=0,"",IF(765&lt;=COUNTA(半紙!$B$11:$B$310),INDEX(半紙!$D$11:$D$310,765),IF(765&lt;=COUNTA(半紙!$B$11:$B$310)+COUNTA(条幅!$B$11:$B$310),INDEX(条幅!$D$11:$D$310,765-COUNTA(半紙!$B$11:$B$310)),IF(765&lt;=COUNTA(半紙!$B$11:$B$310)+COUNTA(条幅!$B$11:$B$310)+COUNTA(条幅4分の1!$B$11:$B$310),INDEX(条幅4分の1!$D$11:$D$310,765-COUNTA(半紙!$B$11:$B$310)-COUNTA(条幅!$B$11:$B$310)),""))))</f>
        <v/>
      </c>
      <c r="E770" s="38" t="str">
        <f>IF(IF(765&lt;=COUNTA(半紙!$B$11:$B$310),INDEX(半紙!$E$11:$E$310,765),IF(765&lt;=COUNTA(半紙!$B$11:$B$310)+COUNTA(条幅!$B$11:$B$310),INDEX(条幅!$E$11:$E$310,765-COUNTA(半紙!$B$11:$B$310)),IF(765&lt;=COUNTA(半紙!$B$11:$B$310)+COUNTA(条幅!$B$11:$B$310)+COUNTA(条幅4分の1!$B$11:$B$310),INDEX(条幅4分の1!$E$11:$E$310,765-COUNTA(半紙!$B$11:$B$310)-COUNTA(条幅!$B$11:$B$310)),"")))=0,"",IF(765&lt;=COUNTA(半紙!$B$11:$B$310),INDEX(半紙!$E$11:$E$310,765),IF(765&lt;=COUNTA(半紙!$B$11:$B$310)+COUNTA(条幅!$B$11:$B$310),INDEX(条幅!$E$11:$E$310,765-COUNTA(半紙!$B$11:$B$310)),IF(765&lt;=COUNTA(半紙!$B$11:$B$310)+COUNTA(条幅!$B$11:$B$310)+COUNTA(条幅4分の1!$B$11:$B$310),INDEX(条幅4分の1!$E$11:$E$310,765-COUNTA(半紙!$B$11:$B$310)-COUNTA(条幅!$B$11:$B$310)),""))))</f>
        <v/>
      </c>
      <c r="F770" s="38" t="str">
        <f>IF(IF(765&lt;=COUNTA(半紙!$B$11:$B$310),INDEX(半紙!$F$11:$F$310,765),IF(765&lt;=COUNTA(半紙!$B$11:$B$310)+COUNTA(条幅!$B$11:$B$310),INDEX(条幅!$F$11:$F$310,765-COUNTA(半紙!$B$11:$B$310)),IF(765&lt;=COUNTA(半紙!$B$11:$B$310)+COUNTA(条幅!$B$11:$B$310)+COUNTA(条幅4分の1!$B$11:$B$310),INDEX(条幅4分の1!$F$11:$F$310,765-COUNTA(半紙!$B$11:$B$310)-COUNTA(条幅!$B$11:$B$310)),"")))=0,"",IF(765&lt;=COUNTA(半紙!$B$11:$B$310),INDEX(半紙!$F$11:$F$310,765),IF(765&lt;=COUNTA(半紙!$B$11:$B$310)+COUNTA(条幅!$B$11:$B$310),INDEX(条幅!$F$11:$F$310,765-COUNTA(半紙!$B$11:$B$310)),IF(765&lt;=COUNTA(半紙!$B$11:$B$310)+COUNTA(条幅!$B$11:$B$310)+COUNTA(条幅4分の1!$B$11:$B$310),INDEX(条幅4分の1!$F$11:$F$310,765-COUNTA(半紙!$B$11:$B$310)-COUNTA(条幅!$B$11:$B$310)),""))))</f>
        <v/>
      </c>
      <c r="G770" s="38" t="str">
        <f>IF(IF(765&lt;=COUNTA(半紙!$B$11:$B$310),INDEX(半紙!$G$11:$G$310,765),IF(765&lt;=COUNTA(半紙!$B$11:$B$310)+COUNTA(条幅!$B$11:$B$310),INDEX(条幅!$G$11:$G$310,765-COUNTA(半紙!$B$11:$B$310)),IF(765&lt;=COUNTA(半紙!$B$11:$B$310)+COUNTA(条幅!$B$11:$B$310)+COUNTA(条幅4分の1!$B$11:$B$310),INDEX(条幅4分の1!$G$11:$G$310,765-COUNTA(半紙!$B$11:$B$310)-COUNTA(条幅!$B$11:$B$310)),"")))=0,"",IF(765&lt;=COUNTA(半紙!$B$11:$B$310),INDEX(半紙!$G$11:$G$310,765),IF(765&lt;=COUNTA(半紙!$B$11:$B$310)+COUNTA(条幅!$B$11:$B$310),INDEX(条幅!$G$11:$G$310,765-COUNTA(半紙!$B$11:$B$310)),IF(765&lt;=COUNTA(半紙!$B$11:$B$310)+COUNTA(条幅!$B$11:$B$310)+COUNTA(条幅4分の1!$B$11:$B$310),INDEX(条幅4分の1!$G$11:$G$310,765-COUNTA(半紙!$B$11:$B$310)-COUNTA(条幅!$B$11:$B$310)),""))))</f>
        <v/>
      </c>
      <c r="H770" s="38" t="str">
        <f>IF(IF(765&lt;=COUNTA(半紙!$B$11:$B$310),INDEX(半紙!$H$11:$H$310,765),IF(765&lt;=COUNTA(半紙!$B$11:$B$310)+COUNTA(条幅!$B$11:$B$310),INDEX(条幅!$H$11:$H$310,765-COUNTA(半紙!$B$11:$B$310)),IF(765&lt;=COUNTA(半紙!$B$11:$B$310)+COUNTA(条幅!$B$11:$B$310)+COUNTA(条幅4分の1!$B$11:$B$310),INDEX(条幅4分の1!$H$11:$H$310,765-COUNTA(半紙!$B$11:$B$310)-COUNTA(条幅!$B$11:$B$310)),"")))=0,"",IF(765&lt;=COUNTA(半紙!$B$11:$B$310),INDEX(半紙!$H$11:$H$310,765),IF(765&lt;=COUNTA(半紙!$B$11:$B$310)+COUNTA(条幅!$B$11:$B$310),INDEX(条幅!$H$11:$H$310,765-COUNTA(半紙!$B$11:$B$310)),IF(765&lt;=COUNTA(半紙!$B$11:$B$310)+COUNTA(条幅!$B$11:$B$310)+COUNTA(条幅4分の1!$B$11:$B$310),INDEX(条幅4分の1!$H$11:$H$310,765-COUNTA(半紙!$B$11:$B$310)-COUNTA(条幅!$B$11:$B$310)),""))))</f>
        <v/>
      </c>
      <c r="I770" s="38" t="str">
        <f>IF(IF(765&lt;=COUNTA(半紙!$B$11:$B$310),INDEX(半紙!$I$11:$I$310,765),IF(765&lt;=COUNTA(半紙!$B$11:$B$310)+COUNTA(条幅!$B$11:$B$310),INDEX(条幅!$I$11:$I$310,765-COUNTA(半紙!$B$11:$B$310)),IF(765&lt;=COUNTA(半紙!$B$11:$B$310)+COUNTA(条幅!$B$11:$B$310)+COUNTA(条幅4分の1!$B$11:$B$310),INDEX(条幅4分の1!$I$11:$I$310,765-COUNTA(半紙!$B$11:$B$310)-COUNTA(条幅!$B$11:$B$310)),"")))=0,"",IF(765&lt;=COUNTA(半紙!$B$11:$B$310),INDEX(半紙!$I$11:$I$310,765),IF(765&lt;=COUNTA(半紙!$B$11:$B$310)+COUNTA(条幅!$B$11:$B$310),INDEX(条幅!$I$11:$I$310,765-COUNTA(半紙!$B$11:$B$310)),IF(765&lt;=COUNTA(半紙!$B$11:$B$310)+COUNTA(条幅!$B$11:$B$310)+COUNTA(条幅4分の1!$B$11:$B$310),INDEX(条幅4分の1!$I$11:$I$310,765-COUNTA(半紙!$B$11:$B$310)-COUNTA(条幅!$B$11:$B$310)),""))))</f>
        <v/>
      </c>
      <c r="J770" s="38" t="str">
        <f>IF(IF(765&lt;=COUNTA(半紙!$B$11:$B$310),INDEX(半紙!$J$11:$J$310,765),IF(765&lt;=COUNTA(半紙!$B$11:$B$310)+COUNTA(条幅!$B$11:$B$310),INDEX(条幅!$J$11:$J$310,765-COUNTA(半紙!$B$11:$B$310)),IF(765&lt;=COUNTA(半紙!$B$11:$B$310)+COUNTA(条幅!$B$11:$B$310)+COUNTA(条幅4分の1!$B$11:$B$310),INDEX(条幅4分の1!$J$11:$J$310,765-COUNTA(半紙!$B$11:$B$310)-COUNTA(条幅!$B$11:$B$310)),"")))=0,"",IF(765&lt;=COUNTA(半紙!$B$11:$B$310),INDEX(半紙!$J$11:$J$310,765),IF(765&lt;=COUNTA(半紙!$B$11:$B$310)+COUNTA(条幅!$B$11:$B$310),INDEX(条幅!$J$11:$J$310,765-COUNTA(半紙!$B$11:$B$310)),IF(765&lt;=COUNTA(半紙!$B$11:$B$310)+COUNTA(条幅!$B$11:$B$310)+COUNTA(条幅4分の1!$B$11:$B$310),INDEX(条幅4分の1!$J$11:$J$310,765-COUNTA(半紙!$B$11:$B$310)-COUNTA(条幅!$B$11:$B$310)),""))))</f>
        <v/>
      </c>
      <c r="K770" s="38" t="str">
        <f>IF(IF(765&lt;=COUNTA(半紙!$B$11:$B$310),INDEX(半紙!$K$11:$K$310,765),IF(765&lt;=COUNTA(半紙!$B$11:$B$310)+COUNTA(条幅!$B$11:$B$310),INDEX(条幅!$K$11:$K$310,765-COUNTA(半紙!$B$11:$B$310)),IF(765&lt;=COUNTA(半紙!$B$11:$B$310)+COUNTA(条幅!$B$11:$B$310)+COUNTA(条幅4分の1!$B$11:$B$310),INDEX(条幅4分の1!$K$11:$K$310,765-COUNTA(半紙!$B$11:$B$310)-COUNTA(条幅!$B$11:$B$310)),"")))=0,"",IF(765&lt;=COUNTA(半紙!$B$11:$B$310),INDEX(半紙!$K$11:$K$310,765),IF(765&lt;=COUNTA(半紙!$B$11:$B$310)+COUNTA(条幅!$B$11:$B$310),INDEX(条幅!$K$11:$K$310,765-COUNTA(半紙!$B$11:$B$310)),IF(765&lt;=COUNTA(半紙!$B$11:$B$310)+COUNTA(条幅!$B$11:$B$310)+COUNTA(条幅4分の1!$B$11:$B$310),INDEX(条幅4分の1!$K$11:$K$310,765-COUNTA(半紙!$B$11:$B$310)-COUNTA(条幅!$B$11:$B$310)),""))))</f>
        <v/>
      </c>
      <c r="L770" s="48" t="str">
        <f>IF($B770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765))</f>
        <v/>
      </c>
    </row>
    <row r="771" spans="1:12" ht="15" customHeight="1">
      <c r="A771" s="37" t="str">
        <f>IF(766&lt;=COUNTA(半紙!$B$11:$B$310),"半紙",IF(766&lt;=COUNTA(半紙!$B$11:$B$310)+COUNTA(条幅!$B$11:$B$310),"条幅(半切)",IF(766&lt;=COUNTA(半紙!$B$11:$B$310)+COUNTA(条幅!$B$11:$B$310)+COUNTA(条幅4分の1!$B$11:$B$310),"条幅(1/4)","")))</f>
        <v/>
      </c>
      <c r="B771" s="38" t="str">
        <f>IF(IF(766&lt;=COUNTA(半紙!$B$11:$B$310),INDEX(半紙!$B$11:$B$310,766),IF(766&lt;=COUNTA(半紙!$B$11:$B$310)+COUNTA(条幅!$B$11:$B$310),INDEX(条幅!$B$11:$B$310,766-COUNTA(半紙!$B$11:$B$310)),IF(766&lt;=COUNTA(半紙!$B$11:$B$310)+COUNTA(条幅!$B$11:$B$310)+COUNTA(条幅4分の1!$B$11:$B$310),INDEX(条幅4分の1!$B$11:$B$310,766-COUNTA(半紙!$B$11:$B$310)-COUNTA(条幅!$B$11:$B$310)),"")))=0,"",IF(766&lt;=COUNTA(半紙!$B$11:$B$310),INDEX(半紙!$B$11:$B$310,766),IF(766&lt;=COUNTA(半紙!$B$11:$B$310)+COUNTA(条幅!$B$11:$B$310),INDEX(条幅!$B$11:$B$310,766-COUNTA(半紙!$B$11:$B$310)),IF(766&lt;=COUNTA(半紙!$B$11:$B$310)+COUNTA(条幅!$B$11:$B$310)+COUNTA(条幅4分の1!$B$11:$B$310),INDEX(条幅4分の1!$B$11:$B$310,766-COUNTA(半紙!$B$11:$B$310)-COUNTA(条幅!$B$11:$B$310)),""))))</f>
        <v/>
      </c>
      <c r="C771" s="38" t="str">
        <f>IF(IF(766&lt;=COUNTA(半紙!$B$11:$B$310),INDEX(半紙!$C$11:$C$310,766),IF(766&lt;=COUNTA(半紙!$B$11:$B$310)+COUNTA(条幅!$B$11:$B$310),INDEX(条幅!$C$11:$C$310,766-COUNTA(半紙!$B$11:$B$310)),IF(766&lt;=COUNTA(半紙!$B$11:$B$310)+COUNTA(条幅!$B$11:$B$310)+COUNTA(条幅4分の1!$B$11:$B$310),INDEX(条幅4分の1!$C$11:$C$310,766-COUNTA(半紙!$B$11:$B$310)-COUNTA(条幅!$B$11:$B$310)),"")))=0,"",IF(766&lt;=COUNTA(半紙!$B$11:$B$310),INDEX(半紙!$C$11:$C$310,766),IF(766&lt;=COUNTA(半紙!$B$11:$B$310)+COUNTA(条幅!$B$11:$B$310),INDEX(条幅!$C$11:$C$310,766-COUNTA(半紙!$B$11:$B$310)),IF(766&lt;=COUNTA(半紙!$B$11:$B$310)+COUNTA(条幅!$B$11:$B$310)+COUNTA(条幅4分の1!$B$11:$B$310),INDEX(条幅4分の1!$C$11:$C$310,766-COUNTA(半紙!$B$11:$B$310)-COUNTA(条幅!$B$11:$B$310)),""))))</f>
        <v/>
      </c>
      <c r="D771" s="38" t="str">
        <f>IF(IF(766&lt;=COUNTA(半紙!$B$11:$B$310),INDEX(半紙!$D$11:$D$310,766),IF(766&lt;=COUNTA(半紙!$B$11:$B$310)+COUNTA(条幅!$B$11:$B$310),INDEX(条幅!$D$11:$D$310,766-COUNTA(半紙!$B$11:$B$310)),IF(766&lt;=COUNTA(半紙!$B$11:$B$310)+COUNTA(条幅!$B$11:$B$310)+COUNTA(条幅4分の1!$B$11:$B$310),INDEX(条幅4分の1!$D$11:$D$310,766-COUNTA(半紙!$B$11:$B$310)-COUNTA(条幅!$B$11:$B$310)),"")))=0,"",IF(766&lt;=COUNTA(半紙!$B$11:$B$310),INDEX(半紙!$D$11:$D$310,766),IF(766&lt;=COUNTA(半紙!$B$11:$B$310)+COUNTA(条幅!$B$11:$B$310),INDEX(条幅!$D$11:$D$310,766-COUNTA(半紙!$B$11:$B$310)),IF(766&lt;=COUNTA(半紙!$B$11:$B$310)+COUNTA(条幅!$B$11:$B$310)+COUNTA(条幅4分の1!$B$11:$B$310),INDEX(条幅4分の1!$D$11:$D$310,766-COUNTA(半紙!$B$11:$B$310)-COUNTA(条幅!$B$11:$B$310)),""))))</f>
        <v/>
      </c>
      <c r="E771" s="38" t="str">
        <f>IF(IF(766&lt;=COUNTA(半紙!$B$11:$B$310),INDEX(半紙!$E$11:$E$310,766),IF(766&lt;=COUNTA(半紙!$B$11:$B$310)+COUNTA(条幅!$B$11:$B$310),INDEX(条幅!$E$11:$E$310,766-COUNTA(半紙!$B$11:$B$310)),IF(766&lt;=COUNTA(半紙!$B$11:$B$310)+COUNTA(条幅!$B$11:$B$310)+COUNTA(条幅4分の1!$B$11:$B$310),INDEX(条幅4分の1!$E$11:$E$310,766-COUNTA(半紙!$B$11:$B$310)-COUNTA(条幅!$B$11:$B$310)),"")))=0,"",IF(766&lt;=COUNTA(半紙!$B$11:$B$310),INDEX(半紙!$E$11:$E$310,766),IF(766&lt;=COUNTA(半紙!$B$11:$B$310)+COUNTA(条幅!$B$11:$B$310),INDEX(条幅!$E$11:$E$310,766-COUNTA(半紙!$B$11:$B$310)),IF(766&lt;=COUNTA(半紙!$B$11:$B$310)+COUNTA(条幅!$B$11:$B$310)+COUNTA(条幅4分の1!$B$11:$B$310),INDEX(条幅4分の1!$E$11:$E$310,766-COUNTA(半紙!$B$11:$B$310)-COUNTA(条幅!$B$11:$B$310)),""))))</f>
        <v/>
      </c>
      <c r="F771" s="38" t="str">
        <f>IF(IF(766&lt;=COUNTA(半紙!$B$11:$B$310),INDEX(半紙!$F$11:$F$310,766),IF(766&lt;=COUNTA(半紙!$B$11:$B$310)+COUNTA(条幅!$B$11:$B$310),INDEX(条幅!$F$11:$F$310,766-COUNTA(半紙!$B$11:$B$310)),IF(766&lt;=COUNTA(半紙!$B$11:$B$310)+COUNTA(条幅!$B$11:$B$310)+COUNTA(条幅4分の1!$B$11:$B$310),INDEX(条幅4分の1!$F$11:$F$310,766-COUNTA(半紙!$B$11:$B$310)-COUNTA(条幅!$B$11:$B$310)),"")))=0,"",IF(766&lt;=COUNTA(半紙!$B$11:$B$310),INDEX(半紙!$F$11:$F$310,766),IF(766&lt;=COUNTA(半紙!$B$11:$B$310)+COUNTA(条幅!$B$11:$B$310),INDEX(条幅!$F$11:$F$310,766-COUNTA(半紙!$B$11:$B$310)),IF(766&lt;=COUNTA(半紙!$B$11:$B$310)+COUNTA(条幅!$B$11:$B$310)+COUNTA(条幅4分の1!$B$11:$B$310),INDEX(条幅4分の1!$F$11:$F$310,766-COUNTA(半紙!$B$11:$B$310)-COUNTA(条幅!$B$11:$B$310)),""))))</f>
        <v/>
      </c>
      <c r="G771" s="38" t="str">
        <f>IF(IF(766&lt;=COUNTA(半紙!$B$11:$B$310),INDEX(半紙!$G$11:$G$310,766),IF(766&lt;=COUNTA(半紙!$B$11:$B$310)+COUNTA(条幅!$B$11:$B$310),INDEX(条幅!$G$11:$G$310,766-COUNTA(半紙!$B$11:$B$310)),IF(766&lt;=COUNTA(半紙!$B$11:$B$310)+COUNTA(条幅!$B$11:$B$310)+COUNTA(条幅4分の1!$B$11:$B$310),INDEX(条幅4分の1!$G$11:$G$310,766-COUNTA(半紙!$B$11:$B$310)-COUNTA(条幅!$B$11:$B$310)),"")))=0,"",IF(766&lt;=COUNTA(半紙!$B$11:$B$310),INDEX(半紙!$G$11:$G$310,766),IF(766&lt;=COUNTA(半紙!$B$11:$B$310)+COUNTA(条幅!$B$11:$B$310),INDEX(条幅!$G$11:$G$310,766-COUNTA(半紙!$B$11:$B$310)),IF(766&lt;=COUNTA(半紙!$B$11:$B$310)+COUNTA(条幅!$B$11:$B$310)+COUNTA(条幅4分の1!$B$11:$B$310),INDEX(条幅4分の1!$G$11:$G$310,766-COUNTA(半紙!$B$11:$B$310)-COUNTA(条幅!$B$11:$B$310)),""))))</f>
        <v/>
      </c>
      <c r="H771" s="38" t="str">
        <f>IF(IF(766&lt;=COUNTA(半紙!$B$11:$B$310),INDEX(半紙!$H$11:$H$310,766),IF(766&lt;=COUNTA(半紙!$B$11:$B$310)+COUNTA(条幅!$B$11:$B$310),INDEX(条幅!$H$11:$H$310,766-COUNTA(半紙!$B$11:$B$310)),IF(766&lt;=COUNTA(半紙!$B$11:$B$310)+COUNTA(条幅!$B$11:$B$310)+COUNTA(条幅4分の1!$B$11:$B$310),INDEX(条幅4分の1!$H$11:$H$310,766-COUNTA(半紙!$B$11:$B$310)-COUNTA(条幅!$B$11:$B$310)),"")))=0,"",IF(766&lt;=COUNTA(半紙!$B$11:$B$310),INDEX(半紙!$H$11:$H$310,766),IF(766&lt;=COUNTA(半紙!$B$11:$B$310)+COUNTA(条幅!$B$11:$B$310),INDEX(条幅!$H$11:$H$310,766-COUNTA(半紙!$B$11:$B$310)),IF(766&lt;=COUNTA(半紙!$B$11:$B$310)+COUNTA(条幅!$B$11:$B$310)+COUNTA(条幅4分の1!$B$11:$B$310),INDEX(条幅4分の1!$H$11:$H$310,766-COUNTA(半紙!$B$11:$B$310)-COUNTA(条幅!$B$11:$B$310)),""))))</f>
        <v/>
      </c>
      <c r="I771" s="38" t="str">
        <f>IF(IF(766&lt;=COUNTA(半紙!$B$11:$B$310),INDEX(半紙!$I$11:$I$310,766),IF(766&lt;=COUNTA(半紙!$B$11:$B$310)+COUNTA(条幅!$B$11:$B$310),INDEX(条幅!$I$11:$I$310,766-COUNTA(半紙!$B$11:$B$310)),IF(766&lt;=COUNTA(半紙!$B$11:$B$310)+COUNTA(条幅!$B$11:$B$310)+COUNTA(条幅4分の1!$B$11:$B$310),INDEX(条幅4分の1!$I$11:$I$310,766-COUNTA(半紙!$B$11:$B$310)-COUNTA(条幅!$B$11:$B$310)),"")))=0,"",IF(766&lt;=COUNTA(半紙!$B$11:$B$310),INDEX(半紙!$I$11:$I$310,766),IF(766&lt;=COUNTA(半紙!$B$11:$B$310)+COUNTA(条幅!$B$11:$B$310),INDEX(条幅!$I$11:$I$310,766-COUNTA(半紙!$B$11:$B$310)),IF(766&lt;=COUNTA(半紙!$B$11:$B$310)+COUNTA(条幅!$B$11:$B$310)+COUNTA(条幅4分の1!$B$11:$B$310),INDEX(条幅4分の1!$I$11:$I$310,766-COUNTA(半紙!$B$11:$B$310)-COUNTA(条幅!$B$11:$B$310)),""))))</f>
        <v/>
      </c>
      <c r="J771" s="38" t="str">
        <f>IF(IF(766&lt;=COUNTA(半紙!$B$11:$B$310),INDEX(半紙!$J$11:$J$310,766),IF(766&lt;=COUNTA(半紙!$B$11:$B$310)+COUNTA(条幅!$B$11:$B$310),INDEX(条幅!$J$11:$J$310,766-COUNTA(半紙!$B$11:$B$310)),IF(766&lt;=COUNTA(半紙!$B$11:$B$310)+COUNTA(条幅!$B$11:$B$310)+COUNTA(条幅4分の1!$B$11:$B$310),INDEX(条幅4分の1!$J$11:$J$310,766-COUNTA(半紙!$B$11:$B$310)-COUNTA(条幅!$B$11:$B$310)),"")))=0,"",IF(766&lt;=COUNTA(半紙!$B$11:$B$310),INDEX(半紙!$J$11:$J$310,766),IF(766&lt;=COUNTA(半紙!$B$11:$B$310)+COUNTA(条幅!$B$11:$B$310),INDEX(条幅!$J$11:$J$310,766-COUNTA(半紙!$B$11:$B$310)),IF(766&lt;=COUNTA(半紙!$B$11:$B$310)+COUNTA(条幅!$B$11:$B$310)+COUNTA(条幅4分の1!$B$11:$B$310),INDEX(条幅4分の1!$J$11:$J$310,766-COUNTA(半紙!$B$11:$B$310)-COUNTA(条幅!$B$11:$B$310)),""))))</f>
        <v/>
      </c>
      <c r="K771" s="38" t="str">
        <f>IF(IF(766&lt;=COUNTA(半紙!$B$11:$B$310),INDEX(半紙!$K$11:$K$310,766),IF(766&lt;=COUNTA(半紙!$B$11:$B$310)+COUNTA(条幅!$B$11:$B$310),INDEX(条幅!$K$11:$K$310,766-COUNTA(半紙!$B$11:$B$310)),IF(766&lt;=COUNTA(半紙!$B$11:$B$310)+COUNTA(条幅!$B$11:$B$310)+COUNTA(条幅4分の1!$B$11:$B$310),INDEX(条幅4分の1!$K$11:$K$310,766-COUNTA(半紙!$B$11:$B$310)-COUNTA(条幅!$B$11:$B$310)),"")))=0,"",IF(766&lt;=COUNTA(半紙!$B$11:$B$310),INDEX(半紙!$K$11:$K$310,766),IF(766&lt;=COUNTA(半紙!$B$11:$B$310)+COUNTA(条幅!$B$11:$B$310),INDEX(条幅!$K$11:$K$310,766-COUNTA(半紙!$B$11:$B$310)),IF(766&lt;=COUNTA(半紙!$B$11:$B$310)+COUNTA(条幅!$B$11:$B$310)+COUNTA(条幅4分の1!$B$11:$B$310),INDEX(条幅4分の1!$K$11:$K$310,766-COUNTA(半紙!$B$11:$B$310)-COUNTA(条幅!$B$11:$B$310)),""))))</f>
        <v/>
      </c>
      <c r="L771" s="48" t="str">
        <f>IF($B771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766))</f>
        <v/>
      </c>
    </row>
    <row r="772" spans="1:12" ht="15" customHeight="1">
      <c r="A772" s="37" t="str">
        <f>IF(767&lt;=COUNTA(半紙!$B$11:$B$310),"半紙",IF(767&lt;=COUNTA(半紙!$B$11:$B$310)+COUNTA(条幅!$B$11:$B$310),"条幅(半切)",IF(767&lt;=COUNTA(半紙!$B$11:$B$310)+COUNTA(条幅!$B$11:$B$310)+COUNTA(条幅4分の1!$B$11:$B$310),"条幅(1/4)","")))</f>
        <v/>
      </c>
      <c r="B772" s="38" t="str">
        <f>IF(IF(767&lt;=COUNTA(半紙!$B$11:$B$310),INDEX(半紙!$B$11:$B$310,767),IF(767&lt;=COUNTA(半紙!$B$11:$B$310)+COUNTA(条幅!$B$11:$B$310),INDEX(条幅!$B$11:$B$310,767-COUNTA(半紙!$B$11:$B$310)),IF(767&lt;=COUNTA(半紙!$B$11:$B$310)+COUNTA(条幅!$B$11:$B$310)+COUNTA(条幅4分の1!$B$11:$B$310),INDEX(条幅4分の1!$B$11:$B$310,767-COUNTA(半紙!$B$11:$B$310)-COUNTA(条幅!$B$11:$B$310)),"")))=0,"",IF(767&lt;=COUNTA(半紙!$B$11:$B$310),INDEX(半紙!$B$11:$B$310,767),IF(767&lt;=COUNTA(半紙!$B$11:$B$310)+COUNTA(条幅!$B$11:$B$310),INDEX(条幅!$B$11:$B$310,767-COUNTA(半紙!$B$11:$B$310)),IF(767&lt;=COUNTA(半紙!$B$11:$B$310)+COUNTA(条幅!$B$11:$B$310)+COUNTA(条幅4分の1!$B$11:$B$310),INDEX(条幅4分の1!$B$11:$B$310,767-COUNTA(半紙!$B$11:$B$310)-COUNTA(条幅!$B$11:$B$310)),""))))</f>
        <v/>
      </c>
      <c r="C772" s="38" t="str">
        <f>IF(IF(767&lt;=COUNTA(半紙!$B$11:$B$310),INDEX(半紙!$C$11:$C$310,767),IF(767&lt;=COUNTA(半紙!$B$11:$B$310)+COUNTA(条幅!$B$11:$B$310),INDEX(条幅!$C$11:$C$310,767-COUNTA(半紙!$B$11:$B$310)),IF(767&lt;=COUNTA(半紙!$B$11:$B$310)+COUNTA(条幅!$B$11:$B$310)+COUNTA(条幅4分の1!$B$11:$B$310),INDEX(条幅4分の1!$C$11:$C$310,767-COUNTA(半紙!$B$11:$B$310)-COUNTA(条幅!$B$11:$B$310)),"")))=0,"",IF(767&lt;=COUNTA(半紙!$B$11:$B$310),INDEX(半紙!$C$11:$C$310,767),IF(767&lt;=COUNTA(半紙!$B$11:$B$310)+COUNTA(条幅!$B$11:$B$310),INDEX(条幅!$C$11:$C$310,767-COUNTA(半紙!$B$11:$B$310)),IF(767&lt;=COUNTA(半紙!$B$11:$B$310)+COUNTA(条幅!$B$11:$B$310)+COUNTA(条幅4分の1!$B$11:$B$310),INDEX(条幅4分の1!$C$11:$C$310,767-COUNTA(半紙!$B$11:$B$310)-COUNTA(条幅!$B$11:$B$310)),""))))</f>
        <v/>
      </c>
      <c r="D772" s="38" t="str">
        <f>IF(IF(767&lt;=COUNTA(半紙!$B$11:$B$310),INDEX(半紙!$D$11:$D$310,767),IF(767&lt;=COUNTA(半紙!$B$11:$B$310)+COUNTA(条幅!$B$11:$B$310),INDEX(条幅!$D$11:$D$310,767-COUNTA(半紙!$B$11:$B$310)),IF(767&lt;=COUNTA(半紙!$B$11:$B$310)+COUNTA(条幅!$B$11:$B$310)+COUNTA(条幅4分の1!$B$11:$B$310),INDEX(条幅4分の1!$D$11:$D$310,767-COUNTA(半紙!$B$11:$B$310)-COUNTA(条幅!$B$11:$B$310)),"")))=0,"",IF(767&lt;=COUNTA(半紙!$B$11:$B$310),INDEX(半紙!$D$11:$D$310,767),IF(767&lt;=COUNTA(半紙!$B$11:$B$310)+COUNTA(条幅!$B$11:$B$310),INDEX(条幅!$D$11:$D$310,767-COUNTA(半紙!$B$11:$B$310)),IF(767&lt;=COUNTA(半紙!$B$11:$B$310)+COUNTA(条幅!$B$11:$B$310)+COUNTA(条幅4分の1!$B$11:$B$310),INDEX(条幅4分の1!$D$11:$D$310,767-COUNTA(半紙!$B$11:$B$310)-COUNTA(条幅!$B$11:$B$310)),""))))</f>
        <v/>
      </c>
      <c r="E772" s="38" t="str">
        <f>IF(IF(767&lt;=COUNTA(半紙!$B$11:$B$310),INDEX(半紙!$E$11:$E$310,767),IF(767&lt;=COUNTA(半紙!$B$11:$B$310)+COUNTA(条幅!$B$11:$B$310),INDEX(条幅!$E$11:$E$310,767-COUNTA(半紙!$B$11:$B$310)),IF(767&lt;=COUNTA(半紙!$B$11:$B$310)+COUNTA(条幅!$B$11:$B$310)+COUNTA(条幅4分の1!$B$11:$B$310),INDEX(条幅4分の1!$E$11:$E$310,767-COUNTA(半紙!$B$11:$B$310)-COUNTA(条幅!$B$11:$B$310)),"")))=0,"",IF(767&lt;=COUNTA(半紙!$B$11:$B$310),INDEX(半紙!$E$11:$E$310,767),IF(767&lt;=COUNTA(半紙!$B$11:$B$310)+COUNTA(条幅!$B$11:$B$310),INDEX(条幅!$E$11:$E$310,767-COUNTA(半紙!$B$11:$B$310)),IF(767&lt;=COUNTA(半紙!$B$11:$B$310)+COUNTA(条幅!$B$11:$B$310)+COUNTA(条幅4分の1!$B$11:$B$310),INDEX(条幅4分の1!$E$11:$E$310,767-COUNTA(半紙!$B$11:$B$310)-COUNTA(条幅!$B$11:$B$310)),""))))</f>
        <v/>
      </c>
      <c r="F772" s="38" t="str">
        <f>IF(IF(767&lt;=COUNTA(半紙!$B$11:$B$310),INDEX(半紙!$F$11:$F$310,767),IF(767&lt;=COUNTA(半紙!$B$11:$B$310)+COUNTA(条幅!$B$11:$B$310),INDEX(条幅!$F$11:$F$310,767-COUNTA(半紙!$B$11:$B$310)),IF(767&lt;=COUNTA(半紙!$B$11:$B$310)+COUNTA(条幅!$B$11:$B$310)+COUNTA(条幅4分の1!$B$11:$B$310),INDEX(条幅4分の1!$F$11:$F$310,767-COUNTA(半紙!$B$11:$B$310)-COUNTA(条幅!$B$11:$B$310)),"")))=0,"",IF(767&lt;=COUNTA(半紙!$B$11:$B$310),INDEX(半紙!$F$11:$F$310,767),IF(767&lt;=COUNTA(半紙!$B$11:$B$310)+COUNTA(条幅!$B$11:$B$310),INDEX(条幅!$F$11:$F$310,767-COUNTA(半紙!$B$11:$B$310)),IF(767&lt;=COUNTA(半紙!$B$11:$B$310)+COUNTA(条幅!$B$11:$B$310)+COUNTA(条幅4分の1!$B$11:$B$310),INDEX(条幅4分の1!$F$11:$F$310,767-COUNTA(半紙!$B$11:$B$310)-COUNTA(条幅!$B$11:$B$310)),""))))</f>
        <v/>
      </c>
      <c r="G772" s="38" t="str">
        <f>IF(IF(767&lt;=COUNTA(半紙!$B$11:$B$310),INDEX(半紙!$G$11:$G$310,767),IF(767&lt;=COUNTA(半紙!$B$11:$B$310)+COUNTA(条幅!$B$11:$B$310),INDEX(条幅!$G$11:$G$310,767-COUNTA(半紙!$B$11:$B$310)),IF(767&lt;=COUNTA(半紙!$B$11:$B$310)+COUNTA(条幅!$B$11:$B$310)+COUNTA(条幅4分の1!$B$11:$B$310),INDEX(条幅4分の1!$G$11:$G$310,767-COUNTA(半紙!$B$11:$B$310)-COUNTA(条幅!$B$11:$B$310)),"")))=0,"",IF(767&lt;=COUNTA(半紙!$B$11:$B$310),INDEX(半紙!$G$11:$G$310,767),IF(767&lt;=COUNTA(半紙!$B$11:$B$310)+COUNTA(条幅!$B$11:$B$310),INDEX(条幅!$G$11:$G$310,767-COUNTA(半紙!$B$11:$B$310)),IF(767&lt;=COUNTA(半紙!$B$11:$B$310)+COUNTA(条幅!$B$11:$B$310)+COUNTA(条幅4分の1!$B$11:$B$310),INDEX(条幅4分の1!$G$11:$G$310,767-COUNTA(半紙!$B$11:$B$310)-COUNTA(条幅!$B$11:$B$310)),""))))</f>
        <v/>
      </c>
      <c r="H772" s="38" t="str">
        <f>IF(IF(767&lt;=COUNTA(半紙!$B$11:$B$310),INDEX(半紙!$H$11:$H$310,767),IF(767&lt;=COUNTA(半紙!$B$11:$B$310)+COUNTA(条幅!$B$11:$B$310),INDEX(条幅!$H$11:$H$310,767-COUNTA(半紙!$B$11:$B$310)),IF(767&lt;=COUNTA(半紙!$B$11:$B$310)+COUNTA(条幅!$B$11:$B$310)+COUNTA(条幅4分の1!$B$11:$B$310),INDEX(条幅4分の1!$H$11:$H$310,767-COUNTA(半紙!$B$11:$B$310)-COUNTA(条幅!$B$11:$B$310)),"")))=0,"",IF(767&lt;=COUNTA(半紙!$B$11:$B$310),INDEX(半紙!$H$11:$H$310,767),IF(767&lt;=COUNTA(半紙!$B$11:$B$310)+COUNTA(条幅!$B$11:$B$310),INDEX(条幅!$H$11:$H$310,767-COUNTA(半紙!$B$11:$B$310)),IF(767&lt;=COUNTA(半紙!$B$11:$B$310)+COUNTA(条幅!$B$11:$B$310)+COUNTA(条幅4分の1!$B$11:$B$310),INDEX(条幅4分の1!$H$11:$H$310,767-COUNTA(半紙!$B$11:$B$310)-COUNTA(条幅!$B$11:$B$310)),""))))</f>
        <v/>
      </c>
      <c r="I772" s="38" t="str">
        <f>IF(IF(767&lt;=COUNTA(半紙!$B$11:$B$310),INDEX(半紙!$I$11:$I$310,767),IF(767&lt;=COUNTA(半紙!$B$11:$B$310)+COUNTA(条幅!$B$11:$B$310),INDEX(条幅!$I$11:$I$310,767-COUNTA(半紙!$B$11:$B$310)),IF(767&lt;=COUNTA(半紙!$B$11:$B$310)+COUNTA(条幅!$B$11:$B$310)+COUNTA(条幅4分の1!$B$11:$B$310),INDEX(条幅4分の1!$I$11:$I$310,767-COUNTA(半紙!$B$11:$B$310)-COUNTA(条幅!$B$11:$B$310)),"")))=0,"",IF(767&lt;=COUNTA(半紙!$B$11:$B$310),INDEX(半紙!$I$11:$I$310,767),IF(767&lt;=COUNTA(半紙!$B$11:$B$310)+COUNTA(条幅!$B$11:$B$310),INDEX(条幅!$I$11:$I$310,767-COUNTA(半紙!$B$11:$B$310)),IF(767&lt;=COUNTA(半紙!$B$11:$B$310)+COUNTA(条幅!$B$11:$B$310)+COUNTA(条幅4分の1!$B$11:$B$310),INDEX(条幅4分の1!$I$11:$I$310,767-COUNTA(半紙!$B$11:$B$310)-COUNTA(条幅!$B$11:$B$310)),""))))</f>
        <v/>
      </c>
      <c r="J772" s="38" t="str">
        <f>IF(IF(767&lt;=COUNTA(半紙!$B$11:$B$310),INDEX(半紙!$J$11:$J$310,767),IF(767&lt;=COUNTA(半紙!$B$11:$B$310)+COUNTA(条幅!$B$11:$B$310),INDEX(条幅!$J$11:$J$310,767-COUNTA(半紙!$B$11:$B$310)),IF(767&lt;=COUNTA(半紙!$B$11:$B$310)+COUNTA(条幅!$B$11:$B$310)+COUNTA(条幅4分の1!$B$11:$B$310),INDEX(条幅4分の1!$J$11:$J$310,767-COUNTA(半紙!$B$11:$B$310)-COUNTA(条幅!$B$11:$B$310)),"")))=0,"",IF(767&lt;=COUNTA(半紙!$B$11:$B$310),INDEX(半紙!$J$11:$J$310,767),IF(767&lt;=COUNTA(半紙!$B$11:$B$310)+COUNTA(条幅!$B$11:$B$310),INDEX(条幅!$J$11:$J$310,767-COUNTA(半紙!$B$11:$B$310)),IF(767&lt;=COUNTA(半紙!$B$11:$B$310)+COUNTA(条幅!$B$11:$B$310)+COUNTA(条幅4分の1!$B$11:$B$310),INDEX(条幅4分の1!$J$11:$J$310,767-COUNTA(半紙!$B$11:$B$310)-COUNTA(条幅!$B$11:$B$310)),""))))</f>
        <v/>
      </c>
      <c r="K772" s="38" t="str">
        <f>IF(IF(767&lt;=COUNTA(半紙!$B$11:$B$310),INDEX(半紙!$K$11:$K$310,767),IF(767&lt;=COUNTA(半紙!$B$11:$B$310)+COUNTA(条幅!$B$11:$B$310),INDEX(条幅!$K$11:$K$310,767-COUNTA(半紙!$B$11:$B$310)),IF(767&lt;=COUNTA(半紙!$B$11:$B$310)+COUNTA(条幅!$B$11:$B$310)+COUNTA(条幅4分の1!$B$11:$B$310),INDEX(条幅4分の1!$K$11:$K$310,767-COUNTA(半紙!$B$11:$B$310)-COUNTA(条幅!$B$11:$B$310)),"")))=0,"",IF(767&lt;=COUNTA(半紙!$B$11:$B$310),INDEX(半紙!$K$11:$K$310,767),IF(767&lt;=COUNTA(半紙!$B$11:$B$310)+COUNTA(条幅!$B$11:$B$310),INDEX(条幅!$K$11:$K$310,767-COUNTA(半紙!$B$11:$B$310)),IF(767&lt;=COUNTA(半紙!$B$11:$B$310)+COUNTA(条幅!$B$11:$B$310)+COUNTA(条幅4分の1!$B$11:$B$310),INDEX(条幅4分の1!$K$11:$K$310,767-COUNTA(半紙!$B$11:$B$310)-COUNTA(条幅!$B$11:$B$310)),""))))</f>
        <v/>
      </c>
      <c r="L772" s="48" t="str">
        <f>IF($B772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767))</f>
        <v/>
      </c>
    </row>
    <row r="773" spans="1:12" ht="15" customHeight="1">
      <c r="A773" s="37" t="str">
        <f>IF(768&lt;=COUNTA(半紙!$B$11:$B$310),"半紙",IF(768&lt;=COUNTA(半紙!$B$11:$B$310)+COUNTA(条幅!$B$11:$B$310),"条幅(半切)",IF(768&lt;=COUNTA(半紙!$B$11:$B$310)+COUNTA(条幅!$B$11:$B$310)+COUNTA(条幅4分の1!$B$11:$B$310),"条幅(1/4)","")))</f>
        <v/>
      </c>
      <c r="B773" s="38" t="str">
        <f>IF(IF(768&lt;=COUNTA(半紙!$B$11:$B$310),INDEX(半紙!$B$11:$B$310,768),IF(768&lt;=COUNTA(半紙!$B$11:$B$310)+COUNTA(条幅!$B$11:$B$310),INDEX(条幅!$B$11:$B$310,768-COUNTA(半紙!$B$11:$B$310)),IF(768&lt;=COUNTA(半紙!$B$11:$B$310)+COUNTA(条幅!$B$11:$B$310)+COUNTA(条幅4分の1!$B$11:$B$310),INDEX(条幅4分の1!$B$11:$B$310,768-COUNTA(半紙!$B$11:$B$310)-COUNTA(条幅!$B$11:$B$310)),"")))=0,"",IF(768&lt;=COUNTA(半紙!$B$11:$B$310),INDEX(半紙!$B$11:$B$310,768),IF(768&lt;=COUNTA(半紙!$B$11:$B$310)+COUNTA(条幅!$B$11:$B$310),INDEX(条幅!$B$11:$B$310,768-COUNTA(半紙!$B$11:$B$310)),IF(768&lt;=COUNTA(半紙!$B$11:$B$310)+COUNTA(条幅!$B$11:$B$310)+COUNTA(条幅4分の1!$B$11:$B$310),INDEX(条幅4分の1!$B$11:$B$310,768-COUNTA(半紙!$B$11:$B$310)-COUNTA(条幅!$B$11:$B$310)),""))))</f>
        <v/>
      </c>
      <c r="C773" s="38" t="str">
        <f>IF(IF(768&lt;=COUNTA(半紙!$B$11:$B$310),INDEX(半紙!$C$11:$C$310,768),IF(768&lt;=COUNTA(半紙!$B$11:$B$310)+COUNTA(条幅!$B$11:$B$310),INDEX(条幅!$C$11:$C$310,768-COUNTA(半紙!$B$11:$B$310)),IF(768&lt;=COUNTA(半紙!$B$11:$B$310)+COUNTA(条幅!$B$11:$B$310)+COUNTA(条幅4分の1!$B$11:$B$310),INDEX(条幅4分の1!$C$11:$C$310,768-COUNTA(半紙!$B$11:$B$310)-COUNTA(条幅!$B$11:$B$310)),"")))=0,"",IF(768&lt;=COUNTA(半紙!$B$11:$B$310),INDEX(半紙!$C$11:$C$310,768),IF(768&lt;=COUNTA(半紙!$B$11:$B$310)+COUNTA(条幅!$B$11:$B$310),INDEX(条幅!$C$11:$C$310,768-COUNTA(半紙!$B$11:$B$310)),IF(768&lt;=COUNTA(半紙!$B$11:$B$310)+COUNTA(条幅!$B$11:$B$310)+COUNTA(条幅4分の1!$B$11:$B$310),INDEX(条幅4分の1!$C$11:$C$310,768-COUNTA(半紙!$B$11:$B$310)-COUNTA(条幅!$B$11:$B$310)),""))))</f>
        <v/>
      </c>
      <c r="D773" s="38" t="str">
        <f>IF(IF(768&lt;=COUNTA(半紙!$B$11:$B$310),INDEX(半紙!$D$11:$D$310,768),IF(768&lt;=COUNTA(半紙!$B$11:$B$310)+COUNTA(条幅!$B$11:$B$310),INDEX(条幅!$D$11:$D$310,768-COUNTA(半紙!$B$11:$B$310)),IF(768&lt;=COUNTA(半紙!$B$11:$B$310)+COUNTA(条幅!$B$11:$B$310)+COUNTA(条幅4分の1!$B$11:$B$310),INDEX(条幅4分の1!$D$11:$D$310,768-COUNTA(半紙!$B$11:$B$310)-COUNTA(条幅!$B$11:$B$310)),"")))=0,"",IF(768&lt;=COUNTA(半紙!$B$11:$B$310),INDEX(半紙!$D$11:$D$310,768),IF(768&lt;=COUNTA(半紙!$B$11:$B$310)+COUNTA(条幅!$B$11:$B$310),INDEX(条幅!$D$11:$D$310,768-COUNTA(半紙!$B$11:$B$310)),IF(768&lt;=COUNTA(半紙!$B$11:$B$310)+COUNTA(条幅!$B$11:$B$310)+COUNTA(条幅4分の1!$B$11:$B$310),INDEX(条幅4分の1!$D$11:$D$310,768-COUNTA(半紙!$B$11:$B$310)-COUNTA(条幅!$B$11:$B$310)),""))))</f>
        <v/>
      </c>
      <c r="E773" s="38" t="str">
        <f>IF(IF(768&lt;=COUNTA(半紙!$B$11:$B$310),INDEX(半紙!$E$11:$E$310,768),IF(768&lt;=COUNTA(半紙!$B$11:$B$310)+COUNTA(条幅!$B$11:$B$310),INDEX(条幅!$E$11:$E$310,768-COUNTA(半紙!$B$11:$B$310)),IF(768&lt;=COUNTA(半紙!$B$11:$B$310)+COUNTA(条幅!$B$11:$B$310)+COUNTA(条幅4分の1!$B$11:$B$310),INDEX(条幅4分の1!$E$11:$E$310,768-COUNTA(半紙!$B$11:$B$310)-COUNTA(条幅!$B$11:$B$310)),"")))=0,"",IF(768&lt;=COUNTA(半紙!$B$11:$B$310),INDEX(半紙!$E$11:$E$310,768),IF(768&lt;=COUNTA(半紙!$B$11:$B$310)+COUNTA(条幅!$B$11:$B$310),INDEX(条幅!$E$11:$E$310,768-COUNTA(半紙!$B$11:$B$310)),IF(768&lt;=COUNTA(半紙!$B$11:$B$310)+COUNTA(条幅!$B$11:$B$310)+COUNTA(条幅4分の1!$B$11:$B$310),INDEX(条幅4分の1!$E$11:$E$310,768-COUNTA(半紙!$B$11:$B$310)-COUNTA(条幅!$B$11:$B$310)),""))))</f>
        <v/>
      </c>
      <c r="F773" s="38" t="str">
        <f>IF(IF(768&lt;=COUNTA(半紙!$B$11:$B$310),INDEX(半紙!$F$11:$F$310,768),IF(768&lt;=COUNTA(半紙!$B$11:$B$310)+COUNTA(条幅!$B$11:$B$310),INDEX(条幅!$F$11:$F$310,768-COUNTA(半紙!$B$11:$B$310)),IF(768&lt;=COUNTA(半紙!$B$11:$B$310)+COUNTA(条幅!$B$11:$B$310)+COUNTA(条幅4分の1!$B$11:$B$310),INDEX(条幅4分の1!$F$11:$F$310,768-COUNTA(半紙!$B$11:$B$310)-COUNTA(条幅!$B$11:$B$310)),"")))=0,"",IF(768&lt;=COUNTA(半紙!$B$11:$B$310),INDEX(半紙!$F$11:$F$310,768),IF(768&lt;=COUNTA(半紙!$B$11:$B$310)+COUNTA(条幅!$B$11:$B$310),INDEX(条幅!$F$11:$F$310,768-COUNTA(半紙!$B$11:$B$310)),IF(768&lt;=COUNTA(半紙!$B$11:$B$310)+COUNTA(条幅!$B$11:$B$310)+COUNTA(条幅4分の1!$B$11:$B$310),INDEX(条幅4分の1!$F$11:$F$310,768-COUNTA(半紙!$B$11:$B$310)-COUNTA(条幅!$B$11:$B$310)),""))))</f>
        <v/>
      </c>
      <c r="G773" s="38" t="str">
        <f>IF(IF(768&lt;=COUNTA(半紙!$B$11:$B$310),INDEX(半紙!$G$11:$G$310,768),IF(768&lt;=COUNTA(半紙!$B$11:$B$310)+COUNTA(条幅!$B$11:$B$310),INDEX(条幅!$G$11:$G$310,768-COUNTA(半紙!$B$11:$B$310)),IF(768&lt;=COUNTA(半紙!$B$11:$B$310)+COUNTA(条幅!$B$11:$B$310)+COUNTA(条幅4分の1!$B$11:$B$310),INDEX(条幅4分の1!$G$11:$G$310,768-COUNTA(半紙!$B$11:$B$310)-COUNTA(条幅!$B$11:$B$310)),"")))=0,"",IF(768&lt;=COUNTA(半紙!$B$11:$B$310),INDEX(半紙!$G$11:$G$310,768),IF(768&lt;=COUNTA(半紙!$B$11:$B$310)+COUNTA(条幅!$B$11:$B$310),INDEX(条幅!$G$11:$G$310,768-COUNTA(半紙!$B$11:$B$310)),IF(768&lt;=COUNTA(半紙!$B$11:$B$310)+COUNTA(条幅!$B$11:$B$310)+COUNTA(条幅4分の1!$B$11:$B$310),INDEX(条幅4分の1!$G$11:$G$310,768-COUNTA(半紙!$B$11:$B$310)-COUNTA(条幅!$B$11:$B$310)),""))))</f>
        <v/>
      </c>
      <c r="H773" s="38" t="str">
        <f>IF(IF(768&lt;=COUNTA(半紙!$B$11:$B$310),INDEX(半紙!$H$11:$H$310,768),IF(768&lt;=COUNTA(半紙!$B$11:$B$310)+COUNTA(条幅!$B$11:$B$310),INDEX(条幅!$H$11:$H$310,768-COUNTA(半紙!$B$11:$B$310)),IF(768&lt;=COUNTA(半紙!$B$11:$B$310)+COUNTA(条幅!$B$11:$B$310)+COUNTA(条幅4分の1!$B$11:$B$310),INDEX(条幅4分の1!$H$11:$H$310,768-COUNTA(半紙!$B$11:$B$310)-COUNTA(条幅!$B$11:$B$310)),"")))=0,"",IF(768&lt;=COUNTA(半紙!$B$11:$B$310),INDEX(半紙!$H$11:$H$310,768),IF(768&lt;=COUNTA(半紙!$B$11:$B$310)+COUNTA(条幅!$B$11:$B$310),INDEX(条幅!$H$11:$H$310,768-COUNTA(半紙!$B$11:$B$310)),IF(768&lt;=COUNTA(半紙!$B$11:$B$310)+COUNTA(条幅!$B$11:$B$310)+COUNTA(条幅4分の1!$B$11:$B$310),INDEX(条幅4分の1!$H$11:$H$310,768-COUNTA(半紙!$B$11:$B$310)-COUNTA(条幅!$B$11:$B$310)),""))))</f>
        <v/>
      </c>
      <c r="I773" s="38" t="str">
        <f>IF(IF(768&lt;=COUNTA(半紙!$B$11:$B$310),INDEX(半紙!$I$11:$I$310,768),IF(768&lt;=COUNTA(半紙!$B$11:$B$310)+COUNTA(条幅!$B$11:$B$310),INDEX(条幅!$I$11:$I$310,768-COUNTA(半紙!$B$11:$B$310)),IF(768&lt;=COUNTA(半紙!$B$11:$B$310)+COUNTA(条幅!$B$11:$B$310)+COUNTA(条幅4分の1!$B$11:$B$310),INDEX(条幅4分の1!$I$11:$I$310,768-COUNTA(半紙!$B$11:$B$310)-COUNTA(条幅!$B$11:$B$310)),"")))=0,"",IF(768&lt;=COUNTA(半紙!$B$11:$B$310),INDEX(半紙!$I$11:$I$310,768),IF(768&lt;=COUNTA(半紙!$B$11:$B$310)+COUNTA(条幅!$B$11:$B$310),INDEX(条幅!$I$11:$I$310,768-COUNTA(半紙!$B$11:$B$310)),IF(768&lt;=COUNTA(半紙!$B$11:$B$310)+COUNTA(条幅!$B$11:$B$310)+COUNTA(条幅4分の1!$B$11:$B$310),INDEX(条幅4分の1!$I$11:$I$310,768-COUNTA(半紙!$B$11:$B$310)-COUNTA(条幅!$B$11:$B$310)),""))))</f>
        <v/>
      </c>
      <c r="J773" s="38" t="str">
        <f>IF(IF(768&lt;=COUNTA(半紙!$B$11:$B$310),INDEX(半紙!$J$11:$J$310,768),IF(768&lt;=COUNTA(半紙!$B$11:$B$310)+COUNTA(条幅!$B$11:$B$310),INDEX(条幅!$J$11:$J$310,768-COUNTA(半紙!$B$11:$B$310)),IF(768&lt;=COUNTA(半紙!$B$11:$B$310)+COUNTA(条幅!$B$11:$B$310)+COUNTA(条幅4分の1!$B$11:$B$310),INDEX(条幅4分の1!$J$11:$J$310,768-COUNTA(半紙!$B$11:$B$310)-COUNTA(条幅!$B$11:$B$310)),"")))=0,"",IF(768&lt;=COUNTA(半紙!$B$11:$B$310),INDEX(半紙!$J$11:$J$310,768),IF(768&lt;=COUNTA(半紙!$B$11:$B$310)+COUNTA(条幅!$B$11:$B$310),INDEX(条幅!$J$11:$J$310,768-COUNTA(半紙!$B$11:$B$310)),IF(768&lt;=COUNTA(半紙!$B$11:$B$310)+COUNTA(条幅!$B$11:$B$310)+COUNTA(条幅4分の1!$B$11:$B$310),INDEX(条幅4分の1!$J$11:$J$310,768-COUNTA(半紙!$B$11:$B$310)-COUNTA(条幅!$B$11:$B$310)),""))))</f>
        <v/>
      </c>
      <c r="K773" s="38" t="str">
        <f>IF(IF(768&lt;=COUNTA(半紙!$B$11:$B$310),INDEX(半紙!$K$11:$K$310,768),IF(768&lt;=COUNTA(半紙!$B$11:$B$310)+COUNTA(条幅!$B$11:$B$310),INDEX(条幅!$K$11:$K$310,768-COUNTA(半紙!$B$11:$B$310)),IF(768&lt;=COUNTA(半紙!$B$11:$B$310)+COUNTA(条幅!$B$11:$B$310)+COUNTA(条幅4分の1!$B$11:$B$310),INDEX(条幅4分の1!$K$11:$K$310,768-COUNTA(半紙!$B$11:$B$310)-COUNTA(条幅!$B$11:$B$310)),"")))=0,"",IF(768&lt;=COUNTA(半紙!$B$11:$B$310),INDEX(半紙!$K$11:$K$310,768),IF(768&lt;=COUNTA(半紙!$B$11:$B$310)+COUNTA(条幅!$B$11:$B$310),INDEX(条幅!$K$11:$K$310,768-COUNTA(半紙!$B$11:$B$310)),IF(768&lt;=COUNTA(半紙!$B$11:$B$310)+COUNTA(条幅!$B$11:$B$310)+COUNTA(条幅4分の1!$B$11:$B$310),INDEX(条幅4分の1!$K$11:$K$310,768-COUNTA(半紙!$B$11:$B$310)-COUNTA(条幅!$B$11:$B$310)),""))))</f>
        <v/>
      </c>
      <c r="L773" s="48" t="str">
        <f>IF($B773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768))</f>
        <v/>
      </c>
    </row>
    <row r="774" spans="1:12" ht="15" customHeight="1">
      <c r="A774" s="37" t="str">
        <f>IF(769&lt;=COUNTA(半紙!$B$11:$B$310),"半紙",IF(769&lt;=COUNTA(半紙!$B$11:$B$310)+COUNTA(条幅!$B$11:$B$310),"条幅(半切)",IF(769&lt;=COUNTA(半紙!$B$11:$B$310)+COUNTA(条幅!$B$11:$B$310)+COUNTA(条幅4分の1!$B$11:$B$310),"条幅(1/4)","")))</f>
        <v/>
      </c>
      <c r="B774" s="38" t="str">
        <f>IF(IF(769&lt;=COUNTA(半紙!$B$11:$B$310),INDEX(半紙!$B$11:$B$310,769),IF(769&lt;=COUNTA(半紙!$B$11:$B$310)+COUNTA(条幅!$B$11:$B$310),INDEX(条幅!$B$11:$B$310,769-COUNTA(半紙!$B$11:$B$310)),IF(769&lt;=COUNTA(半紙!$B$11:$B$310)+COUNTA(条幅!$B$11:$B$310)+COUNTA(条幅4分の1!$B$11:$B$310),INDEX(条幅4分の1!$B$11:$B$310,769-COUNTA(半紙!$B$11:$B$310)-COUNTA(条幅!$B$11:$B$310)),"")))=0,"",IF(769&lt;=COUNTA(半紙!$B$11:$B$310),INDEX(半紙!$B$11:$B$310,769),IF(769&lt;=COUNTA(半紙!$B$11:$B$310)+COUNTA(条幅!$B$11:$B$310),INDEX(条幅!$B$11:$B$310,769-COUNTA(半紙!$B$11:$B$310)),IF(769&lt;=COUNTA(半紙!$B$11:$B$310)+COUNTA(条幅!$B$11:$B$310)+COUNTA(条幅4分の1!$B$11:$B$310),INDEX(条幅4分の1!$B$11:$B$310,769-COUNTA(半紙!$B$11:$B$310)-COUNTA(条幅!$B$11:$B$310)),""))))</f>
        <v/>
      </c>
      <c r="C774" s="38" t="str">
        <f>IF(IF(769&lt;=COUNTA(半紙!$B$11:$B$310),INDEX(半紙!$C$11:$C$310,769),IF(769&lt;=COUNTA(半紙!$B$11:$B$310)+COUNTA(条幅!$B$11:$B$310),INDEX(条幅!$C$11:$C$310,769-COUNTA(半紙!$B$11:$B$310)),IF(769&lt;=COUNTA(半紙!$B$11:$B$310)+COUNTA(条幅!$B$11:$B$310)+COUNTA(条幅4分の1!$B$11:$B$310),INDEX(条幅4分の1!$C$11:$C$310,769-COUNTA(半紙!$B$11:$B$310)-COUNTA(条幅!$B$11:$B$310)),"")))=0,"",IF(769&lt;=COUNTA(半紙!$B$11:$B$310),INDEX(半紙!$C$11:$C$310,769),IF(769&lt;=COUNTA(半紙!$B$11:$B$310)+COUNTA(条幅!$B$11:$B$310),INDEX(条幅!$C$11:$C$310,769-COUNTA(半紙!$B$11:$B$310)),IF(769&lt;=COUNTA(半紙!$B$11:$B$310)+COUNTA(条幅!$B$11:$B$310)+COUNTA(条幅4分の1!$B$11:$B$310),INDEX(条幅4分の1!$C$11:$C$310,769-COUNTA(半紙!$B$11:$B$310)-COUNTA(条幅!$B$11:$B$310)),""))))</f>
        <v/>
      </c>
      <c r="D774" s="38" t="str">
        <f>IF(IF(769&lt;=COUNTA(半紙!$B$11:$B$310),INDEX(半紙!$D$11:$D$310,769),IF(769&lt;=COUNTA(半紙!$B$11:$B$310)+COUNTA(条幅!$B$11:$B$310),INDEX(条幅!$D$11:$D$310,769-COUNTA(半紙!$B$11:$B$310)),IF(769&lt;=COUNTA(半紙!$B$11:$B$310)+COUNTA(条幅!$B$11:$B$310)+COUNTA(条幅4分の1!$B$11:$B$310),INDEX(条幅4分の1!$D$11:$D$310,769-COUNTA(半紙!$B$11:$B$310)-COUNTA(条幅!$B$11:$B$310)),"")))=0,"",IF(769&lt;=COUNTA(半紙!$B$11:$B$310),INDEX(半紙!$D$11:$D$310,769),IF(769&lt;=COUNTA(半紙!$B$11:$B$310)+COUNTA(条幅!$B$11:$B$310),INDEX(条幅!$D$11:$D$310,769-COUNTA(半紙!$B$11:$B$310)),IF(769&lt;=COUNTA(半紙!$B$11:$B$310)+COUNTA(条幅!$B$11:$B$310)+COUNTA(条幅4分の1!$B$11:$B$310),INDEX(条幅4分の1!$D$11:$D$310,769-COUNTA(半紙!$B$11:$B$310)-COUNTA(条幅!$B$11:$B$310)),""))))</f>
        <v/>
      </c>
      <c r="E774" s="38" t="str">
        <f>IF(IF(769&lt;=COUNTA(半紙!$B$11:$B$310),INDEX(半紙!$E$11:$E$310,769),IF(769&lt;=COUNTA(半紙!$B$11:$B$310)+COUNTA(条幅!$B$11:$B$310),INDEX(条幅!$E$11:$E$310,769-COUNTA(半紙!$B$11:$B$310)),IF(769&lt;=COUNTA(半紙!$B$11:$B$310)+COUNTA(条幅!$B$11:$B$310)+COUNTA(条幅4分の1!$B$11:$B$310),INDEX(条幅4分の1!$E$11:$E$310,769-COUNTA(半紙!$B$11:$B$310)-COUNTA(条幅!$B$11:$B$310)),"")))=0,"",IF(769&lt;=COUNTA(半紙!$B$11:$B$310),INDEX(半紙!$E$11:$E$310,769),IF(769&lt;=COUNTA(半紙!$B$11:$B$310)+COUNTA(条幅!$B$11:$B$310),INDEX(条幅!$E$11:$E$310,769-COUNTA(半紙!$B$11:$B$310)),IF(769&lt;=COUNTA(半紙!$B$11:$B$310)+COUNTA(条幅!$B$11:$B$310)+COUNTA(条幅4分の1!$B$11:$B$310),INDEX(条幅4分の1!$E$11:$E$310,769-COUNTA(半紙!$B$11:$B$310)-COUNTA(条幅!$B$11:$B$310)),""))))</f>
        <v/>
      </c>
      <c r="F774" s="38" t="str">
        <f>IF(IF(769&lt;=COUNTA(半紙!$B$11:$B$310),INDEX(半紙!$F$11:$F$310,769),IF(769&lt;=COUNTA(半紙!$B$11:$B$310)+COUNTA(条幅!$B$11:$B$310),INDEX(条幅!$F$11:$F$310,769-COUNTA(半紙!$B$11:$B$310)),IF(769&lt;=COUNTA(半紙!$B$11:$B$310)+COUNTA(条幅!$B$11:$B$310)+COUNTA(条幅4分の1!$B$11:$B$310),INDEX(条幅4分の1!$F$11:$F$310,769-COUNTA(半紙!$B$11:$B$310)-COUNTA(条幅!$B$11:$B$310)),"")))=0,"",IF(769&lt;=COUNTA(半紙!$B$11:$B$310),INDEX(半紙!$F$11:$F$310,769),IF(769&lt;=COUNTA(半紙!$B$11:$B$310)+COUNTA(条幅!$B$11:$B$310),INDEX(条幅!$F$11:$F$310,769-COUNTA(半紙!$B$11:$B$310)),IF(769&lt;=COUNTA(半紙!$B$11:$B$310)+COUNTA(条幅!$B$11:$B$310)+COUNTA(条幅4分の1!$B$11:$B$310),INDEX(条幅4分の1!$F$11:$F$310,769-COUNTA(半紙!$B$11:$B$310)-COUNTA(条幅!$B$11:$B$310)),""))))</f>
        <v/>
      </c>
      <c r="G774" s="38" t="str">
        <f>IF(IF(769&lt;=COUNTA(半紙!$B$11:$B$310),INDEX(半紙!$G$11:$G$310,769),IF(769&lt;=COUNTA(半紙!$B$11:$B$310)+COUNTA(条幅!$B$11:$B$310),INDEX(条幅!$G$11:$G$310,769-COUNTA(半紙!$B$11:$B$310)),IF(769&lt;=COUNTA(半紙!$B$11:$B$310)+COUNTA(条幅!$B$11:$B$310)+COUNTA(条幅4分の1!$B$11:$B$310),INDEX(条幅4分の1!$G$11:$G$310,769-COUNTA(半紙!$B$11:$B$310)-COUNTA(条幅!$B$11:$B$310)),"")))=0,"",IF(769&lt;=COUNTA(半紙!$B$11:$B$310),INDEX(半紙!$G$11:$G$310,769),IF(769&lt;=COUNTA(半紙!$B$11:$B$310)+COUNTA(条幅!$B$11:$B$310),INDEX(条幅!$G$11:$G$310,769-COUNTA(半紙!$B$11:$B$310)),IF(769&lt;=COUNTA(半紙!$B$11:$B$310)+COUNTA(条幅!$B$11:$B$310)+COUNTA(条幅4分の1!$B$11:$B$310),INDEX(条幅4分の1!$G$11:$G$310,769-COUNTA(半紙!$B$11:$B$310)-COUNTA(条幅!$B$11:$B$310)),""))))</f>
        <v/>
      </c>
      <c r="H774" s="38" t="str">
        <f>IF(IF(769&lt;=COUNTA(半紙!$B$11:$B$310),INDEX(半紙!$H$11:$H$310,769),IF(769&lt;=COUNTA(半紙!$B$11:$B$310)+COUNTA(条幅!$B$11:$B$310),INDEX(条幅!$H$11:$H$310,769-COUNTA(半紙!$B$11:$B$310)),IF(769&lt;=COUNTA(半紙!$B$11:$B$310)+COUNTA(条幅!$B$11:$B$310)+COUNTA(条幅4分の1!$B$11:$B$310),INDEX(条幅4分の1!$H$11:$H$310,769-COUNTA(半紙!$B$11:$B$310)-COUNTA(条幅!$B$11:$B$310)),"")))=0,"",IF(769&lt;=COUNTA(半紙!$B$11:$B$310),INDEX(半紙!$H$11:$H$310,769),IF(769&lt;=COUNTA(半紙!$B$11:$B$310)+COUNTA(条幅!$B$11:$B$310),INDEX(条幅!$H$11:$H$310,769-COUNTA(半紙!$B$11:$B$310)),IF(769&lt;=COUNTA(半紙!$B$11:$B$310)+COUNTA(条幅!$B$11:$B$310)+COUNTA(条幅4分の1!$B$11:$B$310),INDEX(条幅4分の1!$H$11:$H$310,769-COUNTA(半紙!$B$11:$B$310)-COUNTA(条幅!$B$11:$B$310)),""))))</f>
        <v/>
      </c>
      <c r="I774" s="38" t="str">
        <f>IF(IF(769&lt;=COUNTA(半紙!$B$11:$B$310),INDEX(半紙!$I$11:$I$310,769),IF(769&lt;=COUNTA(半紙!$B$11:$B$310)+COUNTA(条幅!$B$11:$B$310),INDEX(条幅!$I$11:$I$310,769-COUNTA(半紙!$B$11:$B$310)),IF(769&lt;=COUNTA(半紙!$B$11:$B$310)+COUNTA(条幅!$B$11:$B$310)+COUNTA(条幅4分の1!$B$11:$B$310),INDEX(条幅4分の1!$I$11:$I$310,769-COUNTA(半紙!$B$11:$B$310)-COUNTA(条幅!$B$11:$B$310)),"")))=0,"",IF(769&lt;=COUNTA(半紙!$B$11:$B$310),INDEX(半紙!$I$11:$I$310,769),IF(769&lt;=COUNTA(半紙!$B$11:$B$310)+COUNTA(条幅!$B$11:$B$310),INDEX(条幅!$I$11:$I$310,769-COUNTA(半紙!$B$11:$B$310)),IF(769&lt;=COUNTA(半紙!$B$11:$B$310)+COUNTA(条幅!$B$11:$B$310)+COUNTA(条幅4分の1!$B$11:$B$310),INDEX(条幅4分の1!$I$11:$I$310,769-COUNTA(半紙!$B$11:$B$310)-COUNTA(条幅!$B$11:$B$310)),""))))</f>
        <v/>
      </c>
      <c r="J774" s="38" t="str">
        <f>IF(IF(769&lt;=COUNTA(半紙!$B$11:$B$310),INDEX(半紙!$J$11:$J$310,769),IF(769&lt;=COUNTA(半紙!$B$11:$B$310)+COUNTA(条幅!$B$11:$B$310),INDEX(条幅!$J$11:$J$310,769-COUNTA(半紙!$B$11:$B$310)),IF(769&lt;=COUNTA(半紙!$B$11:$B$310)+COUNTA(条幅!$B$11:$B$310)+COUNTA(条幅4分の1!$B$11:$B$310),INDEX(条幅4分の1!$J$11:$J$310,769-COUNTA(半紙!$B$11:$B$310)-COUNTA(条幅!$B$11:$B$310)),"")))=0,"",IF(769&lt;=COUNTA(半紙!$B$11:$B$310),INDEX(半紙!$J$11:$J$310,769),IF(769&lt;=COUNTA(半紙!$B$11:$B$310)+COUNTA(条幅!$B$11:$B$310),INDEX(条幅!$J$11:$J$310,769-COUNTA(半紙!$B$11:$B$310)),IF(769&lt;=COUNTA(半紙!$B$11:$B$310)+COUNTA(条幅!$B$11:$B$310)+COUNTA(条幅4分の1!$B$11:$B$310),INDEX(条幅4分の1!$J$11:$J$310,769-COUNTA(半紙!$B$11:$B$310)-COUNTA(条幅!$B$11:$B$310)),""))))</f>
        <v/>
      </c>
      <c r="K774" s="38" t="str">
        <f>IF(IF(769&lt;=COUNTA(半紙!$B$11:$B$310),INDEX(半紙!$K$11:$K$310,769),IF(769&lt;=COUNTA(半紙!$B$11:$B$310)+COUNTA(条幅!$B$11:$B$310),INDEX(条幅!$K$11:$K$310,769-COUNTA(半紙!$B$11:$B$310)),IF(769&lt;=COUNTA(半紙!$B$11:$B$310)+COUNTA(条幅!$B$11:$B$310)+COUNTA(条幅4分の1!$B$11:$B$310),INDEX(条幅4分の1!$K$11:$K$310,769-COUNTA(半紙!$B$11:$B$310)-COUNTA(条幅!$B$11:$B$310)),"")))=0,"",IF(769&lt;=COUNTA(半紙!$B$11:$B$310),INDEX(半紙!$K$11:$K$310,769),IF(769&lt;=COUNTA(半紙!$B$11:$B$310)+COUNTA(条幅!$B$11:$B$310),INDEX(条幅!$K$11:$K$310,769-COUNTA(半紙!$B$11:$B$310)),IF(769&lt;=COUNTA(半紙!$B$11:$B$310)+COUNTA(条幅!$B$11:$B$310)+COUNTA(条幅4分の1!$B$11:$B$310),INDEX(条幅4分の1!$K$11:$K$310,769-COUNTA(半紙!$B$11:$B$310)-COUNTA(条幅!$B$11:$B$310)),""))))</f>
        <v/>
      </c>
      <c r="L774" s="48" t="str">
        <f>IF($B774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769))</f>
        <v/>
      </c>
    </row>
    <row r="775" spans="1:12" ht="15" customHeight="1">
      <c r="A775" s="37" t="str">
        <f>IF(770&lt;=COUNTA(半紙!$B$11:$B$310),"半紙",IF(770&lt;=COUNTA(半紙!$B$11:$B$310)+COUNTA(条幅!$B$11:$B$310),"条幅(半切)",IF(770&lt;=COUNTA(半紙!$B$11:$B$310)+COUNTA(条幅!$B$11:$B$310)+COUNTA(条幅4分の1!$B$11:$B$310),"条幅(1/4)","")))</f>
        <v/>
      </c>
      <c r="B775" s="38" t="str">
        <f>IF(IF(770&lt;=COUNTA(半紙!$B$11:$B$310),INDEX(半紙!$B$11:$B$310,770),IF(770&lt;=COUNTA(半紙!$B$11:$B$310)+COUNTA(条幅!$B$11:$B$310),INDEX(条幅!$B$11:$B$310,770-COUNTA(半紙!$B$11:$B$310)),IF(770&lt;=COUNTA(半紙!$B$11:$B$310)+COUNTA(条幅!$B$11:$B$310)+COUNTA(条幅4分の1!$B$11:$B$310),INDEX(条幅4分の1!$B$11:$B$310,770-COUNTA(半紙!$B$11:$B$310)-COUNTA(条幅!$B$11:$B$310)),"")))=0,"",IF(770&lt;=COUNTA(半紙!$B$11:$B$310),INDEX(半紙!$B$11:$B$310,770),IF(770&lt;=COUNTA(半紙!$B$11:$B$310)+COUNTA(条幅!$B$11:$B$310),INDEX(条幅!$B$11:$B$310,770-COUNTA(半紙!$B$11:$B$310)),IF(770&lt;=COUNTA(半紙!$B$11:$B$310)+COUNTA(条幅!$B$11:$B$310)+COUNTA(条幅4分の1!$B$11:$B$310),INDEX(条幅4分の1!$B$11:$B$310,770-COUNTA(半紙!$B$11:$B$310)-COUNTA(条幅!$B$11:$B$310)),""))))</f>
        <v/>
      </c>
      <c r="C775" s="38" t="str">
        <f>IF(IF(770&lt;=COUNTA(半紙!$B$11:$B$310),INDEX(半紙!$C$11:$C$310,770),IF(770&lt;=COUNTA(半紙!$B$11:$B$310)+COUNTA(条幅!$B$11:$B$310),INDEX(条幅!$C$11:$C$310,770-COUNTA(半紙!$B$11:$B$310)),IF(770&lt;=COUNTA(半紙!$B$11:$B$310)+COUNTA(条幅!$B$11:$B$310)+COUNTA(条幅4分の1!$B$11:$B$310),INDEX(条幅4分の1!$C$11:$C$310,770-COUNTA(半紙!$B$11:$B$310)-COUNTA(条幅!$B$11:$B$310)),"")))=0,"",IF(770&lt;=COUNTA(半紙!$B$11:$B$310),INDEX(半紙!$C$11:$C$310,770),IF(770&lt;=COUNTA(半紙!$B$11:$B$310)+COUNTA(条幅!$B$11:$B$310),INDEX(条幅!$C$11:$C$310,770-COUNTA(半紙!$B$11:$B$310)),IF(770&lt;=COUNTA(半紙!$B$11:$B$310)+COUNTA(条幅!$B$11:$B$310)+COUNTA(条幅4分の1!$B$11:$B$310),INDEX(条幅4分の1!$C$11:$C$310,770-COUNTA(半紙!$B$11:$B$310)-COUNTA(条幅!$B$11:$B$310)),""))))</f>
        <v/>
      </c>
      <c r="D775" s="38" t="str">
        <f>IF(IF(770&lt;=COUNTA(半紙!$B$11:$B$310),INDEX(半紙!$D$11:$D$310,770),IF(770&lt;=COUNTA(半紙!$B$11:$B$310)+COUNTA(条幅!$B$11:$B$310),INDEX(条幅!$D$11:$D$310,770-COUNTA(半紙!$B$11:$B$310)),IF(770&lt;=COUNTA(半紙!$B$11:$B$310)+COUNTA(条幅!$B$11:$B$310)+COUNTA(条幅4分の1!$B$11:$B$310),INDEX(条幅4分の1!$D$11:$D$310,770-COUNTA(半紙!$B$11:$B$310)-COUNTA(条幅!$B$11:$B$310)),"")))=0,"",IF(770&lt;=COUNTA(半紙!$B$11:$B$310),INDEX(半紙!$D$11:$D$310,770),IF(770&lt;=COUNTA(半紙!$B$11:$B$310)+COUNTA(条幅!$B$11:$B$310),INDEX(条幅!$D$11:$D$310,770-COUNTA(半紙!$B$11:$B$310)),IF(770&lt;=COUNTA(半紙!$B$11:$B$310)+COUNTA(条幅!$B$11:$B$310)+COUNTA(条幅4分の1!$B$11:$B$310),INDEX(条幅4分の1!$D$11:$D$310,770-COUNTA(半紙!$B$11:$B$310)-COUNTA(条幅!$B$11:$B$310)),""))))</f>
        <v/>
      </c>
      <c r="E775" s="38" t="str">
        <f>IF(IF(770&lt;=COUNTA(半紙!$B$11:$B$310),INDEX(半紙!$E$11:$E$310,770),IF(770&lt;=COUNTA(半紙!$B$11:$B$310)+COUNTA(条幅!$B$11:$B$310),INDEX(条幅!$E$11:$E$310,770-COUNTA(半紙!$B$11:$B$310)),IF(770&lt;=COUNTA(半紙!$B$11:$B$310)+COUNTA(条幅!$B$11:$B$310)+COUNTA(条幅4分の1!$B$11:$B$310),INDEX(条幅4分の1!$E$11:$E$310,770-COUNTA(半紙!$B$11:$B$310)-COUNTA(条幅!$B$11:$B$310)),"")))=0,"",IF(770&lt;=COUNTA(半紙!$B$11:$B$310),INDEX(半紙!$E$11:$E$310,770),IF(770&lt;=COUNTA(半紙!$B$11:$B$310)+COUNTA(条幅!$B$11:$B$310),INDEX(条幅!$E$11:$E$310,770-COUNTA(半紙!$B$11:$B$310)),IF(770&lt;=COUNTA(半紙!$B$11:$B$310)+COUNTA(条幅!$B$11:$B$310)+COUNTA(条幅4分の1!$B$11:$B$310),INDEX(条幅4分の1!$E$11:$E$310,770-COUNTA(半紙!$B$11:$B$310)-COUNTA(条幅!$B$11:$B$310)),""))))</f>
        <v/>
      </c>
      <c r="F775" s="38" t="str">
        <f>IF(IF(770&lt;=COUNTA(半紙!$B$11:$B$310),INDEX(半紙!$F$11:$F$310,770),IF(770&lt;=COUNTA(半紙!$B$11:$B$310)+COUNTA(条幅!$B$11:$B$310),INDEX(条幅!$F$11:$F$310,770-COUNTA(半紙!$B$11:$B$310)),IF(770&lt;=COUNTA(半紙!$B$11:$B$310)+COUNTA(条幅!$B$11:$B$310)+COUNTA(条幅4分の1!$B$11:$B$310),INDEX(条幅4分の1!$F$11:$F$310,770-COUNTA(半紙!$B$11:$B$310)-COUNTA(条幅!$B$11:$B$310)),"")))=0,"",IF(770&lt;=COUNTA(半紙!$B$11:$B$310),INDEX(半紙!$F$11:$F$310,770),IF(770&lt;=COUNTA(半紙!$B$11:$B$310)+COUNTA(条幅!$B$11:$B$310),INDEX(条幅!$F$11:$F$310,770-COUNTA(半紙!$B$11:$B$310)),IF(770&lt;=COUNTA(半紙!$B$11:$B$310)+COUNTA(条幅!$B$11:$B$310)+COUNTA(条幅4分の1!$B$11:$B$310),INDEX(条幅4分の1!$F$11:$F$310,770-COUNTA(半紙!$B$11:$B$310)-COUNTA(条幅!$B$11:$B$310)),""))))</f>
        <v/>
      </c>
      <c r="G775" s="38" t="str">
        <f>IF(IF(770&lt;=COUNTA(半紙!$B$11:$B$310),INDEX(半紙!$G$11:$G$310,770),IF(770&lt;=COUNTA(半紙!$B$11:$B$310)+COUNTA(条幅!$B$11:$B$310),INDEX(条幅!$G$11:$G$310,770-COUNTA(半紙!$B$11:$B$310)),IF(770&lt;=COUNTA(半紙!$B$11:$B$310)+COUNTA(条幅!$B$11:$B$310)+COUNTA(条幅4分の1!$B$11:$B$310),INDEX(条幅4分の1!$G$11:$G$310,770-COUNTA(半紙!$B$11:$B$310)-COUNTA(条幅!$B$11:$B$310)),"")))=0,"",IF(770&lt;=COUNTA(半紙!$B$11:$B$310),INDEX(半紙!$G$11:$G$310,770),IF(770&lt;=COUNTA(半紙!$B$11:$B$310)+COUNTA(条幅!$B$11:$B$310),INDEX(条幅!$G$11:$G$310,770-COUNTA(半紙!$B$11:$B$310)),IF(770&lt;=COUNTA(半紙!$B$11:$B$310)+COUNTA(条幅!$B$11:$B$310)+COUNTA(条幅4分の1!$B$11:$B$310),INDEX(条幅4分の1!$G$11:$G$310,770-COUNTA(半紙!$B$11:$B$310)-COUNTA(条幅!$B$11:$B$310)),""))))</f>
        <v/>
      </c>
      <c r="H775" s="38" t="str">
        <f>IF(IF(770&lt;=COUNTA(半紙!$B$11:$B$310),INDEX(半紙!$H$11:$H$310,770),IF(770&lt;=COUNTA(半紙!$B$11:$B$310)+COUNTA(条幅!$B$11:$B$310),INDEX(条幅!$H$11:$H$310,770-COUNTA(半紙!$B$11:$B$310)),IF(770&lt;=COUNTA(半紙!$B$11:$B$310)+COUNTA(条幅!$B$11:$B$310)+COUNTA(条幅4分の1!$B$11:$B$310),INDEX(条幅4分の1!$H$11:$H$310,770-COUNTA(半紙!$B$11:$B$310)-COUNTA(条幅!$B$11:$B$310)),"")))=0,"",IF(770&lt;=COUNTA(半紙!$B$11:$B$310),INDEX(半紙!$H$11:$H$310,770),IF(770&lt;=COUNTA(半紙!$B$11:$B$310)+COUNTA(条幅!$B$11:$B$310),INDEX(条幅!$H$11:$H$310,770-COUNTA(半紙!$B$11:$B$310)),IF(770&lt;=COUNTA(半紙!$B$11:$B$310)+COUNTA(条幅!$B$11:$B$310)+COUNTA(条幅4分の1!$B$11:$B$310),INDEX(条幅4分の1!$H$11:$H$310,770-COUNTA(半紙!$B$11:$B$310)-COUNTA(条幅!$B$11:$B$310)),""))))</f>
        <v/>
      </c>
      <c r="I775" s="38" t="str">
        <f>IF(IF(770&lt;=COUNTA(半紙!$B$11:$B$310),INDEX(半紙!$I$11:$I$310,770),IF(770&lt;=COUNTA(半紙!$B$11:$B$310)+COUNTA(条幅!$B$11:$B$310),INDEX(条幅!$I$11:$I$310,770-COUNTA(半紙!$B$11:$B$310)),IF(770&lt;=COUNTA(半紙!$B$11:$B$310)+COUNTA(条幅!$B$11:$B$310)+COUNTA(条幅4分の1!$B$11:$B$310),INDEX(条幅4分の1!$I$11:$I$310,770-COUNTA(半紙!$B$11:$B$310)-COUNTA(条幅!$B$11:$B$310)),"")))=0,"",IF(770&lt;=COUNTA(半紙!$B$11:$B$310),INDEX(半紙!$I$11:$I$310,770),IF(770&lt;=COUNTA(半紙!$B$11:$B$310)+COUNTA(条幅!$B$11:$B$310),INDEX(条幅!$I$11:$I$310,770-COUNTA(半紙!$B$11:$B$310)),IF(770&lt;=COUNTA(半紙!$B$11:$B$310)+COUNTA(条幅!$B$11:$B$310)+COUNTA(条幅4分の1!$B$11:$B$310),INDEX(条幅4分の1!$I$11:$I$310,770-COUNTA(半紙!$B$11:$B$310)-COUNTA(条幅!$B$11:$B$310)),""))))</f>
        <v/>
      </c>
      <c r="J775" s="38" t="str">
        <f>IF(IF(770&lt;=COUNTA(半紙!$B$11:$B$310),INDEX(半紙!$J$11:$J$310,770),IF(770&lt;=COUNTA(半紙!$B$11:$B$310)+COUNTA(条幅!$B$11:$B$310),INDEX(条幅!$J$11:$J$310,770-COUNTA(半紙!$B$11:$B$310)),IF(770&lt;=COUNTA(半紙!$B$11:$B$310)+COUNTA(条幅!$B$11:$B$310)+COUNTA(条幅4分の1!$B$11:$B$310),INDEX(条幅4分の1!$J$11:$J$310,770-COUNTA(半紙!$B$11:$B$310)-COUNTA(条幅!$B$11:$B$310)),"")))=0,"",IF(770&lt;=COUNTA(半紙!$B$11:$B$310),INDEX(半紙!$J$11:$J$310,770),IF(770&lt;=COUNTA(半紙!$B$11:$B$310)+COUNTA(条幅!$B$11:$B$310),INDEX(条幅!$J$11:$J$310,770-COUNTA(半紙!$B$11:$B$310)),IF(770&lt;=COUNTA(半紙!$B$11:$B$310)+COUNTA(条幅!$B$11:$B$310)+COUNTA(条幅4分の1!$B$11:$B$310),INDEX(条幅4分の1!$J$11:$J$310,770-COUNTA(半紙!$B$11:$B$310)-COUNTA(条幅!$B$11:$B$310)),""))))</f>
        <v/>
      </c>
      <c r="K775" s="38" t="str">
        <f>IF(IF(770&lt;=COUNTA(半紙!$B$11:$B$310),INDEX(半紙!$K$11:$K$310,770),IF(770&lt;=COUNTA(半紙!$B$11:$B$310)+COUNTA(条幅!$B$11:$B$310),INDEX(条幅!$K$11:$K$310,770-COUNTA(半紙!$B$11:$B$310)),IF(770&lt;=COUNTA(半紙!$B$11:$B$310)+COUNTA(条幅!$B$11:$B$310)+COUNTA(条幅4分の1!$B$11:$B$310),INDEX(条幅4分の1!$K$11:$K$310,770-COUNTA(半紙!$B$11:$B$310)-COUNTA(条幅!$B$11:$B$310)),"")))=0,"",IF(770&lt;=COUNTA(半紙!$B$11:$B$310),INDEX(半紙!$K$11:$K$310,770),IF(770&lt;=COUNTA(半紙!$B$11:$B$310)+COUNTA(条幅!$B$11:$B$310),INDEX(条幅!$K$11:$K$310,770-COUNTA(半紙!$B$11:$B$310)),IF(770&lt;=COUNTA(半紙!$B$11:$B$310)+COUNTA(条幅!$B$11:$B$310)+COUNTA(条幅4分の1!$B$11:$B$310),INDEX(条幅4分の1!$K$11:$K$310,770-COUNTA(半紙!$B$11:$B$310)-COUNTA(条幅!$B$11:$B$310)),""))))</f>
        <v/>
      </c>
      <c r="L775" s="48" t="str">
        <f>IF($B775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770))</f>
        <v/>
      </c>
    </row>
    <row r="776" spans="1:12" ht="15" customHeight="1">
      <c r="A776" s="37" t="str">
        <f>IF(771&lt;=COUNTA(半紙!$B$11:$B$310),"半紙",IF(771&lt;=COUNTA(半紙!$B$11:$B$310)+COUNTA(条幅!$B$11:$B$310),"条幅(半切)",IF(771&lt;=COUNTA(半紙!$B$11:$B$310)+COUNTA(条幅!$B$11:$B$310)+COUNTA(条幅4分の1!$B$11:$B$310),"条幅(1/4)","")))</f>
        <v/>
      </c>
      <c r="B776" s="38" t="str">
        <f>IF(IF(771&lt;=COUNTA(半紙!$B$11:$B$310),INDEX(半紙!$B$11:$B$310,771),IF(771&lt;=COUNTA(半紙!$B$11:$B$310)+COUNTA(条幅!$B$11:$B$310),INDEX(条幅!$B$11:$B$310,771-COUNTA(半紙!$B$11:$B$310)),IF(771&lt;=COUNTA(半紙!$B$11:$B$310)+COUNTA(条幅!$B$11:$B$310)+COUNTA(条幅4分の1!$B$11:$B$310),INDEX(条幅4分の1!$B$11:$B$310,771-COUNTA(半紙!$B$11:$B$310)-COUNTA(条幅!$B$11:$B$310)),"")))=0,"",IF(771&lt;=COUNTA(半紙!$B$11:$B$310),INDEX(半紙!$B$11:$B$310,771),IF(771&lt;=COUNTA(半紙!$B$11:$B$310)+COUNTA(条幅!$B$11:$B$310),INDEX(条幅!$B$11:$B$310,771-COUNTA(半紙!$B$11:$B$310)),IF(771&lt;=COUNTA(半紙!$B$11:$B$310)+COUNTA(条幅!$B$11:$B$310)+COUNTA(条幅4分の1!$B$11:$B$310),INDEX(条幅4分の1!$B$11:$B$310,771-COUNTA(半紙!$B$11:$B$310)-COUNTA(条幅!$B$11:$B$310)),""))))</f>
        <v/>
      </c>
      <c r="C776" s="38" t="str">
        <f>IF(IF(771&lt;=COUNTA(半紙!$B$11:$B$310),INDEX(半紙!$C$11:$C$310,771),IF(771&lt;=COUNTA(半紙!$B$11:$B$310)+COUNTA(条幅!$B$11:$B$310),INDEX(条幅!$C$11:$C$310,771-COUNTA(半紙!$B$11:$B$310)),IF(771&lt;=COUNTA(半紙!$B$11:$B$310)+COUNTA(条幅!$B$11:$B$310)+COUNTA(条幅4分の1!$B$11:$B$310),INDEX(条幅4分の1!$C$11:$C$310,771-COUNTA(半紙!$B$11:$B$310)-COUNTA(条幅!$B$11:$B$310)),"")))=0,"",IF(771&lt;=COUNTA(半紙!$B$11:$B$310),INDEX(半紙!$C$11:$C$310,771),IF(771&lt;=COUNTA(半紙!$B$11:$B$310)+COUNTA(条幅!$B$11:$B$310),INDEX(条幅!$C$11:$C$310,771-COUNTA(半紙!$B$11:$B$310)),IF(771&lt;=COUNTA(半紙!$B$11:$B$310)+COUNTA(条幅!$B$11:$B$310)+COUNTA(条幅4分の1!$B$11:$B$310),INDEX(条幅4分の1!$C$11:$C$310,771-COUNTA(半紙!$B$11:$B$310)-COUNTA(条幅!$B$11:$B$310)),""))))</f>
        <v/>
      </c>
      <c r="D776" s="38" t="str">
        <f>IF(IF(771&lt;=COUNTA(半紙!$B$11:$B$310),INDEX(半紙!$D$11:$D$310,771),IF(771&lt;=COUNTA(半紙!$B$11:$B$310)+COUNTA(条幅!$B$11:$B$310),INDEX(条幅!$D$11:$D$310,771-COUNTA(半紙!$B$11:$B$310)),IF(771&lt;=COUNTA(半紙!$B$11:$B$310)+COUNTA(条幅!$B$11:$B$310)+COUNTA(条幅4分の1!$B$11:$B$310),INDEX(条幅4分の1!$D$11:$D$310,771-COUNTA(半紙!$B$11:$B$310)-COUNTA(条幅!$B$11:$B$310)),"")))=0,"",IF(771&lt;=COUNTA(半紙!$B$11:$B$310),INDEX(半紙!$D$11:$D$310,771),IF(771&lt;=COUNTA(半紙!$B$11:$B$310)+COUNTA(条幅!$B$11:$B$310),INDEX(条幅!$D$11:$D$310,771-COUNTA(半紙!$B$11:$B$310)),IF(771&lt;=COUNTA(半紙!$B$11:$B$310)+COUNTA(条幅!$B$11:$B$310)+COUNTA(条幅4分の1!$B$11:$B$310),INDEX(条幅4分の1!$D$11:$D$310,771-COUNTA(半紙!$B$11:$B$310)-COUNTA(条幅!$B$11:$B$310)),""))))</f>
        <v/>
      </c>
      <c r="E776" s="38" t="str">
        <f>IF(IF(771&lt;=COUNTA(半紙!$B$11:$B$310),INDEX(半紙!$E$11:$E$310,771),IF(771&lt;=COUNTA(半紙!$B$11:$B$310)+COUNTA(条幅!$B$11:$B$310),INDEX(条幅!$E$11:$E$310,771-COUNTA(半紙!$B$11:$B$310)),IF(771&lt;=COUNTA(半紙!$B$11:$B$310)+COUNTA(条幅!$B$11:$B$310)+COUNTA(条幅4分の1!$B$11:$B$310),INDEX(条幅4分の1!$E$11:$E$310,771-COUNTA(半紙!$B$11:$B$310)-COUNTA(条幅!$B$11:$B$310)),"")))=0,"",IF(771&lt;=COUNTA(半紙!$B$11:$B$310),INDEX(半紙!$E$11:$E$310,771),IF(771&lt;=COUNTA(半紙!$B$11:$B$310)+COUNTA(条幅!$B$11:$B$310),INDEX(条幅!$E$11:$E$310,771-COUNTA(半紙!$B$11:$B$310)),IF(771&lt;=COUNTA(半紙!$B$11:$B$310)+COUNTA(条幅!$B$11:$B$310)+COUNTA(条幅4分の1!$B$11:$B$310),INDEX(条幅4分の1!$E$11:$E$310,771-COUNTA(半紙!$B$11:$B$310)-COUNTA(条幅!$B$11:$B$310)),""))))</f>
        <v/>
      </c>
      <c r="F776" s="38" t="str">
        <f>IF(IF(771&lt;=COUNTA(半紙!$B$11:$B$310),INDEX(半紙!$F$11:$F$310,771),IF(771&lt;=COUNTA(半紙!$B$11:$B$310)+COUNTA(条幅!$B$11:$B$310),INDEX(条幅!$F$11:$F$310,771-COUNTA(半紙!$B$11:$B$310)),IF(771&lt;=COUNTA(半紙!$B$11:$B$310)+COUNTA(条幅!$B$11:$B$310)+COUNTA(条幅4分の1!$B$11:$B$310),INDEX(条幅4分の1!$F$11:$F$310,771-COUNTA(半紙!$B$11:$B$310)-COUNTA(条幅!$B$11:$B$310)),"")))=0,"",IF(771&lt;=COUNTA(半紙!$B$11:$B$310),INDEX(半紙!$F$11:$F$310,771),IF(771&lt;=COUNTA(半紙!$B$11:$B$310)+COUNTA(条幅!$B$11:$B$310),INDEX(条幅!$F$11:$F$310,771-COUNTA(半紙!$B$11:$B$310)),IF(771&lt;=COUNTA(半紙!$B$11:$B$310)+COUNTA(条幅!$B$11:$B$310)+COUNTA(条幅4分の1!$B$11:$B$310),INDEX(条幅4分の1!$F$11:$F$310,771-COUNTA(半紙!$B$11:$B$310)-COUNTA(条幅!$B$11:$B$310)),""))))</f>
        <v/>
      </c>
      <c r="G776" s="38" t="str">
        <f>IF(IF(771&lt;=COUNTA(半紙!$B$11:$B$310),INDEX(半紙!$G$11:$G$310,771),IF(771&lt;=COUNTA(半紙!$B$11:$B$310)+COUNTA(条幅!$B$11:$B$310),INDEX(条幅!$G$11:$G$310,771-COUNTA(半紙!$B$11:$B$310)),IF(771&lt;=COUNTA(半紙!$B$11:$B$310)+COUNTA(条幅!$B$11:$B$310)+COUNTA(条幅4分の1!$B$11:$B$310),INDEX(条幅4分の1!$G$11:$G$310,771-COUNTA(半紙!$B$11:$B$310)-COUNTA(条幅!$B$11:$B$310)),"")))=0,"",IF(771&lt;=COUNTA(半紙!$B$11:$B$310),INDEX(半紙!$G$11:$G$310,771),IF(771&lt;=COUNTA(半紙!$B$11:$B$310)+COUNTA(条幅!$B$11:$B$310),INDEX(条幅!$G$11:$G$310,771-COUNTA(半紙!$B$11:$B$310)),IF(771&lt;=COUNTA(半紙!$B$11:$B$310)+COUNTA(条幅!$B$11:$B$310)+COUNTA(条幅4分の1!$B$11:$B$310),INDEX(条幅4分の1!$G$11:$G$310,771-COUNTA(半紙!$B$11:$B$310)-COUNTA(条幅!$B$11:$B$310)),""))))</f>
        <v/>
      </c>
      <c r="H776" s="38" t="str">
        <f>IF(IF(771&lt;=COUNTA(半紙!$B$11:$B$310),INDEX(半紙!$H$11:$H$310,771),IF(771&lt;=COUNTA(半紙!$B$11:$B$310)+COUNTA(条幅!$B$11:$B$310),INDEX(条幅!$H$11:$H$310,771-COUNTA(半紙!$B$11:$B$310)),IF(771&lt;=COUNTA(半紙!$B$11:$B$310)+COUNTA(条幅!$B$11:$B$310)+COUNTA(条幅4分の1!$B$11:$B$310),INDEX(条幅4分の1!$H$11:$H$310,771-COUNTA(半紙!$B$11:$B$310)-COUNTA(条幅!$B$11:$B$310)),"")))=0,"",IF(771&lt;=COUNTA(半紙!$B$11:$B$310),INDEX(半紙!$H$11:$H$310,771),IF(771&lt;=COUNTA(半紙!$B$11:$B$310)+COUNTA(条幅!$B$11:$B$310),INDEX(条幅!$H$11:$H$310,771-COUNTA(半紙!$B$11:$B$310)),IF(771&lt;=COUNTA(半紙!$B$11:$B$310)+COUNTA(条幅!$B$11:$B$310)+COUNTA(条幅4分の1!$B$11:$B$310),INDEX(条幅4分の1!$H$11:$H$310,771-COUNTA(半紙!$B$11:$B$310)-COUNTA(条幅!$B$11:$B$310)),""))))</f>
        <v/>
      </c>
      <c r="I776" s="38" t="str">
        <f>IF(IF(771&lt;=COUNTA(半紙!$B$11:$B$310),INDEX(半紙!$I$11:$I$310,771),IF(771&lt;=COUNTA(半紙!$B$11:$B$310)+COUNTA(条幅!$B$11:$B$310),INDEX(条幅!$I$11:$I$310,771-COUNTA(半紙!$B$11:$B$310)),IF(771&lt;=COUNTA(半紙!$B$11:$B$310)+COUNTA(条幅!$B$11:$B$310)+COUNTA(条幅4分の1!$B$11:$B$310),INDEX(条幅4分の1!$I$11:$I$310,771-COUNTA(半紙!$B$11:$B$310)-COUNTA(条幅!$B$11:$B$310)),"")))=0,"",IF(771&lt;=COUNTA(半紙!$B$11:$B$310),INDEX(半紙!$I$11:$I$310,771),IF(771&lt;=COUNTA(半紙!$B$11:$B$310)+COUNTA(条幅!$B$11:$B$310),INDEX(条幅!$I$11:$I$310,771-COUNTA(半紙!$B$11:$B$310)),IF(771&lt;=COUNTA(半紙!$B$11:$B$310)+COUNTA(条幅!$B$11:$B$310)+COUNTA(条幅4分の1!$B$11:$B$310),INDEX(条幅4分の1!$I$11:$I$310,771-COUNTA(半紙!$B$11:$B$310)-COUNTA(条幅!$B$11:$B$310)),""))))</f>
        <v/>
      </c>
      <c r="J776" s="38" t="str">
        <f>IF(IF(771&lt;=COUNTA(半紙!$B$11:$B$310),INDEX(半紙!$J$11:$J$310,771),IF(771&lt;=COUNTA(半紙!$B$11:$B$310)+COUNTA(条幅!$B$11:$B$310),INDEX(条幅!$J$11:$J$310,771-COUNTA(半紙!$B$11:$B$310)),IF(771&lt;=COUNTA(半紙!$B$11:$B$310)+COUNTA(条幅!$B$11:$B$310)+COUNTA(条幅4分の1!$B$11:$B$310),INDEX(条幅4分の1!$J$11:$J$310,771-COUNTA(半紙!$B$11:$B$310)-COUNTA(条幅!$B$11:$B$310)),"")))=0,"",IF(771&lt;=COUNTA(半紙!$B$11:$B$310),INDEX(半紙!$J$11:$J$310,771),IF(771&lt;=COUNTA(半紙!$B$11:$B$310)+COUNTA(条幅!$B$11:$B$310),INDEX(条幅!$J$11:$J$310,771-COUNTA(半紙!$B$11:$B$310)),IF(771&lt;=COUNTA(半紙!$B$11:$B$310)+COUNTA(条幅!$B$11:$B$310)+COUNTA(条幅4分の1!$B$11:$B$310),INDEX(条幅4分の1!$J$11:$J$310,771-COUNTA(半紙!$B$11:$B$310)-COUNTA(条幅!$B$11:$B$310)),""))))</f>
        <v/>
      </c>
      <c r="K776" s="38" t="str">
        <f>IF(IF(771&lt;=COUNTA(半紙!$B$11:$B$310),INDEX(半紙!$K$11:$K$310,771),IF(771&lt;=COUNTA(半紙!$B$11:$B$310)+COUNTA(条幅!$B$11:$B$310),INDEX(条幅!$K$11:$K$310,771-COUNTA(半紙!$B$11:$B$310)),IF(771&lt;=COUNTA(半紙!$B$11:$B$310)+COUNTA(条幅!$B$11:$B$310)+COUNTA(条幅4分の1!$B$11:$B$310),INDEX(条幅4分の1!$K$11:$K$310,771-COUNTA(半紙!$B$11:$B$310)-COUNTA(条幅!$B$11:$B$310)),"")))=0,"",IF(771&lt;=COUNTA(半紙!$B$11:$B$310),INDEX(半紙!$K$11:$K$310,771),IF(771&lt;=COUNTA(半紙!$B$11:$B$310)+COUNTA(条幅!$B$11:$B$310),INDEX(条幅!$K$11:$K$310,771-COUNTA(半紙!$B$11:$B$310)),IF(771&lt;=COUNTA(半紙!$B$11:$B$310)+COUNTA(条幅!$B$11:$B$310)+COUNTA(条幅4分の1!$B$11:$B$310),INDEX(条幅4分の1!$K$11:$K$310,771-COUNTA(半紙!$B$11:$B$310)-COUNTA(条幅!$B$11:$B$310)),""))))</f>
        <v/>
      </c>
      <c r="L776" s="48" t="str">
        <f>IF($B776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771))</f>
        <v/>
      </c>
    </row>
    <row r="777" spans="1:12" ht="15" customHeight="1">
      <c r="A777" s="37" t="str">
        <f>IF(772&lt;=COUNTA(半紙!$B$11:$B$310),"半紙",IF(772&lt;=COUNTA(半紙!$B$11:$B$310)+COUNTA(条幅!$B$11:$B$310),"条幅(半切)",IF(772&lt;=COUNTA(半紙!$B$11:$B$310)+COUNTA(条幅!$B$11:$B$310)+COUNTA(条幅4分の1!$B$11:$B$310),"条幅(1/4)","")))</f>
        <v/>
      </c>
      <c r="B777" s="38" t="str">
        <f>IF(IF(772&lt;=COUNTA(半紙!$B$11:$B$310),INDEX(半紙!$B$11:$B$310,772),IF(772&lt;=COUNTA(半紙!$B$11:$B$310)+COUNTA(条幅!$B$11:$B$310),INDEX(条幅!$B$11:$B$310,772-COUNTA(半紙!$B$11:$B$310)),IF(772&lt;=COUNTA(半紙!$B$11:$B$310)+COUNTA(条幅!$B$11:$B$310)+COUNTA(条幅4分の1!$B$11:$B$310),INDEX(条幅4分の1!$B$11:$B$310,772-COUNTA(半紙!$B$11:$B$310)-COUNTA(条幅!$B$11:$B$310)),"")))=0,"",IF(772&lt;=COUNTA(半紙!$B$11:$B$310),INDEX(半紙!$B$11:$B$310,772),IF(772&lt;=COUNTA(半紙!$B$11:$B$310)+COUNTA(条幅!$B$11:$B$310),INDEX(条幅!$B$11:$B$310,772-COUNTA(半紙!$B$11:$B$310)),IF(772&lt;=COUNTA(半紙!$B$11:$B$310)+COUNTA(条幅!$B$11:$B$310)+COUNTA(条幅4分の1!$B$11:$B$310),INDEX(条幅4分の1!$B$11:$B$310,772-COUNTA(半紙!$B$11:$B$310)-COUNTA(条幅!$B$11:$B$310)),""))))</f>
        <v/>
      </c>
      <c r="C777" s="38" t="str">
        <f>IF(IF(772&lt;=COUNTA(半紙!$B$11:$B$310),INDEX(半紙!$C$11:$C$310,772),IF(772&lt;=COUNTA(半紙!$B$11:$B$310)+COUNTA(条幅!$B$11:$B$310),INDEX(条幅!$C$11:$C$310,772-COUNTA(半紙!$B$11:$B$310)),IF(772&lt;=COUNTA(半紙!$B$11:$B$310)+COUNTA(条幅!$B$11:$B$310)+COUNTA(条幅4分の1!$B$11:$B$310),INDEX(条幅4分の1!$C$11:$C$310,772-COUNTA(半紙!$B$11:$B$310)-COUNTA(条幅!$B$11:$B$310)),"")))=0,"",IF(772&lt;=COUNTA(半紙!$B$11:$B$310),INDEX(半紙!$C$11:$C$310,772),IF(772&lt;=COUNTA(半紙!$B$11:$B$310)+COUNTA(条幅!$B$11:$B$310),INDEX(条幅!$C$11:$C$310,772-COUNTA(半紙!$B$11:$B$310)),IF(772&lt;=COUNTA(半紙!$B$11:$B$310)+COUNTA(条幅!$B$11:$B$310)+COUNTA(条幅4分の1!$B$11:$B$310),INDEX(条幅4分の1!$C$11:$C$310,772-COUNTA(半紙!$B$11:$B$310)-COUNTA(条幅!$B$11:$B$310)),""))))</f>
        <v/>
      </c>
      <c r="D777" s="38" t="str">
        <f>IF(IF(772&lt;=COUNTA(半紙!$B$11:$B$310),INDEX(半紙!$D$11:$D$310,772),IF(772&lt;=COUNTA(半紙!$B$11:$B$310)+COUNTA(条幅!$B$11:$B$310),INDEX(条幅!$D$11:$D$310,772-COUNTA(半紙!$B$11:$B$310)),IF(772&lt;=COUNTA(半紙!$B$11:$B$310)+COUNTA(条幅!$B$11:$B$310)+COUNTA(条幅4分の1!$B$11:$B$310),INDEX(条幅4分の1!$D$11:$D$310,772-COUNTA(半紙!$B$11:$B$310)-COUNTA(条幅!$B$11:$B$310)),"")))=0,"",IF(772&lt;=COUNTA(半紙!$B$11:$B$310),INDEX(半紙!$D$11:$D$310,772),IF(772&lt;=COUNTA(半紙!$B$11:$B$310)+COUNTA(条幅!$B$11:$B$310),INDEX(条幅!$D$11:$D$310,772-COUNTA(半紙!$B$11:$B$310)),IF(772&lt;=COUNTA(半紙!$B$11:$B$310)+COUNTA(条幅!$B$11:$B$310)+COUNTA(条幅4分の1!$B$11:$B$310),INDEX(条幅4分の1!$D$11:$D$310,772-COUNTA(半紙!$B$11:$B$310)-COUNTA(条幅!$B$11:$B$310)),""))))</f>
        <v/>
      </c>
      <c r="E777" s="38" t="str">
        <f>IF(IF(772&lt;=COUNTA(半紙!$B$11:$B$310),INDEX(半紙!$E$11:$E$310,772),IF(772&lt;=COUNTA(半紙!$B$11:$B$310)+COUNTA(条幅!$B$11:$B$310),INDEX(条幅!$E$11:$E$310,772-COUNTA(半紙!$B$11:$B$310)),IF(772&lt;=COUNTA(半紙!$B$11:$B$310)+COUNTA(条幅!$B$11:$B$310)+COUNTA(条幅4分の1!$B$11:$B$310),INDEX(条幅4分の1!$E$11:$E$310,772-COUNTA(半紙!$B$11:$B$310)-COUNTA(条幅!$B$11:$B$310)),"")))=0,"",IF(772&lt;=COUNTA(半紙!$B$11:$B$310),INDEX(半紙!$E$11:$E$310,772),IF(772&lt;=COUNTA(半紙!$B$11:$B$310)+COUNTA(条幅!$B$11:$B$310),INDEX(条幅!$E$11:$E$310,772-COUNTA(半紙!$B$11:$B$310)),IF(772&lt;=COUNTA(半紙!$B$11:$B$310)+COUNTA(条幅!$B$11:$B$310)+COUNTA(条幅4分の1!$B$11:$B$310),INDEX(条幅4分の1!$E$11:$E$310,772-COUNTA(半紙!$B$11:$B$310)-COUNTA(条幅!$B$11:$B$310)),""))))</f>
        <v/>
      </c>
      <c r="F777" s="38" t="str">
        <f>IF(IF(772&lt;=COUNTA(半紙!$B$11:$B$310),INDEX(半紙!$F$11:$F$310,772),IF(772&lt;=COUNTA(半紙!$B$11:$B$310)+COUNTA(条幅!$B$11:$B$310),INDEX(条幅!$F$11:$F$310,772-COUNTA(半紙!$B$11:$B$310)),IF(772&lt;=COUNTA(半紙!$B$11:$B$310)+COUNTA(条幅!$B$11:$B$310)+COUNTA(条幅4分の1!$B$11:$B$310),INDEX(条幅4分の1!$F$11:$F$310,772-COUNTA(半紙!$B$11:$B$310)-COUNTA(条幅!$B$11:$B$310)),"")))=0,"",IF(772&lt;=COUNTA(半紙!$B$11:$B$310),INDEX(半紙!$F$11:$F$310,772),IF(772&lt;=COUNTA(半紙!$B$11:$B$310)+COUNTA(条幅!$B$11:$B$310),INDEX(条幅!$F$11:$F$310,772-COUNTA(半紙!$B$11:$B$310)),IF(772&lt;=COUNTA(半紙!$B$11:$B$310)+COUNTA(条幅!$B$11:$B$310)+COUNTA(条幅4分の1!$B$11:$B$310),INDEX(条幅4分の1!$F$11:$F$310,772-COUNTA(半紙!$B$11:$B$310)-COUNTA(条幅!$B$11:$B$310)),""))))</f>
        <v/>
      </c>
      <c r="G777" s="38" t="str">
        <f>IF(IF(772&lt;=COUNTA(半紙!$B$11:$B$310),INDEX(半紙!$G$11:$G$310,772),IF(772&lt;=COUNTA(半紙!$B$11:$B$310)+COUNTA(条幅!$B$11:$B$310),INDEX(条幅!$G$11:$G$310,772-COUNTA(半紙!$B$11:$B$310)),IF(772&lt;=COUNTA(半紙!$B$11:$B$310)+COUNTA(条幅!$B$11:$B$310)+COUNTA(条幅4分の1!$B$11:$B$310),INDEX(条幅4分の1!$G$11:$G$310,772-COUNTA(半紙!$B$11:$B$310)-COUNTA(条幅!$B$11:$B$310)),"")))=0,"",IF(772&lt;=COUNTA(半紙!$B$11:$B$310),INDEX(半紙!$G$11:$G$310,772),IF(772&lt;=COUNTA(半紙!$B$11:$B$310)+COUNTA(条幅!$B$11:$B$310),INDEX(条幅!$G$11:$G$310,772-COUNTA(半紙!$B$11:$B$310)),IF(772&lt;=COUNTA(半紙!$B$11:$B$310)+COUNTA(条幅!$B$11:$B$310)+COUNTA(条幅4分の1!$B$11:$B$310),INDEX(条幅4分の1!$G$11:$G$310,772-COUNTA(半紙!$B$11:$B$310)-COUNTA(条幅!$B$11:$B$310)),""))))</f>
        <v/>
      </c>
      <c r="H777" s="38" t="str">
        <f>IF(IF(772&lt;=COUNTA(半紙!$B$11:$B$310),INDEX(半紙!$H$11:$H$310,772),IF(772&lt;=COUNTA(半紙!$B$11:$B$310)+COUNTA(条幅!$B$11:$B$310),INDEX(条幅!$H$11:$H$310,772-COUNTA(半紙!$B$11:$B$310)),IF(772&lt;=COUNTA(半紙!$B$11:$B$310)+COUNTA(条幅!$B$11:$B$310)+COUNTA(条幅4分の1!$B$11:$B$310),INDEX(条幅4分の1!$H$11:$H$310,772-COUNTA(半紙!$B$11:$B$310)-COUNTA(条幅!$B$11:$B$310)),"")))=0,"",IF(772&lt;=COUNTA(半紙!$B$11:$B$310),INDEX(半紙!$H$11:$H$310,772),IF(772&lt;=COUNTA(半紙!$B$11:$B$310)+COUNTA(条幅!$B$11:$B$310),INDEX(条幅!$H$11:$H$310,772-COUNTA(半紙!$B$11:$B$310)),IF(772&lt;=COUNTA(半紙!$B$11:$B$310)+COUNTA(条幅!$B$11:$B$310)+COUNTA(条幅4分の1!$B$11:$B$310),INDEX(条幅4分の1!$H$11:$H$310,772-COUNTA(半紙!$B$11:$B$310)-COUNTA(条幅!$B$11:$B$310)),""))))</f>
        <v/>
      </c>
      <c r="I777" s="38" t="str">
        <f>IF(IF(772&lt;=COUNTA(半紙!$B$11:$B$310),INDEX(半紙!$I$11:$I$310,772),IF(772&lt;=COUNTA(半紙!$B$11:$B$310)+COUNTA(条幅!$B$11:$B$310),INDEX(条幅!$I$11:$I$310,772-COUNTA(半紙!$B$11:$B$310)),IF(772&lt;=COUNTA(半紙!$B$11:$B$310)+COUNTA(条幅!$B$11:$B$310)+COUNTA(条幅4分の1!$B$11:$B$310),INDEX(条幅4分の1!$I$11:$I$310,772-COUNTA(半紙!$B$11:$B$310)-COUNTA(条幅!$B$11:$B$310)),"")))=0,"",IF(772&lt;=COUNTA(半紙!$B$11:$B$310),INDEX(半紙!$I$11:$I$310,772),IF(772&lt;=COUNTA(半紙!$B$11:$B$310)+COUNTA(条幅!$B$11:$B$310),INDEX(条幅!$I$11:$I$310,772-COUNTA(半紙!$B$11:$B$310)),IF(772&lt;=COUNTA(半紙!$B$11:$B$310)+COUNTA(条幅!$B$11:$B$310)+COUNTA(条幅4分の1!$B$11:$B$310),INDEX(条幅4分の1!$I$11:$I$310,772-COUNTA(半紙!$B$11:$B$310)-COUNTA(条幅!$B$11:$B$310)),""))))</f>
        <v/>
      </c>
      <c r="J777" s="38" t="str">
        <f>IF(IF(772&lt;=COUNTA(半紙!$B$11:$B$310),INDEX(半紙!$J$11:$J$310,772),IF(772&lt;=COUNTA(半紙!$B$11:$B$310)+COUNTA(条幅!$B$11:$B$310),INDEX(条幅!$J$11:$J$310,772-COUNTA(半紙!$B$11:$B$310)),IF(772&lt;=COUNTA(半紙!$B$11:$B$310)+COUNTA(条幅!$B$11:$B$310)+COUNTA(条幅4分の1!$B$11:$B$310),INDEX(条幅4分の1!$J$11:$J$310,772-COUNTA(半紙!$B$11:$B$310)-COUNTA(条幅!$B$11:$B$310)),"")))=0,"",IF(772&lt;=COUNTA(半紙!$B$11:$B$310),INDEX(半紙!$J$11:$J$310,772),IF(772&lt;=COUNTA(半紙!$B$11:$B$310)+COUNTA(条幅!$B$11:$B$310),INDEX(条幅!$J$11:$J$310,772-COUNTA(半紙!$B$11:$B$310)),IF(772&lt;=COUNTA(半紙!$B$11:$B$310)+COUNTA(条幅!$B$11:$B$310)+COUNTA(条幅4分の1!$B$11:$B$310),INDEX(条幅4分の1!$J$11:$J$310,772-COUNTA(半紙!$B$11:$B$310)-COUNTA(条幅!$B$11:$B$310)),""))))</f>
        <v/>
      </c>
      <c r="K777" s="38" t="str">
        <f>IF(IF(772&lt;=COUNTA(半紙!$B$11:$B$310),INDEX(半紙!$K$11:$K$310,772),IF(772&lt;=COUNTA(半紙!$B$11:$B$310)+COUNTA(条幅!$B$11:$B$310),INDEX(条幅!$K$11:$K$310,772-COUNTA(半紙!$B$11:$B$310)),IF(772&lt;=COUNTA(半紙!$B$11:$B$310)+COUNTA(条幅!$B$11:$B$310)+COUNTA(条幅4分の1!$B$11:$B$310),INDEX(条幅4分の1!$K$11:$K$310,772-COUNTA(半紙!$B$11:$B$310)-COUNTA(条幅!$B$11:$B$310)),"")))=0,"",IF(772&lt;=COUNTA(半紙!$B$11:$B$310),INDEX(半紙!$K$11:$K$310,772),IF(772&lt;=COUNTA(半紙!$B$11:$B$310)+COUNTA(条幅!$B$11:$B$310),INDEX(条幅!$K$11:$K$310,772-COUNTA(半紙!$B$11:$B$310)),IF(772&lt;=COUNTA(半紙!$B$11:$B$310)+COUNTA(条幅!$B$11:$B$310)+COUNTA(条幅4分の1!$B$11:$B$310),INDEX(条幅4分の1!$K$11:$K$310,772-COUNTA(半紙!$B$11:$B$310)-COUNTA(条幅!$B$11:$B$310)),""))))</f>
        <v/>
      </c>
      <c r="L777" s="48" t="str">
        <f>IF($B777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772))</f>
        <v/>
      </c>
    </row>
    <row r="778" spans="1:12" ht="15" customHeight="1">
      <c r="A778" s="37" t="str">
        <f>IF(773&lt;=COUNTA(半紙!$B$11:$B$310),"半紙",IF(773&lt;=COUNTA(半紙!$B$11:$B$310)+COUNTA(条幅!$B$11:$B$310),"条幅(半切)",IF(773&lt;=COUNTA(半紙!$B$11:$B$310)+COUNTA(条幅!$B$11:$B$310)+COUNTA(条幅4分の1!$B$11:$B$310),"条幅(1/4)","")))</f>
        <v/>
      </c>
      <c r="B778" s="38" t="str">
        <f>IF(IF(773&lt;=COUNTA(半紙!$B$11:$B$310),INDEX(半紙!$B$11:$B$310,773),IF(773&lt;=COUNTA(半紙!$B$11:$B$310)+COUNTA(条幅!$B$11:$B$310),INDEX(条幅!$B$11:$B$310,773-COUNTA(半紙!$B$11:$B$310)),IF(773&lt;=COUNTA(半紙!$B$11:$B$310)+COUNTA(条幅!$B$11:$B$310)+COUNTA(条幅4分の1!$B$11:$B$310),INDEX(条幅4分の1!$B$11:$B$310,773-COUNTA(半紙!$B$11:$B$310)-COUNTA(条幅!$B$11:$B$310)),"")))=0,"",IF(773&lt;=COUNTA(半紙!$B$11:$B$310),INDEX(半紙!$B$11:$B$310,773),IF(773&lt;=COUNTA(半紙!$B$11:$B$310)+COUNTA(条幅!$B$11:$B$310),INDEX(条幅!$B$11:$B$310,773-COUNTA(半紙!$B$11:$B$310)),IF(773&lt;=COUNTA(半紙!$B$11:$B$310)+COUNTA(条幅!$B$11:$B$310)+COUNTA(条幅4分の1!$B$11:$B$310),INDEX(条幅4分の1!$B$11:$B$310,773-COUNTA(半紙!$B$11:$B$310)-COUNTA(条幅!$B$11:$B$310)),""))))</f>
        <v/>
      </c>
      <c r="C778" s="38" t="str">
        <f>IF(IF(773&lt;=COUNTA(半紙!$B$11:$B$310),INDEX(半紙!$C$11:$C$310,773),IF(773&lt;=COUNTA(半紙!$B$11:$B$310)+COUNTA(条幅!$B$11:$B$310),INDEX(条幅!$C$11:$C$310,773-COUNTA(半紙!$B$11:$B$310)),IF(773&lt;=COUNTA(半紙!$B$11:$B$310)+COUNTA(条幅!$B$11:$B$310)+COUNTA(条幅4分の1!$B$11:$B$310),INDEX(条幅4分の1!$C$11:$C$310,773-COUNTA(半紙!$B$11:$B$310)-COUNTA(条幅!$B$11:$B$310)),"")))=0,"",IF(773&lt;=COUNTA(半紙!$B$11:$B$310),INDEX(半紙!$C$11:$C$310,773),IF(773&lt;=COUNTA(半紙!$B$11:$B$310)+COUNTA(条幅!$B$11:$B$310),INDEX(条幅!$C$11:$C$310,773-COUNTA(半紙!$B$11:$B$310)),IF(773&lt;=COUNTA(半紙!$B$11:$B$310)+COUNTA(条幅!$B$11:$B$310)+COUNTA(条幅4分の1!$B$11:$B$310),INDEX(条幅4分の1!$C$11:$C$310,773-COUNTA(半紙!$B$11:$B$310)-COUNTA(条幅!$B$11:$B$310)),""))))</f>
        <v/>
      </c>
      <c r="D778" s="38" t="str">
        <f>IF(IF(773&lt;=COUNTA(半紙!$B$11:$B$310),INDEX(半紙!$D$11:$D$310,773),IF(773&lt;=COUNTA(半紙!$B$11:$B$310)+COUNTA(条幅!$B$11:$B$310),INDEX(条幅!$D$11:$D$310,773-COUNTA(半紙!$B$11:$B$310)),IF(773&lt;=COUNTA(半紙!$B$11:$B$310)+COUNTA(条幅!$B$11:$B$310)+COUNTA(条幅4分の1!$B$11:$B$310),INDEX(条幅4分の1!$D$11:$D$310,773-COUNTA(半紙!$B$11:$B$310)-COUNTA(条幅!$B$11:$B$310)),"")))=0,"",IF(773&lt;=COUNTA(半紙!$B$11:$B$310),INDEX(半紙!$D$11:$D$310,773),IF(773&lt;=COUNTA(半紙!$B$11:$B$310)+COUNTA(条幅!$B$11:$B$310),INDEX(条幅!$D$11:$D$310,773-COUNTA(半紙!$B$11:$B$310)),IF(773&lt;=COUNTA(半紙!$B$11:$B$310)+COUNTA(条幅!$B$11:$B$310)+COUNTA(条幅4分の1!$B$11:$B$310),INDEX(条幅4分の1!$D$11:$D$310,773-COUNTA(半紙!$B$11:$B$310)-COUNTA(条幅!$B$11:$B$310)),""))))</f>
        <v/>
      </c>
      <c r="E778" s="38" t="str">
        <f>IF(IF(773&lt;=COUNTA(半紙!$B$11:$B$310),INDEX(半紙!$E$11:$E$310,773),IF(773&lt;=COUNTA(半紙!$B$11:$B$310)+COUNTA(条幅!$B$11:$B$310),INDEX(条幅!$E$11:$E$310,773-COUNTA(半紙!$B$11:$B$310)),IF(773&lt;=COUNTA(半紙!$B$11:$B$310)+COUNTA(条幅!$B$11:$B$310)+COUNTA(条幅4分の1!$B$11:$B$310),INDEX(条幅4分の1!$E$11:$E$310,773-COUNTA(半紙!$B$11:$B$310)-COUNTA(条幅!$B$11:$B$310)),"")))=0,"",IF(773&lt;=COUNTA(半紙!$B$11:$B$310),INDEX(半紙!$E$11:$E$310,773),IF(773&lt;=COUNTA(半紙!$B$11:$B$310)+COUNTA(条幅!$B$11:$B$310),INDEX(条幅!$E$11:$E$310,773-COUNTA(半紙!$B$11:$B$310)),IF(773&lt;=COUNTA(半紙!$B$11:$B$310)+COUNTA(条幅!$B$11:$B$310)+COUNTA(条幅4分の1!$B$11:$B$310),INDEX(条幅4分の1!$E$11:$E$310,773-COUNTA(半紙!$B$11:$B$310)-COUNTA(条幅!$B$11:$B$310)),""))))</f>
        <v/>
      </c>
      <c r="F778" s="38" t="str">
        <f>IF(IF(773&lt;=COUNTA(半紙!$B$11:$B$310),INDEX(半紙!$F$11:$F$310,773),IF(773&lt;=COUNTA(半紙!$B$11:$B$310)+COUNTA(条幅!$B$11:$B$310),INDEX(条幅!$F$11:$F$310,773-COUNTA(半紙!$B$11:$B$310)),IF(773&lt;=COUNTA(半紙!$B$11:$B$310)+COUNTA(条幅!$B$11:$B$310)+COUNTA(条幅4分の1!$B$11:$B$310),INDEX(条幅4分の1!$F$11:$F$310,773-COUNTA(半紙!$B$11:$B$310)-COUNTA(条幅!$B$11:$B$310)),"")))=0,"",IF(773&lt;=COUNTA(半紙!$B$11:$B$310),INDEX(半紙!$F$11:$F$310,773),IF(773&lt;=COUNTA(半紙!$B$11:$B$310)+COUNTA(条幅!$B$11:$B$310),INDEX(条幅!$F$11:$F$310,773-COUNTA(半紙!$B$11:$B$310)),IF(773&lt;=COUNTA(半紙!$B$11:$B$310)+COUNTA(条幅!$B$11:$B$310)+COUNTA(条幅4分の1!$B$11:$B$310),INDEX(条幅4分の1!$F$11:$F$310,773-COUNTA(半紙!$B$11:$B$310)-COUNTA(条幅!$B$11:$B$310)),""))))</f>
        <v/>
      </c>
      <c r="G778" s="38" t="str">
        <f>IF(IF(773&lt;=COUNTA(半紙!$B$11:$B$310),INDEX(半紙!$G$11:$G$310,773),IF(773&lt;=COUNTA(半紙!$B$11:$B$310)+COUNTA(条幅!$B$11:$B$310),INDEX(条幅!$G$11:$G$310,773-COUNTA(半紙!$B$11:$B$310)),IF(773&lt;=COUNTA(半紙!$B$11:$B$310)+COUNTA(条幅!$B$11:$B$310)+COUNTA(条幅4分の1!$B$11:$B$310),INDEX(条幅4分の1!$G$11:$G$310,773-COUNTA(半紙!$B$11:$B$310)-COUNTA(条幅!$B$11:$B$310)),"")))=0,"",IF(773&lt;=COUNTA(半紙!$B$11:$B$310),INDEX(半紙!$G$11:$G$310,773),IF(773&lt;=COUNTA(半紙!$B$11:$B$310)+COUNTA(条幅!$B$11:$B$310),INDEX(条幅!$G$11:$G$310,773-COUNTA(半紙!$B$11:$B$310)),IF(773&lt;=COUNTA(半紙!$B$11:$B$310)+COUNTA(条幅!$B$11:$B$310)+COUNTA(条幅4分の1!$B$11:$B$310),INDEX(条幅4分の1!$G$11:$G$310,773-COUNTA(半紙!$B$11:$B$310)-COUNTA(条幅!$B$11:$B$310)),""))))</f>
        <v/>
      </c>
      <c r="H778" s="38" t="str">
        <f>IF(IF(773&lt;=COUNTA(半紙!$B$11:$B$310),INDEX(半紙!$H$11:$H$310,773),IF(773&lt;=COUNTA(半紙!$B$11:$B$310)+COUNTA(条幅!$B$11:$B$310),INDEX(条幅!$H$11:$H$310,773-COUNTA(半紙!$B$11:$B$310)),IF(773&lt;=COUNTA(半紙!$B$11:$B$310)+COUNTA(条幅!$B$11:$B$310)+COUNTA(条幅4分の1!$B$11:$B$310),INDEX(条幅4分の1!$H$11:$H$310,773-COUNTA(半紙!$B$11:$B$310)-COUNTA(条幅!$B$11:$B$310)),"")))=0,"",IF(773&lt;=COUNTA(半紙!$B$11:$B$310),INDEX(半紙!$H$11:$H$310,773),IF(773&lt;=COUNTA(半紙!$B$11:$B$310)+COUNTA(条幅!$B$11:$B$310),INDEX(条幅!$H$11:$H$310,773-COUNTA(半紙!$B$11:$B$310)),IF(773&lt;=COUNTA(半紙!$B$11:$B$310)+COUNTA(条幅!$B$11:$B$310)+COUNTA(条幅4分の1!$B$11:$B$310),INDEX(条幅4分の1!$H$11:$H$310,773-COUNTA(半紙!$B$11:$B$310)-COUNTA(条幅!$B$11:$B$310)),""))))</f>
        <v/>
      </c>
      <c r="I778" s="38" t="str">
        <f>IF(IF(773&lt;=COUNTA(半紙!$B$11:$B$310),INDEX(半紙!$I$11:$I$310,773),IF(773&lt;=COUNTA(半紙!$B$11:$B$310)+COUNTA(条幅!$B$11:$B$310),INDEX(条幅!$I$11:$I$310,773-COUNTA(半紙!$B$11:$B$310)),IF(773&lt;=COUNTA(半紙!$B$11:$B$310)+COUNTA(条幅!$B$11:$B$310)+COUNTA(条幅4分の1!$B$11:$B$310),INDEX(条幅4分の1!$I$11:$I$310,773-COUNTA(半紙!$B$11:$B$310)-COUNTA(条幅!$B$11:$B$310)),"")))=0,"",IF(773&lt;=COUNTA(半紙!$B$11:$B$310),INDEX(半紙!$I$11:$I$310,773),IF(773&lt;=COUNTA(半紙!$B$11:$B$310)+COUNTA(条幅!$B$11:$B$310),INDEX(条幅!$I$11:$I$310,773-COUNTA(半紙!$B$11:$B$310)),IF(773&lt;=COUNTA(半紙!$B$11:$B$310)+COUNTA(条幅!$B$11:$B$310)+COUNTA(条幅4分の1!$B$11:$B$310),INDEX(条幅4分の1!$I$11:$I$310,773-COUNTA(半紙!$B$11:$B$310)-COUNTA(条幅!$B$11:$B$310)),""))))</f>
        <v/>
      </c>
      <c r="J778" s="38" t="str">
        <f>IF(IF(773&lt;=COUNTA(半紙!$B$11:$B$310),INDEX(半紙!$J$11:$J$310,773),IF(773&lt;=COUNTA(半紙!$B$11:$B$310)+COUNTA(条幅!$B$11:$B$310),INDEX(条幅!$J$11:$J$310,773-COUNTA(半紙!$B$11:$B$310)),IF(773&lt;=COUNTA(半紙!$B$11:$B$310)+COUNTA(条幅!$B$11:$B$310)+COUNTA(条幅4分の1!$B$11:$B$310),INDEX(条幅4分の1!$J$11:$J$310,773-COUNTA(半紙!$B$11:$B$310)-COUNTA(条幅!$B$11:$B$310)),"")))=0,"",IF(773&lt;=COUNTA(半紙!$B$11:$B$310),INDEX(半紙!$J$11:$J$310,773),IF(773&lt;=COUNTA(半紙!$B$11:$B$310)+COUNTA(条幅!$B$11:$B$310),INDEX(条幅!$J$11:$J$310,773-COUNTA(半紙!$B$11:$B$310)),IF(773&lt;=COUNTA(半紙!$B$11:$B$310)+COUNTA(条幅!$B$11:$B$310)+COUNTA(条幅4分の1!$B$11:$B$310),INDEX(条幅4分の1!$J$11:$J$310,773-COUNTA(半紙!$B$11:$B$310)-COUNTA(条幅!$B$11:$B$310)),""))))</f>
        <v/>
      </c>
      <c r="K778" s="38" t="str">
        <f>IF(IF(773&lt;=COUNTA(半紙!$B$11:$B$310),INDEX(半紙!$K$11:$K$310,773),IF(773&lt;=COUNTA(半紙!$B$11:$B$310)+COUNTA(条幅!$B$11:$B$310),INDEX(条幅!$K$11:$K$310,773-COUNTA(半紙!$B$11:$B$310)),IF(773&lt;=COUNTA(半紙!$B$11:$B$310)+COUNTA(条幅!$B$11:$B$310)+COUNTA(条幅4分の1!$B$11:$B$310),INDEX(条幅4分の1!$K$11:$K$310,773-COUNTA(半紙!$B$11:$B$310)-COUNTA(条幅!$B$11:$B$310)),"")))=0,"",IF(773&lt;=COUNTA(半紙!$B$11:$B$310),INDEX(半紙!$K$11:$K$310,773),IF(773&lt;=COUNTA(半紙!$B$11:$B$310)+COUNTA(条幅!$B$11:$B$310),INDEX(条幅!$K$11:$K$310,773-COUNTA(半紙!$B$11:$B$310)),IF(773&lt;=COUNTA(半紙!$B$11:$B$310)+COUNTA(条幅!$B$11:$B$310)+COUNTA(条幅4分の1!$B$11:$B$310),INDEX(条幅4分の1!$K$11:$K$310,773-COUNTA(半紙!$B$11:$B$310)-COUNTA(条幅!$B$11:$B$310)),""))))</f>
        <v/>
      </c>
      <c r="L778" s="48" t="str">
        <f>IF($B778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773))</f>
        <v/>
      </c>
    </row>
    <row r="779" spans="1:12" ht="15" customHeight="1">
      <c r="A779" s="37" t="str">
        <f>IF(774&lt;=COUNTA(半紙!$B$11:$B$310),"半紙",IF(774&lt;=COUNTA(半紙!$B$11:$B$310)+COUNTA(条幅!$B$11:$B$310),"条幅(半切)",IF(774&lt;=COUNTA(半紙!$B$11:$B$310)+COUNTA(条幅!$B$11:$B$310)+COUNTA(条幅4分の1!$B$11:$B$310),"条幅(1/4)","")))</f>
        <v/>
      </c>
      <c r="B779" s="38" t="str">
        <f>IF(IF(774&lt;=COUNTA(半紙!$B$11:$B$310),INDEX(半紙!$B$11:$B$310,774),IF(774&lt;=COUNTA(半紙!$B$11:$B$310)+COUNTA(条幅!$B$11:$B$310),INDEX(条幅!$B$11:$B$310,774-COUNTA(半紙!$B$11:$B$310)),IF(774&lt;=COUNTA(半紙!$B$11:$B$310)+COUNTA(条幅!$B$11:$B$310)+COUNTA(条幅4分の1!$B$11:$B$310),INDEX(条幅4分の1!$B$11:$B$310,774-COUNTA(半紙!$B$11:$B$310)-COUNTA(条幅!$B$11:$B$310)),"")))=0,"",IF(774&lt;=COUNTA(半紙!$B$11:$B$310),INDEX(半紙!$B$11:$B$310,774),IF(774&lt;=COUNTA(半紙!$B$11:$B$310)+COUNTA(条幅!$B$11:$B$310),INDEX(条幅!$B$11:$B$310,774-COUNTA(半紙!$B$11:$B$310)),IF(774&lt;=COUNTA(半紙!$B$11:$B$310)+COUNTA(条幅!$B$11:$B$310)+COUNTA(条幅4分の1!$B$11:$B$310),INDEX(条幅4分の1!$B$11:$B$310,774-COUNTA(半紙!$B$11:$B$310)-COUNTA(条幅!$B$11:$B$310)),""))))</f>
        <v/>
      </c>
      <c r="C779" s="38" t="str">
        <f>IF(IF(774&lt;=COUNTA(半紙!$B$11:$B$310),INDEX(半紙!$C$11:$C$310,774),IF(774&lt;=COUNTA(半紙!$B$11:$B$310)+COUNTA(条幅!$B$11:$B$310),INDEX(条幅!$C$11:$C$310,774-COUNTA(半紙!$B$11:$B$310)),IF(774&lt;=COUNTA(半紙!$B$11:$B$310)+COUNTA(条幅!$B$11:$B$310)+COUNTA(条幅4分の1!$B$11:$B$310),INDEX(条幅4分の1!$C$11:$C$310,774-COUNTA(半紙!$B$11:$B$310)-COUNTA(条幅!$B$11:$B$310)),"")))=0,"",IF(774&lt;=COUNTA(半紙!$B$11:$B$310),INDEX(半紙!$C$11:$C$310,774),IF(774&lt;=COUNTA(半紙!$B$11:$B$310)+COUNTA(条幅!$B$11:$B$310),INDEX(条幅!$C$11:$C$310,774-COUNTA(半紙!$B$11:$B$310)),IF(774&lt;=COUNTA(半紙!$B$11:$B$310)+COUNTA(条幅!$B$11:$B$310)+COUNTA(条幅4分の1!$B$11:$B$310),INDEX(条幅4分の1!$C$11:$C$310,774-COUNTA(半紙!$B$11:$B$310)-COUNTA(条幅!$B$11:$B$310)),""))))</f>
        <v/>
      </c>
      <c r="D779" s="38" t="str">
        <f>IF(IF(774&lt;=COUNTA(半紙!$B$11:$B$310),INDEX(半紙!$D$11:$D$310,774),IF(774&lt;=COUNTA(半紙!$B$11:$B$310)+COUNTA(条幅!$B$11:$B$310),INDEX(条幅!$D$11:$D$310,774-COUNTA(半紙!$B$11:$B$310)),IF(774&lt;=COUNTA(半紙!$B$11:$B$310)+COUNTA(条幅!$B$11:$B$310)+COUNTA(条幅4分の1!$B$11:$B$310),INDEX(条幅4分の1!$D$11:$D$310,774-COUNTA(半紙!$B$11:$B$310)-COUNTA(条幅!$B$11:$B$310)),"")))=0,"",IF(774&lt;=COUNTA(半紙!$B$11:$B$310),INDEX(半紙!$D$11:$D$310,774),IF(774&lt;=COUNTA(半紙!$B$11:$B$310)+COUNTA(条幅!$B$11:$B$310),INDEX(条幅!$D$11:$D$310,774-COUNTA(半紙!$B$11:$B$310)),IF(774&lt;=COUNTA(半紙!$B$11:$B$310)+COUNTA(条幅!$B$11:$B$310)+COUNTA(条幅4分の1!$B$11:$B$310),INDEX(条幅4分の1!$D$11:$D$310,774-COUNTA(半紙!$B$11:$B$310)-COUNTA(条幅!$B$11:$B$310)),""))))</f>
        <v/>
      </c>
      <c r="E779" s="38" t="str">
        <f>IF(IF(774&lt;=COUNTA(半紙!$B$11:$B$310),INDEX(半紙!$E$11:$E$310,774),IF(774&lt;=COUNTA(半紙!$B$11:$B$310)+COUNTA(条幅!$B$11:$B$310),INDEX(条幅!$E$11:$E$310,774-COUNTA(半紙!$B$11:$B$310)),IF(774&lt;=COUNTA(半紙!$B$11:$B$310)+COUNTA(条幅!$B$11:$B$310)+COUNTA(条幅4分の1!$B$11:$B$310),INDEX(条幅4分の1!$E$11:$E$310,774-COUNTA(半紙!$B$11:$B$310)-COUNTA(条幅!$B$11:$B$310)),"")))=0,"",IF(774&lt;=COUNTA(半紙!$B$11:$B$310),INDEX(半紙!$E$11:$E$310,774),IF(774&lt;=COUNTA(半紙!$B$11:$B$310)+COUNTA(条幅!$B$11:$B$310),INDEX(条幅!$E$11:$E$310,774-COUNTA(半紙!$B$11:$B$310)),IF(774&lt;=COUNTA(半紙!$B$11:$B$310)+COUNTA(条幅!$B$11:$B$310)+COUNTA(条幅4分の1!$B$11:$B$310),INDEX(条幅4分の1!$E$11:$E$310,774-COUNTA(半紙!$B$11:$B$310)-COUNTA(条幅!$B$11:$B$310)),""))))</f>
        <v/>
      </c>
      <c r="F779" s="38" t="str">
        <f>IF(IF(774&lt;=COUNTA(半紙!$B$11:$B$310),INDEX(半紙!$F$11:$F$310,774),IF(774&lt;=COUNTA(半紙!$B$11:$B$310)+COUNTA(条幅!$B$11:$B$310),INDEX(条幅!$F$11:$F$310,774-COUNTA(半紙!$B$11:$B$310)),IF(774&lt;=COUNTA(半紙!$B$11:$B$310)+COUNTA(条幅!$B$11:$B$310)+COUNTA(条幅4分の1!$B$11:$B$310),INDEX(条幅4分の1!$F$11:$F$310,774-COUNTA(半紙!$B$11:$B$310)-COUNTA(条幅!$B$11:$B$310)),"")))=0,"",IF(774&lt;=COUNTA(半紙!$B$11:$B$310),INDEX(半紙!$F$11:$F$310,774),IF(774&lt;=COUNTA(半紙!$B$11:$B$310)+COUNTA(条幅!$B$11:$B$310),INDEX(条幅!$F$11:$F$310,774-COUNTA(半紙!$B$11:$B$310)),IF(774&lt;=COUNTA(半紙!$B$11:$B$310)+COUNTA(条幅!$B$11:$B$310)+COUNTA(条幅4分の1!$B$11:$B$310),INDEX(条幅4分の1!$F$11:$F$310,774-COUNTA(半紙!$B$11:$B$310)-COUNTA(条幅!$B$11:$B$310)),""))))</f>
        <v/>
      </c>
      <c r="G779" s="38" t="str">
        <f>IF(IF(774&lt;=COUNTA(半紙!$B$11:$B$310),INDEX(半紙!$G$11:$G$310,774),IF(774&lt;=COUNTA(半紙!$B$11:$B$310)+COUNTA(条幅!$B$11:$B$310),INDEX(条幅!$G$11:$G$310,774-COUNTA(半紙!$B$11:$B$310)),IF(774&lt;=COUNTA(半紙!$B$11:$B$310)+COUNTA(条幅!$B$11:$B$310)+COUNTA(条幅4分の1!$B$11:$B$310),INDEX(条幅4分の1!$G$11:$G$310,774-COUNTA(半紙!$B$11:$B$310)-COUNTA(条幅!$B$11:$B$310)),"")))=0,"",IF(774&lt;=COUNTA(半紙!$B$11:$B$310),INDEX(半紙!$G$11:$G$310,774),IF(774&lt;=COUNTA(半紙!$B$11:$B$310)+COUNTA(条幅!$B$11:$B$310),INDEX(条幅!$G$11:$G$310,774-COUNTA(半紙!$B$11:$B$310)),IF(774&lt;=COUNTA(半紙!$B$11:$B$310)+COUNTA(条幅!$B$11:$B$310)+COUNTA(条幅4分の1!$B$11:$B$310),INDEX(条幅4分の1!$G$11:$G$310,774-COUNTA(半紙!$B$11:$B$310)-COUNTA(条幅!$B$11:$B$310)),""))))</f>
        <v/>
      </c>
      <c r="H779" s="38" t="str">
        <f>IF(IF(774&lt;=COUNTA(半紙!$B$11:$B$310),INDEX(半紙!$H$11:$H$310,774),IF(774&lt;=COUNTA(半紙!$B$11:$B$310)+COUNTA(条幅!$B$11:$B$310),INDEX(条幅!$H$11:$H$310,774-COUNTA(半紙!$B$11:$B$310)),IF(774&lt;=COUNTA(半紙!$B$11:$B$310)+COUNTA(条幅!$B$11:$B$310)+COUNTA(条幅4分の1!$B$11:$B$310),INDEX(条幅4分の1!$H$11:$H$310,774-COUNTA(半紙!$B$11:$B$310)-COUNTA(条幅!$B$11:$B$310)),"")))=0,"",IF(774&lt;=COUNTA(半紙!$B$11:$B$310),INDEX(半紙!$H$11:$H$310,774),IF(774&lt;=COUNTA(半紙!$B$11:$B$310)+COUNTA(条幅!$B$11:$B$310),INDEX(条幅!$H$11:$H$310,774-COUNTA(半紙!$B$11:$B$310)),IF(774&lt;=COUNTA(半紙!$B$11:$B$310)+COUNTA(条幅!$B$11:$B$310)+COUNTA(条幅4分の1!$B$11:$B$310),INDEX(条幅4分の1!$H$11:$H$310,774-COUNTA(半紙!$B$11:$B$310)-COUNTA(条幅!$B$11:$B$310)),""))))</f>
        <v/>
      </c>
      <c r="I779" s="38" t="str">
        <f>IF(IF(774&lt;=COUNTA(半紙!$B$11:$B$310),INDEX(半紙!$I$11:$I$310,774),IF(774&lt;=COUNTA(半紙!$B$11:$B$310)+COUNTA(条幅!$B$11:$B$310),INDEX(条幅!$I$11:$I$310,774-COUNTA(半紙!$B$11:$B$310)),IF(774&lt;=COUNTA(半紙!$B$11:$B$310)+COUNTA(条幅!$B$11:$B$310)+COUNTA(条幅4分の1!$B$11:$B$310),INDEX(条幅4分の1!$I$11:$I$310,774-COUNTA(半紙!$B$11:$B$310)-COUNTA(条幅!$B$11:$B$310)),"")))=0,"",IF(774&lt;=COUNTA(半紙!$B$11:$B$310),INDEX(半紙!$I$11:$I$310,774),IF(774&lt;=COUNTA(半紙!$B$11:$B$310)+COUNTA(条幅!$B$11:$B$310),INDEX(条幅!$I$11:$I$310,774-COUNTA(半紙!$B$11:$B$310)),IF(774&lt;=COUNTA(半紙!$B$11:$B$310)+COUNTA(条幅!$B$11:$B$310)+COUNTA(条幅4分の1!$B$11:$B$310),INDEX(条幅4分の1!$I$11:$I$310,774-COUNTA(半紙!$B$11:$B$310)-COUNTA(条幅!$B$11:$B$310)),""))))</f>
        <v/>
      </c>
      <c r="J779" s="38" t="str">
        <f>IF(IF(774&lt;=COUNTA(半紙!$B$11:$B$310),INDEX(半紙!$J$11:$J$310,774),IF(774&lt;=COUNTA(半紙!$B$11:$B$310)+COUNTA(条幅!$B$11:$B$310),INDEX(条幅!$J$11:$J$310,774-COUNTA(半紙!$B$11:$B$310)),IF(774&lt;=COUNTA(半紙!$B$11:$B$310)+COUNTA(条幅!$B$11:$B$310)+COUNTA(条幅4分の1!$B$11:$B$310),INDEX(条幅4分の1!$J$11:$J$310,774-COUNTA(半紙!$B$11:$B$310)-COUNTA(条幅!$B$11:$B$310)),"")))=0,"",IF(774&lt;=COUNTA(半紙!$B$11:$B$310),INDEX(半紙!$J$11:$J$310,774),IF(774&lt;=COUNTA(半紙!$B$11:$B$310)+COUNTA(条幅!$B$11:$B$310),INDEX(条幅!$J$11:$J$310,774-COUNTA(半紙!$B$11:$B$310)),IF(774&lt;=COUNTA(半紙!$B$11:$B$310)+COUNTA(条幅!$B$11:$B$310)+COUNTA(条幅4分の1!$B$11:$B$310),INDEX(条幅4分の1!$J$11:$J$310,774-COUNTA(半紙!$B$11:$B$310)-COUNTA(条幅!$B$11:$B$310)),""))))</f>
        <v/>
      </c>
      <c r="K779" s="38" t="str">
        <f>IF(IF(774&lt;=COUNTA(半紙!$B$11:$B$310),INDEX(半紙!$K$11:$K$310,774),IF(774&lt;=COUNTA(半紙!$B$11:$B$310)+COUNTA(条幅!$B$11:$B$310),INDEX(条幅!$K$11:$K$310,774-COUNTA(半紙!$B$11:$B$310)),IF(774&lt;=COUNTA(半紙!$B$11:$B$310)+COUNTA(条幅!$B$11:$B$310)+COUNTA(条幅4分の1!$B$11:$B$310),INDEX(条幅4分の1!$K$11:$K$310,774-COUNTA(半紙!$B$11:$B$310)-COUNTA(条幅!$B$11:$B$310)),"")))=0,"",IF(774&lt;=COUNTA(半紙!$B$11:$B$310),INDEX(半紙!$K$11:$K$310,774),IF(774&lt;=COUNTA(半紙!$B$11:$B$310)+COUNTA(条幅!$B$11:$B$310),INDEX(条幅!$K$11:$K$310,774-COUNTA(半紙!$B$11:$B$310)),IF(774&lt;=COUNTA(半紙!$B$11:$B$310)+COUNTA(条幅!$B$11:$B$310)+COUNTA(条幅4分の1!$B$11:$B$310),INDEX(条幅4分の1!$K$11:$K$310,774-COUNTA(半紙!$B$11:$B$310)-COUNTA(条幅!$B$11:$B$310)),""))))</f>
        <v/>
      </c>
      <c r="L779" s="48" t="str">
        <f>IF($B779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774))</f>
        <v/>
      </c>
    </row>
    <row r="780" spans="1:12" ht="15" customHeight="1">
      <c r="A780" s="37" t="str">
        <f>IF(775&lt;=COUNTA(半紙!$B$11:$B$310),"半紙",IF(775&lt;=COUNTA(半紙!$B$11:$B$310)+COUNTA(条幅!$B$11:$B$310),"条幅(半切)",IF(775&lt;=COUNTA(半紙!$B$11:$B$310)+COUNTA(条幅!$B$11:$B$310)+COUNTA(条幅4分の1!$B$11:$B$310),"条幅(1/4)","")))</f>
        <v/>
      </c>
      <c r="B780" s="38" t="str">
        <f>IF(IF(775&lt;=COUNTA(半紙!$B$11:$B$310),INDEX(半紙!$B$11:$B$310,775),IF(775&lt;=COUNTA(半紙!$B$11:$B$310)+COUNTA(条幅!$B$11:$B$310),INDEX(条幅!$B$11:$B$310,775-COUNTA(半紙!$B$11:$B$310)),IF(775&lt;=COUNTA(半紙!$B$11:$B$310)+COUNTA(条幅!$B$11:$B$310)+COUNTA(条幅4分の1!$B$11:$B$310),INDEX(条幅4分の1!$B$11:$B$310,775-COUNTA(半紙!$B$11:$B$310)-COUNTA(条幅!$B$11:$B$310)),"")))=0,"",IF(775&lt;=COUNTA(半紙!$B$11:$B$310),INDEX(半紙!$B$11:$B$310,775),IF(775&lt;=COUNTA(半紙!$B$11:$B$310)+COUNTA(条幅!$B$11:$B$310),INDEX(条幅!$B$11:$B$310,775-COUNTA(半紙!$B$11:$B$310)),IF(775&lt;=COUNTA(半紙!$B$11:$B$310)+COUNTA(条幅!$B$11:$B$310)+COUNTA(条幅4分の1!$B$11:$B$310),INDEX(条幅4分の1!$B$11:$B$310,775-COUNTA(半紙!$B$11:$B$310)-COUNTA(条幅!$B$11:$B$310)),""))))</f>
        <v/>
      </c>
      <c r="C780" s="38" t="str">
        <f>IF(IF(775&lt;=COUNTA(半紙!$B$11:$B$310),INDEX(半紙!$C$11:$C$310,775),IF(775&lt;=COUNTA(半紙!$B$11:$B$310)+COUNTA(条幅!$B$11:$B$310),INDEX(条幅!$C$11:$C$310,775-COUNTA(半紙!$B$11:$B$310)),IF(775&lt;=COUNTA(半紙!$B$11:$B$310)+COUNTA(条幅!$B$11:$B$310)+COUNTA(条幅4分の1!$B$11:$B$310),INDEX(条幅4分の1!$C$11:$C$310,775-COUNTA(半紙!$B$11:$B$310)-COUNTA(条幅!$B$11:$B$310)),"")))=0,"",IF(775&lt;=COUNTA(半紙!$B$11:$B$310),INDEX(半紙!$C$11:$C$310,775),IF(775&lt;=COUNTA(半紙!$B$11:$B$310)+COUNTA(条幅!$B$11:$B$310),INDEX(条幅!$C$11:$C$310,775-COUNTA(半紙!$B$11:$B$310)),IF(775&lt;=COUNTA(半紙!$B$11:$B$310)+COUNTA(条幅!$B$11:$B$310)+COUNTA(条幅4分の1!$B$11:$B$310),INDEX(条幅4分の1!$C$11:$C$310,775-COUNTA(半紙!$B$11:$B$310)-COUNTA(条幅!$B$11:$B$310)),""))))</f>
        <v/>
      </c>
      <c r="D780" s="38" t="str">
        <f>IF(IF(775&lt;=COUNTA(半紙!$B$11:$B$310),INDEX(半紙!$D$11:$D$310,775),IF(775&lt;=COUNTA(半紙!$B$11:$B$310)+COUNTA(条幅!$B$11:$B$310),INDEX(条幅!$D$11:$D$310,775-COUNTA(半紙!$B$11:$B$310)),IF(775&lt;=COUNTA(半紙!$B$11:$B$310)+COUNTA(条幅!$B$11:$B$310)+COUNTA(条幅4分の1!$B$11:$B$310),INDEX(条幅4分の1!$D$11:$D$310,775-COUNTA(半紙!$B$11:$B$310)-COUNTA(条幅!$B$11:$B$310)),"")))=0,"",IF(775&lt;=COUNTA(半紙!$B$11:$B$310),INDEX(半紙!$D$11:$D$310,775),IF(775&lt;=COUNTA(半紙!$B$11:$B$310)+COUNTA(条幅!$B$11:$B$310),INDEX(条幅!$D$11:$D$310,775-COUNTA(半紙!$B$11:$B$310)),IF(775&lt;=COUNTA(半紙!$B$11:$B$310)+COUNTA(条幅!$B$11:$B$310)+COUNTA(条幅4分の1!$B$11:$B$310),INDEX(条幅4分の1!$D$11:$D$310,775-COUNTA(半紙!$B$11:$B$310)-COUNTA(条幅!$B$11:$B$310)),""))))</f>
        <v/>
      </c>
      <c r="E780" s="38" t="str">
        <f>IF(IF(775&lt;=COUNTA(半紙!$B$11:$B$310),INDEX(半紙!$E$11:$E$310,775),IF(775&lt;=COUNTA(半紙!$B$11:$B$310)+COUNTA(条幅!$B$11:$B$310),INDEX(条幅!$E$11:$E$310,775-COUNTA(半紙!$B$11:$B$310)),IF(775&lt;=COUNTA(半紙!$B$11:$B$310)+COUNTA(条幅!$B$11:$B$310)+COUNTA(条幅4分の1!$B$11:$B$310),INDEX(条幅4分の1!$E$11:$E$310,775-COUNTA(半紙!$B$11:$B$310)-COUNTA(条幅!$B$11:$B$310)),"")))=0,"",IF(775&lt;=COUNTA(半紙!$B$11:$B$310),INDEX(半紙!$E$11:$E$310,775),IF(775&lt;=COUNTA(半紙!$B$11:$B$310)+COUNTA(条幅!$B$11:$B$310),INDEX(条幅!$E$11:$E$310,775-COUNTA(半紙!$B$11:$B$310)),IF(775&lt;=COUNTA(半紙!$B$11:$B$310)+COUNTA(条幅!$B$11:$B$310)+COUNTA(条幅4分の1!$B$11:$B$310),INDEX(条幅4分の1!$E$11:$E$310,775-COUNTA(半紙!$B$11:$B$310)-COUNTA(条幅!$B$11:$B$310)),""))))</f>
        <v/>
      </c>
      <c r="F780" s="38" t="str">
        <f>IF(IF(775&lt;=COUNTA(半紙!$B$11:$B$310),INDEX(半紙!$F$11:$F$310,775),IF(775&lt;=COUNTA(半紙!$B$11:$B$310)+COUNTA(条幅!$B$11:$B$310),INDEX(条幅!$F$11:$F$310,775-COUNTA(半紙!$B$11:$B$310)),IF(775&lt;=COUNTA(半紙!$B$11:$B$310)+COUNTA(条幅!$B$11:$B$310)+COUNTA(条幅4分の1!$B$11:$B$310),INDEX(条幅4分の1!$F$11:$F$310,775-COUNTA(半紙!$B$11:$B$310)-COUNTA(条幅!$B$11:$B$310)),"")))=0,"",IF(775&lt;=COUNTA(半紙!$B$11:$B$310),INDEX(半紙!$F$11:$F$310,775),IF(775&lt;=COUNTA(半紙!$B$11:$B$310)+COUNTA(条幅!$B$11:$B$310),INDEX(条幅!$F$11:$F$310,775-COUNTA(半紙!$B$11:$B$310)),IF(775&lt;=COUNTA(半紙!$B$11:$B$310)+COUNTA(条幅!$B$11:$B$310)+COUNTA(条幅4分の1!$B$11:$B$310),INDEX(条幅4分の1!$F$11:$F$310,775-COUNTA(半紙!$B$11:$B$310)-COUNTA(条幅!$B$11:$B$310)),""))))</f>
        <v/>
      </c>
      <c r="G780" s="38" t="str">
        <f>IF(IF(775&lt;=COUNTA(半紙!$B$11:$B$310),INDEX(半紙!$G$11:$G$310,775),IF(775&lt;=COUNTA(半紙!$B$11:$B$310)+COUNTA(条幅!$B$11:$B$310),INDEX(条幅!$G$11:$G$310,775-COUNTA(半紙!$B$11:$B$310)),IF(775&lt;=COUNTA(半紙!$B$11:$B$310)+COUNTA(条幅!$B$11:$B$310)+COUNTA(条幅4分の1!$B$11:$B$310),INDEX(条幅4分の1!$G$11:$G$310,775-COUNTA(半紙!$B$11:$B$310)-COUNTA(条幅!$B$11:$B$310)),"")))=0,"",IF(775&lt;=COUNTA(半紙!$B$11:$B$310),INDEX(半紙!$G$11:$G$310,775),IF(775&lt;=COUNTA(半紙!$B$11:$B$310)+COUNTA(条幅!$B$11:$B$310),INDEX(条幅!$G$11:$G$310,775-COUNTA(半紙!$B$11:$B$310)),IF(775&lt;=COUNTA(半紙!$B$11:$B$310)+COUNTA(条幅!$B$11:$B$310)+COUNTA(条幅4分の1!$B$11:$B$310),INDEX(条幅4分の1!$G$11:$G$310,775-COUNTA(半紙!$B$11:$B$310)-COUNTA(条幅!$B$11:$B$310)),""))))</f>
        <v/>
      </c>
      <c r="H780" s="38" t="str">
        <f>IF(IF(775&lt;=COUNTA(半紙!$B$11:$B$310),INDEX(半紙!$H$11:$H$310,775),IF(775&lt;=COUNTA(半紙!$B$11:$B$310)+COUNTA(条幅!$B$11:$B$310),INDEX(条幅!$H$11:$H$310,775-COUNTA(半紙!$B$11:$B$310)),IF(775&lt;=COUNTA(半紙!$B$11:$B$310)+COUNTA(条幅!$B$11:$B$310)+COUNTA(条幅4分の1!$B$11:$B$310),INDEX(条幅4分の1!$H$11:$H$310,775-COUNTA(半紙!$B$11:$B$310)-COUNTA(条幅!$B$11:$B$310)),"")))=0,"",IF(775&lt;=COUNTA(半紙!$B$11:$B$310),INDEX(半紙!$H$11:$H$310,775),IF(775&lt;=COUNTA(半紙!$B$11:$B$310)+COUNTA(条幅!$B$11:$B$310),INDEX(条幅!$H$11:$H$310,775-COUNTA(半紙!$B$11:$B$310)),IF(775&lt;=COUNTA(半紙!$B$11:$B$310)+COUNTA(条幅!$B$11:$B$310)+COUNTA(条幅4分の1!$B$11:$B$310),INDEX(条幅4分の1!$H$11:$H$310,775-COUNTA(半紙!$B$11:$B$310)-COUNTA(条幅!$B$11:$B$310)),""))))</f>
        <v/>
      </c>
      <c r="I780" s="38" t="str">
        <f>IF(IF(775&lt;=COUNTA(半紙!$B$11:$B$310),INDEX(半紙!$I$11:$I$310,775),IF(775&lt;=COUNTA(半紙!$B$11:$B$310)+COUNTA(条幅!$B$11:$B$310),INDEX(条幅!$I$11:$I$310,775-COUNTA(半紙!$B$11:$B$310)),IF(775&lt;=COUNTA(半紙!$B$11:$B$310)+COUNTA(条幅!$B$11:$B$310)+COUNTA(条幅4分の1!$B$11:$B$310),INDEX(条幅4分の1!$I$11:$I$310,775-COUNTA(半紙!$B$11:$B$310)-COUNTA(条幅!$B$11:$B$310)),"")))=0,"",IF(775&lt;=COUNTA(半紙!$B$11:$B$310),INDEX(半紙!$I$11:$I$310,775),IF(775&lt;=COUNTA(半紙!$B$11:$B$310)+COUNTA(条幅!$B$11:$B$310),INDEX(条幅!$I$11:$I$310,775-COUNTA(半紙!$B$11:$B$310)),IF(775&lt;=COUNTA(半紙!$B$11:$B$310)+COUNTA(条幅!$B$11:$B$310)+COUNTA(条幅4分の1!$B$11:$B$310),INDEX(条幅4分の1!$I$11:$I$310,775-COUNTA(半紙!$B$11:$B$310)-COUNTA(条幅!$B$11:$B$310)),""))))</f>
        <v/>
      </c>
      <c r="J780" s="38" t="str">
        <f>IF(IF(775&lt;=COUNTA(半紙!$B$11:$B$310),INDEX(半紙!$J$11:$J$310,775),IF(775&lt;=COUNTA(半紙!$B$11:$B$310)+COUNTA(条幅!$B$11:$B$310),INDEX(条幅!$J$11:$J$310,775-COUNTA(半紙!$B$11:$B$310)),IF(775&lt;=COUNTA(半紙!$B$11:$B$310)+COUNTA(条幅!$B$11:$B$310)+COUNTA(条幅4分の1!$B$11:$B$310),INDEX(条幅4分の1!$J$11:$J$310,775-COUNTA(半紙!$B$11:$B$310)-COUNTA(条幅!$B$11:$B$310)),"")))=0,"",IF(775&lt;=COUNTA(半紙!$B$11:$B$310),INDEX(半紙!$J$11:$J$310,775),IF(775&lt;=COUNTA(半紙!$B$11:$B$310)+COUNTA(条幅!$B$11:$B$310),INDEX(条幅!$J$11:$J$310,775-COUNTA(半紙!$B$11:$B$310)),IF(775&lt;=COUNTA(半紙!$B$11:$B$310)+COUNTA(条幅!$B$11:$B$310)+COUNTA(条幅4分の1!$B$11:$B$310),INDEX(条幅4分の1!$J$11:$J$310,775-COUNTA(半紙!$B$11:$B$310)-COUNTA(条幅!$B$11:$B$310)),""))))</f>
        <v/>
      </c>
      <c r="K780" s="38" t="str">
        <f>IF(IF(775&lt;=COUNTA(半紙!$B$11:$B$310),INDEX(半紙!$K$11:$K$310,775),IF(775&lt;=COUNTA(半紙!$B$11:$B$310)+COUNTA(条幅!$B$11:$B$310),INDEX(条幅!$K$11:$K$310,775-COUNTA(半紙!$B$11:$B$310)),IF(775&lt;=COUNTA(半紙!$B$11:$B$310)+COUNTA(条幅!$B$11:$B$310)+COUNTA(条幅4分の1!$B$11:$B$310),INDEX(条幅4分の1!$K$11:$K$310,775-COUNTA(半紙!$B$11:$B$310)-COUNTA(条幅!$B$11:$B$310)),"")))=0,"",IF(775&lt;=COUNTA(半紙!$B$11:$B$310),INDEX(半紙!$K$11:$K$310,775),IF(775&lt;=COUNTA(半紙!$B$11:$B$310)+COUNTA(条幅!$B$11:$B$310),INDEX(条幅!$K$11:$K$310,775-COUNTA(半紙!$B$11:$B$310)),IF(775&lt;=COUNTA(半紙!$B$11:$B$310)+COUNTA(条幅!$B$11:$B$310)+COUNTA(条幅4分の1!$B$11:$B$310),INDEX(条幅4分の1!$K$11:$K$310,775-COUNTA(半紙!$B$11:$B$310)-COUNTA(条幅!$B$11:$B$310)),""))))</f>
        <v/>
      </c>
      <c r="L780" s="48" t="str">
        <f>IF($B780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775))</f>
        <v/>
      </c>
    </row>
    <row r="781" spans="1:12" ht="15" customHeight="1">
      <c r="A781" s="37" t="str">
        <f>IF(776&lt;=COUNTA(半紙!$B$11:$B$310),"半紙",IF(776&lt;=COUNTA(半紙!$B$11:$B$310)+COUNTA(条幅!$B$11:$B$310),"条幅(半切)",IF(776&lt;=COUNTA(半紙!$B$11:$B$310)+COUNTA(条幅!$B$11:$B$310)+COUNTA(条幅4分の1!$B$11:$B$310),"条幅(1/4)","")))</f>
        <v/>
      </c>
      <c r="B781" s="38" t="str">
        <f>IF(IF(776&lt;=COUNTA(半紙!$B$11:$B$310),INDEX(半紙!$B$11:$B$310,776),IF(776&lt;=COUNTA(半紙!$B$11:$B$310)+COUNTA(条幅!$B$11:$B$310),INDEX(条幅!$B$11:$B$310,776-COUNTA(半紙!$B$11:$B$310)),IF(776&lt;=COUNTA(半紙!$B$11:$B$310)+COUNTA(条幅!$B$11:$B$310)+COUNTA(条幅4分の1!$B$11:$B$310),INDEX(条幅4分の1!$B$11:$B$310,776-COUNTA(半紙!$B$11:$B$310)-COUNTA(条幅!$B$11:$B$310)),"")))=0,"",IF(776&lt;=COUNTA(半紙!$B$11:$B$310),INDEX(半紙!$B$11:$B$310,776),IF(776&lt;=COUNTA(半紙!$B$11:$B$310)+COUNTA(条幅!$B$11:$B$310),INDEX(条幅!$B$11:$B$310,776-COUNTA(半紙!$B$11:$B$310)),IF(776&lt;=COUNTA(半紙!$B$11:$B$310)+COUNTA(条幅!$B$11:$B$310)+COUNTA(条幅4分の1!$B$11:$B$310),INDEX(条幅4分の1!$B$11:$B$310,776-COUNTA(半紙!$B$11:$B$310)-COUNTA(条幅!$B$11:$B$310)),""))))</f>
        <v/>
      </c>
      <c r="C781" s="38" t="str">
        <f>IF(IF(776&lt;=COUNTA(半紙!$B$11:$B$310),INDEX(半紙!$C$11:$C$310,776),IF(776&lt;=COUNTA(半紙!$B$11:$B$310)+COUNTA(条幅!$B$11:$B$310),INDEX(条幅!$C$11:$C$310,776-COUNTA(半紙!$B$11:$B$310)),IF(776&lt;=COUNTA(半紙!$B$11:$B$310)+COUNTA(条幅!$B$11:$B$310)+COUNTA(条幅4分の1!$B$11:$B$310),INDEX(条幅4分の1!$C$11:$C$310,776-COUNTA(半紙!$B$11:$B$310)-COUNTA(条幅!$B$11:$B$310)),"")))=0,"",IF(776&lt;=COUNTA(半紙!$B$11:$B$310),INDEX(半紙!$C$11:$C$310,776),IF(776&lt;=COUNTA(半紙!$B$11:$B$310)+COUNTA(条幅!$B$11:$B$310),INDEX(条幅!$C$11:$C$310,776-COUNTA(半紙!$B$11:$B$310)),IF(776&lt;=COUNTA(半紙!$B$11:$B$310)+COUNTA(条幅!$B$11:$B$310)+COUNTA(条幅4分の1!$B$11:$B$310),INDEX(条幅4分の1!$C$11:$C$310,776-COUNTA(半紙!$B$11:$B$310)-COUNTA(条幅!$B$11:$B$310)),""))))</f>
        <v/>
      </c>
      <c r="D781" s="38" t="str">
        <f>IF(IF(776&lt;=COUNTA(半紙!$B$11:$B$310),INDEX(半紙!$D$11:$D$310,776),IF(776&lt;=COUNTA(半紙!$B$11:$B$310)+COUNTA(条幅!$B$11:$B$310),INDEX(条幅!$D$11:$D$310,776-COUNTA(半紙!$B$11:$B$310)),IF(776&lt;=COUNTA(半紙!$B$11:$B$310)+COUNTA(条幅!$B$11:$B$310)+COUNTA(条幅4分の1!$B$11:$B$310),INDEX(条幅4分の1!$D$11:$D$310,776-COUNTA(半紙!$B$11:$B$310)-COUNTA(条幅!$B$11:$B$310)),"")))=0,"",IF(776&lt;=COUNTA(半紙!$B$11:$B$310),INDEX(半紙!$D$11:$D$310,776),IF(776&lt;=COUNTA(半紙!$B$11:$B$310)+COUNTA(条幅!$B$11:$B$310),INDEX(条幅!$D$11:$D$310,776-COUNTA(半紙!$B$11:$B$310)),IF(776&lt;=COUNTA(半紙!$B$11:$B$310)+COUNTA(条幅!$B$11:$B$310)+COUNTA(条幅4分の1!$B$11:$B$310),INDEX(条幅4分の1!$D$11:$D$310,776-COUNTA(半紙!$B$11:$B$310)-COUNTA(条幅!$B$11:$B$310)),""))))</f>
        <v/>
      </c>
      <c r="E781" s="38" t="str">
        <f>IF(IF(776&lt;=COUNTA(半紙!$B$11:$B$310),INDEX(半紙!$E$11:$E$310,776),IF(776&lt;=COUNTA(半紙!$B$11:$B$310)+COUNTA(条幅!$B$11:$B$310),INDEX(条幅!$E$11:$E$310,776-COUNTA(半紙!$B$11:$B$310)),IF(776&lt;=COUNTA(半紙!$B$11:$B$310)+COUNTA(条幅!$B$11:$B$310)+COUNTA(条幅4分の1!$B$11:$B$310),INDEX(条幅4分の1!$E$11:$E$310,776-COUNTA(半紙!$B$11:$B$310)-COUNTA(条幅!$B$11:$B$310)),"")))=0,"",IF(776&lt;=COUNTA(半紙!$B$11:$B$310),INDEX(半紙!$E$11:$E$310,776),IF(776&lt;=COUNTA(半紙!$B$11:$B$310)+COUNTA(条幅!$B$11:$B$310),INDEX(条幅!$E$11:$E$310,776-COUNTA(半紙!$B$11:$B$310)),IF(776&lt;=COUNTA(半紙!$B$11:$B$310)+COUNTA(条幅!$B$11:$B$310)+COUNTA(条幅4分の1!$B$11:$B$310),INDEX(条幅4分の1!$E$11:$E$310,776-COUNTA(半紙!$B$11:$B$310)-COUNTA(条幅!$B$11:$B$310)),""))))</f>
        <v/>
      </c>
      <c r="F781" s="38" t="str">
        <f>IF(IF(776&lt;=COUNTA(半紙!$B$11:$B$310),INDEX(半紙!$F$11:$F$310,776),IF(776&lt;=COUNTA(半紙!$B$11:$B$310)+COUNTA(条幅!$B$11:$B$310),INDEX(条幅!$F$11:$F$310,776-COUNTA(半紙!$B$11:$B$310)),IF(776&lt;=COUNTA(半紙!$B$11:$B$310)+COUNTA(条幅!$B$11:$B$310)+COUNTA(条幅4分の1!$B$11:$B$310),INDEX(条幅4分の1!$F$11:$F$310,776-COUNTA(半紙!$B$11:$B$310)-COUNTA(条幅!$B$11:$B$310)),"")))=0,"",IF(776&lt;=COUNTA(半紙!$B$11:$B$310),INDEX(半紙!$F$11:$F$310,776),IF(776&lt;=COUNTA(半紙!$B$11:$B$310)+COUNTA(条幅!$B$11:$B$310),INDEX(条幅!$F$11:$F$310,776-COUNTA(半紙!$B$11:$B$310)),IF(776&lt;=COUNTA(半紙!$B$11:$B$310)+COUNTA(条幅!$B$11:$B$310)+COUNTA(条幅4分の1!$B$11:$B$310),INDEX(条幅4分の1!$F$11:$F$310,776-COUNTA(半紙!$B$11:$B$310)-COUNTA(条幅!$B$11:$B$310)),""))))</f>
        <v/>
      </c>
      <c r="G781" s="38" t="str">
        <f>IF(IF(776&lt;=COUNTA(半紙!$B$11:$B$310),INDEX(半紙!$G$11:$G$310,776),IF(776&lt;=COUNTA(半紙!$B$11:$B$310)+COUNTA(条幅!$B$11:$B$310),INDEX(条幅!$G$11:$G$310,776-COUNTA(半紙!$B$11:$B$310)),IF(776&lt;=COUNTA(半紙!$B$11:$B$310)+COUNTA(条幅!$B$11:$B$310)+COUNTA(条幅4分の1!$B$11:$B$310),INDEX(条幅4分の1!$G$11:$G$310,776-COUNTA(半紙!$B$11:$B$310)-COUNTA(条幅!$B$11:$B$310)),"")))=0,"",IF(776&lt;=COUNTA(半紙!$B$11:$B$310),INDEX(半紙!$G$11:$G$310,776),IF(776&lt;=COUNTA(半紙!$B$11:$B$310)+COUNTA(条幅!$B$11:$B$310),INDEX(条幅!$G$11:$G$310,776-COUNTA(半紙!$B$11:$B$310)),IF(776&lt;=COUNTA(半紙!$B$11:$B$310)+COUNTA(条幅!$B$11:$B$310)+COUNTA(条幅4分の1!$B$11:$B$310),INDEX(条幅4分の1!$G$11:$G$310,776-COUNTA(半紙!$B$11:$B$310)-COUNTA(条幅!$B$11:$B$310)),""))))</f>
        <v/>
      </c>
      <c r="H781" s="38" t="str">
        <f>IF(IF(776&lt;=COUNTA(半紙!$B$11:$B$310),INDEX(半紙!$H$11:$H$310,776),IF(776&lt;=COUNTA(半紙!$B$11:$B$310)+COUNTA(条幅!$B$11:$B$310),INDEX(条幅!$H$11:$H$310,776-COUNTA(半紙!$B$11:$B$310)),IF(776&lt;=COUNTA(半紙!$B$11:$B$310)+COUNTA(条幅!$B$11:$B$310)+COUNTA(条幅4分の1!$B$11:$B$310),INDEX(条幅4分の1!$H$11:$H$310,776-COUNTA(半紙!$B$11:$B$310)-COUNTA(条幅!$B$11:$B$310)),"")))=0,"",IF(776&lt;=COUNTA(半紙!$B$11:$B$310),INDEX(半紙!$H$11:$H$310,776),IF(776&lt;=COUNTA(半紙!$B$11:$B$310)+COUNTA(条幅!$B$11:$B$310),INDEX(条幅!$H$11:$H$310,776-COUNTA(半紙!$B$11:$B$310)),IF(776&lt;=COUNTA(半紙!$B$11:$B$310)+COUNTA(条幅!$B$11:$B$310)+COUNTA(条幅4分の1!$B$11:$B$310),INDEX(条幅4分の1!$H$11:$H$310,776-COUNTA(半紙!$B$11:$B$310)-COUNTA(条幅!$B$11:$B$310)),""))))</f>
        <v/>
      </c>
      <c r="I781" s="38" t="str">
        <f>IF(IF(776&lt;=COUNTA(半紙!$B$11:$B$310),INDEX(半紙!$I$11:$I$310,776),IF(776&lt;=COUNTA(半紙!$B$11:$B$310)+COUNTA(条幅!$B$11:$B$310),INDEX(条幅!$I$11:$I$310,776-COUNTA(半紙!$B$11:$B$310)),IF(776&lt;=COUNTA(半紙!$B$11:$B$310)+COUNTA(条幅!$B$11:$B$310)+COUNTA(条幅4分の1!$B$11:$B$310),INDEX(条幅4分の1!$I$11:$I$310,776-COUNTA(半紙!$B$11:$B$310)-COUNTA(条幅!$B$11:$B$310)),"")))=0,"",IF(776&lt;=COUNTA(半紙!$B$11:$B$310),INDEX(半紙!$I$11:$I$310,776),IF(776&lt;=COUNTA(半紙!$B$11:$B$310)+COUNTA(条幅!$B$11:$B$310),INDEX(条幅!$I$11:$I$310,776-COUNTA(半紙!$B$11:$B$310)),IF(776&lt;=COUNTA(半紙!$B$11:$B$310)+COUNTA(条幅!$B$11:$B$310)+COUNTA(条幅4分の1!$B$11:$B$310),INDEX(条幅4分の1!$I$11:$I$310,776-COUNTA(半紙!$B$11:$B$310)-COUNTA(条幅!$B$11:$B$310)),""))))</f>
        <v/>
      </c>
      <c r="J781" s="38" t="str">
        <f>IF(IF(776&lt;=COUNTA(半紙!$B$11:$B$310),INDEX(半紙!$J$11:$J$310,776),IF(776&lt;=COUNTA(半紙!$B$11:$B$310)+COUNTA(条幅!$B$11:$B$310),INDEX(条幅!$J$11:$J$310,776-COUNTA(半紙!$B$11:$B$310)),IF(776&lt;=COUNTA(半紙!$B$11:$B$310)+COUNTA(条幅!$B$11:$B$310)+COUNTA(条幅4分の1!$B$11:$B$310),INDEX(条幅4分の1!$J$11:$J$310,776-COUNTA(半紙!$B$11:$B$310)-COUNTA(条幅!$B$11:$B$310)),"")))=0,"",IF(776&lt;=COUNTA(半紙!$B$11:$B$310),INDEX(半紙!$J$11:$J$310,776),IF(776&lt;=COUNTA(半紙!$B$11:$B$310)+COUNTA(条幅!$B$11:$B$310),INDEX(条幅!$J$11:$J$310,776-COUNTA(半紙!$B$11:$B$310)),IF(776&lt;=COUNTA(半紙!$B$11:$B$310)+COUNTA(条幅!$B$11:$B$310)+COUNTA(条幅4分の1!$B$11:$B$310),INDEX(条幅4分の1!$J$11:$J$310,776-COUNTA(半紙!$B$11:$B$310)-COUNTA(条幅!$B$11:$B$310)),""))))</f>
        <v/>
      </c>
      <c r="K781" s="38" t="str">
        <f>IF(IF(776&lt;=COUNTA(半紙!$B$11:$B$310),INDEX(半紙!$K$11:$K$310,776),IF(776&lt;=COUNTA(半紙!$B$11:$B$310)+COUNTA(条幅!$B$11:$B$310),INDEX(条幅!$K$11:$K$310,776-COUNTA(半紙!$B$11:$B$310)),IF(776&lt;=COUNTA(半紙!$B$11:$B$310)+COUNTA(条幅!$B$11:$B$310)+COUNTA(条幅4分の1!$B$11:$B$310),INDEX(条幅4分の1!$K$11:$K$310,776-COUNTA(半紙!$B$11:$B$310)-COUNTA(条幅!$B$11:$B$310)),"")))=0,"",IF(776&lt;=COUNTA(半紙!$B$11:$B$310),INDEX(半紙!$K$11:$K$310,776),IF(776&lt;=COUNTA(半紙!$B$11:$B$310)+COUNTA(条幅!$B$11:$B$310),INDEX(条幅!$K$11:$K$310,776-COUNTA(半紙!$B$11:$B$310)),IF(776&lt;=COUNTA(半紙!$B$11:$B$310)+COUNTA(条幅!$B$11:$B$310)+COUNTA(条幅4分の1!$B$11:$B$310),INDEX(条幅4分の1!$K$11:$K$310,776-COUNTA(半紙!$B$11:$B$310)-COUNTA(条幅!$B$11:$B$310)),""))))</f>
        <v/>
      </c>
      <c r="L781" s="48" t="str">
        <f>IF($B781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776))</f>
        <v/>
      </c>
    </row>
    <row r="782" spans="1:12" ht="15" customHeight="1">
      <c r="A782" s="37" t="str">
        <f>IF(777&lt;=COUNTA(半紙!$B$11:$B$310),"半紙",IF(777&lt;=COUNTA(半紙!$B$11:$B$310)+COUNTA(条幅!$B$11:$B$310),"条幅(半切)",IF(777&lt;=COUNTA(半紙!$B$11:$B$310)+COUNTA(条幅!$B$11:$B$310)+COUNTA(条幅4分の1!$B$11:$B$310),"条幅(1/4)","")))</f>
        <v/>
      </c>
      <c r="B782" s="38" t="str">
        <f>IF(IF(777&lt;=COUNTA(半紙!$B$11:$B$310),INDEX(半紙!$B$11:$B$310,777),IF(777&lt;=COUNTA(半紙!$B$11:$B$310)+COUNTA(条幅!$B$11:$B$310),INDEX(条幅!$B$11:$B$310,777-COUNTA(半紙!$B$11:$B$310)),IF(777&lt;=COUNTA(半紙!$B$11:$B$310)+COUNTA(条幅!$B$11:$B$310)+COUNTA(条幅4分の1!$B$11:$B$310),INDEX(条幅4分の1!$B$11:$B$310,777-COUNTA(半紙!$B$11:$B$310)-COUNTA(条幅!$B$11:$B$310)),"")))=0,"",IF(777&lt;=COUNTA(半紙!$B$11:$B$310),INDEX(半紙!$B$11:$B$310,777),IF(777&lt;=COUNTA(半紙!$B$11:$B$310)+COUNTA(条幅!$B$11:$B$310),INDEX(条幅!$B$11:$B$310,777-COUNTA(半紙!$B$11:$B$310)),IF(777&lt;=COUNTA(半紙!$B$11:$B$310)+COUNTA(条幅!$B$11:$B$310)+COUNTA(条幅4分の1!$B$11:$B$310),INDEX(条幅4分の1!$B$11:$B$310,777-COUNTA(半紙!$B$11:$B$310)-COUNTA(条幅!$B$11:$B$310)),""))))</f>
        <v/>
      </c>
      <c r="C782" s="38" t="str">
        <f>IF(IF(777&lt;=COUNTA(半紙!$B$11:$B$310),INDEX(半紙!$C$11:$C$310,777),IF(777&lt;=COUNTA(半紙!$B$11:$B$310)+COUNTA(条幅!$B$11:$B$310),INDEX(条幅!$C$11:$C$310,777-COUNTA(半紙!$B$11:$B$310)),IF(777&lt;=COUNTA(半紙!$B$11:$B$310)+COUNTA(条幅!$B$11:$B$310)+COUNTA(条幅4分の1!$B$11:$B$310),INDEX(条幅4分の1!$C$11:$C$310,777-COUNTA(半紙!$B$11:$B$310)-COUNTA(条幅!$B$11:$B$310)),"")))=0,"",IF(777&lt;=COUNTA(半紙!$B$11:$B$310),INDEX(半紙!$C$11:$C$310,777),IF(777&lt;=COUNTA(半紙!$B$11:$B$310)+COUNTA(条幅!$B$11:$B$310),INDEX(条幅!$C$11:$C$310,777-COUNTA(半紙!$B$11:$B$310)),IF(777&lt;=COUNTA(半紙!$B$11:$B$310)+COUNTA(条幅!$B$11:$B$310)+COUNTA(条幅4分の1!$B$11:$B$310),INDEX(条幅4分の1!$C$11:$C$310,777-COUNTA(半紙!$B$11:$B$310)-COUNTA(条幅!$B$11:$B$310)),""))))</f>
        <v/>
      </c>
      <c r="D782" s="38" t="str">
        <f>IF(IF(777&lt;=COUNTA(半紙!$B$11:$B$310),INDEX(半紙!$D$11:$D$310,777),IF(777&lt;=COUNTA(半紙!$B$11:$B$310)+COUNTA(条幅!$B$11:$B$310),INDEX(条幅!$D$11:$D$310,777-COUNTA(半紙!$B$11:$B$310)),IF(777&lt;=COUNTA(半紙!$B$11:$B$310)+COUNTA(条幅!$B$11:$B$310)+COUNTA(条幅4分の1!$B$11:$B$310),INDEX(条幅4分の1!$D$11:$D$310,777-COUNTA(半紙!$B$11:$B$310)-COUNTA(条幅!$B$11:$B$310)),"")))=0,"",IF(777&lt;=COUNTA(半紙!$B$11:$B$310),INDEX(半紙!$D$11:$D$310,777),IF(777&lt;=COUNTA(半紙!$B$11:$B$310)+COUNTA(条幅!$B$11:$B$310),INDEX(条幅!$D$11:$D$310,777-COUNTA(半紙!$B$11:$B$310)),IF(777&lt;=COUNTA(半紙!$B$11:$B$310)+COUNTA(条幅!$B$11:$B$310)+COUNTA(条幅4分の1!$B$11:$B$310),INDEX(条幅4分の1!$D$11:$D$310,777-COUNTA(半紙!$B$11:$B$310)-COUNTA(条幅!$B$11:$B$310)),""))))</f>
        <v/>
      </c>
      <c r="E782" s="38" t="str">
        <f>IF(IF(777&lt;=COUNTA(半紙!$B$11:$B$310),INDEX(半紙!$E$11:$E$310,777),IF(777&lt;=COUNTA(半紙!$B$11:$B$310)+COUNTA(条幅!$B$11:$B$310),INDEX(条幅!$E$11:$E$310,777-COUNTA(半紙!$B$11:$B$310)),IF(777&lt;=COUNTA(半紙!$B$11:$B$310)+COUNTA(条幅!$B$11:$B$310)+COUNTA(条幅4分の1!$B$11:$B$310),INDEX(条幅4分の1!$E$11:$E$310,777-COUNTA(半紙!$B$11:$B$310)-COUNTA(条幅!$B$11:$B$310)),"")))=0,"",IF(777&lt;=COUNTA(半紙!$B$11:$B$310),INDEX(半紙!$E$11:$E$310,777),IF(777&lt;=COUNTA(半紙!$B$11:$B$310)+COUNTA(条幅!$B$11:$B$310),INDEX(条幅!$E$11:$E$310,777-COUNTA(半紙!$B$11:$B$310)),IF(777&lt;=COUNTA(半紙!$B$11:$B$310)+COUNTA(条幅!$B$11:$B$310)+COUNTA(条幅4分の1!$B$11:$B$310),INDEX(条幅4分の1!$E$11:$E$310,777-COUNTA(半紙!$B$11:$B$310)-COUNTA(条幅!$B$11:$B$310)),""))))</f>
        <v/>
      </c>
      <c r="F782" s="38" t="str">
        <f>IF(IF(777&lt;=COUNTA(半紙!$B$11:$B$310),INDEX(半紙!$F$11:$F$310,777),IF(777&lt;=COUNTA(半紙!$B$11:$B$310)+COUNTA(条幅!$B$11:$B$310),INDEX(条幅!$F$11:$F$310,777-COUNTA(半紙!$B$11:$B$310)),IF(777&lt;=COUNTA(半紙!$B$11:$B$310)+COUNTA(条幅!$B$11:$B$310)+COUNTA(条幅4分の1!$B$11:$B$310),INDEX(条幅4分の1!$F$11:$F$310,777-COUNTA(半紙!$B$11:$B$310)-COUNTA(条幅!$B$11:$B$310)),"")))=0,"",IF(777&lt;=COUNTA(半紙!$B$11:$B$310),INDEX(半紙!$F$11:$F$310,777),IF(777&lt;=COUNTA(半紙!$B$11:$B$310)+COUNTA(条幅!$B$11:$B$310),INDEX(条幅!$F$11:$F$310,777-COUNTA(半紙!$B$11:$B$310)),IF(777&lt;=COUNTA(半紙!$B$11:$B$310)+COUNTA(条幅!$B$11:$B$310)+COUNTA(条幅4分の1!$B$11:$B$310),INDEX(条幅4分の1!$F$11:$F$310,777-COUNTA(半紙!$B$11:$B$310)-COUNTA(条幅!$B$11:$B$310)),""))))</f>
        <v/>
      </c>
      <c r="G782" s="38" t="str">
        <f>IF(IF(777&lt;=COUNTA(半紙!$B$11:$B$310),INDEX(半紙!$G$11:$G$310,777),IF(777&lt;=COUNTA(半紙!$B$11:$B$310)+COUNTA(条幅!$B$11:$B$310),INDEX(条幅!$G$11:$G$310,777-COUNTA(半紙!$B$11:$B$310)),IF(777&lt;=COUNTA(半紙!$B$11:$B$310)+COUNTA(条幅!$B$11:$B$310)+COUNTA(条幅4分の1!$B$11:$B$310),INDEX(条幅4分の1!$G$11:$G$310,777-COUNTA(半紙!$B$11:$B$310)-COUNTA(条幅!$B$11:$B$310)),"")))=0,"",IF(777&lt;=COUNTA(半紙!$B$11:$B$310),INDEX(半紙!$G$11:$G$310,777),IF(777&lt;=COUNTA(半紙!$B$11:$B$310)+COUNTA(条幅!$B$11:$B$310),INDEX(条幅!$G$11:$G$310,777-COUNTA(半紙!$B$11:$B$310)),IF(777&lt;=COUNTA(半紙!$B$11:$B$310)+COUNTA(条幅!$B$11:$B$310)+COUNTA(条幅4分の1!$B$11:$B$310),INDEX(条幅4分の1!$G$11:$G$310,777-COUNTA(半紙!$B$11:$B$310)-COUNTA(条幅!$B$11:$B$310)),""))))</f>
        <v/>
      </c>
      <c r="H782" s="38" t="str">
        <f>IF(IF(777&lt;=COUNTA(半紙!$B$11:$B$310),INDEX(半紙!$H$11:$H$310,777),IF(777&lt;=COUNTA(半紙!$B$11:$B$310)+COUNTA(条幅!$B$11:$B$310),INDEX(条幅!$H$11:$H$310,777-COUNTA(半紙!$B$11:$B$310)),IF(777&lt;=COUNTA(半紙!$B$11:$B$310)+COUNTA(条幅!$B$11:$B$310)+COUNTA(条幅4分の1!$B$11:$B$310),INDEX(条幅4分の1!$H$11:$H$310,777-COUNTA(半紙!$B$11:$B$310)-COUNTA(条幅!$B$11:$B$310)),"")))=0,"",IF(777&lt;=COUNTA(半紙!$B$11:$B$310),INDEX(半紙!$H$11:$H$310,777),IF(777&lt;=COUNTA(半紙!$B$11:$B$310)+COUNTA(条幅!$B$11:$B$310),INDEX(条幅!$H$11:$H$310,777-COUNTA(半紙!$B$11:$B$310)),IF(777&lt;=COUNTA(半紙!$B$11:$B$310)+COUNTA(条幅!$B$11:$B$310)+COUNTA(条幅4分の1!$B$11:$B$310),INDEX(条幅4分の1!$H$11:$H$310,777-COUNTA(半紙!$B$11:$B$310)-COUNTA(条幅!$B$11:$B$310)),""))))</f>
        <v/>
      </c>
      <c r="I782" s="38" t="str">
        <f>IF(IF(777&lt;=COUNTA(半紙!$B$11:$B$310),INDEX(半紙!$I$11:$I$310,777),IF(777&lt;=COUNTA(半紙!$B$11:$B$310)+COUNTA(条幅!$B$11:$B$310),INDEX(条幅!$I$11:$I$310,777-COUNTA(半紙!$B$11:$B$310)),IF(777&lt;=COUNTA(半紙!$B$11:$B$310)+COUNTA(条幅!$B$11:$B$310)+COUNTA(条幅4分の1!$B$11:$B$310),INDEX(条幅4分の1!$I$11:$I$310,777-COUNTA(半紙!$B$11:$B$310)-COUNTA(条幅!$B$11:$B$310)),"")))=0,"",IF(777&lt;=COUNTA(半紙!$B$11:$B$310),INDEX(半紙!$I$11:$I$310,777),IF(777&lt;=COUNTA(半紙!$B$11:$B$310)+COUNTA(条幅!$B$11:$B$310),INDEX(条幅!$I$11:$I$310,777-COUNTA(半紙!$B$11:$B$310)),IF(777&lt;=COUNTA(半紙!$B$11:$B$310)+COUNTA(条幅!$B$11:$B$310)+COUNTA(条幅4分の1!$B$11:$B$310),INDEX(条幅4分の1!$I$11:$I$310,777-COUNTA(半紙!$B$11:$B$310)-COUNTA(条幅!$B$11:$B$310)),""))))</f>
        <v/>
      </c>
      <c r="J782" s="38" t="str">
        <f>IF(IF(777&lt;=COUNTA(半紙!$B$11:$B$310),INDEX(半紙!$J$11:$J$310,777),IF(777&lt;=COUNTA(半紙!$B$11:$B$310)+COUNTA(条幅!$B$11:$B$310),INDEX(条幅!$J$11:$J$310,777-COUNTA(半紙!$B$11:$B$310)),IF(777&lt;=COUNTA(半紙!$B$11:$B$310)+COUNTA(条幅!$B$11:$B$310)+COUNTA(条幅4分の1!$B$11:$B$310),INDEX(条幅4分の1!$J$11:$J$310,777-COUNTA(半紙!$B$11:$B$310)-COUNTA(条幅!$B$11:$B$310)),"")))=0,"",IF(777&lt;=COUNTA(半紙!$B$11:$B$310),INDEX(半紙!$J$11:$J$310,777),IF(777&lt;=COUNTA(半紙!$B$11:$B$310)+COUNTA(条幅!$B$11:$B$310),INDEX(条幅!$J$11:$J$310,777-COUNTA(半紙!$B$11:$B$310)),IF(777&lt;=COUNTA(半紙!$B$11:$B$310)+COUNTA(条幅!$B$11:$B$310)+COUNTA(条幅4分の1!$B$11:$B$310),INDEX(条幅4分の1!$J$11:$J$310,777-COUNTA(半紙!$B$11:$B$310)-COUNTA(条幅!$B$11:$B$310)),""))))</f>
        <v/>
      </c>
      <c r="K782" s="38" t="str">
        <f>IF(IF(777&lt;=COUNTA(半紙!$B$11:$B$310),INDEX(半紙!$K$11:$K$310,777),IF(777&lt;=COUNTA(半紙!$B$11:$B$310)+COUNTA(条幅!$B$11:$B$310),INDEX(条幅!$K$11:$K$310,777-COUNTA(半紙!$B$11:$B$310)),IF(777&lt;=COUNTA(半紙!$B$11:$B$310)+COUNTA(条幅!$B$11:$B$310)+COUNTA(条幅4分の1!$B$11:$B$310),INDEX(条幅4分の1!$K$11:$K$310,777-COUNTA(半紙!$B$11:$B$310)-COUNTA(条幅!$B$11:$B$310)),"")))=0,"",IF(777&lt;=COUNTA(半紙!$B$11:$B$310),INDEX(半紙!$K$11:$K$310,777),IF(777&lt;=COUNTA(半紙!$B$11:$B$310)+COUNTA(条幅!$B$11:$B$310),INDEX(条幅!$K$11:$K$310,777-COUNTA(半紙!$B$11:$B$310)),IF(777&lt;=COUNTA(半紙!$B$11:$B$310)+COUNTA(条幅!$B$11:$B$310)+COUNTA(条幅4分の1!$B$11:$B$310),INDEX(条幅4分の1!$K$11:$K$310,777-COUNTA(半紙!$B$11:$B$310)-COUNTA(条幅!$B$11:$B$310)),""))))</f>
        <v/>
      </c>
      <c r="L782" s="48" t="str">
        <f>IF($B782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777))</f>
        <v/>
      </c>
    </row>
    <row r="783" spans="1:12" ht="15" customHeight="1">
      <c r="A783" s="37" t="str">
        <f>IF(778&lt;=COUNTA(半紙!$B$11:$B$310),"半紙",IF(778&lt;=COUNTA(半紙!$B$11:$B$310)+COUNTA(条幅!$B$11:$B$310),"条幅(半切)",IF(778&lt;=COUNTA(半紙!$B$11:$B$310)+COUNTA(条幅!$B$11:$B$310)+COUNTA(条幅4分の1!$B$11:$B$310),"条幅(1/4)","")))</f>
        <v/>
      </c>
      <c r="B783" s="38" t="str">
        <f>IF(IF(778&lt;=COUNTA(半紙!$B$11:$B$310),INDEX(半紙!$B$11:$B$310,778),IF(778&lt;=COUNTA(半紙!$B$11:$B$310)+COUNTA(条幅!$B$11:$B$310),INDEX(条幅!$B$11:$B$310,778-COUNTA(半紙!$B$11:$B$310)),IF(778&lt;=COUNTA(半紙!$B$11:$B$310)+COUNTA(条幅!$B$11:$B$310)+COUNTA(条幅4分の1!$B$11:$B$310),INDEX(条幅4分の1!$B$11:$B$310,778-COUNTA(半紙!$B$11:$B$310)-COUNTA(条幅!$B$11:$B$310)),"")))=0,"",IF(778&lt;=COUNTA(半紙!$B$11:$B$310),INDEX(半紙!$B$11:$B$310,778),IF(778&lt;=COUNTA(半紙!$B$11:$B$310)+COUNTA(条幅!$B$11:$B$310),INDEX(条幅!$B$11:$B$310,778-COUNTA(半紙!$B$11:$B$310)),IF(778&lt;=COUNTA(半紙!$B$11:$B$310)+COUNTA(条幅!$B$11:$B$310)+COUNTA(条幅4分の1!$B$11:$B$310),INDEX(条幅4分の1!$B$11:$B$310,778-COUNTA(半紙!$B$11:$B$310)-COUNTA(条幅!$B$11:$B$310)),""))))</f>
        <v/>
      </c>
      <c r="C783" s="38" t="str">
        <f>IF(IF(778&lt;=COUNTA(半紙!$B$11:$B$310),INDEX(半紙!$C$11:$C$310,778),IF(778&lt;=COUNTA(半紙!$B$11:$B$310)+COUNTA(条幅!$B$11:$B$310),INDEX(条幅!$C$11:$C$310,778-COUNTA(半紙!$B$11:$B$310)),IF(778&lt;=COUNTA(半紙!$B$11:$B$310)+COUNTA(条幅!$B$11:$B$310)+COUNTA(条幅4分の1!$B$11:$B$310),INDEX(条幅4分の1!$C$11:$C$310,778-COUNTA(半紙!$B$11:$B$310)-COUNTA(条幅!$B$11:$B$310)),"")))=0,"",IF(778&lt;=COUNTA(半紙!$B$11:$B$310),INDEX(半紙!$C$11:$C$310,778),IF(778&lt;=COUNTA(半紙!$B$11:$B$310)+COUNTA(条幅!$B$11:$B$310),INDEX(条幅!$C$11:$C$310,778-COUNTA(半紙!$B$11:$B$310)),IF(778&lt;=COUNTA(半紙!$B$11:$B$310)+COUNTA(条幅!$B$11:$B$310)+COUNTA(条幅4分の1!$B$11:$B$310),INDEX(条幅4分の1!$C$11:$C$310,778-COUNTA(半紙!$B$11:$B$310)-COUNTA(条幅!$B$11:$B$310)),""))))</f>
        <v/>
      </c>
      <c r="D783" s="38" t="str">
        <f>IF(IF(778&lt;=COUNTA(半紙!$B$11:$B$310),INDEX(半紙!$D$11:$D$310,778),IF(778&lt;=COUNTA(半紙!$B$11:$B$310)+COUNTA(条幅!$B$11:$B$310),INDEX(条幅!$D$11:$D$310,778-COUNTA(半紙!$B$11:$B$310)),IF(778&lt;=COUNTA(半紙!$B$11:$B$310)+COUNTA(条幅!$B$11:$B$310)+COUNTA(条幅4分の1!$B$11:$B$310),INDEX(条幅4分の1!$D$11:$D$310,778-COUNTA(半紙!$B$11:$B$310)-COUNTA(条幅!$B$11:$B$310)),"")))=0,"",IF(778&lt;=COUNTA(半紙!$B$11:$B$310),INDEX(半紙!$D$11:$D$310,778),IF(778&lt;=COUNTA(半紙!$B$11:$B$310)+COUNTA(条幅!$B$11:$B$310),INDEX(条幅!$D$11:$D$310,778-COUNTA(半紙!$B$11:$B$310)),IF(778&lt;=COUNTA(半紙!$B$11:$B$310)+COUNTA(条幅!$B$11:$B$310)+COUNTA(条幅4分の1!$B$11:$B$310),INDEX(条幅4分の1!$D$11:$D$310,778-COUNTA(半紙!$B$11:$B$310)-COUNTA(条幅!$B$11:$B$310)),""))))</f>
        <v/>
      </c>
      <c r="E783" s="38" t="str">
        <f>IF(IF(778&lt;=COUNTA(半紙!$B$11:$B$310),INDEX(半紙!$E$11:$E$310,778),IF(778&lt;=COUNTA(半紙!$B$11:$B$310)+COUNTA(条幅!$B$11:$B$310),INDEX(条幅!$E$11:$E$310,778-COUNTA(半紙!$B$11:$B$310)),IF(778&lt;=COUNTA(半紙!$B$11:$B$310)+COUNTA(条幅!$B$11:$B$310)+COUNTA(条幅4分の1!$B$11:$B$310),INDEX(条幅4分の1!$E$11:$E$310,778-COUNTA(半紙!$B$11:$B$310)-COUNTA(条幅!$B$11:$B$310)),"")))=0,"",IF(778&lt;=COUNTA(半紙!$B$11:$B$310),INDEX(半紙!$E$11:$E$310,778),IF(778&lt;=COUNTA(半紙!$B$11:$B$310)+COUNTA(条幅!$B$11:$B$310),INDEX(条幅!$E$11:$E$310,778-COUNTA(半紙!$B$11:$B$310)),IF(778&lt;=COUNTA(半紙!$B$11:$B$310)+COUNTA(条幅!$B$11:$B$310)+COUNTA(条幅4分の1!$B$11:$B$310),INDEX(条幅4分の1!$E$11:$E$310,778-COUNTA(半紙!$B$11:$B$310)-COUNTA(条幅!$B$11:$B$310)),""))))</f>
        <v/>
      </c>
      <c r="F783" s="38" t="str">
        <f>IF(IF(778&lt;=COUNTA(半紙!$B$11:$B$310),INDEX(半紙!$F$11:$F$310,778),IF(778&lt;=COUNTA(半紙!$B$11:$B$310)+COUNTA(条幅!$B$11:$B$310),INDEX(条幅!$F$11:$F$310,778-COUNTA(半紙!$B$11:$B$310)),IF(778&lt;=COUNTA(半紙!$B$11:$B$310)+COUNTA(条幅!$B$11:$B$310)+COUNTA(条幅4分の1!$B$11:$B$310),INDEX(条幅4分の1!$F$11:$F$310,778-COUNTA(半紙!$B$11:$B$310)-COUNTA(条幅!$B$11:$B$310)),"")))=0,"",IF(778&lt;=COUNTA(半紙!$B$11:$B$310),INDEX(半紙!$F$11:$F$310,778),IF(778&lt;=COUNTA(半紙!$B$11:$B$310)+COUNTA(条幅!$B$11:$B$310),INDEX(条幅!$F$11:$F$310,778-COUNTA(半紙!$B$11:$B$310)),IF(778&lt;=COUNTA(半紙!$B$11:$B$310)+COUNTA(条幅!$B$11:$B$310)+COUNTA(条幅4分の1!$B$11:$B$310),INDEX(条幅4分の1!$F$11:$F$310,778-COUNTA(半紙!$B$11:$B$310)-COUNTA(条幅!$B$11:$B$310)),""))))</f>
        <v/>
      </c>
      <c r="G783" s="38" t="str">
        <f>IF(IF(778&lt;=COUNTA(半紙!$B$11:$B$310),INDEX(半紙!$G$11:$G$310,778),IF(778&lt;=COUNTA(半紙!$B$11:$B$310)+COUNTA(条幅!$B$11:$B$310),INDEX(条幅!$G$11:$G$310,778-COUNTA(半紙!$B$11:$B$310)),IF(778&lt;=COUNTA(半紙!$B$11:$B$310)+COUNTA(条幅!$B$11:$B$310)+COUNTA(条幅4分の1!$B$11:$B$310),INDEX(条幅4分の1!$G$11:$G$310,778-COUNTA(半紙!$B$11:$B$310)-COUNTA(条幅!$B$11:$B$310)),"")))=0,"",IF(778&lt;=COUNTA(半紙!$B$11:$B$310),INDEX(半紙!$G$11:$G$310,778),IF(778&lt;=COUNTA(半紙!$B$11:$B$310)+COUNTA(条幅!$B$11:$B$310),INDEX(条幅!$G$11:$G$310,778-COUNTA(半紙!$B$11:$B$310)),IF(778&lt;=COUNTA(半紙!$B$11:$B$310)+COUNTA(条幅!$B$11:$B$310)+COUNTA(条幅4分の1!$B$11:$B$310),INDEX(条幅4分の1!$G$11:$G$310,778-COUNTA(半紙!$B$11:$B$310)-COUNTA(条幅!$B$11:$B$310)),""))))</f>
        <v/>
      </c>
      <c r="H783" s="38" t="str">
        <f>IF(IF(778&lt;=COUNTA(半紙!$B$11:$B$310),INDEX(半紙!$H$11:$H$310,778),IF(778&lt;=COUNTA(半紙!$B$11:$B$310)+COUNTA(条幅!$B$11:$B$310),INDEX(条幅!$H$11:$H$310,778-COUNTA(半紙!$B$11:$B$310)),IF(778&lt;=COUNTA(半紙!$B$11:$B$310)+COUNTA(条幅!$B$11:$B$310)+COUNTA(条幅4分の1!$B$11:$B$310),INDEX(条幅4分の1!$H$11:$H$310,778-COUNTA(半紙!$B$11:$B$310)-COUNTA(条幅!$B$11:$B$310)),"")))=0,"",IF(778&lt;=COUNTA(半紙!$B$11:$B$310),INDEX(半紙!$H$11:$H$310,778),IF(778&lt;=COUNTA(半紙!$B$11:$B$310)+COUNTA(条幅!$B$11:$B$310),INDEX(条幅!$H$11:$H$310,778-COUNTA(半紙!$B$11:$B$310)),IF(778&lt;=COUNTA(半紙!$B$11:$B$310)+COUNTA(条幅!$B$11:$B$310)+COUNTA(条幅4分の1!$B$11:$B$310),INDEX(条幅4分の1!$H$11:$H$310,778-COUNTA(半紙!$B$11:$B$310)-COUNTA(条幅!$B$11:$B$310)),""))))</f>
        <v/>
      </c>
      <c r="I783" s="38" t="str">
        <f>IF(IF(778&lt;=COUNTA(半紙!$B$11:$B$310),INDEX(半紙!$I$11:$I$310,778),IF(778&lt;=COUNTA(半紙!$B$11:$B$310)+COUNTA(条幅!$B$11:$B$310),INDEX(条幅!$I$11:$I$310,778-COUNTA(半紙!$B$11:$B$310)),IF(778&lt;=COUNTA(半紙!$B$11:$B$310)+COUNTA(条幅!$B$11:$B$310)+COUNTA(条幅4分の1!$B$11:$B$310),INDEX(条幅4分の1!$I$11:$I$310,778-COUNTA(半紙!$B$11:$B$310)-COUNTA(条幅!$B$11:$B$310)),"")))=0,"",IF(778&lt;=COUNTA(半紙!$B$11:$B$310),INDEX(半紙!$I$11:$I$310,778),IF(778&lt;=COUNTA(半紙!$B$11:$B$310)+COUNTA(条幅!$B$11:$B$310),INDEX(条幅!$I$11:$I$310,778-COUNTA(半紙!$B$11:$B$310)),IF(778&lt;=COUNTA(半紙!$B$11:$B$310)+COUNTA(条幅!$B$11:$B$310)+COUNTA(条幅4分の1!$B$11:$B$310),INDEX(条幅4分の1!$I$11:$I$310,778-COUNTA(半紙!$B$11:$B$310)-COUNTA(条幅!$B$11:$B$310)),""))))</f>
        <v/>
      </c>
      <c r="J783" s="38" t="str">
        <f>IF(IF(778&lt;=COUNTA(半紙!$B$11:$B$310),INDEX(半紙!$J$11:$J$310,778),IF(778&lt;=COUNTA(半紙!$B$11:$B$310)+COUNTA(条幅!$B$11:$B$310),INDEX(条幅!$J$11:$J$310,778-COUNTA(半紙!$B$11:$B$310)),IF(778&lt;=COUNTA(半紙!$B$11:$B$310)+COUNTA(条幅!$B$11:$B$310)+COUNTA(条幅4分の1!$B$11:$B$310),INDEX(条幅4分の1!$J$11:$J$310,778-COUNTA(半紙!$B$11:$B$310)-COUNTA(条幅!$B$11:$B$310)),"")))=0,"",IF(778&lt;=COUNTA(半紙!$B$11:$B$310),INDEX(半紙!$J$11:$J$310,778),IF(778&lt;=COUNTA(半紙!$B$11:$B$310)+COUNTA(条幅!$B$11:$B$310),INDEX(条幅!$J$11:$J$310,778-COUNTA(半紙!$B$11:$B$310)),IF(778&lt;=COUNTA(半紙!$B$11:$B$310)+COUNTA(条幅!$B$11:$B$310)+COUNTA(条幅4分の1!$B$11:$B$310),INDEX(条幅4分の1!$J$11:$J$310,778-COUNTA(半紙!$B$11:$B$310)-COUNTA(条幅!$B$11:$B$310)),""))))</f>
        <v/>
      </c>
      <c r="K783" s="38" t="str">
        <f>IF(IF(778&lt;=COUNTA(半紙!$B$11:$B$310),INDEX(半紙!$K$11:$K$310,778),IF(778&lt;=COUNTA(半紙!$B$11:$B$310)+COUNTA(条幅!$B$11:$B$310),INDEX(条幅!$K$11:$K$310,778-COUNTA(半紙!$B$11:$B$310)),IF(778&lt;=COUNTA(半紙!$B$11:$B$310)+COUNTA(条幅!$B$11:$B$310)+COUNTA(条幅4分の1!$B$11:$B$310),INDEX(条幅4分の1!$K$11:$K$310,778-COUNTA(半紙!$B$11:$B$310)-COUNTA(条幅!$B$11:$B$310)),"")))=0,"",IF(778&lt;=COUNTA(半紙!$B$11:$B$310),INDEX(半紙!$K$11:$K$310,778),IF(778&lt;=COUNTA(半紙!$B$11:$B$310)+COUNTA(条幅!$B$11:$B$310),INDEX(条幅!$K$11:$K$310,778-COUNTA(半紙!$B$11:$B$310)),IF(778&lt;=COUNTA(半紙!$B$11:$B$310)+COUNTA(条幅!$B$11:$B$310)+COUNTA(条幅4分の1!$B$11:$B$310),INDEX(条幅4分の1!$K$11:$K$310,778-COUNTA(半紙!$B$11:$B$310)-COUNTA(条幅!$B$11:$B$310)),""))))</f>
        <v/>
      </c>
      <c r="L783" s="48" t="str">
        <f>IF($B783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778))</f>
        <v/>
      </c>
    </row>
    <row r="784" spans="1:12" ht="15" customHeight="1">
      <c r="A784" s="37" t="str">
        <f>IF(779&lt;=COUNTA(半紙!$B$11:$B$310),"半紙",IF(779&lt;=COUNTA(半紙!$B$11:$B$310)+COUNTA(条幅!$B$11:$B$310),"条幅(半切)",IF(779&lt;=COUNTA(半紙!$B$11:$B$310)+COUNTA(条幅!$B$11:$B$310)+COUNTA(条幅4分の1!$B$11:$B$310),"条幅(1/4)","")))</f>
        <v/>
      </c>
      <c r="B784" s="38" t="str">
        <f>IF(IF(779&lt;=COUNTA(半紙!$B$11:$B$310),INDEX(半紙!$B$11:$B$310,779),IF(779&lt;=COUNTA(半紙!$B$11:$B$310)+COUNTA(条幅!$B$11:$B$310),INDEX(条幅!$B$11:$B$310,779-COUNTA(半紙!$B$11:$B$310)),IF(779&lt;=COUNTA(半紙!$B$11:$B$310)+COUNTA(条幅!$B$11:$B$310)+COUNTA(条幅4分の1!$B$11:$B$310),INDEX(条幅4分の1!$B$11:$B$310,779-COUNTA(半紙!$B$11:$B$310)-COUNTA(条幅!$B$11:$B$310)),"")))=0,"",IF(779&lt;=COUNTA(半紙!$B$11:$B$310),INDEX(半紙!$B$11:$B$310,779),IF(779&lt;=COUNTA(半紙!$B$11:$B$310)+COUNTA(条幅!$B$11:$B$310),INDEX(条幅!$B$11:$B$310,779-COUNTA(半紙!$B$11:$B$310)),IF(779&lt;=COUNTA(半紙!$B$11:$B$310)+COUNTA(条幅!$B$11:$B$310)+COUNTA(条幅4分の1!$B$11:$B$310),INDEX(条幅4分の1!$B$11:$B$310,779-COUNTA(半紙!$B$11:$B$310)-COUNTA(条幅!$B$11:$B$310)),""))))</f>
        <v/>
      </c>
      <c r="C784" s="38" t="str">
        <f>IF(IF(779&lt;=COUNTA(半紙!$B$11:$B$310),INDEX(半紙!$C$11:$C$310,779),IF(779&lt;=COUNTA(半紙!$B$11:$B$310)+COUNTA(条幅!$B$11:$B$310),INDEX(条幅!$C$11:$C$310,779-COUNTA(半紙!$B$11:$B$310)),IF(779&lt;=COUNTA(半紙!$B$11:$B$310)+COUNTA(条幅!$B$11:$B$310)+COUNTA(条幅4分の1!$B$11:$B$310),INDEX(条幅4分の1!$C$11:$C$310,779-COUNTA(半紙!$B$11:$B$310)-COUNTA(条幅!$B$11:$B$310)),"")))=0,"",IF(779&lt;=COUNTA(半紙!$B$11:$B$310),INDEX(半紙!$C$11:$C$310,779),IF(779&lt;=COUNTA(半紙!$B$11:$B$310)+COUNTA(条幅!$B$11:$B$310),INDEX(条幅!$C$11:$C$310,779-COUNTA(半紙!$B$11:$B$310)),IF(779&lt;=COUNTA(半紙!$B$11:$B$310)+COUNTA(条幅!$B$11:$B$310)+COUNTA(条幅4分の1!$B$11:$B$310),INDEX(条幅4分の1!$C$11:$C$310,779-COUNTA(半紙!$B$11:$B$310)-COUNTA(条幅!$B$11:$B$310)),""))))</f>
        <v/>
      </c>
      <c r="D784" s="38" t="str">
        <f>IF(IF(779&lt;=COUNTA(半紙!$B$11:$B$310),INDEX(半紙!$D$11:$D$310,779),IF(779&lt;=COUNTA(半紙!$B$11:$B$310)+COUNTA(条幅!$B$11:$B$310),INDEX(条幅!$D$11:$D$310,779-COUNTA(半紙!$B$11:$B$310)),IF(779&lt;=COUNTA(半紙!$B$11:$B$310)+COUNTA(条幅!$B$11:$B$310)+COUNTA(条幅4分の1!$B$11:$B$310),INDEX(条幅4分の1!$D$11:$D$310,779-COUNTA(半紙!$B$11:$B$310)-COUNTA(条幅!$B$11:$B$310)),"")))=0,"",IF(779&lt;=COUNTA(半紙!$B$11:$B$310),INDEX(半紙!$D$11:$D$310,779),IF(779&lt;=COUNTA(半紙!$B$11:$B$310)+COUNTA(条幅!$B$11:$B$310),INDEX(条幅!$D$11:$D$310,779-COUNTA(半紙!$B$11:$B$310)),IF(779&lt;=COUNTA(半紙!$B$11:$B$310)+COUNTA(条幅!$B$11:$B$310)+COUNTA(条幅4分の1!$B$11:$B$310),INDEX(条幅4分の1!$D$11:$D$310,779-COUNTA(半紙!$B$11:$B$310)-COUNTA(条幅!$B$11:$B$310)),""))))</f>
        <v/>
      </c>
      <c r="E784" s="38" t="str">
        <f>IF(IF(779&lt;=COUNTA(半紙!$B$11:$B$310),INDEX(半紙!$E$11:$E$310,779),IF(779&lt;=COUNTA(半紙!$B$11:$B$310)+COUNTA(条幅!$B$11:$B$310),INDEX(条幅!$E$11:$E$310,779-COUNTA(半紙!$B$11:$B$310)),IF(779&lt;=COUNTA(半紙!$B$11:$B$310)+COUNTA(条幅!$B$11:$B$310)+COUNTA(条幅4分の1!$B$11:$B$310),INDEX(条幅4分の1!$E$11:$E$310,779-COUNTA(半紙!$B$11:$B$310)-COUNTA(条幅!$B$11:$B$310)),"")))=0,"",IF(779&lt;=COUNTA(半紙!$B$11:$B$310),INDEX(半紙!$E$11:$E$310,779),IF(779&lt;=COUNTA(半紙!$B$11:$B$310)+COUNTA(条幅!$B$11:$B$310),INDEX(条幅!$E$11:$E$310,779-COUNTA(半紙!$B$11:$B$310)),IF(779&lt;=COUNTA(半紙!$B$11:$B$310)+COUNTA(条幅!$B$11:$B$310)+COUNTA(条幅4分の1!$B$11:$B$310),INDEX(条幅4分の1!$E$11:$E$310,779-COUNTA(半紙!$B$11:$B$310)-COUNTA(条幅!$B$11:$B$310)),""))))</f>
        <v/>
      </c>
      <c r="F784" s="38" t="str">
        <f>IF(IF(779&lt;=COUNTA(半紙!$B$11:$B$310),INDEX(半紙!$F$11:$F$310,779),IF(779&lt;=COUNTA(半紙!$B$11:$B$310)+COUNTA(条幅!$B$11:$B$310),INDEX(条幅!$F$11:$F$310,779-COUNTA(半紙!$B$11:$B$310)),IF(779&lt;=COUNTA(半紙!$B$11:$B$310)+COUNTA(条幅!$B$11:$B$310)+COUNTA(条幅4分の1!$B$11:$B$310),INDEX(条幅4分の1!$F$11:$F$310,779-COUNTA(半紙!$B$11:$B$310)-COUNTA(条幅!$B$11:$B$310)),"")))=0,"",IF(779&lt;=COUNTA(半紙!$B$11:$B$310),INDEX(半紙!$F$11:$F$310,779),IF(779&lt;=COUNTA(半紙!$B$11:$B$310)+COUNTA(条幅!$B$11:$B$310),INDEX(条幅!$F$11:$F$310,779-COUNTA(半紙!$B$11:$B$310)),IF(779&lt;=COUNTA(半紙!$B$11:$B$310)+COUNTA(条幅!$B$11:$B$310)+COUNTA(条幅4分の1!$B$11:$B$310),INDEX(条幅4分の1!$F$11:$F$310,779-COUNTA(半紙!$B$11:$B$310)-COUNTA(条幅!$B$11:$B$310)),""))))</f>
        <v/>
      </c>
      <c r="G784" s="38" t="str">
        <f>IF(IF(779&lt;=COUNTA(半紙!$B$11:$B$310),INDEX(半紙!$G$11:$G$310,779),IF(779&lt;=COUNTA(半紙!$B$11:$B$310)+COUNTA(条幅!$B$11:$B$310),INDEX(条幅!$G$11:$G$310,779-COUNTA(半紙!$B$11:$B$310)),IF(779&lt;=COUNTA(半紙!$B$11:$B$310)+COUNTA(条幅!$B$11:$B$310)+COUNTA(条幅4分の1!$B$11:$B$310),INDEX(条幅4分の1!$G$11:$G$310,779-COUNTA(半紙!$B$11:$B$310)-COUNTA(条幅!$B$11:$B$310)),"")))=0,"",IF(779&lt;=COUNTA(半紙!$B$11:$B$310),INDEX(半紙!$G$11:$G$310,779),IF(779&lt;=COUNTA(半紙!$B$11:$B$310)+COUNTA(条幅!$B$11:$B$310),INDEX(条幅!$G$11:$G$310,779-COUNTA(半紙!$B$11:$B$310)),IF(779&lt;=COUNTA(半紙!$B$11:$B$310)+COUNTA(条幅!$B$11:$B$310)+COUNTA(条幅4分の1!$B$11:$B$310),INDEX(条幅4分の1!$G$11:$G$310,779-COUNTA(半紙!$B$11:$B$310)-COUNTA(条幅!$B$11:$B$310)),""))))</f>
        <v/>
      </c>
      <c r="H784" s="38" t="str">
        <f>IF(IF(779&lt;=COUNTA(半紙!$B$11:$B$310),INDEX(半紙!$H$11:$H$310,779),IF(779&lt;=COUNTA(半紙!$B$11:$B$310)+COUNTA(条幅!$B$11:$B$310),INDEX(条幅!$H$11:$H$310,779-COUNTA(半紙!$B$11:$B$310)),IF(779&lt;=COUNTA(半紙!$B$11:$B$310)+COUNTA(条幅!$B$11:$B$310)+COUNTA(条幅4分の1!$B$11:$B$310),INDEX(条幅4分の1!$H$11:$H$310,779-COUNTA(半紙!$B$11:$B$310)-COUNTA(条幅!$B$11:$B$310)),"")))=0,"",IF(779&lt;=COUNTA(半紙!$B$11:$B$310),INDEX(半紙!$H$11:$H$310,779),IF(779&lt;=COUNTA(半紙!$B$11:$B$310)+COUNTA(条幅!$B$11:$B$310),INDEX(条幅!$H$11:$H$310,779-COUNTA(半紙!$B$11:$B$310)),IF(779&lt;=COUNTA(半紙!$B$11:$B$310)+COUNTA(条幅!$B$11:$B$310)+COUNTA(条幅4分の1!$B$11:$B$310),INDEX(条幅4分の1!$H$11:$H$310,779-COUNTA(半紙!$B$11:$B$310)-COUNTA(条幅!$B$11:$B$310)),""))))</f>
        <v/>
      </c>
      <c r="I784" s="38" t="str">
        <f>IF(IF(779&lt;=COUNTA(半紙!$B$11:$B$310),INDEX(半紙!$I$11:$I$310,779),IF(779&lt;=COUNTA(半紙!$B$11:$B$310)+COUNTA(条幅!$B$11:$B$310),INDEX(条幅!$I$11:$I$310,779-COUNTA(半紙!$B$11:$B$310)),IF(779&lt;=COUNTA(半紙!$B$11:$B$310)+COUNTA(条幅!$B$11:$B$310)+COUNTA(条幅4分の1!$B$11:$B$310),INDEX(条幅4分の1!$I$11:$I$310,779-COUNTA(半紙!$B$11:$B$310)-COUNTA(条幅!$B$11:$B$310)),"")))=0,"",IF(779&lt;=COUNTA(半紙!$B$11:$B$310),INDEX(半紙!$I$11:$I$310,779),IF(779&lt;=COUNTA(半紙!$B$11:$B$310)+COUNTA(条幅!$B$11:$B$310),INDEX(条幅!$I$11:$I$310,779-COUNTA(半紙!$B$11:$B$310)),IF(779&lt;=COUNTA(半紙!$B$11:$B$310)+COUNTA(条幅!$B$11:$B$310)+COUNTA(条幅4分の1!$B$11:$B$310),INDEX(条幅4分の1!$I$11:$I$310,779-COUNTA(半紙!$B$11:$B$310)-COUNTA(条幅!$B$11:$B$310)),""))))</f>
        <v/>
      </c>
      <c r="J784" s="38" t="str">
        <f>IF(IF(779&lt;=COUNTA(半紙!$B$11:$B$310),INDEX(半紙!$J$11:$J$310,779),IF(779&lt;=COUNTA(半紙!$B$11:$B$310)+COUNTA(条幅!$B$11:$B$310),INDEX(条幅!$J$11:$J$310,779-COUNTA(半紙!$B$11:$B$310)),IF(779&lt;=COUNTA(半紙!$B$11:$B$310)+COUNTA(条幅!$B$11:$B$310)+COUNTA(条幅4分の1!$B$11:$B$310),INDEX(条幅4分の1!$J$11:$J$310,779-COUNTA(半紙!$B$11:$B$310)-COUNTA(条幅!$B$11:$B$310)),"")))=0,"",IF(779&lt;=COUNTA(半紙!$B$11:$B$310),INDEX(半紙!$J$11:$J$310,779),IF(779&lt;=COUNTA(半紙!$B$11:$B$310)+COUNTA(条幅!$B$11:$B$310),INDEX(条幅!$J$11:$J$310,779-COUNTA(半紙!$B$11:$B$310)),IF(779&lt;=COUNTA(半紙!$B$11:$B$310)+COUNTA(条幅!$B$11:$B$310)+COUNTA(条幅4分の1!$B$11:$B$310),INDEX(条幅4分の1!$J$11:$J$310,779-COUNTA(半紙!$B$11:$B$310)-COUNTA(条幅!$B$11:$B$310)),""))))</f>
        <v/>
      </c>
      <c r="K784" s="38" t="str">
        <f>IF(IF(779&lt;=COUNTA(半紙!$B$11:$B$310),INDEX(半紙!$K$11:$K$310,779),IF(779&lt;=COUNTA(半紙!$B$11:$B$310)+COUNTA(条幅!$B$11:$B$310),INDEX(条幅!$K$11:$K$310,779-COUNTA(半紙!$B$11:$B$310)),IF(779&lt;=COUNTA(半紙!$B$11:$B$310)+COUNTA(条幅!$B$11:$B$310)+COUNTA(条幅4分の1!$B$11:$B$310),INDEX(条幅4分の1!$K$11:$K$310,779-COUNTA(半紙!$B$11:$B$310)-COUNTA(条幅!$B$11:$B$310)),"")))=0,"",IF(779&lt;=COUNTA(半紙!$B$11:$B$310),INDEX(半紙!$K$11:$K$310,779),IF(779&lt;=COUNTA(半紙!$B$11:$B$310)+COUNTA(条幅!$B$11:$B$310),INDEX(条幅!$K$11:$K$310,779-COUNTA(半紙!$B$11:$B$310)),IF(779&lt;=COUNTA(半紙!$B$11:$B$310)+COUNTA(条幅!$B$11:$B$310)+COUNTA(条幅4分の1!$B$11:$B$310),INDEX(条幅4分の1!$K$11:$K$310,779-COUNTA(半紙!$B$11:$B$310)-COUNTA(条幅!$B$11:$B$310)),""))))</f>
        <v/>
      </c>
      <c r="L784" s="48" t="str">
        <f>IF($B784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779))</f>
        <v/>
      </c>
    </row>
    <row r="785" spans="1:12" ht="15" customHeight="1">
      <c r="A785" s="37" t="str">
        <f>IF(780&lt;=COUNTA(半紙!$B$11:$B$310),"半紙",IF(780&lt;=COUNTA(半紙!$B$11:$B$310)+COUNTA(条幅!$B$11:$B$310),"条幅(半切)",IF(780&lt;=COUNTA(半紙!$B$11:$B$310)+COUNTA(条幅!$B$11:$B$310)+COUNTA(条幅4分の1!$B$11:$B$310),"条幅(1/4)","")))</f>
        <v/>
      </c>
      <c r="B785" s="38" t="str">
        <f>IF(IF(780&lt;=COUNTA(半紙!$B$11:$B$310),INDEX(半紙!$B$11:$B$310,780),IF(780&lt;=COUNTA(半紙!$B$11:$B$310)+COUNTA(条幅!$B$11:$B$310),INDEX(条幅!$B$11:$B$310,780-COUNTA(半紙!$B$11:$B$310)),IF(780&lt;=COUNTA(半紙!$B$11:$B$310)+COUNTA(条幅!$B$11:$B$310)+COUNTA(条幅4分の1!$B$11:$B$310),INDEX(条幅4分の1!$B$11:$B$310,780-COUNTA(半紙!$B$11:$B$310)-COUNTA(条幅!$B$11:$B$310)),"")))=0,"",IF(780&lt;=COUNTA(半紙!$B$11:$B$310),INDEX(半紙!$B$11:$B$310,780),IF(780&lt;=COUNTA(半紙!$B$11:$B$310)+COUNTA(条幅!$B$11:$B$310),INDEX(条幅!$B$11:$B$310,780-COUNTA(半紙!$B$11:$B$310)),IF(780&lt;=COUNTA(半紙!$B$11:$B$310)+COUNTA(条幅!$B$11:$B$310)+COUNTA(条幅4分の1!$B$11:$B$310),INDEX(条幅4分の1!$B$11:$B$310,780-COUNTA(半紙!$B$11:$B$310)-COUNTA(条幅!$B$11:$B$310)),""))))</f>
        <v/>
      </c>
      <c r="C785" s="38" t="str">
        <f>IF(IF(780&lt;=COUNTA(半紙!$B$11:$B$310),INDEX(半紙!$C$11:$C$310,780),IF(780&lt;=COUNTA(半紙!$B$11:$B$310)+COUNTA(条幅!$B$11:$B$310),INDEX(条幅!$C$11:$C$310,780-COUNTA(半紙!$B$11:$B$310)),IF(780&lt;=COUNTA(半紙!$B$11:$B$310)+COUNTA(条幅!$B$11:$B$310)+COUNTA(条幅4分の1!$B$11:$B$310),INDEX(条幅4分の1!$C$11:$C$310,780-COUNTA(半紙!$B$11:$B$310)-COUNTA(条幅!$B$11:$B$310)),"")))=0,"",IF(780&lt;=COUNTA(半紙!$B$11:$B$310),INDEX(半紙!$C$11:$C$310,780),IF(780&lt;=COUNTA(半紙!$B$11:$B$310)+COUNTA(条幅!$B$11:$B$310),INDEX(条幅!$C$11:$C$310,780-COUNTA(半紙!$B$11:$B$310)),IF(780&lt;=COUNTA(半紙!$B$11:$B$310)+COUNTA(条幅!$B$11:$B$310)+COUNTA(条幅4分の1!$B$11:$B$310),INDEX(条幅4分の1!$C$11:$C$310,780-COUNTA(半紙!$B$11:$B$310)-COUNTA(条幅!$B$11:$B$310)),""))))</f>
        <v/>
      </c>
      <c r="D785" s="38" t="str">
        <f>IF(IF(780&lt;=COUNTA(半紙!$B$11:$B$310),INDEX(半紙!$D$11:$D$310,780),IF(780&lt;=COUNTA(半紙!$B$11:$B$310)+COUNTA(条幅!$B$11:$B$310),INDEX(条幅!$D$11:$D$310,780-COUNTA(半紙!$B$11:$B$310)),IF(780&lt;=COUNTA(半紙!$B$11:$B$310)+COUNTA(条幅!$B$11:$B$310)+COUNTA(条幅4分の1!$B$11:$B$310),INDEX(条幅4分の1!$D$11:$D$310,780-COUNTA(半紙!$B$11:$B$310)-COUNTA(条幅!$B$11:$B$310)),"")))=0,"",IF(780&lt;=COUNTA(半紙!$B$11:$B$310),INDEX(半紙!$D$11:$D$310,780),IF(780&lt;=COUNTA(半紙!$B$11:$B$310)+COUNTA(条幅!$B$11:$B$310),INDEX(条幅!$D$11:$D$310,780-COUNTA(半紙!$B$11:$B$310)),IF(780&lt;=COUNTA(半紙!$B$11:$B$310)+COUNTA(条幅!$B$11:$B$310)+COUNTA(条幅4分の1!$B$11:$B$310),INDEX(条幅4分の1!$D$11:$D$310,780-COUNTA(半紙!$B$11:$B$310)-COUNTA(条幅!$B$11:$B$310)),""))))</f>
        <v/>
      </c>
      <c r="E785" s="38" t="str">
        <f>IF(IF(780&lt;=COUNTA(半紙!$B$11:$B$310),INDEX(半紙!$E$11:$E$310,780),IF(780&lt;=COUNTA(半紙!$B$11:$B$310)+COUNTA(条幅!$B$11:$B$310),INDEX(条幅!$E$11:$E$310,780-COUNTA(半紙!$B$11:$B$310)),IF(780&lt;=COUNTA(半紙!$B$11:$B$310)+COUNTA(条幅!$B$11:$B$310)+COUNTA(条幅4分の1!$B$11:$B$310),INDEX(条幅4分の1!$E$11:$E$310,780-COUNTA(半紙!$B$11:$B$310)-COUNTA(条幅!$B$11:$B$310)),"")))=0,"",IF(780&lt;=COUNTA(半紙!$B$11:$B$310),INDEX(半紙!$E$11:$E$310,780),IF(780&lt;=COUNTA(半紙!$B$11:$B$310)+COUNTA(条幅!$B$11:$B$310),INDEX(条幅!$E$11:$E$310,780-COUNTA(半紙!$B$11:$B$310)),IF(780&lt;=COUNTA(半紙!$B$11:$B$310)+COUNTA(条幅!$B$11:$B$310)+COUNTA(条幅4分の1!$B$11:$B$310),INDEX(条幅4分の1!$E$11:$E$310,780-COUNTA(半紙!$B$11:$B$310)-COUNTA(条幅!$B$11:$B$310)),""))))</f>
        <v/>
      </c>
      <c r="F785" s="38" t="str">
        <f>IF(IF(780&lt;=COUNTA(半紙!$B$11:$B$310),INDEX(半紙!$F$11:$F$310,780),IF(780&lt;=COUNTA(半紙!$B$11:$B$310)+COUNTA(条幅!$B$11:$B$310),INDEX(条幅!$F$11:$F$310,780-COUNTA(半紙!$B$11:$B$310)),IF(780&lt;=COUNTA(半紙!$B$11:$B$310)+COUNTA(条幅!$B$11:$B$310)+COUNTA(条幅4分の1!$B$11:$B$310),INDEX(条幅4分の1!$F$11:$F$310,780-COUNTA(半紙!$B$11:$B$310)-COUNTA(条幅!$B$11:$B$310)),"")))=0,"",IF(780&lt;=COUNTA(半紙!$B$11:$B$310),INDEX(半紙!$F$11:$F$310,780),IF(780&lt;=COUNTA(半紙!$B$11:$B$310)+COUNTA(条幅!$B$11:$B$310),INDEX(条幅!$F$11:$F$310,780-COUNTA(半紙!$B$11:$B$310)),IF(780&lt;=COUNTA(半紙!$B$11:$B$310)+COUNTA(条幅!$B$11:$B$310)+COUNTA(条幅4分の1!$B$11:$B$310),INDEX(条幅4分の1!$F$11:$F$310,780-COUNTA(半紙!$B$11:$B$310)-COUNTA(条幅!$B$11:$B$310)),""))))</f>
        <v/>
      </c>
      <c r="G785" s="38" t="str">
        <f>IF(IF(780&lt;=COUNTA(半紙!$B$11:$B$310),INDEX(半紙!$G$11:$G$310,780),IF(780&lt;=COUNTA(半紙!$B$11:$B$310)+COUNTA(条幅!$B$11:$B$310),INDEX(条幅!$G$11:$G$310,780-COUNTA(半紙!$B$11:$B$310)),IF(780&lt;=COUNTA(半紙!$B$11:$B$310)+COUNTA(条幅!$B$11:$B$310)+COUNTA(条幅4分の1!$B$11:$B$310),INDEX(条幅4分の1!$G$11:$G$310,780-COUNTA(半紙!$B$11:$B$310)-COUNTA(条幅!$B$11:$B$310)),"")))=0,"",IF(780&lt;=COUNTA(半紙!$B$11:$B$310),INDEX(半紙!$G$11:$G$310,780),IF(780&lt;=COUNTA(半紙!$B$11:$B$310)+COUNTA(条幅!$B$11:$B$310),INDEX(条幅!$G$11:$G$310,780-COUNTA(半紙!$B$11:$B$310)),IF(780&lt;=COUNTA(半紙!$B$11:$B$310)+COUNTA(条幅!$B$11:$B$310)+COUNTA(条幅4分の1!$B$11:$B$310),INDEX(条幅4分の1!$G$11:$G$310,780-COUNTA(半紙!$B$11:$B$310)-COUNTA(条幅!$B$11:$B$310)),""))))</f>
        <v/>
      </c>
      <c r="H785" s="38" t="str">
        <f>IF(IF(780&lt;=COUNTA(半紙!$B$11:$B$310),INDEX(半紙!$H$11:$H$310,780),IF(780&lt;=COUNTA(半紙!$B$11:$B$310)+COUNTA(条幅!$B$11:$B$310),INDEX(条幅!$H$11:$H$310,780-COUNTA(半紙!$B$11:$B$310)),IF(780&lt;=COUNTA(半紙!$B$11:$B$310)+COUNTA(条幅!$B$11:$B$310)+COUNTA(条幅4分の1!$B$11:$B$310),INDEX(条幅4分の1!$H$11:$H$310,780-COUNTA(半紙!$B$11:$B$310)-COUNTA(条幅!$B$11:$B$310)),"")))=0,"",IF(780&lt;=COUNTA(半紙!$B$11:$B$310),INDEX(半紙!$H$11:$H$310,780),IF(780&lt;=COUNTA(半紙!$B$11:$B$310)+COUNTA(条幅!$B$11:$B$310),INDEX(条幅!$H$11:$H$310,780-COUNTA(半紙!$B$11:$B$310)),IF(780&lt;=COUNTA(半紙!$B$11:$B$310)+COUNTA(条幅!$B$11:$B$310)+COUNTA(条幅4分の1!$B$11:$B$310),INDEX(条幅4分の1!$H$11:$H$310,780-COUNTA(半紙!$B$11:$B$310)-COUNTA(条幅!$B$11:$B$310)),""))))</f>
        <v/>
      </c>
      <c r="I785" s="38" t="str">
        <f>IF(IF(780&lt;=COUNTA(半紙!$B$11:$B$310),INDEX(半紙!$I$11:$I$310,780),IF(780&lt;=COUNTA(半紙!$B$11:$B$310)+COUNTA(条幅!$B$11:$B$310),INDEX(条幅!$I$11:$I$310,780-COUNTA(半紙!$B$11:$B$310)),IF(780&lt;=COUNTA(半紙!$B$11:$B$310)+COUNTA(条幅!$B$11:$B$310)+COUNTA(条幅4分の1!$B$11:$B$310),INDEX(条幅4分の1!$I$11:$I$310,780-COUNTA(半紙!$B$11:$B$310)-COUNTA(条幅!$B$11:$B$310)),"")))=0,"",IF(780&lt;=COUNTA(半紙!$B$11:$B$310),INDEX(半紙!$I$11:$I$310,780),IF(780&lt;=COUNTA(半紙!$B$11:$B$310)+COUNTA(条幅!$B$11:$B$310),INDEX(条幅!$I$11:$I$310,780-COUNTA(半紙!$B$11:$B$310)),IF(780&lt;=COUNTA(半紙!$B$11:$B$310)+COUNTA(条幅!$B$11:$B$310)+COUNTA(条幅4分の1!$B$11:$B$310),INDEX(条幅4分の1!$I$11:$I$310,780-COUNTA(半紙!$B$11:$B$310)-COUNTA(条幅!$B$11:$B$310)),""))))</f>
        <v/>
      </c>
      <c r="J785" s="38" t="str">
        <f>IF(IF(780&lt;=COUNTA(半紙!$B$11:$B$310),INDEX(半紙!$J$11:$J$310,780),IF(780&lt;=COUNTA(半紙!$B$11:$B$310)+COUNTA(条幅!$B$11:$B$310),INDEX(条幅!$J$11:$J$310,780-COUNTA(半紙!$B$11:$B$310)),IF(780&lt;=COUNTA(半紙!$B$11:$B$310)+COUNTA(条幅!$B$11:$B$310)+COUNTA(条幅4分の1!$B$11:$B$310),INDEX(条幅4分の1!$J$11:$J$310,780-COUNTA(半紙!$B$11:$B$310)-COUNTA(条幅!$B$11:$B$310)),"")))=0,"",IF(780&lt;=COUNTA(半紙!$B$11:$B$310),INDEX(半紙!$J$11:$J$310,780),IF(780&lt;=COUNTA(半紙!$B$11:$B$310)+COUNTA(条幅!$B$11:$B$310),INDEX(条幅!$J$11:$J$310,780-COUNTA(半紙!$B$11:$B$310)),IF(780&lt;=COUNTA(半紙!$B$11:$B$310)+COUNTA(条幅!$B$11:$B$310)+COUNTA(条幅4分の1!$B$11:$B$310),INDEX(条幅4分の1!$J$11:$J$310,780-COUNTA(半紙!$B$11:$B$310)-COUNTA(条幅!$B$11:$B$310)),""))))</f>
        <v/>
      </c>
      <c r="K785" s="38" t="str">
        <f>IF(IF(780&lt;=COUNTA(半紙!$B$11:$B$310),INDEX(半紙!$K$11:$K$310,780),IF(780&lt;=COUNTA(半紙!$B$11:$B$310)+COUNTA(条幅!$B$11:$B$310),INDEX(条幅!$K$11:$K$310,780-COUNTA(半紙!$B$11:$B$310)),IF(780&lt;=COUNTA(半紙!$B$11:$B$310)+COUNTA(条幅!$B$11:$B$310)+COUNTA(条幅4分の1!$B$11:$B$310),INDEX(条幅4分の1!$K$11:$K$310,780-COUNTA(半紙!$B$11:$B$310)-COUNTA(条幅!$B$11:$B$310)),"")))=0,"",IF(780&lt;=COUNTA(半紙!$B$11:$B$310),INDEX(半紙!$K$11:$K$310,780),IF(780&lt;=COUNTA(半紙!$B$11:$B$310)+COUNTA(条幅!$B$11:$B$310),INDEX(条幅!$K$11:$K$310,780-COUNTA(半紙!$B$11:$B$310)),IF(780&lt;=COUNTA(半紙!$B$11:$B$310)+COUNTA(条幅!$B$11:$B$310)+COUNTA(条幅4分の1!$B$11:$B$310),INDEX(条幅4分の1!$K$11:$K$310,780-COUNTA(半紙!$B$11:$B$310)-COUNTA(条幅!$B$11:$B$310)),""))))</f>
        <v/>
      </c>
      <c r="L785" s="48" t="str">
        <f>IF($B785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780))</f>
        <v/>
      </c>
    </row>
    <row r="786" spans="1:12" ht="15" customHeight="1">
      <c r="A786" s="37" t="str">
        <f>IF(781&lt;=COUNTA(半紙!$B$11:$B$310),"半紙",IF(781&lt;=COUNTA(半紙!$B$11:$B$310)+COUNTA(条幅!$B$11:$B$310),"条幅(半切)",IF(781&lt;=COUNTA(半紙!$B$11:$B$310)+COUNTA(条幅!$B$11:$B$310)+COUNTA(条幅4分の1!$B$11:$B$310),"条幅(1/4)","")))</f>
        <v/>
      </c>
      <c r="B786" s="38" t="str">
        <f>IF(IF(781&lt;=COUNTA(半紙!$B$11:$B$310),INDEX(半紙!$B$11:$B$310,781),IF(781&lt;=COUNTA(半紙!$B$11:$B$310)+COUNTA(条幅!$B$11:$B$310),INDEX(条幅!$B$11:$B$310,781-COUNTA(半紙!$B$11:$B$310)),IF(781&lt;=COUNTA(半紙!$B$11:$B$310)+COUNTA(条幅!$B$11:$B$310)+COUNTA(条幅4分の1!$B$11:$B$310),INDEX(条幅4分の1!$B$11:$B$310,781-COUNTA(半紙!$B$11:$B$310)-COUNTA(条幅!$B$11:$B$310)),"")))=0,"",IF(781&lt;=COUNTA(半紙!$B$11:$B$310),INDEX(半紙!$B$11:$B$310,781),IF(781&lt;=COUNTA(半紙!$B$11:$B$310)+COUNTA(条幅!$B$11:$B$310),INDEX(条幅!$B$11:$B$310,781-COUNTA(半紙!$B$11:$B$310)),IF(781&lt;=COUNTA(半紙!$B$11:$B$310)+COUNTA(条幅!$B$11:$B$310)+COUNTA(条幅4分の1!$B$11:$B$310),INDEX(条幅4分の1!$B$11:$B$310,781-COUNTA(半紙!$B$11:$B$310)-COUNTA(条幅!$B$11:$B$310)),""))))</f>
        <v/>
      </c>
      <c r="C786" s="38" t="str">
        <f>IF(IF(781&lt;=COUNTA(半紙!$B$11:$B$310),INDEX(半紙!$C$11:$C$310,781),IF(781&lt;=COUNTA(半紙!$B$11:$B$310)+COUNTA(条幅!$B$11:$B$310),INDEX(条幅!$C$11:$C$310,781-COUNTA(半紙!$B$11:$B$310)),IF(781&lt;=COUNTA(半紙!$B$11:$B$310)+COUNTA(条幅!$B$11:$B$310)+COUNTA(条幅4分の1!$B$11:$B$310),INDEX(条幅4分の1!$C$11:$C$310,781-COUNTA(半紙!$B$11:$B$310)-COUNTA(条幅!$B$11:$B$310)),"")))=0,"",IF(781&lt;=COUNTA(半紙!$B$11:$B$310),INDEX(半紙!$C$11:$C$310,781),IF(781&lt;=COUNTA(半紙!$B$11:$B$310)+COUNTA(条幅!$B$11:$B$310),INDEX(条幅!$C$11:$C$310,781-COUNTA(半紙!$B$11:$B$310)),IF(781&lt;=COUNTA(半紙!$B$11:$B$310)+COUNTA(条幅!$B$11:$B$310)+COUNTA(条幅4分の1!$B$11:$B$310),INDEX(条幅4分の1!$C$11:$C$310,781-COUNTA(半紙!$B$11:$B$310)-COUNTA(条幅!$B$11:$B$310)),""))))</f>
        <v/>
      </c>
      <c r="D786" s="38" t="str">
        <f>IF(IF(781&lt;=COUNTA(半紙!$B$11:$B$310),INDEX(半紙!$D$11:$D$310,781),IF(781&lt;=COUNTA(半紙!$B$11:$B$310)+COUNTA(条幅!$B$11:$B$310),INDEX(条幅!$D$11:$D$310,781-COUNTA(半紙!$B$11:$B$310)),IF(781&lt;=COUNTA(半紙!$B$11:$B$310)+COUNTA(条幅!$B$11:$B$310)+COUNTA(条幅4分の1!$B$11:$B$310),INDEX(条幅4分の1!$D$11:$D$310,781-COUNTA(半紙!$B$11:$B$310)-COUNTA(条幅!$B$11:$B$310)),"")))=0,"",IF(781&lt;=COUNTA(半紙!$B$11:$B$310),INDEX(半紙!$D$11:$D$310,781),IF(781&lt;=COUNTA(半紙!$B$11:$B$310)+COUNTA(条幅!$B$11:$B$310),INDEX(条幅!$D$11:$D$310,781-COUNTA(半紙!$B$11:$B$310)),IF(781&lt;=COUNTA(半紙!$B$11:$B$310)+COUNTA(条幅!$B$11:$B$310)+COUNTA(条幅4分の1!$B$11:$B$310),INDEX(条幅4分の1!$D$11:$D$310,781-COUNTA(半紙!$B$11:$B$310)-COUNTA(条幅!$B$11:$B$310)),""))))</f>
        <v/>
      </c>
      <c r="E786" s="38" t="str">
        <f>IF(IF(781&lt;=COUNTA(半紙!$B$11:$B$310),INDEX(半紙!$E$11:$E$310,781),IF(781&lt;=COUNTA(半紙!$B$11:$B$310)+COUNTA(条幅!$B$11:$B$310),INDEX(条幅!$E$11:$E$310,781-COUNTA(半紙!$B$11:$B$310)),IF(781&lt;=COUNTA(半紙!$B$11:$B$310)+COUNTA(条幅!$B$11:$B$310)+COUNTA(条幅4分の1!$B$11:$B$310),INDEX(条幅4分の1!$E$11:$E$310,781-COUNTA(半紙!$B$11:$B$310)-COUNTA(条幅!$B$11:$B$310)),"")))=0,"",IF(781&lt;=COUNTA(半紙!$B$11:$B$310),INDEX(半紙!$E$11:$E$310,781),IF(781&lt;=COUNTA(半紙!$B$11:$B$310)+COUNTA(条幅!$B$11:$B$310),INDEX(条幅!$E$11:$E$310,781-COUNTA(半紙!$B$11:$B$310)),IF(781&lt;=COUNTA(半紙!$B$11:$B$310)+COUNTA(条幅!$B$11:$B$310)+COUNTA(条幅4分の1!$B$11:$B$310),INDEX(条幅4分の1!$E$11:$E$310,781-COUNTA(半紙!$B$11:$B$310)-COUNTA(条幅!$B$11:$B$310)),""))))</f>
        <v/>
      </c>
      <c r="F786" s="38" t="str">
        <f>IF(IF(781&lt;=COUNTA(半紙!$B$11:$B$310),INDEX(半紙!$F$11:$F$310,781),IF(781&lt;=COUNTA(半紙!$B$11:$B$310)+COUNTA(条幅!$B$11:$B$310),INDEX(条幅!$F$11:$F$310,781-COUNTA(半紙!$B$11:$B$310)),IF(781&lt;=COUNTA(半紙!$B$11:$B$310)+COUNTA(条幅!$B$11:$B$310)+COUNTA(条幅4分の1!$B$11:$B$310),INDEX(条幅4分の1!$F$11:$F$310,781-COUNTA(半紙!$B$11:$B$310)-COUNTA(条幅!$B$11:$B$310)),"")))=0,"",IF(781&lt;=COUNTA(半紙!$B$11:$B$310),INDEX(半紙!$F$11:$F$310,781),IF(781&lt;=COUNTA(半紙!$B$11:$B$310)+COUNTA(条幅!$B$11:$B$310),INDEX(条幅!$F$11:$F$310,781-COUNTA(半紙!$B$11:$B$310)),IF(781&lt;=COUNTA(半紙!$B$11:$B$310)+COUNTA(条幅!$B$11:$B$310)+COUNTA(条幅4分の1!$B$11:$B$310),INDEX(条幅4分の1!$F$11:$F$310,781-COUNTA(半紙!$B$11:$B$310)-COUNTA(条幅!$B$11:$B$310)),""))))</f>
        <v/>
      </c>
      <c r="G786" s="38" t="str">
        <f>IF(IF(781&lt;=COUNTA(半紙!$B$11:$B$310),INDEX(半紙!$G$11:$G$310,781),IF(781&lt;=COUNTA(半紙!$B$11:$B$310)+COUNTA(条幅!$B$11:$B$310),INDEX(条幅!$G$11:$G$310,781-COUNTA(半紙!$B$11:$B$310)),IF(781&lt;=COUNTA(半紙!$B$11:$B$310)+COUNTA(条幅!$B$11:$B$310)+COUNTA(条幅4分の1!$B$11:$B$310),INDEX(条幅4分の1!$G$11:$G$310,781-COUNTA(半紙!$B$11:$B$310)-COUNTA(条幅!$B$11:$B$310)),"")))=0,"",IF(781&lt;=COUNTA(半紙!$B$11:$B$310),INDEX(半紙!$G$11:$G$310,781),IF(781&lt;=COUNTA(半紙!$B$11:$B$310)+COUNTA(条幅!$B$11:$B$310),INDEX(条幅!$G$11:$G$310,781-COUNTA(半紙!$B$11:$B$310)),IF(781&lt;=COUNTA(半紙!$B$11:$B$310)+COUNTA(条幅!$B$11:$B$310)+COUNTA(条幅4分の1!$B$11:$B$310),INDEX(条幅4分の1!$G$11:$G$310,781-COUNTA(半紙!$B$11:$B$310)-COUNTA(条幅!$B$11:$B$310)),""))))</f>
        <v/>
      </c>
      <c r="H786" s="38" t="str">
        <f>IF(IF(781&lt;=COUNTA(半紙!$B$11:$B$310),INDEX(半紙!$H$11:$H$310,781),IF(781&lt;=COUNTA(半紙!$B$11:$B$310)+COUNTA(条幅!$B$11:$B$310),INDEX(条幅!$H$11:$H$310,781-COUNTA(半紙!$B$11:$B$310)),IF(781&lt;=COUNTA(半紙!$B$11:$B$310)+COUNTA(条幅!$B$11:$B$310)+COUNTA(条幅4分の1!$B$11:$B$310),INDEX(条幅4分の1!$H$11:$H$310,781-COUNTA(半紙!$B$11:$B$310)-COUNTA(条幅!$B$11:$B$310)),"")))=0,"",IF(781&lt;=COUNTA(半紙!$B$11:$B$310),INDEX(半紙!$H$11:$H$310,781),IF(781&lt;=COUNTA(半紙!$B$11:$B$310)+COUNTA(条幅!$B$11:$B$310),INDEX(条幅!$H$11:$H$310,781-COUNTA(半紙!$B$11:$B$310)),IF(781&lt;=COUNTA(半紙!$B$11:$B$310)+COUNTA(条幅!$B$11:$B$310)+COUNTA(条幅4分の1!$B$11:$B$310),INDEX(条幅4分の1!$H$11:$H$310,781-COUNTA(半紙!$B$11:$B$310)-COUNTA(条幅!$B$11:$B$310)),""))))</f>
        <v/>
      </c>
      <c r="I786" s="38" t="str">
        <f>IF(IF(781&lt;=COUNTA(半紙!$B$11:$B$310),INDEX(半紙!$I$11:$I$310,781),IF(781&lt;=COUNTA(半紙!$B$11:$B$310)+COUNTA(条幅!$B$11:$B$310),INDEX(条幅!$I$11:$I$310,781-COUNTA(半紙!$B$11:$B$310)),IF(781&lt;=COUNTA(半紙!$B$11:$B$310)+COUNTA(条幅!$B$11:$B$310)+COUNTA(条幅4分の1!$B$11:$B$310),INDEX(条幅4分の1!$I$11:$I$310,781-COUNTA(半紙!$B$11:$B$310)-COUNTA(条幅!$B$11:$B$310)),"")))=0,"",IF(781&lt;=COUNTA(半紙!$B$11:$B$310),INDEX(半紙!$I$11:$I$310,781),IF(781&lt;=COUNTA(半紙!$B$11:$B$310)+COUNTA(条幅!$B$11:$B$310),INDEX(条幅!$I$11:$I$310,781-COUNTA(半紙!$B$11:$B$310)),IF(781&lt;=COUNTA(半紙!$B$11:$B$310)+COUNTA(条幅!$B$11:$B$310)+COUNTA(条幅4分の1!$B$11:$B$310),INDEX(条幅4分の1!$I$11:$I$310,781-COUNTA(半紙!$B$11:$B$310)-COUNTA(条幅!$B$11:$B$310)),""))))</f>
        <v/>
      </c>
      <c r="J786" s="38" t="str">
        <f>IF(IF(781&lt;=COUNTA(半紙!$B$11:$B$310),INDEX(半紙!$J$11:$J$310,781),IF(781&lt;=COUNTA(半紙!$B$11:$B$310)+COUNTA(条幅!$B$11:$B$310),INDEX(条幅!$J$11:$J$310,781-COUNTA(半紙!$B$11:$B$310)),IF(781&lt;=COUNTA(半紙!$B$11:$B$310)+COUNTA(条幅!$B$11:$B$310)+COUNTA(条幅4分の1!$B$11:$B$310),INDEX(条幅4分の1!$J$11:$J$310,781-COUNTA(半紙!$B$11:$B$310)-COUNTA(条幅!$B$11:$B$310)),"")))=0,"",IF(781&lt;=COUNTA(半紙!$B$11:$B$310),INDEX(半紙!$J$11:$J$310,781),IF(781&lt;=COUNTA(半紙!$B$11:$B$310)+COUNTA(条幅!$B$11:$B$310),INDEX(条幅!$J$11:$J$310,781-COUNTA(半紙!$B$11:$B$310)),IF(781&lt;=COUNTA(半紙!$B$11:$B$310)+COUNTA(条幅!$B$11:$B$310)+COUNTA(条幅4分の1!$B$11:$B$310),INDEX(条幅4分の1!$J$11:$J$310,781-COUNTA(半紙!$B$11:$B$310)-COUNTA(条幅!$B$11:$B$310)),""))))</f>
        <v/>
      </c>
      <c r="K786" s="38" t="str">
        <f>IF(IF(781&lt;=COUNTA(半紙!$B$11:$B$310),INDEX(半紙!$K$11:$K$310,781),IF(781&lt;=COUNTA(半紙!$B$11:$B$310)+COUNTA(条幅!$B$11:$B$310),INDEX(条幅!$K$11:$K$310,781-COUNTA(半紙!$B$11:$B$310)),IF(781&lt;=COUNTA(半紙!$B$11:$B$310)+COUNTA(条幅!$B$11:$B$310)+COUNTA(条幅4分の1!$B$11:$B$310),INDEX(条幅4分の1!$K$11:$K$310,781-COUNTA(半紙!$B$11:$B$310)-COUNTA(条幅!$B$11:$B$310)),"")))=0,"",IF(781&lt;=COUNTA(半紙!$B$11:$B$310),INDEX(半紙!$K$11:$K$310,781),IF(781&lt;=COUNTA(半紙!$B$11:$B$310)+COUNTA(条幅!$B$11:$B$310),INDEX(条幅!$K$11:$K$310,781-COUNTA(半紙!$B$11:$B$310)),IF(781&lt;=COUNTA(半紙!$B$11:$B$310)+COUNTA(条幅!$B$11:$B$310)+COUNTA(条幅4分の1!$B$11:$B$310),INDEX(条幅4分の1!$K$11:$K$310,781-COUNTA(半紙!$B$11:$B$310)-COUNTA(条幅!$B$11:$B$310)),""))))</f>
        <v/>
      </c>
      <c r="L786" s="48" t="str">
        <f>IF($B786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781))</f>
        <v/>
      </c>
    </row>
    <row r="787" spans="1:12" ht="15" customHeight="1">
      <c r="A787" s="37" t="str">
        <f>IF(782&lt;=COUNTA(半紙!$B$11:$B$310),"半紙",IF(782&lt;=COUNTA(半紙!$B$11:$B$310)+COUNTA(条幅!$B$11:$B$310),"条幅(半切)",IF(782&lt;=COUNTA(半紙!$B$11:$B$310)+COUNTA(条幅!$B$11:$B$310)+COUNTA(条幅4分の1!$B$11:$B$310),"条幅(1/4)","")))</f>
        <v/>
      </c>
      <c r="B787" s="38" t="str">
        <f>IF(IF(782&lt;=COUNTA(半紙!$B$11:$B$310),INDEX(半紙!$B$11:$B$310,782),IF(782&lt;=COUNTA(半紙!$B$11:$B$310)+COUNTA(条幅!$B$11:$B$310),INDEX(条幅!$B$11:$B$310,782-COUNTA(半紙!$B$11:$B$310)),IF(782&lt;=COUNTA(半紙!$B$11:$B$310)+COUNTA(条幅!$B$11:$B$310)+COUNTA(条幅4分の1!$B$11:$B$310),INDEX(条幅4分の1!$B$11:$B$310,782-COUNTA(半紙!$B$11:$B$310)-COUNTA(条幅!$B$11:$B$310)),"")))=0,"",IF(782&lt;=COUNTA(半紙!$B$11:$B$310),INDEX(半紙!$B$11:$B$310,782),IF(782&lt;=COUNTA(半紙!$B$11:$B$310)+COUNTA(条幅!$B$11:$B$310),INDEX(条幅!$B$11:$B$310,782-COUNTA(半紙!$B$11:$B$310)),IF(782&lt;=COUNTA(半紙!$B$11:$B$310)+COUNTA(条幅!$B$11:$B$310)+COUNTA(条幅4分の1!$B$11:$B$310),INDEX(条幅4分の1!$B$11:$B$310,782-COUNTA(半紙!$B$11:$B$310)-COUNTA(条幅!$B$11:$B$310)),""))))</f>
        <v/>
      </c>
      <c r="C787" s="38" t="str">
        <f>IF(IF(782&lt;=COUNTA(半紙!$B$11:$B$310),INDEX(半紙!$C$11:$C$310,782),IF(782&lt;=COUNTA(半紙!$B$11:$B$310)+COUNTA(条幅!$B$11:$B$310),INDEX(条幅!$C$11:$C$310,782-COUNTA(半紙!$B$11:$B$310)),IF(782&lt;=COUNTA(半紙!$B$11:$B$310)+COUNTA(条幅!$B$11:$B$310)+COUNTA(条幅4分の1!$B$11:$B$310),INDEX(条幅4分の1!$C$11:$C$310,782-COUNTA(半紙!$B$11:$B$310)-COUNTA(条幅!$B$11:$B$310)),"")))=0,"",IF(782&lt;=COUNTA(半紙!$B$11:$B$310),INDEX(半紙!$C$11:$C$310,782),IF(782&lt;=COUNTA(半紙!$B$11:$B$310)+COUNTA(条幅!$B$11:$B$310),INDEX(条幅!$C$11:$C$310,782-COUNTA(半紙!$B$11:$B$310)),IF(782&lt;=COUNTA(半紙!$B$11:$B$310)+COUNTA(条幅!$B$11:$B$310)+COUNTA(条幅4分の1!$B$11:$B$310),INDEX(条幅4分の1!$C$11:$C$310,782-COUNTA(半紙!$B$11:$B$310)-COUNTA(条幅!$B$11:$B$310)),""))))</f>
        <v/>
      </c>
      <c r="D787" s="38" t="str">
        <f>IF(IF(782&lt;=COUNTA(半紙!$B$11:$B$310),INDEX(半紙!$D$11:$D$310,782),IF(782&lt;=COUNTA(半紙!$B$11:$B$310)+COUNTA(条幅!$B$11:$B$310),INDEX(条幅!$D$11:$D$310,782-COUNTA(半紙!$B$11:$B$310)),IF(782&lt;=COUNTA(半紙!$B$11:$B$310)+COUNTA(条幅!$B$11:$B$310)+COUNTA(条幅4分の1!$B$11:$B$310),INDEX(条幅4分の1!$D$11:$D$310,782-COUNTA(半紙!$B$11:$B$310)-COUNTA(条幅!$B$11:$B$310)),"")))=0,"",IF(782&lt;=COUNTA(半紙!$B$11:$B$310),INDEX(半紙!$D$11:$D$310,782),IF(782&lt;=COUNTA(半紙!$B$11:$B$310)+COUNTA(条幅!$B$11:$B$310),INDEX(条幅!$D$11:$D$310,782-COUNTA(半紙!$B$11:$B$310)),IF(782&lt;=COUNTA(半紙!$B$11:$B$310)+COUNTA(条幅!$B$11:$B$310)+COUNTA(条幅4分の1!$B$11:$B$310),INDEX(条幅4分の1!$D$11:$D$310,782-COUNTA(半紙!$B$11:$B$310)-COUNTA(条幅!$B$11:$B$310)),""))))</f>
        <v/>
      </c>
      <c r="E787" s="38" t="str">
        <f>IF(IF(782&lt;=COUNTA(半紙!$B$11:$B$310),INDEX(半紙!$E$11:$E$310,782),IF(782&lt;=COUNTA(半紙!$B$11:$B$310)+COUNTA(条幅!$B$11:$B$310),INDEX(条幅!$E$11:$E$310,782-COUNTA(半紙!$B$11:$B$310)),IF(782&lt;=COUNTA(半紙!$B$11:$B$310)+COUNTA(条幅!$B$11:$B$310)+COUNTA(条幅4分の1!$B$11:$B$310),INDEX(条幅4分の1!$E$11:$E$310,782-COUNTA(半紙!$B$11:$B$310)-COUNTA(条幅!$B$11:$B$310)),"")))=0,"",IF(782&lt;=COUNTA(半紙!$B$11:$B$310),INDEX(半紙!$E$11:$E$310,782),IF(782&lt;=COUNTA(半紙!$B$11:$B$310)+COUNTA(条幅!$B$11:$B$310),INDEX(条幅!$E$11:$E$310,782-COUNTA(半紙!$B$11:$B$310)),IF(782&lt;=COUNTA(半紙!$B$11:$B$310)+COUNTA(条幅!$B$11:$B$310)+COUNTA(条幅4分の1!$B$11:$B$310),INDEX(条幅4分の1!$E$11:$E$310,782-COUNTA(半紙!$B$11:$B$310)-COUNTA(条幅!$B$11:$B$310)),""))))</f>
        <v/>
      </c>
      <c r="F787" s="38" t="str">
        <f>IF(IF(782&lt;=COUNTA(半紙!$B$11:$B$310),INDEX(半紙!$F$11:$F$310,782),IF(782&lt;=COUNTA(半紙!$B$11:$B$310)+COUNTA(条幅!$B$11:$B$310),INDEX(条幅!$F$11:$F$310,782-COUNTA(半紙!$B$11:$B$310)),IF(782&lt;=COUNTA(半紙!$B$11:$B$310)+COUNTA(条幅!$B$11:$B$310)+COUNTA(条幅4分の1!$B$11:$B$310),INDEX(条幅4分の1!$F$11:$F$310,782-COUNTA(半紙!$B$11:$B$310)-COUNTA(条幅!$B$11:$B$310)),"")))=0,"",IF(782&lt;=COUNTA(半紙!$B$11:$B$310),INDEX(半紙!$F$11:$F$310,782),IF(782&lt;=COUNTA(半紙!$B$11:$B$310)+COUNTA(条幅!$B$11:$B$310),INDEX(条幅!$F$11:$F$310,782-COUNTA(半紙!$B$11:$B$310)),IF(782&lt;=COUNTA(半紙!$B$11:$B$310)+COUNTA(条幅!$B$11:$B$310)+COUNTA(条幅4分の1!$B$11:$B$310),INDEX(条幅4分の1!$F$11:$F$310,782-COUNTA(半紙!$B$11:$B$310)-COUNTA(条幅!$B$11:$B$310)),""))))</f>
        <v/>
      </c>
      <c r="G787" s="38" t="str">
        <f>IF(IF(782&lt;=COUNTA(半紙!$B$11:$B$310),INDEX(半紙!$G$11:$G$310,782),IF(782&lt;=COUNTA(半紙!$B$11:$B$310)+COUNTA(条幅!$B$11:$B$310),INDEX(条幅!$G$11:$G$310,782-COUNTA(半紙!$B$11:$B$310)),IF(782&lt;=COUNTA(半紙!$B$11:$B$310)+COUNTA(条幅!$B$11:$B$310)+COUNTA(条幅4分の1!$B$11:$B$310),INDEX(条幅4分の1!$G$11:$G$310,782-COUNTA(半紙!$B$11:$B$310)-COUNTA(条幅!$B$11:$B$310)),"")))=0,"",IF(782&lt;=COUNTA(半紙!$B$11:$B$310),INDEX(半紙!$G$11:$G$310,782),IF(782&lt;=COUNTA(半紙!$B$11:$B$310)+COUNTA(条幅!$B$11:$B$310),INDEX(条幅!$G$11:$G$310,782-COUNTA(半紙!$B$11:$B$310)),IF(782&lt;=COUNTA(半紙!$B$11:$B$310)+COUNTA(条幅!$B$11:$B$310)+COUNTA(条幅4分の1!$B$11:$B$310),INDEX(条幅4分の1!$G$11:$G$310,782-COUNTA(半紙!$B$11:$B$310)-COUNTA(条幅!$B$11:$B$310)),""))))</f>
        <v/>
      </c>
      <c r="H787" s="38" t="str">
        <f>IF(IF(782&lt;=COUNTA(半紙!$B$11:$B$310),INDEX(半紙!$H$11:$H$310,782),IF(782&lt;=COUNTA(半紙!$B$11:$B$310)+COUNTA(条幅!$B$11:$B$310),INDEX(条幅!$H$11:$H$310,782-COUNTA(半紙!$B$11:$B$310)),IF(782&lt;=COUNTA(半紙!$B$11:$B$310)+COUNTA(条幅!$B$11:$B$310)+COUNTA(条幅4分の1!$B$11:$B$310),INDEX(条幅4分の1!$H$11:$H$310,782-COUNTA(半紙!$B$11:$B$310)-COUNTA(条幅!$B$11:$B$310)),"")))=0,"",IF(782&lt;=COUNTA(半紙!$B$11:$B$310),INDEX(半紙!$H$11:$H$310,782),IF(782&lt;=COUNTA(半紙!$B$11:$B$310)+COUNTA(条幅!$B$11:$B$310),INDEX(条幅!$H$11:$H$310,782-COUNTA(半紙!$B$11:$B$310)),IF(782&lt;=COUNTA(半紙!$B$11:$B$310)+COUNTA(条幅!$B$11:$B$310)+COUNTA(条幅4分の1!$B$11:$B$310),INDEX(条幅4分の1!$H$11:$H$310,782-COUNTA(半紙!$B$11:$B$310)-COUNTA(条幅!$B$11:$B$310)),""))))</f>
        <v/>
      </c>
      <c r="I787" s="38" t="str">
        <f>IF(IF(782&lt;=COUNTA(半紙!$B$11:$B$310),INDEX(半紙!$I$11:$I$310,782),IF(782&lt;=COUNTA(半紙!$B$11:$B$310)+COUNTA(条幅!$B$11:$B$310),INDEX(条幅!$I$11:$I$310,782-COUNTA(半紙!$B$11:$B$310)),IF(782&lt;=COUNTA(半紙!$B$11:$B$310)+COUNTA(条幅!$B$11:$B$310)+COUNTA(条幅4分の1!$B$11:$B$310),INDEX(条幅4分の1!$I$11:$I$310,782-COUNTA(半紙!$B$11:$B$310)-COUNTA(条幅!$B$11:$B$310)),"")))=0,"",IF(782&lt;=COUNTA(半紙!$B$11:$B$310),INDEX(半紙!$I$11:$I$310,782),IF(782&lt;=COUNTA(半紙!$B$11:$B$310)+COUNTA(条幅!$B$11:$B$310),INDEX(条幅!$I$11:$I$310,782-COUNTA(半紙!$B$11:$B$310)),IF(782&lt;=COUNTA(半紙!$B$11:$B$310)+COUNTA(条幅!$B$11:$B$310)+COUNTA(条幅4分の1!$B$11:$B$310),INDEX(条幅4分の1!$I$11:$I$310,782-COUNTA(半紙!$B$11:$B$310)-COUNTA(条幅!$B$11:$B$310)),""))))</f>
        <v/>
      </c>
      <c r="J787" s="38" t="str">
        <f>IF(IF(782&lt;=COUNTA(半紙!$B$11:$B$310),INDEX(半紙!$J$11:$J$310,782),IF(782&lt;=COUNTA(半紙!$B$11:$B$310)+COUNTA(条幅!$B$11:$B$310),INDEX(条幅!$J$11:$J$310,782-COUNTA(半紙!$B$11:$B$310)),IF(782&lt;=COUNTA(半紙!$B$11:$B$310)+COUNTA(条幅!$B$11:$B$310)+COUNTA(条幅4分の1!$B$11:$B$310),INDEX(条幅4分の1!$J$11:$J$310,782-COUNTA(半紙!$B$11:$B$310)-COUNTA(条幅!$B$11:$B$310)),"")))=0,"",IF(782&lt;=COUNTA(半紙!$B$11:$B$310),INDEX(半紙!$J$11:$J$310,782),IF(782&lt;=COUNTA(半紙!$B$11:$B$310)+COUNTA(条幅!$B$11:$B$310),INDEX(条幅!$J$11:$J$310,782-COUNTA(半紙!$B$11:$B$310)),IF(782&lt;=COUNTA(半紙!$B$11:$B$310)+COUNTA(条幅!$B$11:$B$310)+COUNTA(条幅4分の1!$B$11:$B$310),INDEX(条幅4分の1!$J$11:$J$310,782-COUNTA(半紙!$B$11:$B$310)-COUNTA(条幅!$B$11:$B$310)),""))))</f>
        <v/>
      </c>
      <c r="K787" s="38" t="str">
        <f>IF(IF(782&lt;=COUNTA(半紙!$B$11:$B$310),INDEX(半紙!$K$11:$K$310,782),IF(782&lt;=COUNTA(半紙!$B$11:$B$310)+COUNTA(条幅!$B$11:$B$310),INDEX(条幅!$K$11:$K$310,782-COUNTA(半紙!$B$11:$B$310)),IF(782&lt;=COUNTA(半紙!$B$11:$B$310)+COUNTA(条幅!$B$11:$B$310)+COUNTA(条幅4分の1!$B$11:$B$310),INDEX(条幅4分の1!$K$11:$K$310,782-COUNTA(半紙!$B$11:$B$310)-COUNTA(条幅!$B$11:$B$310)),"")))=0,"",IF(782&lt;=COUNTA(半紙!$B$11:$B$310),INDEX(半紙!$K$11:$K$310,782),IF(782&lt;=COUNTA(半紙!$B$11:$B$310)+COUNTA(条幅!$B$11:$B$310),INDEX(条幅!$K$11:$K$310,782-COUNTA(半紙!$B$11:$B$310)),IF(782&lt;=COUNTA(半紙!$B$11:$B$310)+COUNTA(条幅!$B$11:$B$310)+COUNTA(条幅4分の1!$B$11:$B$310),INDEX(条幅4分の1!$K$11:$K$310,782-COUNTA(半紙!$B$11:$B$310)-COUNTA(条幅!$B$11:$B$310)),""))))</f>
        <v/>
      </c>
      <c r="L787" s="48" t="str">
        <f>IF($B787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782))</f>
        <v/>
      </c>
    </row>
    <row r="788" spans="1:12" ht="15" customHeight="1">
      <c r="A788" s="37" t="str">
        <f>IF(783&lt;=COUNTA(半紙!$B$11:$B$310),"半紙",IF(783&lt;=COUNTA(半紙!$B$11:$B$310)+COUNTA(条幅!$B$11:$B$310),"条幅(半切)",IF(783&lt;=COUNTA(半紙!$B$11:$B$310)+COUNTA(条幅!$B$11:$B$310)+COUNTA(条幅4分の1!$B$11:$B$310),"条幅(1/4)","")))</f>
        <v/>
      </c>
      <c r="B788" s="38" t="str">
        <f>IF(IF(783&lt;=COUNTA(半紙!$B$11:$B$310),INDEX(半紙!$B$11:$B$310,783),IF(783&lt;=COUNTA(半紙!$B$11:$B$310)+COUNTA(条幅!$B$11:$B$310),INDEX(条幅!$B$11:$B$310,783-COUNTA(半紙!$B$11:$B$310)),IF(783&lt;=COUNTA(半紙!$B$11:$B$310)+COUNTA(条幅!$B$11:$B$310)+COUNTA(条幅4分の1!$B$11:$B$310),INDEX(条幅4分の1!$B$11:$B$310,783-COUNTA(半紙!$B$11:$B$310)-COUNTA(条幅!$B$11:$B$310)),"")))=0,"",IF(783&lt;=COUNTA(半紙!$B$11:$B$310),INDEX(半紙!$B$11:$B$310,783),IF(783&lt;=COUNTA(半紙!$B$11:$B$310)+COUNTA(条幅!$B$11:$B$310),INDEX(条幅!$B$11:$B$310,783-COUNTA(半紙!$B$11:$B$310)),IF(783&lt;=COUNTA(半紙!$B$11:$B$310)+COUNTA(条幅!$B$11:$B$310)+COUNTA(条幅4分の1!$B$11:$B$310),INDEX(条幅4分の1!$B$11:$B$310,783-COUNTA(半紙!$B$11:$B$310)-COUNTA(条幅!$B$11:$B$310)),""))))</f>
        <v/>
      </c>
      <c r="C788" s="38" t="str">
        <f>IF(IF(783&lt;=COUNTA(半紙!$B$11:$B$310),INDEX(半紙!$C$11:$C$310,783),IF(783&lt;=COUNTA(半紙!$B$11:$B$310)+COUNTA(条幅!$B$11:$B$310),INDEX(条幅!$C$11:$C$310,783-COUNTA(半紙!$B$11:$B$310)),IF(783&lt;=COUNTA(半紙!$B$11:$B$310)+COUNTA(条幅!$B$11:$B$310)+COUNTA(条幅4分の1!$B$11:$B$310),INDEX(条幅4分の1!$C$11:$C$310,783-COUNTA(半紙!$B$11:$B$310)-COUNTA(条幅!$B$11:$B$310)),"")))=0,"",IF(783&lt;=COUNTA(半紙!$B$11:$B$310),INDEX(半紙!$C$11:$C$310,783),IF(783&lt;=COUNTA(半紙!$B$11:$B$310)+COUNTA(条幅!$B$11:$B$310),INDEX(条幅!$C$11:$C$310,783-COUNTA(半紙!$B$11:$B$310)),IF(783&lt;=COUNTA(半紙!$B$11:$B$310)+COUNTA(条幅!$B$11:$B$310)+COUNTA(条幅4分の1!$B$11:$B$310),INDEX(条幅4分の1!$C$11:$C$310,783-COUNTA(半紙!$B$11:$B$310)-COUNTA(条幅!$B$11:$B$310)),""))))</f>
        <v/>
      </c>
      <c r="D788" s="38" t="str">
        <f>IF(IF(783&lt;=COUNTA(半紙!$B$11:$B$310),INDEX(半紙!$D$11:$D$310,783),IF(783&lt;=COUNTA(半紙!$B$11:$B$310)+COUNTA(条幅!$B$11:$B$310),INDEX(条幅!$D$11:$D$310,783-COUNTA(半紙!$B$11:$B$310)),IF(783&lt;=COUNTA(半紙!$B$11:$B$310)+COUNTA(条幅!$B$11:$B$310)+COUNTA(条幅4分の1!$B$11:$B$310),INDEX(条幅4分の1!$D$11:$D$310,783-COUNTA(半紙!$B$11:$B$310)-COUNTA(条幅!$B$11:$B$310)),"")))=0,"",IF(783&lt;=COUNTA(半紙!$B$11:$B$310),INDEX(半紙!$D$11:$D$310,783),IF(783&lt;=COUNTA(半紙!$B$11:$B$310)+COUNTA(条幅!$B$11:$B$310),INDEX(条幅!$D$11:$D$310,783-COUNTA(半紙!$B$11:$B$310)),IF(783&lt;=COUNTA(半紙!$B$11:$B$310)+COUNTA(条幅!$B$11:$B$310)+COUNTA(条幅4分の1!$B$11:$B$310),INDEX(条幅4分の1!$D$11:$D$310,783-COUNTA(半紙!$B$11:$B$310)-COUNTA(条幅!$B$11:$B$310)),""))))</f>
        <v/>
      </c>
      <c r="E788" s="38" t="str">
        <f>IF(IF(783&lt;=COUNTA(半紙!$B$11:$B$310),INDEX(半紙!$E$11:$E$310,783),IF(783&lt;=COUNTA(半紙!$B$11:$B$310)+COUNTA(条幅!$B$11:$B$310),INDEX(条幅!$E$11:$E$310,783-COUNTA(半紙!$B$11:$B$310)),IF(783&lt;=COUNTA(半紙!$B$11:$B$310)+COUNTA(条幅!$B$11:$B$310)+COUNTA(条幅4分の1!$B$11:$B$310),INDEX(条幅4分の1!$E$11:$E$310,783-COUNTA(半紙!$B$11:$B$310)-COUNTA(条幅!$B$11:$B$310)),"")))=0,"",IF(783&lt;=COUNTA(半紙!$B$11:$B$310),INDEX(半紙!$E$11:$E$310,783),IF(783&lt;=COUNTA(半紙!$B$11:$B$310)+COUNTA(条幅!$B$11:$B$310),INDEX(条幅!$E$11:$E$310,783-COUNTA(半紙!$B$11:$B$310)),IF(783&lt;=COUNTA(半紙!$B$11:$B$310)+COUNTA(条幅!$B$11:$B$310)+COUNTA(条幅4分の1!$B$11:$B$310),INDEX(条幅4分の1!$E$11:$E$310,783-COUNTA(半紙!$B$11:$B$310)-COUNTA(条幅!$B$11:$B$310)),""))))</f>
        <v/>
      </c>
      <c r="F788" s="38" t="str">
        <f>IF(IF(783&lt;=COUNTA(半紙!$B$11:$B$310),INDEX(半紙!$F$11:$F$310,783),IF(783&lt;=COUNTA(半紙!$B$11:$B$310)+COUNTA(条幅!$B$11:$B$310),INDEX(条幅!$F$11:$F$310,783-COUNTA(半紙!$B$11:$B$310)),IF(783&lt;=COUNTA(半紙!$B$11:$B$310)+COUNTA(条幅!$B$11:$B$310)+COUNTA(条幅4分の1!$B$11:$B$310),INDEX(条幅4分の1!$F$11:$F$310,783-COUNTA(半紙!$B$11:$B$310)-COUNTA(条幅!$B$11:$B$310)),"")))=0,"",IF(783&lt;=COUNTA(半紙!$B$11:$B$310),INDEX(半紙!$F$11:$F$310,783),IF(783&lt;=COUNTA(半紙!$B$11:$B$310)+COUNTA(条幅!$B$11:$B$310),INDEX(条幅!$F$11:$F$310,783-COUNTA(半紙!$B$11:$B$310)),IF(783&lt;=COUNTA(半紙!$B$11:$B$310)+COUNTA(条幅!$B$11:$B$310)+COUNTA(条幅4分の1!$B$11:$B$310),INDEX(条幅4分の1!$F$11:$F$310,783-COUNTA(半紙!$B$11:$B$310)-COUNTA(条幅!$B$11:$B$310)),""))))</f>
        <v/>
      </c>
      <c r="G788" s="38" t="str">
        <f>IF(IF(783&lt;=COUNTA(半紙!$B$11:$B$310),INDEX(半紙!$G$11:$G$310,783),IF(783&lt;=COUNTA(半紙!$B$11:$B$310)+COUNTA(条幅!$B$11:$B$310),INDEX(条幅!$G$11:$G$310,783-COUNTA(半紙!$B$11:$B$310)),IF(783&lt;=COUNTA(半紙!$B$11:$B$310)+COUNTA(条幅!$B$11:$B$310)+COUNTA(条幅4分の1!$B$11:$B$310),INDEX(条幅4分の1!$G$11:$G$310,783-COUNTA(半紙!$B$11:$B$310)-COUNTA(条幅!$B$11:$B$310)),"")))=0,"",IF(783&lt;=COUNTA(半紙!$B$11:$B$310),INDEX(半紙!$G$11:$G$310,783),IF(783&lt;=COUNTA(半紙!$B$11:$B$310)+COUNTA(条幅!$B$11:$B$310),INDEX(条幅!$G$11:$G$310,783-COUNTA(半紙!$B$11:$B$310)),IF(783&lt;=COUNTA(半紙!$B$11:$B$310)+COUNTA(条幅!$B$11:$B$310)+COUNTA(条幅4分の1!$B$11:$B$310),INDEX(条幅4分の1!$G$11:$G$310,783-COUNTA(半紙!$B$11:$B$310)-COUNTA(条幅!$B$11:$B$310)),""))))</f>
        <v/>
      </c>
      <c r="H788" s="38" t="str">
        <f>IF(IF(783&lt;=COUNTA(半紙!$B$11:$B$310),INDEX(半紙!$H$11:$H$310,783),IF(783&lt;=COUNTA(半紙!$B$11:$B$310)+COUNTA(条幅!$B$11:$B$310),INDEX(条幅!$H$11:$H$310,783-COUNTA(半紙!$B$11:$B$310)),IF(783&lt;=COUNTA(半紙!$B$11:$B$310)+COUNTA(条幅!$B$11:$B$310)+COUNTA(条幅4分の1!$B$11:$B$310),INDEX(条幅4分の1!$H$11:$H$310,783-COUNTA(半紙!$B$11:$B$310)-COUNTA(条幅!$B$11:$B$310)),"")))=0,"",IF(783&lt;=COUNTA(半紙!$B$11:$B$310),INDEX(半紙!$H$11:$H$310,783),IF(783&lt;=COUNTA(半紙!$B$11:$B$310)+COUNTA(条幅!$B$11:$B$310),INDEX(条幅!$H$11:$H$310,783-COUNTA(半紙!$B$11:$B$310)),IF(783&lt;=COUNTA(半紙!$B$11:$B$310)+COUNTA(条幅!$B$11:$B$310)+COUNTA(条幅4分の1!$B$11:$B$310),INDEX(条幅4分の1!$H$11:$H$310,783-COUNTA(半紙!$B$11:$B$310)-COUNTA(条幅!$B$11:$B$310)),""))))</f>
        <v/>
      </c>
      <c r="I788" s="38" t="str">
        <f>IF(IF(783&lt;=COUNTA(半紙!$B$11:$B$310),INDEX(半紙!$I$11:$I$310,783),IF(783&lt;=COUNTA(半紙!$B$11:$B$310)+COUNTA(条幅!$B$11:$B$310),INDEX(条幅!$I$11:$I$310,783-COUNTA(半紙!$B$11:$B$310)),IF(783&lt;=COUNTA(半紙!$B$11:$B$310)+COUNTA(条幅!$B$11:$B$310)+COUNTA(条幅4分の1!$B$11:$B$310),INDEX(条幅4分の1!$I$11:$I$310,783-COUNTA(半紙!$B$11:$B$310)-COUNTA(条幅!$B$11:$B$310)),"")))=0,"",IF(783&lt;=COUNTA(半紙!$B$11:$B$310),INDEX(半紙!$I$11:$I$310,783),IF(783&lt;=COUNTA(半紙!$B$11:$B$310)+COUNTA(条幅!$B$11:$B$310),INDEX(条幅!$I$11:$I$310,783-COUNTA(半紙!$B$11:$B$310)),IF(783&lt;=COUNTA(半紙!$B$11:$B$310)+COUNTA(条幅!$B$11:$B$310)+COUNTA(条幅4分の1!$B$11:$B$310),INDEX(条幅4分の1!$I$11:$I$310,783-COUNTA(半紙!$B$11:$B$310)-COUNTA(条幅!$B$11:$B$310)),""))))</f>
        <v/>
      </c>
      <c r="J788" s="38" t="str">
        <f>IF(IF(783&lt;=COUNTA(半紙!$B$11:$B$310),INDEX(半紙!$J$11:$J$310,783),IF(783&lt;=COUNTA(半紙!$B$11:$B$310)+COUNTA(条幅!$B$11:$B$310),INDEX(条幅!$J$11:$J$310,783-COUNTA(半紙!$B$11:$B$310)),IF(783&lt;=COUNTA(半紙!$B$11:$B$310)+COUNTA(条幅!$B$11:$B$310)+COUNTA(条幅4分の1!$B$11:$B$310),INDEX(条幅4分の1!$J$11:$J$310,783-COUNTA(半紙!$B$11:$B$310)-COUNTA(条幅!$B$11:$B$310)),"")))=0,"",IF(783&lt;=COUNTA(半紙!$B$11:$B$310),INDEX(半紙!$J$11:$J$310,783),IF(783&lt;=COUNTA(半紙!$B$11:$B$310)+COUNTA(条幅!$B$11:$B$310),INDEX(条幅!$J$11:$J$310,783-COUNTA(半紙!$B$11:$B$310)),IF(783&lt;=COUNTA(半紙!$B$11:$B$310)+COUNTA(条幅!$B$11:$B$310)+COUNTA(条幅4分の1!$B$11:$B$310),INDEX(条幅4分の1!$J$11:$J$310,783-COUNTA(半紙!$B$11:$B$310)-COUNTA(条幅!$B$11:$B$310)),""))))</f>
        <v/>
      </c>
      <c r="K788" s="38" t="str">
        <f>IF(IF(783&lt;=COUNTA(半紙!$B$11:$B$310),INDEX(半紙!$K$11:$K$310,783),IF(783&lt;=COUNTA(半紙!$B$11:$B$310)+COUNTA(条幅!$B$11:$B$310),INDEX(条幅!$K$11:$K$310,783-COUNTA(半紙!$B$11:$B$310)),IF(783&lt;=COUNTA(半紙!$B$11:$B$310)+COUNTA(条幅!$B$11:$B$310)+COUNTA(条幅4分の1!$B$11:$B$310),INDEX(条幅4分の1!$K$11:$K$310,783-COUNTA(半紙!$B$11:$B$310)-COUNTA(条幅!$B$11:$B$310)),"")))=0,"",IF(783&lt;=COUNTA(半紙!$B$11:$B$310),INDEX(半紙!$K$11:$K$310,783),IF(783&lt;=COUNTA(半紙!$B$11:$B$310)+COUNTA(条幅!$B$11:$B$310),INDEX(条幅!$K$11:$K$310,783-COUNTA(半紙!$B$11:$B$310)),IF(783&lt;=COUNTA(半紙!$B$11:$B$310)+COUNTA(条幅!$B$11:$B$310)+COUNTA(条幅4分の1!$B$11:$B$310),INDEX(条幅4分の1!$K$11:$K$310,783-COUNTA(半紙!$B$11:$B$310)-COUNTA(条幅!$B$11:$B$310)),""))))</f>
        <v/>
      </c>
      <c r="L788" s="48" t="str">
        <f>IF($B788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783))</f>
        <v/>
      </c>
    </row>
    <row r="789" spans="1:12" ht="15" customHeight="1">
      <c r="A789" s="37" t="str">
        <f>IF(784&lt;=COUNTA(半紙!$B$11:$B$310),"半紙",IF(784&lt;=COUNTA(半紙!$B$11:$B$310)+COUNTA(条幅!$B$11:$B$310),"条幅(半切)",IF(784&lt;=COUNTA(半紙!$B$11:$B$310)+COUNTA(条幅!$B$11:$B$310)+COUNTA(条幅4分の1!$B$11:$B$310),"条幅(1/4)","")))</f>
        <v/>
      </c>
      <c r="B789" s="38" t="str">
        <f>IF(IF(784&lt;=COUNTA(半紙!$B$11:$B$310),INDEX(半紙!$B$11:$B$310,784),IF(784&lt;=COUNTA(半紙!$B$11:$B$310)+COUNTA(条幅!$B$11:$B$310),INDEX(条幅!$B$11:$B$310,784-COUNTA(半紙!$B$11:$B$310)),IF(784&lt;=COUNTA(半紙!$B$11:$B$310)+COUNTA(条幅!$B$11:$B$310)+COUNTA(条幅4分の1!$B$11:$B$310),INDEX(条幅4分の1!$B$11:$B$310,784-COUNTA(半紙!$B$11:$B$310)-COUNTA(条幅!$B$11:$B$310)),"")))=0,"",IF(784&lt;=COUNTA(半紙!$B$11:$B$310),INDEX(半紙!$B$11:$B$310,784),IF(784&lt;=COUNTA(半紙!$B$11:$B$310)+COUNTA(条幅!$B$11:$B$310),INDEX(条幅!$B$11:$B$310,784-COUNTA(半紙!$B$11:$B$310)),IF(784&lt;=COUNTA(半紙!$B$11:$B$310)+COUNTA(条幅!$B$11:$B$310)+COUNTA(条幅4分の1!$B$11:$B$310),INDEX(条幅4分の1!$B$11:$B$310,784-COUNTA(半紙!$B$11:$B$310)-COUNTA(条幅!$B$11:$B$310)),""))))</f>
        <v/>
      </c>
      <c r="C789" s="38" t="str">
        <f>IF(IF(784&lt;=COUNTA(半紙!$B$11:$B$310),INDEX(半紙!$C$11:$C$310,784),IF(784&lt;=COUNTA(半紙!$B$11:$B$310)+COUNTA(条幅!$B$11:$B$310),INDEX(条幅!$C$11:$C$310,784-COUNTA(半紙!$B$11:$B$310)),IF(784&lt;=COUNTA(半紙!$B$11:$B$310)+COUNTA(条幅!$B$11:$B$310)+COUNTA(条幅4分の1!$B$11:$B$310),INDEX(条幅4分の1!$C$11:$C$310,784-COUNTA(半紙!$B$11:$B$310)-COUNTA(条幅!$B$11:$B$310)),"")))=0,"",IF(784&lt;=COUNTA(半紙!$B$11:$B$310),INDEX(半紙!$C$11:$C$310,784),IF(784&lt;=COUNTA(半紙!$B$11:$B$310)+COUNTA(条幅!$B$11:$B$310),INDEX(条幅!$C$11:$C$310,784-COUNTA(半紙!$B$11:$B$310)),IF(784&lt;=COUNTA(半紙!$B$11:$B$310)+COUNTA(条幅!$B$11:$B$310)+COUNTA(条幅4分の1!$B$11:$B$310),INDEX(条幅4分の1!$C$11:$C$310,784-COUNTA(半紙!$B$11:$B$310)-COUNTA(条幅!$B$11:$B$310)),""))))</f>
        <v/>
      </c>
      <c r="D789" s="38" t="str">
        <f>IF(IF(784&lt;=COUNTA(半紙!$B$11:$B$310),INDEX(半紙!$D$11:$D$310,784),IF(784&lt;=COUNTA(半紙!$B$11:$B$310)+COUNTA(条幅!$B$11:$B$310),INDEX(条幅!$D$11:$D$310,784-COUNTA(半紙!$B$11:$B$310)),IF(784&lt;=COUNTA(半紙!$B$11:$B$310)+COUNTA(条幅!$B$11:$B$310)+COUNTA(条幅4分の1!$B$11:$B$310),INDEX(条幅4分の1!$D$11:$D$310,784-COUNTA(半紙!$B$11:$B$310)-COUNTA(条幅!$B$11:$B$310)),"")))=0,"",IF(784&lt;=COUNTA(半紙!$B$11:$B$310),INDEX(半紙!$D$11:$D$310,784),IF(784&lt;=COUNTA(半紙!$B$11:$B$310)+COUNTA(条幅!$B$11:$B$310),INDEX(条幅!$D$11:$D$310,784-COUNTA(半紙!$B$11:$B$310)),IF(784&lt;=COUNTA(半紙!$B$11:$B$310)+COUNTA(条幅!$B$11:$B$310)+COUNTA(条幅4分の1!$B$11:$B$310),INDEX(条幅4分の1!$D$11:$D$310,784-COUNTA(半紙!$B$11:$B$310)-COUNTA(条幅!$B$11:$B$310)),""))))</f>
        <v/>
      </c>
      <c r="E789" s="38" t="str">
        <f>IF(IF(784&lt;=COUNTA(半紙!$B$11:$B$310),INDEX(半紙!$E$11:$E$310,784),IF(784&lt;=COUNTA(半紙!$B$11:$B$310)+COUNTA(条幅!$B$11:$B$310),INDEX(条幅!$E$11:$E$310,784-COUNTA(半紙!$B$11:$B$310)),IF(784&lt;=COUNTA(半紙!$B$11:$B$310)+COUNTA(条幅!$B$11:$B$310)+COUNTA(条幅4分の1!$B$11:$B$310),INDEX(条幅4分の1!$E$11:$E$310,784-COUNTA(半紙!$B$11:$B$310)-COUNTA(条幅!$B$11:$B$310)),"")))=0,"",IF(784&lt;=COUNTA(半紙!$B$11:$B$310),INDEX(半紙!$E$11:$E$310,784),IF(784&lt;=COUNTA(半紙!$B$11:$B$310)+COUNTA(条幅!$B$11:$B$310),INDEX(条幅!$E$11:$E$310,784-COUNTA(半紙!$B$11:$B$310)),IF(784&lt;=COUNTA(半紙!$B$11:$B$310)+COUNTA(条幅!$B$11:$B$310)+COUNTA(条幅4分の1!$B$11:$B$310),INDEX(条幅4分の1!$E$11:$E$310,784-COUNTA(半紙!$B$11:$B$310)-COUNTA(条幅!$B$11:$B$310)),""))))</f>
        <v/>
      </c>
      <c r="F789" s="38" t="str">
        <f>IF(IF(784&lt;=COUNTA(半紙!$B$11:$B$310),INDEX(半紙!$F$11:$F$310,784),IF(784&lt;=COUNTA(半紙!$B$11:$B$310)+COUNTA(条幅!$B$11:$B$310),INDEX(条幅!$F$11:$F$310,784-COUNTA(半紙!$B$11:$B$310)),IF(784&lt;=COUNTA(半紙!$B$11:$B$310)+COUNTA(条幅!$B$11:$B$310)+COUNTA(条幅4分の1!$B$11:$B$310),INDEX(条幅4分の1!$F$11:$F$310,784-COUNTA(半紙!$B$11:$B$310)-COUNTA(条幅!$B$11:$B$310)),"")))=0,"",IF(784&lt;=COUNTA(半紙!$B$11:$B$310),INDEX(半紙!$F$11:$F$310,784),IF(784&lt;=COUNTA(半紙!$B$11:$B$310)+COUNTA(条幅!$B$11:$B$310),INDEX(条幅!$F$11:$F$310,784-COUNTA(半紙!$B$11:$B$310)),IF(784&lt;=COUNTA(半紙!$B$11:$B$310)+COUNTA(条幅!$B$11:$B$310)+COUNTA(条幅4分の1!$B$11:$B$310),INDEX(条幅4分の1!$F$11:$F$310,784-COUNTA(半紙!$B$11:$B$310)-COUNTA(条幅!$B$11:$B$310)),""))))</f>
        <v/>
      </c>
      <c r="G789" s="38" t="str">
        <f>IF(IF(784&lt;=COUNTA(半紙!$B$11:$B$310),INDEX(半紙!$G$11:$G$310,784),IF(784&lt;=COUNTA(半紙!$B$11:$B$310)+COUNTA(条幅!$B$11:$B$310),INDEX(条幅!$G$11:$G$310,784-COUNTA(半紙!$B$11:$B$310)),IF(784&lt;=COUNTA(半紙!$B$11:$B$310)+COUNTA(条幅!$B$11:$B$310)+COUNTA(条幅4分の1!$B$11:$B$310),INDEX(条幅4分の1!$G$11:$G$310,784-COUNTA(半紙!$B$11:$B$310)-COUNTA(条幅!$B$11:$B$310)),"")))=0,"",IF(784&lt;=COUNTA(半紙!$B$11:$B$310),INDEX(半紙!$G$11:$G$310,784),IF(784&lt;=COUNTA(半紙!$B$11:$B$310)+COUNTA(条幅!$B$11:$B$310),INDEX(条幅!$G$11:$G$310,784-COUNTA(半紙!$B$11:$B$310)),IF(784&lt;=COUNTA(半紙!$B$11:$B$310)+COUNTA(条幅!$B$11:$B$310)+COUNTA(条幅4分の1!$B$11:$B$310),INDEX(条幅4分の1!$G$11:$G$310,784-COUNTA(半紙!$B$11:$B$310)-COUNTA(条幅!$B$11:$B$310)),""))))</f>
        <v/>
      </c>
      <c r="H789" s="38" t="str">
        <f>IF(IF(784&lt;=COUNTA(半紙!$B$11:$B$310),INDEX(半紙!$H$11:$H$310,784),IF(784&lt;=COUNTA(半紙!$B$11:$B$310)+COUNTA(条幅!$B$11:$B$310),INDEX(条幅!$H$11:$H$310,784-COUNTA(半紙!$B$11:$B$310)),IF(784&lt;=COUNTA(半紙!$B$11:$B$310)+COUNTA(条幅!$B$11:$B$310)+COUNTA(条幅4分の1!$B$11:$B$310),INDEX(条幅4分の1!$H$11:$H$310,784-COUNTA(半紙!$B$11:$B$310)-COUNTA(条幅!$B$11:$B$310)),"")))=0,"",IF(784&lt;=COUNTA(半紙!$B$11:$B$310),INDEX(半紙!$H$11:$H$310,784),IF(784&lt;=COUNTA(半紙!$B$11:$B$310)+COUNTA(条幅!$B$11:$B$310),INDEX(条幅!$H$11:$H$310,784-COUNTA(半紙!$B$11:$B$310)),IF(784&lt;=COUNTA(半紙!$B$11:$B$310)+COUNTA(条幅!$B$11:$B$310)+COUNTA(条幅4分の1!$B$11:$B$310),INDEX(条幅4分の1!$H$11:$H$310,784-COUNTA(半紙!$B$11:$B$310)-COUNTA(条幅!$B$11:$B$310)),""))))</f>
        <v/>
      </c>
      <c r="I789" s="38" t="str">
        <f>IF(IF(784&lt;=COUNTA(半紙!$B$11:$B$310),INDEX(半紙!$I$11:$I$310,784),IF(784&lt;=COUNTA(半紙!$B$11:$B$310)+COUNTA(条幅!$B$11:$B$310),INDEX(条幅!$I$11:$I$310,784-COUNTA(半紙!$B$11:$B$310)),IF(784&lt;=COUNTA(半紙!$B$11:$B$310)+COUNTA(条幅!$B$11:$B$310)+COUNTA(条幅4分の1!$B$11:$B$310),INDEX(条幅4分の1!$I$11:$I$310,784-COUNTA(半紙!$B$11:$B$310)-COUNTA(条幅!$B$11:$B$310)),"")))=0,"",IF(784&lt;=COUNTA(半紙!$B$11:$B$310),INDEX(半紙!$I$11:$I$310,784),IF(784&lt;=COUNTA(半紙!$B$11:$B$310)+COUNTA(条幅!$B$11:$B$310),INDEX(条幅!$I$11:$I$310,784-COUNTA(半紙!$B$11:$B$310)),IF(784&lt;=COUNTA(半紙!$B$11:$B$310)+COUNTA(条幅!$B$11:$B$310)+COUNTA(条幅4分の1!$B$11:$B$310),INDEX(条幅4分の1!$I$11:$I$310,784-COUNTA(半紙!$B$11:$B$310)-COUNTA(条幅!$B$11:$B$310)),""))))</f>
        <v/>
      </c>
      <c r="J789" s="38" t="str">
        <f>IF(IF(784&lt;=COUNTA(半紙!$B$11:$B$310),INDEX(半紙!$J$11:$J$310,784),IF(784&lt;=COUNTA(半紙!$B$11:$B$310)+COUNTA(条幅!$B$11:$B$310),INDEX(条幅!$J$11:$J$310,784-COUNTA(半紙!$B$11:$B$310)),IF(784&lt;=COUNTA(半紙!$B$11:$B$310)+COUNTA(条幅!$B$11:$B$310)+COUNTA(条幅4分の1!$B$11:$B$310),INDEX(条幅4分の1!$J$11:$J$310,784-COUNTA(半紙!$B$11:$B$310)-COUNTA(条幅!$B$11:$B$310)),"")))=0,"",IF(784&lt;=COUNTA(半紙!$B$11:$B$310),INDEX(半紙!$J$11:$J$310,784),IF(784&lt;=COUNTA(半紙!$B$11:$B$310)+COUNTA(条幅!$B$11:$B$310),INDEX(条幅!$J$11:$J$310,784-COUNTA(半紙!$B$11:$B$310)),IF(784&lt;=COUNTA(半紙!$B$11:$B$310)+COUNTA(条幅!$B$11:$B$310)+COUNTA(条幅4分の1!$B$11:$B$310),INDEX(条幅4分の1!$J$11:$J$310,784-COUNTA(半紙!$B$11:$B$310)-COUNTA(条幅!$B$11:$B$310)),""))))</f>
        <v/>
      </c>
      <c r="K789" s="38" t="str">
        <f>IF(IF(784&lt;=COUNTA(半紙!$B$11:$B$310),INDEX(半紙!$K$11:$K$310,784),IF(784&lt;=COUNTA(半紙!$B$11:$B$310)+COUNTA(条幅!$B$11:$B$310),INDEX(条幅!$K$11:$K$310,784-COUNTA(半紙!$B$11:$B$310)),IF(784&lt;=COUNTA(半紙!$B$11:$B$310)+COUNTA(条幅!$B$11:$B$310)+COUNTA(条幅4分の1!$B$11:$B$310),INDEX(条幅4分の1!$K$11:$K$310,784-COUNTA(半紙!$B$11:$B$310)-COUNTA(条幅!$B$11:$B$310)),"")))=0,"",IF(784&lt;=COUNTA(半紙!$B$11:$B$310),INDEX(半紙!$K$11:$K$310,784),IF(784&lt;=COUNTA(半紙!$B$11:$B$310)+COUNTA(条幅!$B$11:$B$310),INDEX(条幅!$K$11:$K$310,784-COUNTA(半紙!$B$11:$B$310)),IF(784&lt;=COUNTA(半紙!$B$11:$B$310)+COUNTA(条幅!$B$11:$B$310)+COUNTA(条幅4分の1!$B$11:$B$310),INDEX(条幅4分の1!$K$11:$K$310,784-COUNTA(半紙!$B$11:$B$310)-COUNTA(条幅!$B$11:$B$310)),""))))</f>
        <v/>
      </c>
      <c r="L789" s="48" t="str">
        <f>IF($B789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784))</f>
        <v/>
      </c>
    </row>
    <row r="790" spans="1:12" ht="15" customHeight="1">
      <c r="A790" s="37" t="str">
        <f>IF(785&lt;=COUNTA(半紙!$B$11:$B$310),"半紙",IF(785&lt;=COUNTA(半紙!$B$11:$B$310)+COUNTA(条幅!$B$11:$B$310),"条幅(半切)",IF(785&lt;=COUNTA(半紙!$B$11:$B$310)+COUNTA(条幅!$B$11:$B$310)+COUNTA(条幅4分の1!$B$11:$B$310),"条幅(1/4)","")))</f>
        <v/>
      </c>
      <c r="B790" s="38" t="str">
        <f>IF(IF(785&lt;=COUNTA(半紙!$B$11:$B$310),INDEX(半紙!$B$11:$B$310,785),IF(785&lt;=COUNTA(半紙!$B$11:$B$310)+COUNTA(条幅!$B$11:$B$310),INDEX(条幅!$B$11:$B$310,785-COUNTA(半紙!$B$11:$B$310)),IF(785&lt;=COUNTA(半紙!$B$11:$B$310)+COUNTA(条幅!$B$11:$B$310)+COUNTA(条幅4分の1!$B$11:$B$310),INDEX(条幅4分の1!$B$11:$B$310,785-COUNTA(半紙!$B$11:$B$310)-COUNTA(条幅!$B$11:$B$310)),"")))=0,"",IF(785&lt;=COUNTA(半紙!$B$11:$B$310),INDEX(半紙!$B$11:$B$310,785),IF(785&lt;=COUNTA(半紙!$B$11:$B$310)+COUNTA(条幅!$B$11:$B$310),INDEX(条幅!$B$11:$B$310,785-COUNTA(半紙!$B$11:$B$310)),IF(785&lt;=COUNTA(半紙!$B$11:$B$310)+COUNTA(条幅!$B$11:$B$310)+COUNTA(条幅4分の1!$B$11:$B$310),INDEX(条幅4分の1!$B$11:$B$310,785-COUNTA(半紙!$B$11:$B$310)-COUNTA(条幅!$B$11:$B$310)),""))))</f>
        <v/>
      </c>
      <c r="C790" s="38" t="str">
        <f>IF(IF(785&lt;=COUNTA(半紙!$B$11:$B$310),INDEX(半紙!$C$11:$C$310,785),IF(785&lt;=COUNTA(半紙!$B$11:$B$310)+COUNTA(条幅!$B$11:$B$310),INDEX(条幅!$C$11:$C$310,785-COUNTA(半紙!$B$11:$B$310)),IF(785&lt;=COUNTA(半紙!$B$11:$B$310)+COUNTA(条幅!$B$11:$B$310)+COUNTA(条幅4分の1!$B$11:$B$310),INDEX(条幅4分の1!$C$11:$C$310,785-COUNTA(半紙!$B$11:$B$310)-COUNTA(条幅!$B$11:$B$310)),"")))=0,"",IF(785&lt;=COUNTA(半紙!$B$11:$B$310),INDEX(半紙!$C$11:$C$310,785),IF(785&lt;=COUNTA(半紙!$B$11:$B$310)+COUNTA(条幅!$B$11:$B$310),INDEX(条幅!$C$11:$C$310,785-COUNTA(半紙!$B$11:$B$310)),IF(785&lt;=COUNTA(半紙!$B$11:$B$310)+COUNTA(条幅!$B$11:$B$310)+COUNTA(条幅4分の1!$B$11:$B$310),INDEX(条幅4分の1!$C$11:$C$310,785-COUNTA(半紙!$B$11:$B$310)-COUNTA(条幅!$B$11:$B$310)),""))))</f>
        <v/>
      </c>
      <c r="D790" s="38" t="str">
        <f>IF(IF(785&lt;=COUNTA(半紙!$B$11:$B$310),INDEX(半紙!$D$11:$D$310,785),IF(785&lt;=COUNTA(半紙!$B$11:$B$310)+COUNTA(条幅!$B$11:$B$310),INDEX(条幅!$D$11:$D$310,785-COUNTA(半紙!$B$11:$B$310)),IF(785&lt;=COUNTA(半紙!$B$11:$B$310)+COUNTA(条幅!$B$11:$B$310)+COUNTA(条幅4分の1!$B$11:$B$310),INDEX(条幅4分の1!$D$11:$D$310,785-COUNTA(半紙!$B$11:$B$310)-COUNTA(条幅!$B$11:$B$310)),"")))=0,"",IF(785&lt;=COUNTA(半紙!$B$11:$B$310),INDEX(半紙!$D$11:$D$310,785),IF(785&lt;=COUNTA(半紙!$B$11:$B$310)+COUNTA(条幅!$B$11:$B$310),INDEX(条幅!$D$11:$D$310,785-COUNTA(半紙!$B$11:$B$310)),IF(785&lt;=COUNTA(半紙!$B$11:$B$310)+COUNTA(条幅!$B$11:$B$310)+COUNTA(条幅4分の1!$B$11:$B$310),INDEX(条幅4分の1!$D$11:$D$310,785-COUNTA(半紙!$B$11:$B$310)-COUNTA(条幅!$B$11:$B$310)),""))))</f>
        <v/>
      </c>
      <c r="E790" s="38" t="str">
        <f>IF(IF(785&lt;=COUNTA(半紙!$B$11:$B$310),INDEX(半紙!$E$11:$E$310,785),IF(785&lt;=COUNTA(半紙!$B$11:$B$310)+COUNTA(条幅!$B$11:$B$310),INDEX(条幅!$E$11:$E$310,785-COUNTA(半紙!$B$11:$B$310)),IF(785&lt;=COUNTA(半紙!$B$11:$B$310)+COUNTA(条幅!$B$11:$B$310)+COUNTA(条幅4分の1!$B$11:$B$310),INDEX(条幅4分の1!$E$11:$E$310,785-COUNTA(半紙!$B$11:$B$310)-COUNTA(条幅!$B$11:$B$310)),"")))=0,"",IF(785&lt;=COUNTA(半紙!$B$11:$B$310),INDEX(半紙!$E$11:$E$310,785),IF(785&lt;=COUNTA(半紙!$B$11:$B$310)+COUNTA(条幅!$B$11:$B$310),INDEX(条幅!$E$11:$E$310,785-COUNTA(半紙!$B$11:$B$310)),IF(785&lt;=COUNTA(半紙!$B$11:$B$310)+COUNTA(条幅!$B$11:$B$310)+COUNTA(条幅4分の1!$B$11:$B$310),INDEX(条幅4分の1!$E$11:$E$310,785-COUNTA(半紙!$B$11:$B$310)-COUNTA(条幅!$B$11:$B$310)),""))))</f>
        <v/>
      </c>
      <c r="F790" s="38" t="str">
        <f>IF(IF(785&lt;=COUNTA(半紙!$B$11:$B$310),INDEX(半紙!$F$11:$F$310,785),IF(785&lt;=COUNTA(半紙!$B$11:$B$310)+COUNTA(条幅!$B$11:$B$310),INDEX(条幅!$F$11:$F$310,785-COUNTA(半紙!$B$11:$B$310)),IF(785&lt;=COUNTA(半紙!$B$11:$B$310)+COUNTA(条幅!$B$11:$B$310)+COUNTA(条幅4分の1!$B$11:$B$310),INDEX(条幅4分の1!$F$11:$F$310,785-COUNTA(半紙!$B$11:$B$310)-COUNTA(条幅!$B$11:$B$310)),"")))=0,"",IF(785&lt;=COUNTA(半紙!$B$11:$B$310),INDEX(半紙!$F$11:$F$310,785),IF(785&lt;=COUNTA(半紙!$B$11:$B$310)+COUNTA(条幅!$B$11:$B$310),INDEX(条幅!$F$11:$F$310,785-COUNTA(半紙!$B$11:$B$310)),IF(785&lt;=COUNTA(半紙!$B$11:$B$310)+COUNTA(条幅!$B$11:$B$310)+COUNTA(条幅4分の1!$B$11:$B$310),INDEX(条幅4分の1!$F$11:$F$310,785-COUNTA(半紙!$B$11:$B$310)-COUNTA(条幅!$B$11:$B$310)),""))))</f>
        <v/>
      </c>
      <c r="G790" s="38" t="str">
        <f>IF(IF(785&lt;=COUNTA(半紙!$B$11:$B$310),INDEX(半紙!$G$11:$G$310,785),IF(785&lt;=COUNTA(半紙!$B$11:$B$310)+COUNTA(条幅!$B$11:$B$310),INDEX(条幅!$G$11:$G$310,785-COUNTA(半紙!$B$11:$B$310)),IF(785&lt;=COUNTA(半紙!$B$11:$B$310)+COUNTA(条幅!$B$11:$B$310)+COUNTA(条幅4分の1!$B$11:$B$310),INDEX(条幅4分の1!$G$11:$G$310,785-COUNTA(半紙!$B$11:$B$310)-COUNTA(条幅!$B$11:$B$310)),"")))=0,"",IF(785&lt;=COUNTA(半紙!$B$11:$B$310),INDEX(半紙!$G$11:$G$310,785),IF(785&lt;=COUNTA(半紙!$B$11:$B$310)+COUNTA(条幅!$B$11:$B$310),INDEX(条幅!$G$11:$G$310,785-COUNTA(半紙!$B$11:$B$310)),IF(785&lt;=COUNTA(半紙!$B$11:$B$310)+COUNTA(条幅!$B$11:$B$310)+COUNTA(条幅4分の1!$B$11:$B$310),INDEX(条幅4分の1!$G$11:$G$310,785-COUNTA(半紙!$B$11:$B$310)-COUNTA(条幅!$B$11:$B$310)),""))))</f>
        <v/>
      </c>
      <c r="H790" s="38" t="str">
        <f>IF(IF(785&lt;=COUNTA(半紙!$B$11:$B$310),INDEX(半紙!$H$11:$H$310,785),IF(785&lt;=COUNTA(半紙!$B$11:$B$310)+COUNTA(条幅!$B$11:$B$310),INDEX(条幅!$H$11:$H$310,785-COUNTA(半紙!$B$11:$B$310)),IF(785&lt;=COUNTA(半紙!$B$11:$B$310)+COUNTA(条幅!$B$11:$B$310)+COUNTA(条幅4分の1!$B$11:$B$310),INDEX(条幅4分の1!$H$11:$H$310,785-COUNTA(半紙!$B$11:$B$310)-COUNTA(条幅!$B$11:$B$310)),"")))=0,"",IF(785&lt;=COUNTA(半紙!$B$11:$B$310),INDEX(半紙!$H$11:$H$310,785),IF(785&lt;=COUNTA(半紙!$B$11:$B$310)+COUNTA(条幅!$B$11:$B$310),INDEX(条幅!$H$11:$H$310,785-COUNTA(半紙!$B$11:$B$310)),IF(785&lt;=COUNTA(半紙!$B$11:$B$310)+COUNTA(条幅!$B$11:$B$310)+COUNTA(条幅4分の1!$B$11:$B$310),INDEX(条幅4分の1!$H$11:$H$310,785-COUNTA(半紙!$B$11:$B$310)-COUNTA(条幅!$B$11:$B$310)),""))))</f>
        <v/>
      </c>
      <c r="I790" s="38" t="str">
        <f>IF(IF(785&lt;=COUNTA(半紙!$B$11:$B$310),INDEX(半紙!$I$11:$I$310,785),IF(785&lt;=COUNTA(半紙!$B$11:$B$310)+COUNTA(条幅!$B$11:$B$310),INDEX(条幅!$I$11:$I$310,785-COUNTA(半紙!$B$11:$B$310)),IF(785&lt;=COUNTA(半紙!$B$11:$B$310)+COUNTA(条幅!$B$11:$B$310)+COUNTA(条幅4分の1!$B$11:$B$310),INDEX(条幅4分の1!$I$11:$I$310,785-COUNTA(半紙!$B$11:$B$310)-COUNTA(条幅!$B$11:$B$310)),"")))=0,"",IF(785&lt;=COUNTA(半紙!$B$11:$B$310),INDEX(半紙!$I$11:$I$310,785),IF(785&lt;=COUNTA(半紙!$B$11:$B$310)+COUNTA(条幅!$B$11:$B$310),INDEX(条幅!$I$11:$I$310,785-COUNTA(半紙!$B$11:$B$310)),IF(785&lt;=COUNTA(半紙!$B$11:$B$310)+COUNTA(条幅!$B$11:$B$310)+COUNTA(条幅4分の1!$B$11:$B$310),INDEX(条幅4分の1!$I$11:$I$310,785-COUNTA(半紙!$B$11:$B$310)-COUNTA(条幅!$B$11:$B$310)),""))))</f>
        <v/>
      </c>
      <c r="J790" s="38" t="str">
        <f>IF(IF(785&lt;=COUNTA(半紙!$B$11:$B$310),INDEX(半紙!$J$11:$J$310,785),IF(785&lt;=COUNTA(半紙!$B$11:$B$310)+COUNTA(条幅!$B$11:$B$310),INDEX(条幅!$J$11:$J$310,785-COUNTA(半紙!$B$11:$B$310)),IF(785&lt;=COUNTA(半紙!$B$11:$B$310)+COUNTA(条幅!$B$11:$B$310)+COUNTA(条幅4分の1!$B$11:$B$310),INDEX(条幅4分の1!$J$11:$J$310,785-COUNTA(半紙!$B$11:$B$310)-COUNTA(条幅!$B$11:$B$310)),"")))=0,"",IF(785&lt;=COUNTA(半紙!$B$11:$B$310),INDEX(半紙!$J$11:$J$310,785),IF(785&lt;=COUNTA(半紙!$B$11:$B$310)+COUNTA(条幅!$B$11:$B$310),INDEX(条幅!$J$11:$J$310,785-COUNTA(半紙!$B$11:$B$310)),IF(785&lt;=COUNTA(半紙!$B$11:$B$310)+COUNTA(条幅!$B$11:$B$310)+COUNTA(条幅4分の1!$B$11:$B$310),INDEX(条幅4分の1!$J$11:$J$310,785-COUNTA(半紙!$B$11:$B$310)-COUNTA(条幅!$B$11:$B$310)),""))))</f>
        <v/>
      </c>
      <c r="K790" s="38" t="str">
        <f>IF(IF(785&lt;=COUNTA(半紙!$B$11:$B$310),INDEX(半紙!$K$11:$K$310,785),IF(785&lt;=COUNTA(半紙!$B$11:$B$310)+COUNTA(条幅!$B$11:$B$310),INDEX(条幅!$K$11:$K$310,785-COUNTA(半紙!$B$11:$B$310)),IF(785&lt;=COUNTA(半紙!$B$11:$B$310)+COUNTA(条幅!$B$11:$B$310)+COUNTA(条幅4分の1!$B$11:$B$310),INDEX(条幅4分の1!$K$11:$K$310,785-COUNTA(半紙!$B$11:$B$310)-COUNTA(条幅!$B$11:$B$310)),"")))=0,"",IF(785&lt;=COUNTA(半紙!$B$11:$B$310),INDEX(半紙!$K$11:$K$310,785),IF(785&lt;=COUNTA(半紙!$B$11:$B$310)+COUNTA(条幅!$B$11:$B$310),INDEX(条幅!$K$11:$K$310,785-COUNTA(半紙!$B$11:$B$310)),IF(785&lt;=COUNTA(半紙!$B$11:$B$310)+COUNTA(条幅!$B$11:$B$310)+COUNTA(条幅4分の1!$B$11:$B$310),INDEX(条幅4分の1!$K$11:$K$310,785-COUNTA(半紙!$B$11:$B$310)-COUNTA(条幅!$B$11:$B$310)),""))))</f>
        <v/>
      </c>
      <c r="L790" s="48" t="str">
        <f>IF($B790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785))</f>
        <v/>
      </c>
    </row>
    <row r="791" spans="1:12" ht="15" customHeight="1">
      <c r="A791" s="37" t="str">
        <f>IF(786&lt;=COUNTA(半紙!$B$11:$B$310),"半紙",IF(786&lt;=COUNTA(半紙!$B$11:$B$310)+COUNTA(条幅!$B$11:$B$310),"条幅(半切)",IF(786&lt;=COUNTA(半紙!$B$11:$B$310)+COUNTA(条幅!$B$11:$B$310)+COUNTA(条幅4分の1!$B$11:$B$310),"条幅(1/4)","")))</f>
        <v/>
      </c>
      <c r="B791" s="38" t="str">
        <f>IF(IF(786&lt;=COUNTA(半紙!$B$11:$B$310),INDEX(半紙!$B$11:$B$310,786),IF(786&lt;=COUNTA(半紙!$B$11:$B$310)+COUNTA(条幅!$B$11:$B$310),INDEX(条幅!$B$11:$B$310,786-COUNTA(半紙!$B$11:$B$310)),IF(786&lt;=COUNTA(半紙!$B$11:$B$310)+COUNTA(条幅!$B$11:$B$310)+COUNTA(条幅4分の1!$B$11:$B$310),INDEX(条幅4分の1!$B$11:$B$310,786-COUNTA(半紙!$B$11:$B$310)-COUNTA(条幅!$B$11:$B$310)),"")))=0,"",IF(786&lt;=COUNTA(半紙!$B$11:$B$310),INDEX(半紙!$B$11:$B$310,786),IF(786&lt;=COUNTA(半紙!$B$11:$B$310)+COUNTA(条幅!$B$11:$B$310),INDEX(条幅!$B$11:$B$310,786-COUNTA(半紙!$B$11:$B$310)),IF(786&lt;=COUNTA(半紙!$B$11:$B$310)+COUNTA(条幅!$B$11:$B$310)+COUNTA(条幅4分の1!$B$11:$B$310),INDEX(条幅4分の1!$B$11:$B$310,786-COUNTA(半紙!$B$11:$B$310)-COUNTA(条幅!$B$11:$B$310)),""))))</f>
        <v/>
      </c>
      <c r="C791" s="38" t="str">
        <f>IF(IF(786&lt;=COUNTA(半紙!$B$11:$B$310),INDEX(半紙!$C$11:$C$310,786),IF(786&lt;=COUNTA(半紙!$B$11:$B$310)+COUNTA(条幅!$B$11:$B$310),INDEX(条幅!$C$11:$C$310,786-COUNTA(半紙!$B$11:$B$310)),IF(786&lt;=COUNTA(半紙!$B$11:$B$310)+COUNTA(条幅!$B$11:$B$310)+COUNTA(条幅4分の1!$B$11:$B$310),INDEX(条幅4分の1!$C$11:$C$310,786-COUNTA(半紙!$B$11:$B$310)-COUNTA(条幅!$B$11:$B$310)),"")))=0,"",IF(786&lt;=COUNTA(半紙!$B$11:$B$310),INDEX(半紙!$C$11:$C$310,786),IF(786&lt;=COUNTA(半紙!$B$11:$B$310)+COUNTA(条幅!$B$11:$B$310),INDEX(条幅!$C$11:$C$310,786-COUNTA(半紙!$B$11:$B$310)),IF(786&lt;=COUNTA(半紙!$B$11:$B$310)+COUNTA(条幅!$B$11:$B$310)+COUNTA(条幅4分の1!$B$11:$B$310),INDEX(条幅4分の1!$C$11:$C$310,786-COUNTA(半紙!$B$11:$B$310)-COUNTA(条幅!$B$11:$B$310)),""))))</f>
        <v/>
      </c>
      <c r="D791" s="38" t="str">
        <f>IF(IF(786&lt;=COUNTA(半紙!$B$11:$B$310),INDEX(半紙!$D$11:$D$310,786),IF(786&lt;=COUNTA(半紙!$B$11:$B$310)+COUNTA(条幅!$B$11:$B$310),INDEX(条幅!$D$11:$D$310,786-COUNTA(半紙!$B$11:$B$310)),IF(786&lt;=COUNTA(半紙!$B$11:$B$310)+COUNTA(条幅!$B$11:$B$310)+COUNTA(条幅4分の1!$B$11:$B$310),INDEX(条幅4分の1!$D$11:$D$310,786-COUNTA(半紙!$B$11:$B$310)-COUNTA(条幅!$B$11:$B$310)),"")))=0,"",IF(786&lt;=COUNTA(半紙!$B$11:$B$310),INDEX(半紙!$D$11:$D$310,786),IF(786&lt;=COUNTA(半紙!$B$11:$B$310)+COUNTA(条幅!$B$11:$B$310),INDEX(条幅!$D$11:$D$310,786-COUNTA(半紙!$B$11:$B$310)),IF(786&lt;=COUNTA(半紙!$B$11:$B$310)+COUNTA(条幅!$B$11:$B$310)+COUNTA(条幅4分の1!$B$11:$B$310),INDEX(条幅4分の1!$D$11:$D$310,786-COUNTA(半紙!$B$11:$B$310)-COUNTA(条幅!$B$11:$B$310)),""))))</f>
        <v/>
      </c>
      <c r="E791" s="38" t="str">
        <f>IF(IF(786&lt;=COUNTA(半紙!$B$11:$B$310),INDEX(半紙!$E$11:$E$310,786),IF(786&lt;=COUNTA(半紙!$B$11:$B$310)+COUNTA(条幅!$B$11:$B$310),INDEX(条幅!$E$11:$E$310,786-COUNTA(半紙!$B$11:$B$310)),IF(786&lt;=COUNTA(半紙!$B$11:$B$310)+COUNTA(条幅!$B$11:$B$310)+COUNTA(条幅4分の1!$B$11:$B$310),INDEX(条幅4分の1!$E$11:$E$310,786-COUNTA(半紙!$B$11:$B$310)-COUNTA(条幅!$B$11:$B$310)),"")))=0,"",IF(786&lt;=COUNTA(半紙!$B$11:$B$310),INDEX(半紙!$E$11:$E$310,786),IF(786&lt;=COUNTA(半紙!$B$11:$B$310)+COUNTA(条幅!$B$11:$B$310),INDEX(条幅!$E$11:$E$310,786-COUNTA(半紙!$B$11:$B$310)),IF(786&lt;=COUNTA(半紙!$B$11:$B$310)+COUNTA(条幅!$B$11:$B$310)+COUNTA(条幅4分の1!$B$11:$B$310),INDEX(条幅4分の1!$E$11:$E$310,786-COUNTA(半紙!$B$11:$B$310)-COUNTA(条幅!$B$11:$B$310)),""))))</f>
        <v/>
      </c>
      <c r="F791" s="38" t="str">
        <f>IF(IF(786&lt;=COUNTA(半紙!$B$11:$B$310),INDEX(半紙!$F$11:$F$310,786),IF(786&lt;=COUNTA(半紙!$B$11:$B$310)+COUNTA(条幅!$B$11:$B$310),INDEX(条幅!$F$11:$F$310,786-COUNTA(半紙!$B$11:$B$310)),IF(786&lt;=COUNTA(半紙!$B$11:$B$310)+COUNTA(条幅!$B$11:$B$310)+COUNTA(条幅4分の1!$B$11:$B$310),INDEX(条幅4分の1!$F$11:$F$310,786-COUNTA(半紙!$B$11:$B$310)-COUNTA(条幅!$B$11:$B$310)),"")))=0,"",IF(786&lt;=COUNTA(半紙!$B$11:$B$310),INDEX(半紙!$F$11:$F$310,786),IF(786&lt;=COUNTA(半紙!$B$11:$B$310)+COUNTA(条幅!$B$11:$B$310),INDEX(条幅!$F$11:$F$310,786-COUNTA(半紙!$B$11:$B$310)),IF(786&lt;=COUNTA(半紙!$B$11:$B$310)+COUNTA(条幅!$B$11:$B$310)+COUNTA(条幅4分の1!$B$11:$B$310),INDEX(条幅4分の1!$F$11:$F$310,786-COUNTA(半紙!$B$11:$B$310)-COUNTA(条幅!$B$11:$B$310)),""))))</f>
        <v/>
      </c>
      <c r="G791" s="38" t="str">
        <f>IF(IF(786&lt;=COUNTA(半紙!$B$11:$B$310),INDEX(半紙!$G$11:$G$310,786),IF(786&lt;=COUNTA(半紙!$B$11:$B$310)+COUNTA(条幅!$B$11:$B$310),INDEX(条幅!$G$11:$G$310,786-COUNTA(半紙!$B$11:$B$310)),IF(786&lt;=COUNTA(半紙!$B$11:$B$310)+COUNTA(条幅!$B$11:$B$310)+COUNTA(条幅4分の1!$B$11:$B$310),INDEX(条幅4分の1!$G$11:$G$310,786-COUNTA(半紙!$B$11:$B$310)-COUNTA(条幅!$B$11:$B$310)),"")))=0,"",IF(786&lt;=COUNTA(半紙!$B$11:$B$310),INDEX(半紙!$G$11:$G$310,786),IF(786&lt;=COUNTA(半紙!$B$11:$B$310)+COUNTA(条幅!$B$11:$B$310),INDEX(条幅!$G$11:$G$310,786-COUNTA(半紙!$B$11:$B$310)),IF(786&lt;=COUNTA(半紙!$B$11:$B$310)+COUNTA(条幅!$B$11:$B$310)+COUNTA(条幅4分の1!$B$11:$B$310),INDEX(条幅4分の1!$G$11:$G$310,786-COUNTA(半紙!$B$11:$B$310)-COUNTA(条幅!$B$11:$B$310)),""))))</f>
        <v/>
      </c>
      <c r="H791" s="38" t="str">
        <f>IF(IF(786&lt;=COUNTA(半紙!$B$11:$B$310),INDEX(半紙!$H$11:$H$310,786),IF(786&lt;=COUNTA(半紙!$B$11:$B$310)+COUNTA(条幅!$B$11:$B$310),INDEX(条幅!$H$11:$H$310,786-COUNTA(半紙!$B$11:$B$310)),IF(786&lt;=COUNTA(半紙!$B$11:$B$310)+COUNTA(条幅!$B$11:$B$310)+COUNTA(条幅4分の1!$B$11:$B$310),INDEX(条幅4分の1!$H$11:$H$310,786-COUNTA(半紙!$B$11:$B$310)-COUNTA(条幅!$B$11:$B$310)),"")))=0,"",IF(786&lt;=COUNTA(半紙!$B$11:$B$310),INDEX(半紙!$H$11:$H$310,786),IF(786&lt;=COUNTA(半紙!$B$11:$B$310)+COUNTA(条幅!$B$11:$B$310),INDEX(条幅!$H$11:$H$310,786-COUNTA(半紙!$B$11:$B$310)),IF(786&lt;=COUNTA(半紙!$B$11:$B$310)+COUNTA(条幅!$B$11:$B$310)+COUNTA(条幅4分の1!$B$11:$B$310),INDEX(条幅4分の1!$H$11:$H$310,786-COUNTA(半紙!$B$11:$B$310)-COUNTA(条幅!$B$11:$B$310)),""))))</f>
        <v/>
      </c>
      <c r="I791" s="38" t="str">
        <f>IF(IF(786&lt;=COUNTA(半紙!$B$11:$B$310),INDEX(半紙!$I$11:$I$310,786),IF(786&lt;=COUNTA(半紙!$B$11:$B$310)+COUNTA(条幅!$B$11:$B$310),INDEX(条幅!$I$11:$I$310,786-COUNTA(半紙!$B$11:$B$310)),IF(786&lt;=COUNTA(半紙!$B$11:$B$310)+COUNTA(条幅!$B$11:$B$310)+COUNTA(条幅4分の1!$B$11:$B$310),INDEX(条幅4分の1!$I$11:$I$310,786-COUNTA(半紙!$B$11:$B$310)-COUNTA(条幅!$B$11:$B$310)),"")))=0,"",IF(786&lt;=COUNTA(半紙!$B$11:$B$310),INDEX(半紙!$I$11:$I$310,786),IF(786&lt;=COUNTA(半紙!$B$11:$B$310)+COUNTA(条幅!$B$11:$B$310),INDEX(条幅!$I$11:$I$310,786-COUNTA(半紙!$B$11:$B$310)),IF(786&lt;=COUNTA(半紙!$B$11:$B$310)+COUNTA(条幅!$B$11:$B$310)+COUNTA(条幅4分の1!$B$11:$B$310),INDEX(条幅4分の1!$I$11:$I$310,786-COUNTA(半紙!$B$11:$B$310)-COUNTA(条幅!$B$11:$B$310)),""))))</f>
        <v/>
      </c>
      <c r="J791" s="38" t="str">
        <f>IF(IF(786&lt;=COUNTA(半紙!$B$11:$B$310),INDEX(半紙!$J$11:$J$310,786),IF(786&lt;=COUNTA(半紙!$B$11:$B$310)+COUNTA(条幅!$B$11:$B$310),INDEX(条幅!$J$11:$J$310,786-COUNTA(半紙!$B$11:$B$310)),IF(786&lt;=COUNTA(半紙!$B$11:$B$310)+COUNTA(条幅!$B$11:$B$310)+COUNTA(条幅4分の1!$B$11:$B$310),INDEX(条幅4分の1!$J$11:$J$310,786-COUNTA(半紙!$B$11:$B$310)-COUNTA(条幅!$B$11:$B$310)),"")))=0,"",IF(786&lt;=COUNTA(半紙!$B$11:$B$310),INDEX(半紙!$J$11:$J$310,786),IF(786&lt;=COUNTA(半紙!$B$11:$B$310)+COUNTA(条幅!$B$11:$B$310),INDEX(条幅!$J$11:$J$310,786-COUNTA(半紙!$B$11:$B$310)),IF(786&lt;=COUNTA(半紙!$B$11:$B$310)+COUNTA(条幅!$B$11:$B$310)+COUNTA(条幅4分の1!$B$11:$B$310),INDEX(条幅4分の1!$J$11:$J$310,786-COUNTA(半紙!$B$11:$B$310)-COUNTA(条幅!$B$11:$B$310)),""))))</f>
        <v/>
      </c>
      <c r="K791" s="38" t="str">
        <f>IF(IF(786&lt;=COUNTA(半紙!$B$11:$B$310),INDEX(半紙!$K$11:$K$310,786),IF(786&lt;=COUNTA(半紙!$B$11:$B$310)+COUNTA(条幅!$B$11:$B$310),INDEX(条幅!$K$11:$K$310,786-COUNTA(半紙!$B$11:$B$310)),IF(786&lt;=COUNTA(半紙!$B$11:$B$310)+COUNTA(条幅!$B$11:$B$310)+COUNTA(条幅4分の1!$B$11:$B$310),INDEX(条幅4分の1!$K$11:$K$310,786-COUNTA(半紙!$B$11:$B$310)-COUNTA(条幅!$B$11:$B$310)),"")))=0,"",IF(786&lt;=COUNTA(半紙!$B$11:$B$310),INDEX(半紙!$K$11:$K$310,786),IF(786&lt;=COUNTA(半紙!$B$11:$B$310)+COUNTA(条幅!$B$11:$B$310),INDEX(条幅!$K$11:$K$310,786-COUNTA(半紙!$B$11:$B$310)),IF(786&lt;=COUNTA(半紙!$B$11:$B$310)+COUNTA(条幅!$B$11:$B$310)+COUNTA(条幅4分の1!$B$11:$B$310),INDEX(条幅4分の1!$K$11:$K$310,786-COUNTA(半紙!$B$11:$B$310)-COUNTA(条幅!$B$11:$B$310)),""))))</f>
        <v/>
      </c>
      <c r="L791" s="48" t="str">
        <f>IF($B791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786))</f>
        <v/>
      </c>
    </row>
    <row r="792" spans="1:12" ht="15" customHeight="1">
      <c r="A792" s="37" t="str">
        <f>IF(787&lt;=COUNTA(半紙!$B$11:$B$310),"半紙",IF(787&lt;=COUNTA(半紙!$B$11:$B$310)+COUNTA(条幅!$B$11:$B$310),"条幅(半切)",IF(787&lt;=COUNTA(半紙!$B$11:$B$310)+COUNTA(条幅!$B$11:$B$310)+COUNTA(条幅4分の1!$B$11:$B$310),"条幅(1/4)","")))</f>
        <v/>
      </c>
      <c r="B792" s="38" t="str">
        <f>IF(IF(787&lt;=COUNTA(半紙!$B$11:$B$310),INDEX(半紙!$B$11:$B$310,787),IF(787&lt;=COUNTA(半紙!$B$11:$B$310)+COUNTA(条幅!$B$11:$B$310),INDEX(条幅!$B$11:$B$310,787-COUNTA(半紙!$B$11:$B$310)),IF(787&lt;=COUNTA(半紙!$B$11:$B$310)+COUNTA(条幅!$B$11:$B$310)+COUNTA(条幅4分の1!$B$11:$B$310),INDEX(条幅4分の1!$B$11:$B$310,787-COUNTA(半紙!$B$11:$B$310)-COUNTA(条幅!$B$11:$B$310)),"")))=0,"",IF(787&lt;=COUNTA(半紙!$B$11:$B$310),INDEX(半紙!$B$11:$B$310,787),IF(787&lt;=COUNTA(半紙!$B$11:$B$310)+COUNTA(条幅!$B$11:$B$310),INDEX(条幅!$B$11:$B$310,787-COUNTA(半紙!$B$11:$B$310)),IF(787&lt;=COUNTA(半紙!$B$11:$B$310)+COUNTA(条幅!$B$11:$B$310)+COUNTA(条幅4分の1!$B$11:$B$310),INDEX(条幅4分の1!$B$11:$B$310,787-COUNTA(半紙!$B$11:$B$310)-COUNTA(条幅!$B$11:$B$310)),""))))</f>
        <v/>
      </c>
      <c r="C792" s="38" t="str">
        <f>IF(IF(787&lt;=COUNTA(半紙!$B$11:$B$310),INDEX(半紙!$C$11:$C$310,787),IF(787&lt;=COUNTA(半紙!$B$11:$B$310)+COUNTA(条幅!$B$11:$B$310),INDEX(条幅!$C$11:$C$310,787-COUNTA(半紙!$B$11:$B$310)),IF(787&lt;=COUNTA(半紙!$B$11:$B$310)+COUNTA(条幅!$B$11:$B$310)+COUNTA(条幅4分の1!$B$11:$B$310),INDEX(条幅4分の1!$C$11:$C$310,787-COUNTA(半紙!$B$11:$B$310)-COUNTA(条幅!$B$11:$B$310)),"")))=0,"",IF(787&lt;=COUNTA(半紙!$B$11:$B$310),INDEX(半紙!$C$11:$C$310,787),IF(787&lt;=COUNTA(半紙!$B$11:$B$310)+COUNTA(条幅!$B$11:$B$310),INDEX(条幅!$C$11:$C$310,787-COUNTA(半紙!$B$11:$B$310)),IF(787&lt;=COUNTA(半紙!$B$11:$B$310)+COUNTA(条幅!$B$11:$B$310)+COUNTA(条幅4分の1!$B$11:$B$310),INDEX(条幅4分の1!$C$11:$C$310,787-COUNTA(半紙!$B$11:$B$310)-COUNTA(条幅!$B$11:$B$310)),""))))</f>
        <v/>
      </c>
      <c r="D792" s="38" t="str">
        <f>IF(IF(787&lt;=COUNTA(半紙!$B$11:$B$310),INDEX(半紙!$D$11:$D$310,787),IF(787&lt;=COUNTA(半紙!$B$11:$B$310)+COUNTA(条幅!$B$11:$B$310),INDEX(条幅!$D$11:$D$310,787-COUNTA(半紙!$B$11:$B$310)),IF(787&lt;=COUNTA(半紙!$B$11:$B$310)+COUNTA(条幅!$B$11:$B$310)+COUNTA(条幅4分の1!$B$11:$B$310),INDEX(条幅4分の1!$D$11:$D$310,787-COUNTA(半紙!$B$11:$B$310)-COUNTA(条幅!$B$11:$B$310)),"")))=0,"",IF(787&lt;=COUNTA(半紙!$B$11:$B$310),INDEX(半紙!$D$11:$D$310,787),IF(787&lt;=COUNTA(半紙!$B$11:$B$310)+COUNTA(条幅!$B$11:$B$310),INDEX(条幅!$D$11:$D$310,787-COUNTA(半紙!$B$11:$B$310)),IF(787&lt;=COUNTA(半紙!$B$11:$B$310)+COUNTA(条幅!$B$11:$B$310)+COUNTA(条幅4分の1!$B$11:$B$310),INDEX(条幅4分の1!$D$11:$D$310,787-COUNTA(半紙!$B$11:$B$310)-COUNTA(条幅!$B$11:$B$310)),""))))</f>
        <v/>
      </c>
      <c r="E792" s="38" t="str">
        <f>IF(IF(787&lt;=COUNTA(半紙!$B$11:$B$310),INDEX(半紙!$E$11:$E$310,787),IF(787&lt;=COUNTA(半紙!$B$11:$B$310)+COUNTA(条幅!$B$11:$B$310),INDEX(条幅!$E$11:$E$310,787-COUNTA(半紙!$B$11:$B$310)),IF(787&lt;=COUNTA(半紙!$B$11:$B$310)+COUNTA(条幅!$B$11:$B$310)+COUNTA(条幅4分の1!$B$11:$B$310),INDEX(条幅4分の1!$E$11:$E$310,787-COUNTA(半紙!$B$11:$B$310)-COUNTA(条幅!$B$11:$B$310)),"")))=0,"",IF(787&lt;=COUNTA(半紙!$B$11:$B$310),INDEX(半紙!$E$11:$E$310,787),IF(787&lt;=COUNTA(半紙!$B$11:$B$310)+COUNTA(条幅!$B$11:$B$310),INDEX(条幅!$E$11:$E$310,787-COUNTA(半紙!$B$11:$B$310)),IF(787&lt;=COUNTA(半紙!$B$11:$B$310)+COUNTA(条幅!$B$11:$B$310)+COUNTA(条幅4分の1!$B$11:$B$310),INDEX(条幅4分の1!$E$11:$E$310,787-COUNTA(半紙!$B$11:$B$310)-COUNTA(条幅!$B$11:$B$310)),""))))</f>
        <v/>
      </c>
      <c r="F792" s="38" t="str">
        <f>IF(IF(787&lt;=COUNTA(半紙!$B$11:$B$310),INDEX(半紙!$F$11:$F$310,787),IF(787&lt;=COUNTA(半紙!$B$11:$B$310)+COUNTA(条幅!$B$11:$B$310),INDEX(条幅!$F$11:$F$310,787-COUNTA(半紙!$B$11:$B$310)),IF(787&lt;=COUNTA(半紙!$B$11:$B$310)+COUNTA(条幅!$B$11:$B$310)+COUNTA(条幅4分の1!$B$11:$B$310),INDEX(条幅4分の1!$F$11:$F$310,787-COUNTA(半紙!$B$11:$B$310)-COUNTA(条幅!$B$11:$B$310)),"")))=0,"",IF(787&lt;=COUNTA(半紙!$B$11:$B$310),INDEX(半紙!$F$11:$F$310,787),IF(787&lt;=COUNTA(半紙!$B$11:$B$310)+COUNTA(条幅!$B$11:$B$310),INDEX(条幅!$F$11:$F$310,787-COUNTA(半紙!$B$11:$B$310)),IF(787&lt;=COUNTA(半紙!$B$11:$B$310)+COUNTA(条幅!$B$11:$B$310)+COUNTA(条幅4分の1!$B$11:$B$310),INDEX(条幅4分の1!$F$11:$F$310,787-COUNTA(半紙!$B$11:$B$310)-COUNTA(条幅!$B$11:$B$310)),""))))</f>
        <v/>
      </c>
      <c r="G792" s="38" t="str">
        <f>IF(IF(787&lt;=COUNTA(半紙!$B$11:$B$310),INDEX(半紙!$G$11:$G$310,787),IF(787&lt;=COUNTA(半紙!$B$11:$B$310)+COUNTA(条幅!$B$11:$B$310),INDEX(条幅!$G$11:$G$310,787-COUNTA(半紙!$B$11:$B$310)),IF(787&lt;=COUNTA(半紙!$B$11:$B$310)+COUNTA(条幅!$B$11:$B$310)+COUNTA(条幅4分の1!$B$11:$B$310),INDEX(条幅4分の1!$G$11:$G$310,787-COUNTA(半紙!$B$11:$B$310)-COUNTA(条幅!$B$11:$B$310)),"")))=0,"",IF(787&lt;=COUNTA(半紙!$B$11:$B$310),INDEX(半紙!$G$11:$G$310,787),IF(787&lt;=COUNTA(半紙!$B$11:$B$310)+COUNTA(条幅!$B$11:$B$310),INDEX(条幅!$G$11:$G$310,787-COUNTA(半紙!$B$11:$B$310)),IF(787&lt;=COUNTA(半紙!$B$11:$B$310)+COUNTA(条幅!$B$11:$B$310)+COUNTA(条幅4分の1!$B$11:$B$310),INDEX(条幅4分の1!$G$11:$G$310,787-COUNTA(半紙!$B$11:$B$310)-COUNTA(条幅!$B$11:$B$310)),""))))</f>
        <v/>
      </c>
      <c r="H792" s="38" t="str">
        <f>IF(IF(787&lt;=COUNTA(半紙!$B$11:$B$310),INDEX(半紙!$H$11:$H$310,787),IF(787&lt;=COUNTA(半紙!$B$11:$B$310)+COUNTA(条幅!$B$11:$B$310),INDEX(条幅!$H$11:$H$310,787-COUNTA(半紙!$B$11:$B$310)),IF(787&lt;=COUNTA(半紙!$B$11:$B$310)+COUNTA(条幅!$B$11:$B$310)+COUNTA(条幅4分の1!$B$11:$B$310),INDEX(条幅4分の1!$H$11:$H$310,787-COUNTA(半紙!$B$11:$B$310)-COUNTA(条幅!$B$11:$B$310)),"")))=0,"",IF(787&lt;=COUNTA(半紙!$B$11:$B$310),INDEX(半紙!$H$11:$H$310,787),IF(787&lt;=COUNTA(半紙!$B$11:$B$310)+COUNTA(条幅!$B$11:$B$310),INDEX(条幅!$H$11:$H$310,787-COUNTA(半紙!$B$11:$B$310)),IF(787&lt;=COUNTA(半紙!$B$11:$B$310)+COUNTA(条幅!$B$11:$B$310)+COUNTA(条幅4分の1!$B$11:$B$310),INDEX(条幅4分の1!$H$11:$H$310,787-COUNTA(半紙!$B$11:$B$310)-COUNTA(条幅!$B$11:$B$310)),""))))</f>
        <v/>
      </c>
      <c r="I792" s="38" t="str">
        <f>IF(IF(787&lt;=COUNTA(半紙!$B$11:$B$310),INDEX(半紙!$I$11:$I$310,787),IF(787&lt;=COUNTA(半紙!$B$11:$B$310)+COUNTA(条幅!$B$11:$B$310),INDEX(条幅!$I$11:$I$310,787-COUNTA(半紙!$B$11:$B$310)),IF(787&lt;=COUNTA(半紙!$B$11:$B$310)+COUNTA(条幅!$B$11:$B$310)+COUNTA(条幅4分の1!$B$11:$B$310),INDEX(条幅4分の1!$I$11:$I$310,787-COUNTA(半紙!$B$11:$B$310)-COUNTA(条幅!$B$11:$B$310)),"")))=0,"",IF(787&lt;=COUNTA(半紙!$B$11:$B$310),INDEX(半紙!$I$11:$I$310,787),IF(787&lt;=COUNTA(半紙!$B$11:$B$310)+COUNTA(条幅!$B$11:$B$310),INDEX(条幅!$I$11:$I$310,787-COUNTA(半紙!$B$11:$B$310)),IF(787&lt;=COUNTA(半紙!$B$11:$B$310)+COUNTA(条幅!$B$11:$B$310)+COUNTA(条幅4分の1!$B$11:$B$310),INDEX(条幅4分の1!$I$11:$I$310,787-COUNTA(半紙!$B$11:$B$310)-COUNTA(条幅!$B$11:$B$310)),""))))</f>
        <v/>
      </c>
      <c r="J792" s="38" t="str">
        <f>IF(IF(787&lt;=COUNTA(半紙!$B$11:$B$310),INDEX(半紙!$J$11:$J$310,787),IF(787&lt;=COUNTA(半紙!$B$11:$B$310)+COUNTA(条幅!$B$11:$B$310),INDEX(条幅!$J$11:$J$310,787-COUNTA(半紙!$B$11:$B$310)),IF(787&lt;=COUNTA(半紙!$B$11:$B$310)+COUNTA(条幅!$B$11:$B$310)+COUNTA(条幅4分の1!$B$11:$B$310),INDEX(条幅4分の1!$J$11:$J$310,787-COUNTA(半紙!$B$11:$B$310)-COUNTA(条幅!$B$11:$B$310)),"")))=0,"",IF(787&lt;=COUNTA(半紙!$B$11:$B$310),INDEX(半紙!$J$11:$J$310,787),IF(787&lt;=COUNTA(半紙!$B$11:$B$310)+COUNTA(条幅!$B$11:$B$310),INDEX(条幅!$J$11:$J$310,787-COUNTA(半紙!$B$11:$B$310)),IF(787&lt;=COUNTA(半紙!$B$11:$B$310)+COUNTA(条幅!$B$11:$B$310)+COUNTA(条幅4分の1!$B$11:$B$310),INDEX(条幅4分の1!$J$11:$J$310,787-COUNTA(半紙!$B$11:$B$310)-COUNTA(条幅!$B$11:$B$310)),""))))</f>
        <v/>
      </c>
      <c r="K792" s="38" t="str">
        <f>IF(IF(787&lt;=COUNTA(半紙!$B$11:$B$310),INDEX(半紙!$K$11:$K$310,787),IF(787&lt;=COUNTA(半紙!$B$11:$B$310)+COUNTA(条幅!$B$11:$B$310),INDEX(条幅!$K$11:$K$310,787-COUNTA(半紙!$B$11:$B$310)),IF(787&lt;=COUNTA(半紙!$B$11:$B$310)+COUNTA(条幅!$B$11:$B$310)+COUNTA(条幅4分の1!$B$11:$B$310),INDEX(条幅4分の1!$K$11:$K$310,787-COUNTA(半紙!$B$11:$B$310)-COUNTA(条幅!$B$11:$B$310)),"")))=0,"",IF(787&lt;=COUNTA(半紙!$B$11:$B$310),INDEX(半紙!$K$11:$K$310,787),IF(787&lt;=COUNTA(半紙!$B$11:$B$310)+COUNTA(条幅!$B$11:$B$310),INDEX(条幅!$K$11:$K$310,787-COUNTA(半紙!$B$11:$B$310)),IF(787&lt;=COUNTA(半紙!$B$11:$B$310)+COUNTA(条幅!$B$11:$B$310)+COUNTA(条幅4分の1!$B$11:$B$310),INDEX(条幅4分の1!$K$11:$K$310,787-COUNTA(半紙!$B$11:$B$310)-COUNTA(条幅!$B$11:$B$310)),""))))</f>
        <v/>
      </c>
      <c r="L792" s="48" t="str">
        <f>IF($B792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787))</f>
        <v/>
      </c>
    </row>
    <row r="793" spans="1:12" ht="15" customHeight="1">
      <c r="A793" s="37" t="str">
        <f>IF(788&lt;=COUNTA(半紙!$B$11:$B$310),"半紙",IF(788&lt;=COUNTA(半紙!$B$11:$B$310)+COUNTA(条幅!$B$11:$B$310),"条幅(半切)",IF(788&lt;=COUNTA(半紙!$B$11:$B$310)+COUNTA(条幅!$B$11:$B$310)+COUNTA(条幅4分の1!$B$11:$B$310),"条幅(1/4)","")))</f>
        <v/>
      </c>
      <c r="B793" s="38" t="str">
        <f>IF(IF(788&lt;=COUNTA(半紙!$B$11:$B$310),INDEX(半紙!$B$11:$B$310,788),IF(788&lt;=COUNTA(半紙!$B$11:$B$310)+COUNTA(条幅!$B$11:$B$310),INDEX(条幅!$B$11:$B$310,788-COUNTA(半紙!$B$11:$B$310)),IF(788&lt;=COUNTA(半紙!$B$11:$B$310)+COUNTA(条幅!$B$11:$B$310)+COUNTA(条幅4分の1!$B$11:$B$310),INDEX(条幅4分の1!$B$11:$B$310,788-COUNTA(半紙!$B$11:$B$310)-COUNTA(条幅!$B$11:$B$310)),"")))=0,"",IF(788&lt;=COUNTA(半紙!$B$11:$B$310),INDEX(半紙!$B$11:$B$310,788),IF(788&lt;=COUNTA(半紙!$B$11:$B$310)+COUNTA(条幅!$B$11:$B$310),INDEX(条幅!$B$11:$B$310,788-COUNTA(半紙!$B$11:$B$310)),IF(788&lt;=COUNTA(半紙!$B$11:$B$310)+COUNTA(条幅!$B$11:$B$310)+COUNTA(条幅4分の1!$B$11:$B$310),INDEX(条幅4分の1!$B$11:$B$310,788-COUNTA(半紙!$B$11:$B$310)-COUNTA(条幅!$B$11:$B$310)),""))))</f>
        <v/>
      </c>
      <c r="C793" s="38" t="str">
        <f>IF(IF(788&lt;=COUNTA(半紙!$B$11:$B$310),INDEX(半紙!$C$11:$C$310,788),IF(788&lt;=COUNTA(半紙!$B$11:$B$310)+COUNTA(条幅!$B$11:$B$310),INDEX(条幅!$C$11:$C$310,788-COUNTA(半紙!$B$11:$B$310)),IF(788&lt;=COUNTA(半紙!$B$11:$B$310)+COUNTA(条幅!$B$11:$B$310)+COUNTA(条幅4分の1!$B$11:$B$310),INDEX(条幅4分の1!$C$11:$C$310,788-COUNTA(半紙!$B$11:$B$310)-COUNTA(条幅!$B$11:$B$310)),"")))=0,"",IF(788&lt;=COUNTA(半紙!$B$11:$B$310),INDEX(半紙!$C$11:$C$310,788),IF(788&lt;=COUNTA(半紙!$B$11:$B$310)+COUNTA(条幅!$B$11:$B$310),INDEX(条幅!$C$11:$C$310,788-COUNTA(半紙!$B$11:$B$310)),IF(788&lt;=COUNTA(半紙!$B$11:$B$310)+COUNTA(条幅!$B$11:$B$310)+COUNTA(条幅4分の1!$B$11:$B$310),INDEX(条幅4分の1!$C$11:$C$310,788-COUNTA(半紙!$B$11:$B$310)-COUNTA(条幅!$B$11:$B$310)),""))))</f>
        <v/>
      </c>
      <c r="D793" s="38" t="str">
        <f>IF(IF(788&lt;=COUNTA(半紙!$B$11:$B$310),INDEX(半紙!$D$11:$D$310,788),IF(788&lt;=COUNTA(半紙!$B$11:$B$310)+COUNTA(条幅!$B$11:$B$310),INDEX(条幅!$D$11:$D$310,788-COUNTA(半紙!$B$11:$B$310)),IF(788&lt;=COUNTA(半紙!$B$11:$B$310)+COUNTA(条幅!$B$11:$B$310)+COUNTA(条幅4分の1!$B$11:$B$310),INDEX(条幅4分の1!$D$11:$D$310,788-COUNTA(半紙!$B$11:$B$310)-COUNTA(条幅!$B$11:$B$310)),"")))=0,"",IF(788&lt;=COUNTA(半紙!$B$11:$B$310),INDEX(半紙!$D$11:$D$310,788),IF(788&lt;=COUNTA(半紙!$B$11:$B$310)+COUNTA(条幅!$B$11:$B$310),INDEX(条幅!$D$11:$D$310,788-COUNTA(半紙!$B$11:$B$310)),IF(788&lt;=COUNTA(半紙!$B$11:$B$310)+COUNTA(条幅!$B$11:$B$310)+COUNTA(条幅4分の1!$B$11:$B$310),INDEX(条幅4分の1!$D$11:$D$310,788-COUNTA(半紙!$B$11:$B$310)-COUNTA(条幅!$B$11:$B$310)),""))))</f>
        <v/>
      </c>
      <c r="E793" s="38" t="str">
        <f>IF(IF(788&lt;=COUNTA(半紙!$B$11:$B$310),INDEX(半紙!$E$11:$E$310,788),IF(788&lt;=COUNTA(半紙!$B$11:$B$310)+COUNTA(条幅!$B$11:$B$310),INDEX(条幅!$E$11:$E$310,788-COUNTA(半紙!$B$11:$B$310)),IF(788&lt;=COUNTA(半紙!$B$11:$B$310)+COUNTA(条幅!$B$11:$B$310)+COUNTA(条幅4分の1!$B$11:$B$310),INDEX(条幅4分の1!$E$11:$E$310,788-COUNTA(半紙!$B$11:$B$310)-COUNTA(条幅!$B$11:$B$310)),"")))=0,"",IF(788&lt;=COUNTA(半紙!$B$11:$B$310),INDEX(半紙!$E$11:$E$310,788),IF(788&lt;=COUNTA(半紙!$B$11:$B$310)+COUNTA(条幅!$B$11:$B$310),INDEX(条幅!$E$11:$E$310,788-COUNTA(半紙!$B$11:$B$310)),IF(788&lt;=COUNTA(半紙!$B$11:$B$310)+COUNTA(条幅!$B$11:$B$310)+COUNTA(条幅4分の1!$B$11:$B$310),INDEX(条幅4分の1!$E$11:$E$310,788-COUNTA(半紙!$B$11:$B$310)-COUNTA(条幅!$B$11:$B$310)),""))))</f>
        <v/>
      </c>
      <c r="F793" s="38" t="str">
        <f>IF(IF(788&lt;=COUNTA(半紙!$B$11:$B$310),INDEX(半紙!$F$11:$F$310,788),IF(788&lt;=COUNTA(半紙!$B$11:$B$310)+COUNTA(条幅!$B$11:$B$310),INDEX(条幅!$F$11:$F$310,788-COUNTA(半紙!$B$11:$B$310)),IF(788&lt;=COUNTA(半紙!$B$11:$B$310)+COUNTA(条幅!$B$11:$B$310)+COUNTA(条幅4分の1!$B$11:$B$310),INDEX(条幅4分の1!$F$11:$F$310,788-COUNTA(半紙!$B$11:$B$310)-COUNTA(条幅!$B$11:$B$310)),"")))=0,"",IF(788&lt;=COUNTA(半紙!$B$11:$B$310),INDEX(半紙!$F$11:$F$310,788),IF(788&lt;=COUNTA(半紙!$B$11:$B$310)+COUNTA(条幅!$B$11:$B$310),INDEX(条幅!$F$11:$F$310,788-COUNTA(半紙!$B$11:$B$310)),IF(788&lt;=COUNTA(半紙!$B$11:$B$310)+COUNTA(条幅!$B$11:$B$310)+COUNTA(条幅4分の1!$B$11:$B$310),INDEX(条幅4分の1!$F$11:$F$310,788-COUNTA(半紙!$B$11:$B$310)-COUNTA(条幅!$B$11:$B$310)),""))))</f>
        <v/>
      </c>
      <c r="G793" s="38" t="str">
        <f>IF(IF(788&lt;=COUNTA(半紙!$B$11:$B$310),INDEX(半紙!$G$11:$G$310,788),IF(788&lt;=COUNTA(半紙!$B$11:$B$310)+COUNTA(条幅!$B$11:$B$310),INDEX(条幅!$G$11:$G$310,788-COUNTA(半紙!$B$11:$B$310)),IF(788&lt;=COUNTA(半紙!$B$11:$B$310)+COUNTA(条幅!$B$11:$B$310)+COUNTA(条幅4分の1!$B$11:$B$310),INDEX(条幅4分の1!$G$11:$G$310,788-COUNTA(半紙!$B$11:$B$310)-COUNTA(条幅!$B$11:$B$310)),"")))=0,"",IF(788&lt;=COUNTA(半紙!$B$11:$B$310),INDEX(半紙!$G$11:$G$310,788),IF(788&lt;=COUNTA(半紙!$B$11:$B$310)+COUNTA(条幅!$B$11:$B$310),INDEX(条幅!$G$11:$G$310,788-COUNTA(半紙!$B$11:$B$310)),IF(788&lt;=COUNTA(半紙!$B$11:$B$310)+COUNTA(条幅!$B$11:$B$310)+COUNTA(条幅4分の1!$B$11:$B$310),INDEX(条幅4分の1!$G$11:$G$310,788-COUNTA(半紙!$B$11:$B$310)-COUNTA(条幅!$B$11:$B$310)),""))))</f>
        <v/>
      </c>
      <c r="H793" s="38" t="str">
        <f>IF(IF(788&lt;=COUNTA(半紙!$B$11:$B$310),INDEX(半紙!$H$11:$H$310,788),IF(788&lt;=COUNTA(半紙!$B$11:$B$310)+COUNTA(条幅!$B$11:$B$310),INDEX(条幅!$H$11:$H$310,788-COUNTA(半紙!$B$11:$B$310)),IF(788&lt;=COUNTA(半紙!$B$11:$B$310)+COUNTA(条幅!$B$11:$B$310)+COUNTA(条幅4分の1!$B$11:$B$310),INDEX(条幅4分の1!$H$11:$H$310,788-COUNTA(半紙!$B$11:$B$310)-COUNTA(条幅!$B$11:$B$310)),"")))=0,"",IF(788&lt;=COUNTA(半紙!$B$11:$B$310),INDEX(半紙!$H$11:$H$310,788),IF(788&lt;=COUNTA(半紙!$B$11:$B$310)+COUNTA(条幅!$B$11:$B$310),INDEX(条幅!$H$11:$H$310,788-COUNTA(半紙!$B$11:$B$310)),IF(788&lt;=COUNTA(半紙!$B$11:$B$310)+COUNTA(条幅!$B$11:$B$310)+COUNTA(条幅4分の1!$B$11:$B$310),INDEX(条幅4分の1!$H$11:$H$310,788-COUNTA(半紙!$B$11:$B$310)-COUNTA(条幅!$B$11:$B$310)),""))))</f>
        <v/>
      </c>
      <c r="I793" s="38" t="str">
        <f>IF(IF(788&lt;=COUNTA(半紙!$B$11:$B$310),INDEX(半紙!$I$11:$I$310,788),IF(788&lt;=COUNTA(半紙!$B$11:$B$310)+COUNTA(条幅!$B$11:$B$310),INDEX(条幅!$I$11:$I$310,788-COUNTA(半紙!$B$11:$B$310)),IF(788&lt;=COUNTA(半紙!$B$11:$B$310)+COUNTA(条幅!$B$11:$B$310)+COUNTA(条幅4分の1!$B$11:$B$310),INDEX(条幅4分の1!$I$11:$I$310,788-COUNTA(半紙!$B$11:$B$310)-COUNTA(条幅!$B$11:$B$310)),"")))=0,"",IF(788&lt;=COUNTA(半紙!$B$11:$B$310),INDEX(半紙!$I$11:$I$310,788),IF(788&lt;=COUNTA(半紙!$B$11:$B$310)+COUNTA(条幅!$B$11:$B$310),INDEX(条幅!$I$11:$I$310,788-COUNTA(半紙!$B$11:$B$310)),IF(788&lt;=COUNTA(半紙!$B$11:$B$310)+COUNTA(条幅!$B$11:$B$310)+COUNTA(条幅4分の1!$B$11:$B$310),INDEX(条幅4分の1!$I$11:$I$310,788-COUNTA(半紙!$B$11:$B$310)-COUNTA(条幅!$B$11:$B$310)),""))))</f>
        <v/>
      </c>
      <c r="J793" s="38" t="str">
        <f>IF(IF(788&lt;=COUNTA(半紙!$B$11:$B$310),INDEX(半紙!$J$11:$J$310,788),IF(788&lt;=COUNTA(半紙!$B$11:$B$310)+COUNTA(条幅!$B$11:$B$310),INDEX(条幅!$J$11:$J$310,788-COUNTA(半紙!$B$11:$B$310)),IF(788&lt;=COUNTA(半紙!$B$11:$B$310)+COUNTA(条幅!$B$11:$B$310)+COUNTA(条幅4分の1!$B$11:$B$310),INDEX(条幅4分の1!$J$11:$J$310,788-COUNTA(半紙!$B$11:$B$310)-COUNTA(条幅!$B$11:$B$310)),"")))=0,"",IF(788&lt;=COUNTA(半紙!$B$11:$B$310),INDEX(半紙!$J$11:$J$310,788),IF(788&lt;=COUNTA(半紙!$B$11:$B$310)+COUNTA(条幅!$B$11:$B$310),INDEX(条幅!$J$11:$J$310,788-COUNTA(半紙!$B$11:$B$310)),IF(788&lt;=COUNTA(半紙!$B$11:$B$310)+COUNTA(条幅!$B$11:$B$310)+COUNTA(条幅4分の1!$B$11:$B$310),INDEX(条幅4分の1!$J$11:$J$310,788-COUNTA(半紙!$B$11:$B$310)-COUNTA(条幅!$B$11:$B$310)),""))))</f>
        <v/>
      </c>
      <c r="K793" s="38" t="str">
        <f>IF(IF(788&lt;=COUNTA(半紙!$B$11:$B$310),INDEX(半紙!$K$11:$K$310,788),IF(788&lt;=COUNTA(半紙!$B$11:$B$310)+COUNTA(条幅!$B$11:$B$310),INDEX(条幅!$K$11:$K$310,788-COUNTA(半紙!$B$11:$B$310)),IF(788&lt;=COUNTA(半紙!$B$11:$B$310)+COUNTA(条幅!$B$11:$B$310)+COUNTA(条幅4分の1!$B$11:$B$310),INDEX(条幅4分の1!$K$11:$K$310,788-COUNTA(半紙!$B$11:$B$310)-COUNTA(条幅!$B$11:$B$310)),"")))=0,"",IF(788&lt;=COUNTA(半紙!$B$11:$B$310),INDEX(半紙!$K$11:$K$310,788),IF(788&lt;=COUNTA(半紙!$B$11:$B$310)+COUNTA(条幅!$B$11:$B$310),INDEX(条幅!$K$11:$K$310,788-COUNTA(半紙!$B$11:$B$310)),IF(788&lt;=COUNTA(半紙!$B$11:$B$310)+COUNTA(条幅!$B$11:$B$310)+COUNTA(条幅4分の1!$B$11:$B$310),INDEX(条幅4分の1!$K$11:$K$310,788-COUNTA(半紙!$B$11:$B$310)-COUNTA(条幅!$B$11:$B$310)),""))))</f>
        <v/>
      </c>
      <c r="L793" s="48" t="str">
        <f>IF($B793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788))</f>
        <v/>
      </c>
    </row>
    <row r="794" spans="1:12" ht="15" customHeight="1">
      <c r="A794" s="37" t="str">
        <f>IF(789&lt;=COUNTA(半紙!$B$11:$B$310),"半紙",IF(789&lt;=COUNTA(半紙!$B$11:$B$310)+COUNTA(条幅!$B$11:$B$310),"条幅(半切)",IF(789&lt;=COUNTA(半紙!$B$11:$B$310)+COUNTA(条幅!$B$11:$B$310)+COUNTA(条幅4分の1!$B$11:$B$310),"条幅(1/4)","")))</f>
        <v/>
      </c>
      <c r="B794" s="38" t="str">
        <f>IF(IF(789&lt;=COUNTA(半紙!$B$11:$B$310),INDEX(半紙!$B$11:$B$310,789),IF(789&lt;=COUNTA(半紙!$B$11:$B$310)+COUNTA(条幅!$B$11:$B$310),INDEX(条幅!$B$11:$B$310,789-COUNTA(半紙!$B$11:$B$310)),IF(789&lt;=COUNTA(半紙!$B$11:$B$310)+COUNTA(条幅!$B$11:$B$310)+COUNTA(条幅4分の1!$B$11:$B$310),INDEX(条幅4分の1!$B$11:$B$310,789-COUNTA(半紙!$B$11:$B$310)-COUNTA(条幅!$B$11:$B$310)),"")))=0,"",IF(789&lt;=COUNTA(半紙!$B$11:$B$310),INDEX(半紙!$B$11:$B$310,789),IF(789&lt;=COUNTA(半紙!$B$11:$B$310)+COUNTA(条幅!$B$11:$B$310),INDEX(条幅!$B$11:$B$310,789-COUNTA(半紙!$B$11:$B$310)),IF(789&lt;=COUNTA(半紙!$B$11:$B$310)+COUNTA(条幅!$B$11:$B$310)+COUNTA(条幅4分の1!$B$11:$B$310),INDEX(条幅4分の1!$B$11:$B$310,789-COUNTA(半紙!$B$11:$B$310)-COUNTA(条幅!$B$11:$B$310)),""))))</f>
        <v/>
      </c>
      <c r="C794" s="38" t="str">
        <f>IF(IF(789&lt;=COUNTA(半紙!$B$11:$B$310),INDEX(半紙!$C$11:$C$310,789),IF(789&lt;=COUNTA(半紙!$B$11:$B$310)+COUNTA(条幅!$B$11:$B$310),INDEX(条幅!$C$11:$C$310,789-COUNTA(半紙!$B$11:$B$310)),IF(789&lt;=COUNTA(半紙!$B$11:$B$310)+COUNTA(条幅!$B$11:$B$310)+COUNTA(条幅4分の1!$B$11:$B$310),INDEX(条幅4分の1!$C$11:$C$310,789-COUNTA(半紙!$B$11:$B$310)-COUNTA(条幅!$B$11:$B$310)),"")))=0,"",IF(789&lt;=COUNTA(半紙!$B$11:$B$310),INDEX(半紙!$C$11:$C$310,789),IF(789&lt;=COUNTA(半紙!$B$11:$B$310)+COUNTA(条幅!$B$11:$B$310),INDEX(条幅!$C$11:$C$310,789-COUNTA(半紙!$B$11:$B$310)),IF(789&lt;=COUNTA(半紙!$B$11:$B$310)+COUNTA(条幅!$B$11:$B$310)+COUNTA(条幅4分の1!$B$11:$B$310),INDEX(条幅4分の1!$C$11:$C$310,789-COUNTA(半紙!$B$11:$B$310)-COUNTA(条幅!$B$11:$B$310)),""))))</f>
        <v/>
      </c>
      <c r="D794" s="38" t="str">
        <f>IF(IF(789&lt;=COUNTA(半紙!$B$11:$B$310),INDEX(半紙!$D$11:$D$310,789),IF(789&lt;=COUNTA(半紙!$B$11:$B$310)+COUNTA(条幅!$B$11:$B$310),INDEX(条幅!$D$11:$D$310,789-COUNTA(半紙!$B$11:$B$310)),IF(789&lt;=COUNTA(半紙!$B$11:$B$310)+COUNTA(条幅!$B$11:$B$310)+COUNTA(条幅4分の1!$B$11:$B$310),INDEX(条幅4分の1!$D$11:$D$310,789-COUNTA(半紙!$B$11:$B$310)-COUNTA(条幅!$B$11:$B$310)),"")))=0,"",IF(789&lt;=COUNTA(半紙!$B$11:$B$310),INDEX(半紙!$D$11:$D$310,789),IF(789&lt;=COUNTA(半紙!$B$11:$B$310)+COUNTA(条幅!$B$11:$B$310),INDEX(条幅!$D$11:$D$310,789-COUNTA(半紙!$B$11:$B$310)),IF(789&lt;=COUNTA(半紙!$B$11:$B$310)+COUNTA(条幅!$B$11:$B$310)+COUNTA(条幅4分の1!$B$11:$B$310),INDEX(条幅4分の1!$D$11:$D$310,789-COUNTA(半紙!$B$11:$B$310)-COUNTA(条幅!$B$11:$B$310)),""))))</f>
        <v/>
      </c>
      <c r="E794" s="38" t="str">
        <f>IF(IF(789&lt;=COUNTA(半紙!$B$11:$B$310),INDEX(半紙!$E$11:$E$310,789),IF(789&lt;=COUNTA(半紙!$B$11:$B$310)+COUNTA(条幅!$B$11:$B$310),INDEX(条幅!$E$11:$E$310,789-COUNTA(半紙!$B$11:$B$310)),IF(789&lt;=COUNTA(半紙!$B$11:$B$310)+COUNTA(条幅!$B$11:$B$310)+COUNTA(条幅4分の1!$B$11:$B$310),INDEX(条幅4分の1!$E$11:$E$310,789-COUNTA(半紙!$B$11:$B$310)-COUNTA(条幅!$B$11:$B$310)),"")))=0,"",IF(789&lt;=COUNTA(半紙!$B$11:$B$310),INDEX(半紙!$E$11:$E$310,789),IF(789&lt;=COUNTA(半紙!$B$11:$B$310)+COUNTA(条幅!$B$11:$B$310),INDEX(条幅!$E$11:$E$310,789-COUNTA(半紙!$B$11:$B$310)),IF(789&lt;=COUNTA(半紙!$B$11:$B$310)+COUNTA(条幅!$B$11:$B$310)+COUNTA(条幅4分の1!$B$11:$B$310),INDEX(条幅4分の1!$E$11:$E$310,789-COUNTA(半紙!$B$11:$B$310)-COUNTA(条幅!$B$11:$B$310)),""))))</f>
        <v/>
      </c>
      <c r="F794" s="38" t="str">
        <f>IF(IF(789&lt;=COUNTA(半紙!$B$11:$B$310),INDEX(半紙!$F$11:$F$310,789),IF(789&lt;=COUNTA(半紙!$B$11:$B$310)+COUNTA(条幅!$B$11:$B$310),INDEX(条幅!$F$11:$F$310,789-COUNTA(半紙!$B$11:$B$310)),IF(789&lt;=COUNTA(半紙!$B$11:$B$310)+COUNTA(条幅!$B$11:$B$310)+COUNTA(条幅4分の1!$B$11:$B$310),INDEX(条幅4分の1!$F$11:$F$310,789-COUNTA(半紙!$B$11:$B$310)-COUNTA(条幅!$B$11:$B$310)),"")))=0,"",IF(789&lt;=COUNTA(半紙!$B$11:$B$310),INDEX(半紙!$F$11:$F$310,789),IF(789&lt;=COUNTA(半紙!$B$11:$B$310)+COUNTA(条幅!$B$11:$B$310),INDEX(条幅!$F$11:$F$310,789-COUNTA(半紙!$B$11:$B$310)),IF(789&lt;=COUNTA(半紙!$B$11:$B$310)+COUNTA(条幅!$B$11:$B$310)+COUNTA(条幅4分の1!$B$11:$B$310),INDEX(条幅4分の1!$F$11:$F$310,789-COUNTA(半紙!$B$11:$B$310)-COUNTA(条幅!$B$11:$B$310)),""))))</f>
        <v/>
      </c>
      <c r="G794" s="38" t="str">
        <f>IF(IF(789&lt;=COUNTA(半紙!$B$11:$B$310),INDEX(半紙!$G$11:$G$310,789),IF(789&lt;=COUNTA(半紙!$B$11:$B$310)+COUNTA(条幅!$B$11:$B$310),INDEX(条幅!$G$11:$G$310,789-COUNTA(半紙!$B$11:$B$310)),IF(789&lt;=COUNTA(半紙!$B$11:$B$310)+COUNTA(条幅!$B$11:$B$310)+COUNTA(条幅4分の1!$B$11:$B$310),INDEX(条幅4分の1!$G$11:$G$310,789-COUNTA(半紙!$B$11:$B$310)-COUNTA(条幅!$B$11:$B$310)),"")))=0,"",IF(789&lt;=COUNTA(半紙!$B$11:$B$310),INDEX(半紙!$G$11:$G$310,789),IF(789&lt;=COUNTA(半紙!$B$11:$B$310)+COUNTA(条幅!$B$11:$B$310),INDEX(条幅!$G$11:$G$310,789-COUNTA(半紙!$B$11:$B$310)),IF(789&lt;=COUNTA(半紙!$B$11:$B$310)+COUNTA(条幅!$B$11:$B$310)+COUNTA(条幅4分の1!$B$11:$B$310),INDEX(条幅4分の1!$G$11:$G$310,789-COUNTA(半紙!$B$11:$B$310)-COUNTA(条幅!$B$11:$B$310)),""))))</f>
        <v/>
      </c>
      <c r="H794" s="38" t="str">
        <f>IF(IF(789&lt;=COUNTA(半紙!$B$11:$B$310),INDEX(半紙!$H$11:$H$310,789),IF(789&lt;=COUNTA(半紙!$B$11:$B$310)+COUNTA(条幅!$B$11:$B$310),INDEX(条幅!$H$11:$H$310,789-COUNTA(半紙!$B$11:$B$310)),IF(789&lt;=COUNTA(半紙!$B$11:$B$310)+COUNTA(条幅!$B$11:$B$310)+COUNTA(条幅4分の1!$B$11:$B$310),INDEX(条幅4分の1!$H$11:$H$310,789-COUNTA(半紙!$B$11:$B$310)-COUNTA(条幅!$B$11:$B$310)),"")))=0,"",IF(789&lt;=COUNTA(半紙!$B$11:$B$310),INDEX(半紙!$H$11:$H$310,789),IF(789&lt;=COUNTA(半紙!$B$11:$B$310)+COUNTA(条幅!$B$11:$B$310),INDEX(条幅!$H$11:$H$310,789-COUNTA(半紙!$B$11:$B$310)),IF(789&lt;=COUNTA(半紙!$B$11:$B$310)+COUNTA(条幅!$B$11:$B$310)+COUNTA(条幅4分の1!$B$11:$B$310),INDEX(条幅4分の1!$H$11:$H$310,789-COUNTA(半紙!$B$11:$B$310)-COUNTA(条幅!$B$11:$B$310)),""))))</f>
        <v/>
      </c>
      <c r="I794" s="38" t="str">
        <f>IF(IF(789&lt;=COUNTA(半紙!$B$11:$B$310),INDEX(半紙!$I$11:$I$310,789),IF(789&lt;=COUNTA(半紙!$B$11:$B$310)+COUNTA(条幅!$B$11:$B$310),INDEX(条幅!$I$11:$I$310,789-COUNTA(半紙!$B$11:$B$310)),IF(789&lt;=COUNTA(半紙!$B$11:$B$310)+COUNTA(条幅!$B$11:$B$310)+COUNTA(条幅4分の1!$B$11:$B$310),INDEX(条幅4分の1!$I$11:$I$310,789-COUNTA(半紙!$B$11:$B$310)-COUNTA(条幅!$B$11:$B$310)),"")))=0,"",IF(789&lt;=COUNTA(半紙!$B$11:$B$310),INDEX(半紙!$I$11:$I$310,789),IF(789&lt;=COUNTA(半紙!$B$11:$B$310)+COUNTA(条幅!$B$11:$B$310),INDEX(条幅!$I$11:$I$310,789-COUNTA(半紙!$B$11:$B$310)),IF(789&lt;=COUNTA(半紙!$B$11:$B$310)+COUNTA(条幅!$B$11:$B$310)+COUNTA(条幅4分の1!$B$11:$B$310),INDEX(条幅4分の1!$I$11:$I$310,789-COUNTA(半紙!$B$11:$B$310)-COUNTA(条幅!$B$11:$B$310)),""))))</f>
        <v/>
      </c>
      <c r="J794" s="38" t="str">
        <f>IF(IF(789&lt;=COUNTA(半紙!$B$11:$B$310),INDEX(半紙!$J$11:$J$310,789),IF(789&lt;=COUNTA(半紙!$B$11:$B$310)+COUNTA(条幅!$B$11:$B$310),INDEX(条幅!$J$11:$J$310,789-COUNTA(半紙!$B$11:$B$310)),IF(789&lt;=COUNTA(半紙!$B$11:$B$310)+COUNTA(条幅!$B$11:$B$310)+COUNTA(条幅4分の1!$B$11:$B$310),INDEX(条幅4分の1!$J$11:$J$310,789-COUNTA(半紙!$B$11:$B$310)-COUNTA(条幅!$B$11:$B$310)),"")))=0,"",IF(789&lt;=COUNTA(半紙!$B$11:$B$310),INDEX(半紙!$J$11:$J$310,789),IF(789&lt;=COUNTA(半紙!$B$11:$B$310)+COUNTA(条幅!$B$11:$B$310),INDEX(条幅!$J$11:$J$310,789-COUNTA(半紙!$B$11:$B$310)),IF(789&lt;=COUNTA(半紙!$B$11:$B$310)+COUNTA(条幅!$B$11:$B$310)+COUNTA(条幅4分の1!$B$11:$B$310),INDEX(条幅4分の1!$J$11:$J$310,789-COUNTA(半紙!$B$11:$B$310)-COUNTA(条幅!$B$11:$B$310)),""))))</f>
        <v/>
      </c>
      <c r="K794" s="38" t="str">
        <f>IF(IF(789&lt;=COUNTA(半紙!$B$11:$B$310),INDEX(半紙!$K$11:$K$310,789),IF(789&lt;=COUNTA(半紙!$B$11:$B$310)+COUNTA(条幅!$B$11:$B$310),INDEX(条幅!$K$11:$K$310,789-COUNTA(半紙!$B$11:$B$310)),IF(789&lt;=COUNTA(半紙!$B$11:$B$310)+COUNTA(条幅!$B$11:$B$310)+COUNTA(条幅4分の1!$B$11:$B$310),INDEX(条幅4分の1!$K$11:$K$310,789-COUNTA(半紙!$B$11:$B$310)-COUNTA(条幅!$B$11:$B$310)),"")))=0,"",IF(789&lt;=COUNTA(半紙!$B$11:$B$310),INDEX(半紙!$K$11:$K$310,789),IF(789&lt;=COUNTA(半紙!$B$11:$B$310)+COUNTA(条幅!$B$11:$B$310),INDEX(条幅!$K$11:$K$310,789-COUNTA(半紙!$B$11:$B$310)),IF(789&lt;=COUNTA(半紙!$B$11:$B$310)+COUNTA(条幅!$B$11:$B$310)+COUNTA(条幅4分の1!$B$11:$B$310),INDEX(条幅4分の1!$K$11:$K$310,789-COUNTA(半紙!$B$11:$B$310)-COUNTA(条幅!$B$11:$B$310)),""))))</f>
        <v/>
      </c>
      <c r="L794" s="48" t="str">
        <f>IF($B794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789))</f>
        <v/>
      </c>
    </row>
    <row r="795" spans="1:12" ht="15" customHeight="1">
      <c r="A795" s="37" t="str">
        <f>IF(790&lt;=COUNTA(半紙!$B$11:$B$310),"半紙",IF(790&lt;=COUNTA(半紙!$B$11:$B$310)+COUNTA(条幅!$B$11:$B$310),"条幅(半切)",IF(790&lt;=COUNTA(半紙!$B$11:$B$310)+COUNTA(条幅!$B$11:$B$310)+COUNTA(条幅4分の1!$B$11:$B$310),"条幅(1/4)","")))</f>
        <v/>
      </c>
      <c r="B795" s="38" t="str">
        <f>IF(IF(790&lt;=COUNTA(半紙!$B$11:$B$310),INDEX(半紙!$B$11:$B$310,790),IF(790&lt;=COUNTA(半紙!$B$11:$B$310)+COUNTA(条幅!$B$11:$B$310),INDEX(条幅!$B$11:$B$310,790-COUNTA(半紙!$B$11:$B$310)),IF(790&lt;=COUNTA(半紙!$B$11:$B$310)+COUNTA(条幅!$B$11:$B$310)+COUNTA(条幅4分の1!$B$11:$B$310),INDEX(条幅4分の1!$B$11:$B$310,790-COUNTA(半紙!$B$11:$B$310)-COUNTA(条幅!$B$11:$B$310)),"")))=0,"",IF(790&lt;=COUNTA(半紙!$B$11:$B$310),INDEX(半紙!$B$11:$B$310,790),IF(790&lt;=COUNTA(半紙!$B$11:$B$310)+COUNTA(条幅!$B$11:$B$310),INDEX(条幅!$B$11:$B$310,790-COUNTA(半紙!$B$11:$B$310)),IF(790&lt;=COUNTA(半紙!$B$11:$B$310)+COUNTA(条幅!$B$11:$B$310)+COUNTA(条幅4分の1!$B$11:$B$310),INDEX(条幅4分の1!$B$11:$B$310,790-COUNTA(半紙!$B$11:$B$310)-COUNTA(条幅!$B$11:$B$310)),""))))</f>
        <v/>
      </c>
      <c r="C795" s="38" t="str">
        <f>IF(IF(790&lt;=COUNTA(半紙!$B$11:$B$310),INDEX(半紙!$C$11:$C$310,790),IF(790&lt;=COUNTA(半紙!$B$11:$B$310)+COUNTA(条幅!$B$11:$B$310),INDEX(条幅!$C$11:$C$310,790-COUNTA(半紙!$B$11:$B$310)),IF(790&lt;=COUNTA(半紙!$B$11:$B$310)+COUNTA(条幅!$B$11:$B$310)+COUNTA(条幅4分の1!$B$11:$B$310),INDEX(条幅4分の1!$C$11:$C$310,790-COUNTA(半紙!$B$11:$B$310)-COUNTA(条幅!$B$11:$B$310)),"")))=0,"",IF(790&lt;=COUNTA(半紙!$B$11:$B$310),INDEX(半紙!$C$11:$C$310,790),IF(790&lt;=COUNTA(半紙!$B$11:$B$310)+COUNTA(条幅!$B$11:$B$310),INDEX(条幅!$C$11:$C$310,790-COUNTA(半紙!$B$11:$B$310)),IF(790&lt;=COUNTA(半紙!$B$11:$B$310)+COUNTA(条幅!$B$11:$B$310)+COUNTA(条幅4分の1!$B$11:$B$310),INDEX(条幅4分の1!$C$11:$C$310,790-COUNTA(半紙!$B$11:$B$310)-COUNTA(条幅!$B$11:$B$310)),""))))</f>
        <v/>
      </c>
      <c r="D795" s="38" t="str">
        <f>IF(IF(790&lt;=COUNTA(半紙!$B$11:$B$310),INDEX(半紙!$D$11:$D$310,790),IF(790&lt;=COUNTA(半紙!$B$11:$B$310)+COUNTA(条幅!$B$11:$B$310),INDEX(条幅!$D$11:$D$310,790-COUNTA(半紙!$B$11:$B$310)),IF(790&lt;=COUNTA(半紙!$B$11:$B$310)+COUNTA(条幅!$B$11:$B$310)+COUNTA(条幅4分の1!$B$11:$B$310),INDEX(条幅4分の1!$D$11:$D$310,790-COUNTA(半紙!$B$11:$B$310)-COUNTA(条幅!$B$11:$B$310)),"")))=0,"",IF(790&lt;=COUNTA(半紙!$B$11:$B$310),INDEX(半紙!$D$11:$D$310,790),IF(790&lt;=COUNTA(半紙!$B$11:$B$310)+COUNTA(条幅!$B$11:$B$310),INDEX(条幅!$D$11:$D$310,790-COUNTA(半紙!$B$11:$B$310)),IF(790&lt;=COUNTA(半紙!$B$11:$B$310)+COUNTA(条幅!$B$11:$B$310)+COUNTA(条幅4分の1!$B$11:$B$310),INDEX(条幅4分の1!$D$11:$D$310,790-COUNTA(半紙!$B$11:$B$310)-COUNTA(条幅!$B$11:$B$310)),""))))</f>
        <v/>
      </c>
      <c r="E795" s="38" t="str">
        <f>IF(IF(790&lt;=COUNTA(半紙!$B$11:$B$310),INDEX(半紙!$E$11:$E$310,790),IF(790&lt;=COUNTA(半紙!$B$11:$B$310)+COUNTA(条幅!$B$11:$B$310),INDEX(条幅!$E$11:$E$310,790-COUNTA(半紙!$B$11:$B$310)),IF(790&lt;=COUNTA(半紙!$B$11:$B$310)+COUNTA(条幅!$B$11:$B$310)+COUNTA(条幅4分の1!$B$11:$B$310),INDEX(条幅4分の1!$E$11:$E$310,790-COUNTA(半紙!$B$11:$B$310)-COUNTA(条幅!$B$11:$B$310)),"")))=0,"",IF(790&lt;=COUNTA(半紙!$B$11:$B$310),INDEX(半紙!$E$11:$E$310,790),IF(790&lt;=COUNTA(半紙!$B$11:$B$310)+COUNTA(条幅!$B$11:$B$310),INDEX(条幅!$E$11:$E$310,790-COUNTA(半紙!$B$11:$B$310)),IF(790&lt;=COUNTA(半紙!$B$11:$B$310)+COUNTA(条幅!$B$11:$B$310)+COUNTA(条幅4分の1!$B$11:$B$310),INDEX(条幅4分の1!$E$11:$E$310,790-COUNTA(半紙!$B$11:$B$310)-COUNTA(条幅!$B$11:$B$310)),""))))</f>
        <v/>
      </c>
      <c r="F795" s="38" t="str">
        <f>IF(IF(790&lt;=COUNTA(半紙!$B$11:$B$310),INDEX(半紙!$F$11:$F$310,790),IF(790&lt;=COUNTA(半紙!$B$11:$B$310)+COUNTA(条幅!$B$11:$B$310),INDEX(条幅!$F$11:$F$310,790-COUNTA(半紙!$B$11:$B$310)),IF(790&lt;=COUNTA(半紙!$B$11:$B$310)+COUNTA(条幅!$B$11:$B$310)+COUNTA(条幅4分の1!$B$11:$B$310),INDEX(条幅4分の1!$F$11:$F$310,790-COUNTA(半紙!$B$11:$B$310)-COUNTA(条幅!$B$11:$B$310)),"")))=0,"",IF(790&lt;=COUNTA(半紙!$B$11:$B$310),INDEX(半紙!$F$11:$F$310,790),IF(790&lt;=COUNTA(半紙!$B$11:$B$310)+COUNTA(条幅!$B$11:$B$310),INDEX(条幅!$F$11:$F$310,790-COUNTA(半紙!$B$11:$B$310)),IF(790&lt;=COUNTA(半紙!$B$11:$B$310)+COUNTA(条幅!$B$11:$B$310)+COUNTA(条幅4分の1!$B$11:$B$310),INDEX(条幅4分の1!$F$11:$F$310,790-COUNTA(半紙!$B$11:$B$310)-COUNTA(条幅!$B$11:$B$310)),""))))</f>
        <v/>
      </c>
      <c r="G795" s="38" t="str">
        <f>IF(IF(790&lt;=COUNTA(半紙!$B$11:$B$310),INDEX(半紙!$G$11:$G$310,790),IF(790&lt;=COUNTA(半紙!$B$11:$B$310)+COUNTA(条幅!$B$11:$B$310),INDEX(条幅!$G$11:$G$310,790-COUNTA(半紙!$B$11:$B$310)),IF(790&lt;=COUNTA(半紙!$B$11:$B$310)+COUNTA(条幅!$B$11:$B$310)+COUNTA(条幅4分の1!$B$11:$B$310),INDEX(条幅4分の1!$G$11:$G$310,790-COUNTA(半紙!$B$11:$B$310)-COUNTA(条幅!$B$11:$B$310)),"")))=0,"",IF(790&lt;=COUNTA(半紙!$B$11:$B$310),INDEX(半紙!$G$11:$G$310,790),IF(790&lt;=COUNTA(半紙!$B$11:$B$310)+COUNTA(条幅!$B$11:$B$310),INDEX(条幅!$G$11:$G$310,790-COUNTA(半紙!$B$11:$B$310)),IF(790&lt;=COUNTA(半紙!$B$11:$B$310)+COUNTA(条幅!$B$11:$B$310)+COUNTA(条幅4分の1!$B$11:$B$310),INDEX(条幅4分の1!$G$11:$G$310,790-COUNTA(半紙!$B$11:$B$310)-COUNTA(条幅!$B$11:$B$310)),""))))</f>
        <v/>
      </c>
      <c r="H795" s="38" t="str">
        <f>IF(IF(790&lt;=COUNTA(半紙!$B$11:$B$310),INDEX(半紙!$H$11:$H$310,790),IF(790&lt;=COUNTA(半紙!$B$11:$B$310)+COUNTA(条幅!$B$11:$B$310),INDEX(条幅!$H$11:$H$310,790-COUNTA(半紙!$B$11:$B$310)),IF(790&lt;=COUNTA(半紙!$B$11:$B$310)+COUNTA(条幅!$B$11:$B$310)+COUNTA(条幅4分の1!$B$11:$B$310),INDEX(条幅4分の1!$H$11:$H$310,790-COUNTA(半紙!$B$11:$B$310)-COUNTA(条幅!$B$11:$B$310)),"")))=0,"",IF(790&lt;=COUNTA(半紙!$B$11:$B$310),INDEX(半紙!$H$11:$H$310,790),IF(790&lt;=COUNTA(半紙!$B$11:$B$310)+COUNTA(条幅!$B$11:$B$310),INDEX(条幅!$H$11:$H$310,790-COUNTA(半紙!$B$11:$B$310)),IF(790&lt;=COUNTA(半紙!$B$11:$B$310)+COUNTA(条幅!$B$11:$B$310)+COUNTA(条幅4分の1!$B$11:$B$310),INDEX(条幅4分の1!$H$11:$H$310,790-COUNTA(半紙!$B$11:$B$310)-COUNTA(条幅!$B$11:$B$310)),""))))</f>
        <v/>
      </c>
      <c r="I795" s="38" t="str">
        <f>IF(IF(790&lt;=COUNTA(半紙!$B$11:$B$310),INDEX(半紙!$I$11:$I$310,790),IF(790&lt;=COUNTA(半紙!$B$11:$B$310)+COUNTA(条幅!$B$11:$B$310),INDEX(条幅!$I$11:$I$310,790-COUNTA(半紙!$B$11:$B$310)),IF(790&lt;=COUNTA(半紙!$B$11:$B$310)+COUNTA(条幅!$B$11:$B$310)+COUNTA(条幅4分の1!$B$11:$B$310),INDEX(条幅4分の1!$I$11:$I$310,790-COUNTA(半紙!$B$11:$B$310)-COUNTA(条幅!$B$11:$B$310)),"")))=0,"",IF(790&lt;=COUNTA(半紙!$B$11:$B$310),INDEX(半紙!$I$11:$I$310,790),IF(790&lt;=COUNTA(半紙!$B$11:$B$310)+COUNTA(条幅!$B$11:$B$310),INDEX(条幅!$I$11:$I$310,790-COUNTA(半紙!$B$11:$B$310)),IF(790&lt;=COUNTA(半紙!$B$11:$B$310)+COUNTA(条幅!$B$11:$B$310)+COUNTA(条幅4分の1!$B$11:$B$310),INDEX(条幅4分の1!$I$11:$I$310,790-COUNTA(半紙!$B$11:$B$310)-COUNTA(条幅!$B$11:$B$310)),""))))</f>
        <v/>
      </c>
      <c r="J795" s="38" t="str">
        <f>IF(IF(790&lt;=COUNTA(半紙!$B$11:$B$310),INDEX(半紙!$J$11:$J$310,790),IF(790&lt;=COUNTA(半紙!$B$11:$B$310)+COUNTA(条幅!$B$11:$B$310),INDEX(条幅!$J$11:$J$310,790-COUNTA(半紙!$B$11:$B$310)),IF(790&lt;=COUNTA(半紙!$B$11:$B$310)+COUNTA(条幅!$B$11:$B$310)+COUNTA(条幅4分の1!$B$11:$B$310),INDEX(条幅4分の1!$J$11:$J$310,790-COUNTA(半紙!$B$11:$B$310)-COUNTA(条幅!$B$11:$B$310)),"")))=0,"",IF(790&lt;=COUNTA(半紙!$B$11:$B$310),INDEX(半紙!$J$11:$J$310,790),IF(790&lt;=COUNTA(半紙!$B$11:$B$310)+COUNTA(条幅!$B$11:$B$310),INDEX(条幅!$J$11:$J$310,790-COUNTA(半紙!$B$11:$B$310)),IF(790&lt;=COUNTA(半紙!$B$11:$B$310)+COUNTA(条幅!$B$11:$B$310)+COUNTA(条幅4分の1!$B$11:$B$310),INDEX(条幅4分の1!$J$11:$J$310,790-COUNTA(半紙!$B$11:$B$310)-COUNTA(条幅!$B$11:$B$310)),""))))</f>
        <v/>
      </c>
      <c r="K795" s="38" t="str">
        <f>IF(IF(790&lt;=COUNTA(半紙!$B$11:$B$310),INDEX(半紙!$K$11:$K$310,790),IF(790&lt;=COUNTA(半紙!$B$11:$B$310)+COUNTA(条幅!$B$11:$B$310),INDEX(条幅!$K$11:$K$310,790-COUNTA(半紙!$B$11:$B$310)),IF(790&lt;=COUNTA(半紙!$B$11:$B$310)+COUNTA(条幅!$B$11:$B$310)+COUNTA(条幅4分の1!$B$11:$B$310),INDEX(条幅4分の1!$K$11:$K$310,790-COUNTA(半紙!$B$11:$B$310)-COUNTA(条幅!$B$11:$B$310)),"")))=0,"",IF(790&lt;=COUNTA(半紙!$B$11:$B$310),INDEX(半紙!$K$11:$K$310,790),IF(790&lt;=COUNTA(半紙!$B$11:$B$310)+COUNTA(条幅!$B$11:$B$310),INDEX(条幅!$K$11:$K$310,790-COUNTA(半紙!$B$11:$B$310)),IF(790&lt;=COUNTA(半紙!$B$11:$B$310)+COUNTA(条幅!$B$11:$B$310)+COUNTA(条幅4分の1!$B$11:$B$310),INDEX(条幅4分の1!$K$11:$K$310,790-COUNTA(半紙!$B$11:$B$310)-COUNTA(条幅!$B$11:$B$310)),""))))</f>
        <v/>
      </c>
      <c r="L795" s="48" t="str">
        <f>IF($B795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790))</f>
        <v/>
      </c>
    </row>
    <row r="796" spans="1:12" ht="15" customHeight="1">
      <c r="A796" s="37" t="str">
        <f>IF(791&lt;=COUNTA(半紙!$B$11:$B$310),"半紙",IF(791&lt;=COUNTA(半紙!$B$11:$B$310)+COUNTA(条幅!$B$11:$B$310),"条幅(半切)",IF(791&lt;=COUNTA(半紙!$B$11:$B$310)+COUNTA(条幅!$B$11:$B$310)+COUNTA(条幅4分の1!$B$11:$B$310),"条幅(1/4)","")))</f>
        <v/>
      </c>
      <c r="B796" s="38" t="str">
        <f>IF(IF(791&lt;=COUNTA(半紙!$B$11:$B$310),INDEX(半紙!$B$11:$B$310,791),IF(791&lt;=COUNTA(半紙!$B$11:$B$310)+COUNTA(条幅!$B$11:$B$310),INDEX(条幅!$B$11:$B$310,791-COUNTA(半紙!$B$11:$B$310)),IF(791&lt;=COUNTA(半紙!$B$11:$B$310)+COUNTA(条幅!$B$11:$B$310)+COUNTA(条幅4分の1!$B$11:$B$310),INDEX(条幅4分の1!$B$11:$B$310,791-COUNTA(半紙!$B$11:$B$310)-COUNTA(条幅!$B$11:$B$310)),"")))=0,"",IF(791&lt;=COUNTA(半紙!$B$11:$B$310),INDEX(半紙!$B$11:$B$310,791),IF(791&lt;=COUNTA(半紙!$B$11:$B$310)+COUNTA(条幅!$B$11:$B$310),INDEX(条幅!$B$11:$B$310,791-COUNTA(半紙!$B$11:$B$310)),IF(791&lt;=COUNTA(半紙!$B$11:$B$310)+COUNTA(条幅!$B$11:$B$310)+COUNTA(条幅4分の1!$B$11:$B$310),INDEX(条幅4分の1!$B$11:$B$310,791-COUNTA(半紙!$B$11:$B$310)-COUNTA(条幅!$B$11:$B$310)),""))))</f>
        <v/>
      </c>
      <c r="C796" s="38" t="str">
        <f>IF(IF(791&lt;=COUNTA(半紙!$B$11:$B$310),INDEX(半紙!$C$11:$C$310,791),IF(791&lt;=COUNTA(半紙!$B$11:$B$310)+COUNTA(条幅!$B$11:$B$310),INDEX(条幅!$C$11:$C$310,791-COUNTA(半紙!$B$11:$B$310)),IF(791&lt;=COUNTA(半紙!$B$11:$B$310)+COUNTA(条幅!$B$11:$B$310)+COUNTA(条幅4分の1!$B$11:$B$310),INDEX(条幅4分の1!$C$11:$C$310,791-COUNTA(半紙!$B$11:$B$310)-COUNTA(条幅!$B$11:$B$310)),"")))=0,"",IF(791&lt;=COUNTA(半紙!$B$11:$B$310),INDEX(半紙!$C$11:$C$310,791),IF(791&lt;=COUNTA(半紙!$B$11:$B$310)+COUNTA(条幅!$B$11:$B$310),INDEX(条幅!$C$11:$C$310,791-COUNTA(半紙!$B$11:$B$310)),IF(791&lt;=COUNTA(半紙!$B$11:$B$310)+COUNTA(条幅!$B$11:$B$310)+COUNTA(条幅4分の1!$B$11:$B$310),INDEX(条幅4分の1!$C$11:$C$310,791-COUNTA(半紙!$B$11:$B$310)-COUNTA(条幅!$B$11:$B$310)),""))))</f>
        <v/>
      </c>
      <c r="D796" s="38" t="str">
        <f>IF(IF(791&lt;=COUNTA(半紙!$B$11:$B$310),INDEX(半紙!$D$11:$D$310,791),IF(791&lt;=COUNTA(半紙!$B$11:$B$310)+COUNTA(条幅!$B$11:$B$310),INDEX(条幅!$D$11:$D$310,791-COUNTA(半紙!$B$11:$B$310)),IF(791&lt;=COUNTA(半紙!$B$11:$B$310)+COUNTA(条幅!$B$11:$B$310)+COUNTA(条幅4分の1!$B$11:$B$310),INDEX(条幅4分の1!$D$11:$D$310,791-COUNTA(半紙!$B$11:$B$310)-COUNTA(条幅!$B$11:$B$310)),"")))=0,"",IF(791&lt;=COUNTA(半紙!$B$11:$B$310),INDEX(半紙!$D$11:$D$310,791),IF(791&lt;=COUNTA(半紙!$B$11:$B$310)+COUNTA(条幅!$B$11:$B$310),INDEX(条幅!$D$11:$D$310,791-COUNTA(半紙!$B$11:$B$310)),IF(791&lt;=COUNTA(半紙!$B$11:$B$310)+COUNTA(条幅!$B$11:$B$310)+COUNTA(条幅4分の1!$B$11:$B$310),INDEX(条幅4分の1!$D$11:$D$310,791-COUNTA(半紙!$B$11:$B$310)-COUNTA(条幅!$B$11:$B$310)),""))))</f>
        <v/>
      </c>
      <c r="E796" s="38" t="str">
        <f>IF(IF(791&lt;=COUNTA(半紙!$B$11:$B$310),INDEX(半紙!$E$11:$E$310,791),IF(791&lt;=COUNTA(半紙!$B$11:$B$310)+COUNTA(条幅!$B$11:$B$310),INDEX(条幅!$E$11:$E$310,791-COUNTA(半紙!$B$11:$B$310)),IF(791&lt;=COUNTA(半紙!$B$11:$B$310)+COUNTA(条幅!$B$11:$B$310)+COUNTA(条幅4分の1!$B$11:$B$310),INDEX(条幅4分の1!$E$11:$E$310,791-COUNTA(半紙!$B$11:$B$310)-COUNTA(条幅!$B$11:$B$310)),"")))=0,"",IF(791&lt;=COUNTA(半紙!$B$11:$B$310),INDEX(半紙!$E$11:$E$310,791),IF(791&lt;=COUNTA(半紙!$B$11:$B$310)+COUNTA(条幅!$B$11:$B$310),INDEX(条幅!$E$11:$E$310,791-COUNTA(半紙!$B$11:$B$310)),IF(791&lt;=COUNTA(半紙!$B$11:$B$310)+COUNTA(条幅!$B$11:$B$310)+COUNTA(条幅4分の1!$B$11:$B$310),INDEX(条幅4分の1!$E$11:$E$310,791-COUNTA(半紙!$B$11:$B$310)-COUNTA(条幅!$B$11:$B$310)),""))))</f>
        <v/>
      </c>
      <c r="F796" s="38" t="str">
        <f>IF(IF(791&lt;=COUNTA(半紙!$B$11:$B$310),INDEX(半紙!$F$11:$F$310,791),IF(791&lt;=COUNTA(半紙!$B$11:$B$310)+COUNTA(条幅!$B$11:$B$310),INDEX(条幅!$F$11:$F$310,791-COUNTA(半紙!$B$11:$B$310)),IF(791&lt;=COUNTA(半紙!$B$11:$B$310)+COUNTA(条幅!$B$11:$B$310)+COUNTA(条幅4分の1!$B$11:$B$310),INDEX(条幅4分の1!$F$11:$F$310,791-COUNTA(半紙!$B$11:$B$310)-COUNTA(条幅!$B$11:$B$310)),"")))=0,"",IF(791&lt;=COUNTA(半紙!$B$11:$B$310),INDEX(半紙!$F$11:$F$310,791),IF(791&lt;=COUNTA(半紙!$B$11:$B$310)+COUNTA(条幅!$B$11:$B$310),INDEX(条幅!$F$11:$F$310,791-COUNTA(半紙!$B$11:$B$310)),IF(791&lt;=COUNTA(半紙!$B$11:$B$310)+COUNTA(条幅!$B$11:$B$310)+COUNTA(条幅4分の1!$B$11:$B$310),INDEX(条幅4分の1!$F$11:$F$310,791-COUNTA(半紙!$B$11:$B$310)-COUNTA(条幅!$B$11:$B$310)),""))))</f>
        <v/>
      </c>
      <c r="G796" s="38" t="str">
        <f>IF(IF(791&lt;=COUNTA(半紙!$B$11:$B$310),INDEX(半紙!$G$11:$G$310,791),IF(791&lt;=COUNTA(半紙!$B$11:$B$310)+COUNTA(条幅!$B$11:$B$310),INDEX(条幅!$G$11:$G$310,791-COUNTA(半紙!$B$11:$B$310)),IF(791&lt;=COUNTA(半紙!$B$11:$B$310)+COUNTA(条幅!$B$11:$B$310)+COUNTA(条幅4分の1!$B$11:$B$310),INDEX(条幅4分の1!$G$11:$G$310,791-COUNTA(半紙!$B$11:$B$310)-COUNTA(条幅!$B$11:$B$310)),"")))=0,"",IF(791&lt;=COUNTA(半紙!$B$11:$B$310),INDEX(半紙!$G$11:$G$310,791),IF(791&lt;=COUNTA(半紙!$B$11:$B$310)+COUNTA(条幅!$B$11:$B$310),INDEX(条幅!$G$11:$G$310,791-COUNTA(半紙!$B$11:$B$310)),IF(791&lt;=COUNTA(半紙!$B$11:$B$310)+COUNTA(条幅!$B$11:$B$310)+COUNTA(条幅4分の1!$B$11:$B$310),INDEX(条幅4分の1!$G$11:$G$310,791-COUNTA(半紙!$B$11:$B$310)-COUNTA(条幅!$B$11:$B$310)),""))))</f>
        <v/>
      </c>
      <c r="H796" s="38" t="str">
        <f>IF(IF(791&lt;=COUNTA(半紙!$B$11:$B$310),INDEX(半紙!$H$11:$H$310,791),IF(791&lt;=COUNTA(半紙!$B$11:$B$310)+COUNTA(条幅!$B$11:$B$310),INDEX(条幅!$H$11:$H$310,791-COUNTA(半紙!$B$11:$B$310)),IF(791&lt;=COUNTA(半紙!$B$11:$B$310)+COUNTA(条幅!$B$11:$B$310)+COUNTA(条幅4分の1!$B$11:$B$310),INDEX(条幅4分の1!$H$11:$H$310,791-COUNTA(半紙!$B$11:$B$310)-COUNTA(条幅!$B$11:$B$310)),"")))=0,"",IF(791&lt;=COUNTA(半紙!$B$11:$B$310),INDEX(半紙!$H$11:$H$310,791),IF(791&lt;=COUNTA(半紙!$B$11:$B$310)+COUNTA(条幅!$B$11:$B$310),INDEX(条幅!$H$11:$H$310,791-COUNTA(半紙!$B$11:$B$310)),IF(791&lt;=COUNTA(半紙!$B$11:$B$310)+COUNTA(条幅!$B$11:$B$310)+COUNTA(条幅4分の1!$B$11:$B$310),INDEX(条幅4分の1!$H$11:$H$310,791-COUNTA(半紙!$B$11:$B$310)-COUNTA(条幅!$B$11:$B$310)),""))))</f>
        <v/>
      </c>
      <c r="I796" s="38" t="str">
        <f>IF(IF(791&lt;=COUNTA(半紙!$B$11:$B$310),INDEX(半紙!$I$11:$I$310,791),IF(791&lt;=COUNTA(半紙!$B$11:$B$310)+COUNTA(条幅!$B$11:$B$310),INDEX(条幅!$I$11:$I$310,791-COUNTA(半紙!$B$11:$B$310)),IF(791&lt;=COUNTA(半紙!$B$11:$B$310)+COUNTA(条幅!$B$11:$B$310)+COUNTA(条幅4分の1!$B$11:$B$310),INDEX(条幅4分の1!$I$11:$I$310,791-COUNTA(半紙!$B$11:$B$310)-COUNTA(条幅!$B$11:$B$310)),"")))=0,"",IF(791&lt;=COUNTA(半紙!$B$11:$B$310),INDEX(半紙!$I$11:$I$310,791),IF(791&lt;=COUNTA(半紙!$B$11:$B$310)+COUNTA(条幅!$B$11:$B$310),INDEX(条幅!$I$11:$I$310,791-COUNTA(半紙!$B$11:$B$310)),IF(791&lt;=COUNTA(半紙!$B$11:$B$310)+COUNTA(条幅!$B$11:$B$310)+COUNTA(条幅4分の1!$B$11:$B$310),INDEX(条幅4分の1!$I$11:$I$310,791-COUNTA(半紙!$B$11:$B$310)-COUNTA(条幅!$B$11:$B$310)),""))))</f>
        <v/>
      </c>
      <c r="J796" s="38" t="str">
        <f>IF(IF(791&lt;=COUNTA(半紙!$B$11:$B$310),INDEX(半紙!$J$11:$J$310,791),IF(791&lt;=COUNTA(半紙!$B$11:$B$310)+COUNTA(条幅!$B$11:$B$310),INDEX(条幅!$J$11:$J$310,791-COUNTA(半紙!$B$11:$B$310)),IF(791&lt;=COUNTA(半紙!$B$11:$B$310)+COUNTA(条幅!$B$11:$B$310)+COUNTA(条幅4分の1!$B$11:$B$310),INDEX(条幅4分の1!$J$11:$J$310,791-COUNTA(半紙!$B$11:$B$310)-COUNTA(条幅!$B$11:$B$310)),"")))=0,"",IF(791&lt;=COUNTA(半紙!$B$11:$B$310),INDEX(半紙!$J$11:$J$310,791),IF(791&lt;=COUNTA(半紙!$B$11:$B$310)+COUNTA(条幅!$B$11:$B$310),INDEX(条幅!$J$11:$J$310,791-COUNTA(半紙!$B$11:$B$310)),IF(791&lt;=COUNTA(半紙!$B$11:$B$310)+COUNTA(条幅!$B$11:$B$310)+COUNTA(条幅4分の1!$B$11:$B$310),INDEX(条幅4分の1!$J$11:$J$310,791-COUNTA(半紙!$B$11:$B$310)-COUNTA(条幅!$B$11:$B$310)),""))))</f>
        <v/>
      </c>
      <c r="K796" s="38" t="str">
        <f>IF(IF(791&lt;=COUNTA(半紙!$B$11:$B$310),INDEX(半紙!$K$11:$K$310,791),IF(791&lt;=COUNTA(半紙!$B$11:$B$310)+COUNTA(条幅!$B$11:$B$310),INDEX(条幅!$K$11:$K$310,791-COUNTA(半紙!$B$11:$B$310)),IF(791&lt;=COUNTA(半紙!$B$11:$B$310)+COUNTA(条幅!$B$11:$B$310)+COUNTA(条幅4分の1!$B$11:$B$310),INDEX(条幅4分の1!$K$11:$K$310,791-COUNTA(半紙!$B$11:$B$310)-COUNTA(条幅!$B$11:$B$310)),"")))=0,"",IF(791&lt;=COUNTA(半紙!$B$11:$B$310),INDEX(半紙!$K$11:$K$310,791),IF(791&lt;=COUNTA(半紙!$B$11:$B$310)+COUNTA(条幅!$B$11:$B$310),INDEX(条幅!$K$11:$K$310,791-COUNTA(半紙!$B$11:$B$310)),IF(791&lt;=COUNTA(半紙!$B$11:$B$310)+COUNTA(条幅!$B$11:$B$310)+COUNTA(条幅4分の1!$B$11:$B$310),INDEX(条幅4分の1!$K$11:$K$310,791-COUNTA(半紙!$B$11:$B$310)-COUNTA(条幅!$B$11:$B$310)),""))))</f>
        <v/>
      </c>
      <c r="L796" s="48" t="str">
        <f>IF($B796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791))</f>
        <v/>
      </c>
    </row>
    <row r="797" spans="1:12" ht="15" customHeight="1">
      <c r="A797" s="37" t="str">
        <f>IF(792&lt;=COUNTA(半紙!$B$11:$B$310),"半紙",IF(792&lt;=COUNTA(半紙!$B$11:$B$310)+COUNTA(条幅!$B$11:$B$310),"条幅(半切)",IF(792&lt;=COUNTA(半紙!$B$11:$B$310)+COUNTA(条幅!$B$11:$B$310)+COUNTA(条幅4分の1!$B$11:$B$310),"条幅(1/4)","")))</f>
        <v/>
      </c>
      <c r="B797" s="38" t="str">
        <f>IF(IF(792&lt;=COUNTA(半紙!$B$11:$B$310),INDEX(半紙!$B$11:$B$310,792),IF(792&lt;=COUNTA(半紙!$B$11:$B$310)+COUNTA(条幅!$B$11:$B$310),INDEX(条幅!$B$11:$B$310,792-COUNTA(半紙!$B$11:$B$310)),IF(792&lt;=COUNTA(半紙!$B$11:$B$310)+COUNTA(条幅!$B$11:$B$310)+COUNTA(条幅4分の1!$B$11:$B$310),INDEX(条幅4分の1!$B$11:$B$310,792-COUNTA(半紙!$B$11:$B$310)-COUNTA(条幅!$B$11:$B$310)),"")))=0,"",IF(792&lt;=COUNTA(半紙!$B$11:$B$310),INDEX(半紙!$B$11:$B$310,792),IF(792&lt;=COUNTA(半紙!$B$11:$B$310)+COUNTA(条幅!$B$11:$B$310),INDEX(条幅!$B$11:$B$310,792-COUNTA(半紙!$B$11:$B$310)),IF(792&lt;=COUNTA(半紙!$B$11:$B$310)+COUNTA(条幅!$B$11:$B$310)+COUNTA(条幅4分の1!$B$11:$B$310),INDEX(条幅4分の1!$B$11:$B$310,792-COUNTA(半紙!$B$11:$B$310)-COUNTA(条幅!$B$11:$B$310)),""))))</f>
        <v/>
      </c>
      <c r="C797" s="38" t="str">
        <f>IF(IF(792&lt;=COUNTA(半紙!$B$11:$B$310),INDEX(半紙!$C$11:$C$310,792),IF(792&lt;=COUNTA(半紙!$B$11:$B$310)+COUNTA(条幅!$B$11:$B$310),INDEX(条幅!$C$11:$C$310,792-COUNTA(半紙!$B$11:$B$310)),IF(792&lt;=COUNTA(半紙!$B$11:$B$310)+COUNTA(条幅!$B$11:$B$310)+COUNTA(条幅4分の1!$B$11:$B$310),INDEX(条幅4分の1!$C$11:$C$310,792-COUNTA(半紙!$B$11:$B$310)-COUNTA(条幅!$B$11:$B$310)),"")))=0,"",IF(792&lt;=COUNTA(半紙!$B$11:$B$310),INDEX(半紙!$C$11:$C$310,792),IF(792&lt;=COUNTA(半紙!$B$11:$B$310)+COUNTA(条幅!$B$11:$B$310),INDEX(条幅!$C$11:$C$310,792-COUNTA(半紙!$B$11:$B$310)),IF(792&lt;=COUNTA(半紙!$B$11:$B$310)+COUNTA(条幅!$B$11:$B$310)+COUNTA(条幅4分の1!$B$11:$B$310),INDEX(条幅4分の1!$C$11:$C$310,792-COUNTA(半紙!$B$11:$B$310)-COUNTA(条幅!$B$11:$B$310)),""))))</f>
        <v/>
      </c>
      <c r="D797" s="38" t="str">
        <f>IF(IF(792&lt;=COUNTA(半紙!$B$11:$B$310),INDEX(半紙!$D$11:$D$310,792),IF(792&lt;=COUNTA(半紙!$B$11:$B$310)+COUNTA(条幅!$B$11:$B$310),INDEX(条幅!$D$11:$D$310,792-COUNTA(半紙!$B$11:$B$310)),IF(792&lt;=COUNTA(半紙!$B$11:$B$310)+COUNTA(条幅!$B$11:$B$310)+COUNTA(条幅4分の1!$B$11:$B$310),INDEX(条幅4分の1!$D$11:$D$310,792-COUNTA(半紙!$B$11:$B$310)-COUNTA(条幅!$B$11:$B$310)),"")))=0,"",IF(792&lt;=COUNTA(半紙!$B$11:$B$310),INDEX(半紙!$D$11:$D$310,792),IF(792&lt;=COUNTA(半紙!$B$11:$B$310)+COUNTA(条幅!$B$11:$B$310),INDEX(条幅!$D$11:$D$310,792-COUNTA(半紙!$B$11:$B$310)),IF(792&lt;=COUNTA(半紙!$B$11:$B$310)+COUNTA(条幅!$B$11:$B$310)+COUNTA(条幅4分の1!$B$11:$B$310),INDEX(条幅4分の1!$D$11:$D$310,792-COUNTA(半紙!$B$11:$B$310)-COUNTA(条幅!$B$11:$B$310)),""))))</f>
        <v/>
      </c>
      <c r="E797" s="38" t="str">
        <f>IF(IF(792&lt;=COUNTA(半紙!$B$11:$B$310),INDEX(半紙!$E$11:$E$310,792),IF(792&lt;=COUNTA(半紙!$B$11:$B$310)+COUNTA(条幅!$B$11:$B$310),INDEX(条幅!$E$11:$E$310,792-COUNTA(半紙!$B$11:$B$310)),IF(792&lt;=COUNTA(半紙!$B$11:$B$310)+COUNTA(条幅!$B$11:$B$310)+COUNTA(条幅4分の1!$B$11:$B$310),INDEX(条幅4分の1!$E$11:$E$310,792-COUNTA(半紙!$B$11:$B$310)-COUNTA(条幅!$B$11:$B$310)),"")))=0,"",IF(792&lt;=COUNTA(半紙!$B$11:$B$310),INDEX(半紙!$E$11:$E$310,792),IF(792&lt;=COUNTA(半紙!$B$11:$B$310)+COUNTA(条幅!$B$11:$B$310),INDEX(条幅!$E$11:$E$310,792-COUNTA(半紙!$B$11:$B$310)),IF(792&lt;=COUNTA(半紙!$B$11:$B$310)+COUNTA(条幅!$B$11:$B$310)+COUNTA(条幅4分の1!$B$11:$B$310),INDEX(条幅4分の1!$E$11:$E$310,792-COUNTA(半紙!$B$11:$B$310)-COUNTA(条幅!$B$11:$B$310)),""))))</f>
        <v/>
      </c>
      <c r="F797" s="38" t="str">
        <f>IF(IF(792&lt;=COUNTA(半紙!$B$11:$B$310),INDEX(半紙!$F$11:$F$310,792),IF(792&lt;=COUNTA(半紙!$B$11:$B$310)+COUNTA(条幅!$B$11:$B$310),INDEX(条幅!$F$11:$F$310,792-COUNTA(半紙!$B$11:$B$310)),IF(792&lt;=COUNTA(半紙!$B$11:$B$310)+COUNTA(条幅!$B$11:$B$310)+COUNTA(条幅4分の1!$B$11:$B$310),INDEX(条幅4分の1!$F$11:$F$310,792-COUNTA(半紙!$B$11:$B$310)-COUNTA(条幅!$B$11:$B$310)),"")))=0,"",IF(792&lt;=COUNTA(半紙!$B$11:$B$310),INDEX(半紙!$F$11:$F$310,792),IF(792&lt;=COUNTA(半紙!$B$11:$B$310)+COUNTA(条幅!$B$11:$B$310),INDEX(条幅!$F$11:$F$310,792-COUNTA(半紙!$B$11:$B$310)),IF(792&lt;=COUNTA(半紙!$B$11:$B$310)+COUNTA(条幅!$B$11:$B$310)+COUNTA(条幅4分の1!$B$11:$B$310),INDEX(条幅4分の1!$F$11:$F$310,792-COUNTA(半紙!$B$11:$B$310)-COUNTA(条幅!$B$11:$B$310)),""))))</f>
        <v/>
      </c>
      <c r="G797" s="38" t="str">
        <f>IF(IF(792&lt;=COUNTA(半紙!$B$11:$B$310),INDEX(半紙!$G$11:$G$310,792),IF(792&lt;=COUNTA(半紙!$B$11:$B$310)+COUNTA(条幅!$B$11:$B$310),INDEX(条幅!$G$11:$G$310,792-COUNTA(半紙!$B$11:$B$310)),IF(792&lt;=COUNTA(半紙!$B$11:$B$310)+COUNTA(条幅!$B$11:$B$310)+COUNTA(条幅4分の1!$B$11:$B$310),INDEX(条幅4分の1!$G$11:$G$310,792-COUNTA(半紙!$B$11:$B$310)-COUNTA(条幅!$B$11:$B$310)),"")))=0,"",IF(792&lt;=COUNTA(半紙!$B$11:$B$310),INDEX(半紙!$G$11:$G$310,792),IF(792&lt;=COUNTA(半紙!$B$11:$B$310)+COUNTA(条幅!$B$11:$B$310),INDEX(条幅!$G$11:$G$310,792-COUNTA(半紙!$B$11:$B$310)),IF(792&lt;=COUNTA(半紙!$B$11:$B$310)+COUNTA(条幅!$B$11:$B$310)+COUNTA(条幅4分の1!$B$11:$B$310),INDEX(条幅4分の1!$G$11:$G$310,792-COUNTA(半紙!$B$11:$B$310)-COUNTA(条幅!$B$11:$B$310)),""))))</f>
        <v/>
      </c>
      <c r="H797" s="38" t="str">
        <f>IF(IF(792&lt;=COUNTA(半紙!$B$11:$B$310),INDEX(半紙!$H$11:$H$310,792),IF(792&lt;=COUNTA(半紙!$B$11:$B$310)+COUNTA(条幅!$B$11:$B$310),INDEX(条幅!$H$11:$H$310,792-COUNTA(半紙!$B$11:$B$310)),IF(792&lt;=COUNTA(半紙!$B$11:$B$310)+COUNTA(条幅!$B$11:$B$310)+COUNTA(条幅4分の1!$B$11:$B$310),INDEX(条幅4分の1!$H$11:$H$310,792-COUNTA(半紙!$B$11:$B$310)-COUNTA(条幅!$B$11:$B$310)),"")))=0,"",IF(792&lt;=COUNTA(半紙!$B$11:$B$310),INDEX(半紙!$H$11:$H$310,792),IF(792&lt;=COUNTA(半紙!$B$11:$B$310)+COUNTA(条幅!$B$11:$B$310),INDEX(条幅!$H$11:$H$310,792-COUNTA(半紙!$B$11:$B$310)),IF(792&lt;=COUNTA(半紙!$B$11:$B$310)+COUNTA(条幅!$B$11:$B$310)+COUNTA(条幅4分の1!$B$11:$B$310),INDEX(条幅4分の1!$H$11:$H$310,792-COUNTA(半紙!$B$11:$B$310)-COUNTA(条幅!$B$11:$B$310)),""))))</f>
        <v/>
      </c>
      <c r="I797" s="38" t="str">
        <f>IF(IF(792&lt;=COUNTA(半紙!$B$11:$B$310),INDEX(半紙!$I$11:$I$310,792),IF(792&lt;=COUNTA(半紙!$B$11:$B$310)+COUNTA(条幅!$B$11:$B$310),INDEX(条幅!$I$11:$I$310,792-COUNTA(半紙!$B$11:$B$310)),IF(792&lt;=COUNTA(半紙!$B$11:$B$310)+COUNTA(条幅!$B$11:$B$310)+COUNTA(条幅4分の1!$B$11:$B$310),INDEX(条幅4分の1!$I$11:$I$310,792-COUNTA(半紙!$B$11:$B$310)-COUNTA(条幅!$B$11:$B$310)),"")))=0,"",IF(792&lt;=COUNTA(半紙!$B$11:$B$310),INDEX(半紙!$I$11:$I$310,792),IF(792&lt;=COUNTA(半紙!$B$11:$B$310)+COUNTA(条幅!$B$11:$B$310),INDEX(条幅!$I$11:$I$310,792-COUNTA(半紙!$B$11:$B$310)),IF(792&lt;=COUNTA(半紙!$B$11:$B$310)+COUNTA(条幅!$B$11:$B$310)+COUNTA(条幅4分の1!$B$11:$B$310),INDEX(条幅4分の1!$I$11:$I$310,792-COUNTA(半紙!$B$11:$B$310)-COUNTA(条幅!$B$11:$B$310)),""))))</f>
        <v/>
      </c>
      <c r="J797" s="38" t="str">
        <f>IF(IF(792&lt;=COUNTA(半紙!$B$11:$B$310),INDEX(半紙!$J$11:$J$310,792),IF(792&lt;=COUNTA(半紙!$B$11:$B$310)+COUNTA(条幅!$B$11:$B$310),INDEX(条幅!$J$11:$J$310,792-COUNTA(半紙!$B$11:$B$310)),IF(792&lt;=COUNTA(半紙!$B$11:$B$310)+COUNTA(条幅!$B$11:$B$310)+COUNTA(条幅4分の1!$B$11:$B$310),INDEX(条幅4分の1!$J$11:$J$310,792-COUNTA(半紙!$B$11:$B$310)-COUNTA(条幅!$B$11:$B$310)),"")))=0,"",IF(792&lt;=COUNTA(半紙!$B$11:$B$310),INDEX(半紙!$J$11:$J$310,792),IF(792&lt;=COUNTA(半紙!$B$11:$B$310)+COUNTA(条幅!$B$11:$B$310),INDEX(条幅!$J$11:$J$310,792-COUNTA(半紙!$B$11:$B$310)),IF(792&lt;=COUNTA(半紙!$B$11:$B$310)+COUNTA(条幅!$B$11:$B$310)+COUNTA(条幅4分の1!$B$11:$B$310),INDEX(条幅4分の1!$J$11:$J$310,792-COUNTA(半紙!$B$11:$B$310)-COUNTA(条幅!$B$11:$B$310)),""))))</f>
        <v/>
      </c>
      <c r="K797" s="38" t="str">
        <f>IF(IF(792&lt;=COUNTA(半紙!$B$11:$B$310),INDEX(半紙!$K$11:$K$310,792),IF(792&lt;=COUNTA(半紙!$B$11:$B$310)+COUNTA(条幅!$B$11:$B$310),INDEX(条幅!$K$11:$K$310,792-COUNTA(半紙!$B$11:$B$310)),IF(792&lt;=COUNTA(半紙!$B$11:$B$310)+COUNTA(条幅!$B$11:$B$310)+COUNTA(条幅4分の1!$B$11:$B$310),INDEX(条幅4分の1!$K$11:$K$310,792-COUNTA(半紙!$B$11:$B$310)-COUNTA(条幅!$B$11:$B$310)),"")))=0,"",IF(792&lt;=COUNTA(半紙!$B$11:$B$310),INDEX(半紙!$K$11:$K$310,792),IF(792&lt;=COUNTA(半紙!$B$11:$B$310)+COUNTA(条幅!$B$11:$B$310),INDEX(条幅!$K$11:$K$310,792-COUNTA(半紙!$B$11:$B$310)),IF(792&lt;=COUNTA(半紙!$B$11:$B$310)+COUNTA(条幅!$B$11:$B$310)+COUNTA(条幅4分の1!$B$11:$B$310),INDEX(条幅4分の1!$K$11:$K$310,792-COUNTA(半紙!$B$11:$B$310)-COUNTA(条幅!$B$11:$B$310)),""))))</f>
        <v/>
      </c>
      <c r="L797" s="48" t="str">
        <f>IF($B797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792))</f>
        <v/>
      </c>
    </row>
    <row r="798" spans="1:12" ht="15" customHeight="1">
      <c r="A798" s="37" t="str">
        <f>IF(793&lt;=COUNTA(半紙!$B$11:$B$310),"半紙",IF(793&lt;=COUNTA(半紙!$B$11:$B$310)+COUNTA(条幅!$B$11:$B$310),"条幅(半切)",IF(793&lt;=COUNTA(半紙!$B$11:$B$310)+COUNTA(条幅!$B$11:$B$310)+COUNTA(条幅4分の1!$B$11:$B$310),"条幅(1/4)","")))</f>
        <v/>
      </c>
      <c r="B798" s="38" t="str">
        <f>IF(IF(793&lt;=COUNTA(半紙!$B$11:$B$310),INDEX(半紙!$B$11:$B$310,793),IF(793&lt;=COUNTA(半紙!$B$11:$B$310)+COUNTA(条幅!$B$11:$B$310),INDEX(条幅!$B$11:$B$310,793-COUNTA(半紙!$B$11:$B$310)),IF(793&lt;=COUNTA(半紙!$B$11:$B$310)+COUNTA(条幅!$B$11:$B$310)+COUNTA(条幅4分の1!$B$11:$B$310),INDEX(条幅4分の1!$B$11:$B$310,793-COUNTA(半紙!$B$11:$B$310)-COUNTA(条幅!$B$11:$B$310)),"")))=0,"",IF(793&lt;=COUNTA(半紙!$B$11:$B$310),INDEX(半紙!$B$11:$B$310,793),IF(793&lt;=COUNTA(半紙!$B$11:$B$310)+COUNTA(条幅!$B$11:$B$310),INDEX(条幅!$B$11:$B$310,793-COUNTA(半紙!$B$11:$B$310)),IF(793&lt;=COUNTA(半紙!$B$11:$B$310)+COUNTA(条幅!$B$11:$B$310)+COUNTA(条幅4分の1!$B$11:$B$310),INDEX(条幅4分の1!$B$11:$B$310,793-COUNTA(半紙!$B$11:$B$310)-COUNTA(条幅!$B$11:$B$310)),""))))</f>
        <v/>
      </c>
      <c r="C798" s="38" t="str">
        <f>IF(IF(793&lt;=COUNTA(半紙!$B$11:$B$310),INDEX(半紙!$C$11:$C$310,793),IF(793&lt;=COUNTA(半紙!$B$11:$B$310)+COUNTA(条幅!$B$11:$B$310),INDEX(条幅!$C$11:$C$310,793-COUNTA(半紙!$B$11:$B$310)),IF(793&lt;=COUNTA(半紙!$B$11:$B$310)+COUNTA(条幅!$B$11:$B$310)+COUNTA(条幅4分の1!$B$11:$B$310),INDEX(条幅4分の1!$C$11:$C$310,793-COUNTA(半紙!$B$11:$B$310)-COUNTA(条幅!$B$11:$B$310)),"")))=0,"",IF(793&lt;=COUNTA(半紙!$B$11:$B$310),INDEX(半紙!$C$11:$C$310,793),IF(793&lt;=COUNTA(半紙!$B$11:$B$310)+COUNTA(条幅!$B$11:$B$310),INDEX(条幅!$C$11:$C$310,793-COUNTA(半紙!$B$11:$B$310)),IF(793&lt;=COUNTA(半紙!$B$11:$B$310)+COUNTA(条幅!$B$11:$B$310)+COUNTA(条幅4分の1!$B$11:$B$310),INDEX(条幅4分の1!$C$11:$C$310,793-COUNTA(半紙!$B$11:$B$310)-COUNTA(条幅!$B$11:$B$310)),""))))</f>
        <v/>
      </c>
      <c r="D798" s="38" t="str">
        <f>IF(IF(793&lt;=COUNTA(半紙!$B$11:$B$310),INDEX(半紙!$D$11:$D$310,793),IF(793&lt;=COUNTA(半紙!$B$11:$B$310)+COUNTA(条幅!$B$11:$B$310),INDEX(条幅!$D$11:$D$310,793-COUNTA(半紙!$B$11:$B$310)),IF(793&lt;=COUNTA(半紙!$B$11:$B$310)+COUNTA(条幅!$B$11:$B$310)+COUNTA(条幅4分の1!$B$11:$B$310),INDEX(条幅4分の1!$D$11:$D$310,793-COUNTA(半紙!$B$11:$B$310)-COUNTA(条幅!$B$11:$B$310)),"")))=0,"",IF(793&lt;=COUNTA(半紙!$B$11:$B$310),INDEX(半紙!$D$11:$D$310,793),IF(793&lt;=COUNTA(半紙!$B$11:$B$310)+COUNTA(条幅!$B$11:$B$310),INDEX(条幅!$D$11:$D$310,793-COUNTA(半紙!$B$11:$B$310)),IF(793&lt;=COUNTA(半紙!$B$11:$B$310)+COUNTA(条幅!$B$11:$B$310)+COUNTA(条幅4分の1!$B$11:$B$310),INDEX(条幅4分の1!$D$11:$D$310,793-COUNTA(半紙!$B$11:$B$310)-COUNTA(条幅!$B$11:$B$310)),""))))</f>
        <v/>
      </c>
      <c r="E798" s="38" t="str">
        <f>IF(IF(793&lt;=COUNTA(半紙!$B$11:$B$310),INDEX(半紙!$E$11:$E$310,793),IF(793&lt;=COUNTA(半紙!$B$11:$B$310)+COUNTA(条幅!$B$11:$B$310),INDEX(条幅!$E$11:$E$310,793-COUNTA(半紙!$B$11:$B$310)),IF(793&lt;=COUNTA(半紙!$B$11:$B$310)+COUNTA(条幅!$B$11:$B$310)+COUNTA(条幅4分の1!$B$11:$B$310),INDEX(条幅4分の1!$E$11:$E$310,793-COUNTA(半紙!$B$11:$B$310)-COUNTA(条幅!$B$11:$B$310)),"")))=0,"",IF(793&lt;=COUNTA(半紙!$B$11:$B$310),INDEX(半紙!$E$11:$E$310,793),IF(793&lt;=COUNTA(半紙!$B$11:$B$310)+COUNTA(条幅!$B$11:$B$310),INDEX(条幅!$E$11:$E$310,793-COUNTA(半紙!$B$11:$B$310)),IF(793&lt;=COUNTA(半紙!$B$11:$B$310)+COUNTA(条幅!$B$11:$B$310)+COUNTA(条幅4分の1!$B$11:$B$310),INDEX(条幅4分の1!$E$11:$E$310,793-COUNTA(半紙!$B$11:$B$310)-COUNTA(条幅!$B$11:$B$310)),""))))</f>
        <v/>
      </c>
      <c r="F798" s="38" t="str">
        <f>IF(IF(793&lt;=COUNTA(半紙!$B$11:$B$310),INDEX(半紙!$F$11:$F$310,793),IF(793&lt;=COUNTA(半紙!$B$11:$B$310)+COUNTA(条幅!$B$11:$B$310),INDEX(条幅!$F$11:$F$310,793-COUNTA(半紙!$B$11:$B$310)),IF(793&lt;=COUNTA(半紙!$B$11:$B$310)+COUNTA(条幅!$B$11:$B$310)+COUNTA(条幅4分の1!$B$11:$B$310),INDEX(条幅4分の1!$F$11:$F$310,793-COUNTA(半紙!$B$11:$B$310)-COUNTA(条幅!$B$11:$B$310)),"")))=0,"",IF(793&lt;=COUNTA(半紙!$B$11:$B$310),INDEX(半紙!$F$11:$F$310,793),IF(793&lt;=COUNTA(半紙!$B$11:$B$310)+COUNTA(条幅!$B$11:$B$310),INDEX(条幅!$F$11:$F$310,793-COUNTA(半紙!$B$11:$B$310)),IF(793&lt;=COUNTA(半紙!$B$11:$B$310)+COUNTA(条幅!$B$11:$B$310)+COUNTA(条幅4分の1!$B$11:$B$310),INDEX(条幅4分の1!$F$11:$F$310,793-COUNTA(半紙!$B$11:$B$310)-COUNTA(条幅!$B$11:$B$310)),""))))</f>
        <v/>
      </c>
      <c r="G798" s="38" t="str">
        <f>IF(IF(793&lt;=COUNTA(半紙!$B$11:$B$310),INDEX(半紙!$G$11:$G$310,793),IF(793&lt;=COUNTA(半紙!$B$11:$B$310)+COUNTA(条幅!$B$11:$B$310),INDEX(条幅!$G$11:$G$310,793-COUNTA(半紙!$B$11:$B$310)),IF(793&lt;=COUNTA(半紙!$B$11:$B$310)+COUNTA(条幅!$B$11:$B$310)+COUNTA(条幅4分の1!$B$11:$B$310),INDEX(条幅4分の1!$G$11:$G$310,793-COUNTA(半紙!$B$11:$B$310)-COUNTA(条幅!$B$11:$B$310)),"")))=0,"",IF(793&lt;=COUNTA(半紙!$B$11:$B$310),INDEX(半紙!$G$11:$G$310,793),IF(793&lt;=COUNTA(半紙!$B$11:$B$310)+COUNTA(条幅!$B$11:$B$310),INDEX(条幅!$G$11:$G$310,793-COUNTA(半紙!$B$11:$B$310)),IF(793&lt;=COUNTA(半紙!$B$11:$B$310)+COUNTA(条幅!$B$11:$B$310)+COUNTA(条幅4分の1!$B$11:$B$310),INDEX(条幅4分の1!$G$11:$G$310,793-COUNTA(半紙!$B$11:$B$310)-COUNTA(条幅!$B$11:$B$310)),""))))</f>
        <v/>
      </c>
      <c r="H798" s="38" t="str">
        <f>IF(IF(793&lt;=COUNTA(半紙!$B$11:$B$310),INDEX(半紙!$H$11:$H$310,793),IF(793&lt;=COUNTA(半紙!$B$11:$B$310)+COUNTA(条幅!$B$11:$B$310),INDEX(条幅!$H$11:$H$310,793-COUNTA(半紙!$B$11:$B$310)),IF(793&lt;=COUNTA(半紙!$B$11:$B$310)+COUNTA(条幅!$B$11:$B$310)+COUNTA(条幅4分の1!$B$11:$B$310),INDEX(条幅4分の1!$H$11:$H$310,793-COUNTA(半紙!$B$11:$B$310)-COUNTA(条幅!$B$11:$B$310)),"")))=0,"",IF(793&lt;=COUNTA(半紙!$B$11:$B$310),INDEX(半紙!$H$11:$H$310,793),IF(793&lt;=COUNTA(半紙!$B$11:$B$310)+COUNTA(条幅!$B$11:$B$310),INDEX(条幅!$H$11:$H$310,793-COUNTA(半紙!$B$11:$B$310)),IF(793&lt;=COUNTA(半紙!$B$11:$B$310)+COUNTA(条幅!$B$11:$B$310)+COUNTA(条幅4分の1!$B$11:$B$310),INDEX(条幅4分の1!$H$11:$H$310,793-COUNTA(半紙!$B$11:$B$310)-COUNTA(条幅!$B$11:$B$310)),""))))</f>
        <v/>
      </c>
      <c r="I798" s="38" t="str">
        <f>IF(IF(793&lt;=COUNTA(半紙!$B$11:$B$310),INDEX(半紙!$I$11:$I$310,793),IF(793&lt;=COUNTA(半紙!$B$11:$B$310)+COUNTA(条幅!$B$11:$B$310),INDEX(条幅!$I$11:$I$310,793-COUNTA(半紙!$B$11:$B$310)),IF(793&lt;=COUNTA(半紙!$B$11:$B$310)+COUNTA(条幅!$B$11:$B$310)+COUNTA(条幅4分の1!$B$11:$B$310),INDEX(条幅4分の1!$I$11:$I$310,793-COUNTA(半紙!$B$11:$B$310)-COUNTA(条幅!$B$11:$B$310)),"")))=0,"",IF(793&lt;=COUNTA(半紙!$B$11:$B$310),INDEX(半紙!$I$11:$I$310,793),IF(793&lt;=COUNTA(半紙!$B$11:$B$310)+COUNTA(条幅!$B$11:$B$310),INDEX(条幅!$I$11:$I$310,793-COUNTA(半紙!$B$11:$B$310)),IF(793&lt;=COUNTA(半紙!$B$11:$B$310)+COUNTA(条幅!$B$11:$B$310)+COUNTA(条幅4分の1!$B$11:$B$310),INDEX(条幅4分の1!$I$11:$I$310,793-COUNTA(半紙!$B$11:$B$310)-COUNTA(条幅!$B$11:$B$310)),""))))</f>
        <v/>
      </c>
      <c r="J798" s="38" t="str">
        <f>IF(IF(793&lt;=COUNTA(半紙!$B$11:$B$310),INDEX(半紙!$J$11:$J$310,793),IF(793&lt;=COUNTA(半紙!$B$11:$B$310)+COUNTA(条幅!$B$11:$B$310),INDEX(条幅!$J$11:$J$310,793-COUNTA(半紙!$B$11:$B$310)),IF(793&lt;=COUNTA(半紙!$B$11:$B$310)+COUNTA(条幅!$B$11:$B$310)+COUNTA(条幅4分の1!$B$11:$B$310),INDEX(条幅4分の1!$J$11:$J$310,793-COUNTA(半紙!$B$11:$B$310)-COUNTA(条幅!$B$11:$B$310)),"")))=0,"",IF(793&lt;=COUNTA(半紙!$B$11:$B$310),INDEX(半紙!$J$11:$J$310,793),IF(793&lt;=COUNTA(半紙!$B$11:$B$310)+COUNTA(条幅!$B$11:$B$310),INDEX(条幅!$J$11:$J$310,793-COUNTA(半紙!$B$11:$B$310)),IF(793&lt;=COUNTA(半紙!$B$11:$B$310)+COUNTA(条幅!$B$11:$B$310)+COUNTA(条幅4分の1!$B$11:$B$310),INDEX(条幅4分の1!$J$11:$J$310,793-COUNTA(半紙!$B$11:$B$310)-COUNTA(条幅!$B$11:$B$310)),""))))</f>
        <v/>
      </c>
      <c r="K798" s="38" t="str">
        <f>IF(IF(793&lt;=COUNTA(半紙!$B$11:$B$310),INDEX(半紙!$K$11:$K$310,793),IF(793&lt;=COUNTA(半紙!$B$11:$B$310)+COUNTA(条幅!$B$11:$B$310),INDEX(条幅!$K$11:$K$310,793-COUNTA(半紙!$B$11:$B$310)),IF(793&lt;=COUNTA(半紙!$B$11:$B$310)+COUNTA(条幅!$B$11:$B$310)+COUNTA(条幅4分の1!$B$11:$B$310),INDEX(条幅4分の1!$K$11:$K$310,793-COUNTA(半紙!$B$11:$B$310)-COUNTA(条幅!$B$11:$B$310)),"")))=0,"",IF(793&lt;=COUNTA(半紙!$B$11:$B$310),INDEX(半紙!$K$11:$K$310,793),IF(793&lt;=COUNTA(半紙!$B$11:$B$310)+COUNTA(条幅!$B$11:$B$310),INDEX(条幅!$K$11:$K$310,793-COUNTA(半紙!$B$11:$B$310)),IF(793&lt;=COUNTA(半紙!$B$11:$B$310)+COUNTA(条幅!$B$11:$B$310)+COUNTA(条幅4分の1!$B$11:$B$310),INDEX(条幅4分の1!$K$11:$K$310,793-COUNTA(半紙!$B$11:$B$310)-COUNTA(条幅!$B$11:$B$310)),""))))</f>
        <v/>
      </c>
      <c r="L798" s="48" t="str">
        <f>IF($B798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793))</f>
        <v/>
      </c>
    </row>
    <row r="799" spans="1:12" ht="15" customHeight="1">
      <c r="A799" s="37" t="str">
        <f>IF(794&lt;=COUNTA(半紙!$B$11:$B$310),"半紙",IF(794&lt;=COUNTA(半紙!$B$11:$B$310)+COUNTA(条幅!$B$11:$B$310),"条幅(半切)",IF(794&lt;=COUNTA(半紙!$B$11:$B$310)+COUNTA(条幅!$B$11:$B$310)+COUNTA(条幅4分の1!$B$11:$B$310),"条幅(1/4)","")))</f>
        <v/>
      </c>
      <c r="B799" s="38" t="str">
        <f>IF(IF(794&lt;=COUNTA(半紙!$B$11:$B$310),INDEX(半紙!$B$11:$B$310,794),IF(794&lt;=COUNTA(半紙!$B$11:$B$310)+COUNTA(条幅!$B$11:$B$310),INDEX(条幅!$B$11:$B$310,794-COUNTA(半紙!$B$11:$B$310)),IF(794&lt;=COUNTA(半紙!$B$11:$B$310)+COUNTA(条幅!$B$11:$B$310)+COUNTA(条幅4分の1!$B$11:$B$310),INDEX(条幅4分の1!$B$11:$B$310,794-COUNTA(半紙!$B$11:$B$310)-COUNTA(条幅!$B$11:$B$310)),"")))=0,"",IF(794&lt;=COUNTA(半紙!$B$11:$B$310),INDEX(半紙!$B$11:$B$310,794),IF(794&lt;=COUNTA(半紙!$B$11:$B$310)+COUNTA(条幅!$B$11:$B$310),INDEX(条幅!$B$11:$B$310,794-COUNTA(半紙!$B$11:$B$310)),IF(794&lt;=COUNTA(半紙!$B$11:$B$310)+COUNTA(条幅!$B$11:$B$310)+COUNTA(条幅4分の1!$B$11:$B$310),INDEX(条幅4分の1!$B$11:$B$310,794-COUNTA(半紙!$B$11:$B$310)-COUNTA(条幅!$B$11:$B$310)),""))))</f>
        <v/>
      </c>
      <c r="C799" s="38" t="str">
        <f>IF(IF(794&lt;=COUNTA(半紙!$B$11:$B$310),INDEX(半紙!$C$11:$C$310,794),IF(794&lt;=COUNTA(半紙!$B$11:$B$310)+COUNTA(条幅!$B$11:$B$310),INDEX(条幅!$C$11:$C$310,794-COUNTA(半紙!$B$11:$B$310)),IF(794&lt;=COUNTA(半紙!$B$11:$B$310)+COUNTA(条幅!$B$11:$B$310)+COUNTA(条幅4分の1!$B$11:$B$310),INDEX(条幅4分の1!$C$11:$C$310,794-COUNTA(半紙!$B$11:$B$310)-COUNTA(条幅!$B$11:$B$310)),"")))=0,"",IF(794&lt;=COUNTA(半紙!$B$11:$B$310),INDEX(半紙!$C$11:$C$310,794),IF(794&lt;=COUNTA(半紙!$B$11:$B$310)+COUNTA(条幅!$B$11:$B$310),INDEX(条幅!$C$11:$C$310,794-COUNTA(半紙!$B$11:$B$310)),IF(794&lt;=COUNTA(半紙!$B$11:$B$310)+COUNTA(条幅!$B$11:$B$310)+COUNTA(条幅4分の1!$B$11:$B$310),INDEX(条幅4分の1!$C$11:$C$310,794-COUNTA(半紙!$B$11:$B$310)-COUNTA(条幅!$B$11:$B$310)),""))))</f>
        <v/>
      </c>
      <c r="D799" s="38" t="str">
        <f>IF(IF(794&lt;=COUNTA(半紙!$B$11:$B$310),INDEX(半紙!$D$11:$D$310,794),IF(794&lt;=COUNTA(半紙!$B$11:$B$310)+COUNTA(条幅!$B$11:$B$310),INDEX(条幅!$D$11:$D$310,794-COUNTA(半紙!$B$11:$B$310)),IF(794&lt;=COUNTA(半紙!$B$11:$B$310)+COUNTA(条幅!$B$11:$B$310)+COUNTA(条幅4分の1!$B$11:$B$310),INDEX(条幅4分の1!$D$11:$D$310,794-COUNTA(半紙!$B$11:$B$310)-COUNTA(条幅!$B$11:$B$310)),"")))=0,"",IF(794&lt;=COUNTA(半紙!$B$11:$B$310),INDEX(半紙!$D$11:$D$310,794),IF(794&lt;=COUNTA(半紙!$B$11:$B$310)+COUNTA(条幅!$B$11:$B$310),INDEX(条幅!$D$11:$D$310,794-COUNTA(半紙!$B$11:$B$310)),IF(794&lt;=COUNTA(半紙!$B$11:$B$310)+COUNTA(条幅!$B$11:$B$310)+COUNTA(条幅4分の1!$B$11:$B$310),INDEX(条幅4分の1!$D$11:$D$310,794-COUNTA(半紙!$B$11:$B$310)-COUNTA(条幅!$B$11:$B$310)),""))))</f>
        <v/>
      </c>
      <c r="E799" s="38" t="str">
        <f>IF(IF(794&lt;=COUNTA(半紙!$B$11:$B$310),INDEX(半紙!$E$11:$E$310,794),IF(794&lt;=COUNTA(半紙!$B$11:$B$310)+COUNTA(条幅!$B$11:$B$310),INDEX(条幅!$E$11:$E$310,794-COUNTA(半紙!$B$11:$B$310)),IF(794&lt;=COUNTA(半紙!$B$11:$B$310)+COUNTA(条幅!$B$11:$B$310)+COUNTA(条幅4分の1!$B$11:$B$310),INDEX(条幅4分の1!$E$11:$E$310,794-COUNTA(半紙!$B$11:$B$310)-COUNTA(条幅!$B$11:$B$310)),"")))=0,"",IF(794&lt;=COUNTA(半紙!$B$11:$B$310),INDEX(半紙!$E$11:$E$310,794),IF(794&lt;=COUNTA(半紙!$B$11:$B$310)+COUNTA(条幅!$B$11:$B$310),INDEX(条幅!$E$11:$E$310,794-COUNTA(半紙!$B$11:$B$310)),IF(794&lt;=COUNTA(半紙!$B$11:$B$310)+COUNTA(条幅!$B$11:$B$310)+COUNTA(条幅4分の1!$B$11:$B$310),INDEX(条幅4分の1!$E$11:$E$310,794-COUNTA(半紙!$B$11:$B$310)-COUNTA(条幅!$B$11:$B$310)),""))))</f>
        <v/>
      </c>
      <c r="F799" s="38" t="str">
        <f>IF(IF(794&lt;=COUNTA(半紙!$B$11:$B$310),INDEX(半紙!$F$11:$F$310,794),IF(794&lt;=COUNTA(半紙!$B$11:$B$310)+COUNTA(条幅!$B$11:$B$310),INDEX(条幅!$F$11:$F$310,794-COUNTA(半紙!$B$11:$B$310)),IF(794&lt;=COUNTA(半紙!$B$11:$B$310)+COUNTA(条幅!$B$11:$B$310)+COUNTA(条幅4分の1!$B$11:$B$310),INDEX(条幅4分の1!$F$11:$F$310,794-COUNTA(半紙!$B$11:$B$310)-COUNTA(条幅!$B$11:$B$310)),"")))=0,"",IF(794&lt;=COUNTA(半紙!$B$11:$B$310),INDEX(半紙!$F$11:$F$310,794),IF(794&lt;=COUNTA(半紙!$B$11:$B$310)+COUNTA(条幅!$B$11:$B$310),INDEX(条幅!$F$11:$F$310,794-COUNTA(半紙!$B$11:$B$310)),IF(794&lt;=COUNTA(半紙!$B$11:$B$310)+COUNTA(条幅!$B$11:$B$310)+COUNTA(条幅4分の1!$B$11:$B$310),INDEX(条幅4分の1!$F$11:$F$310,794-COUNTA(半紙!$B$11:$B$310)-COUNTA(条幅!$B$11:$B$310)),""))))</f>
        <v/>
      </c>
      <c r="G799" s="38" t="str">
        <f>IF(IF(794&lt;=COUNTA(半紙!$B$11:$B$310),INDEX(半紙!$G$11:$G$310,794),IF(794&lt;=COUNTA(半紙!$B$11:$B$310)+COUNTA(条幅!$B$11:$B$310),INDEX(条幅!$G$11:$G$310,794-COUNTA(半紙!$B$11:$B$310)),IF(794&lt;=COUNTA(半紙!$B$11:$B$310)+COUNTA(条幅!$B$11:$B$310)+COUNTA(条幅4分の1!$B$11:$B$310),INDEX(条幅4分の1!$G$11:$G$310,794-COUNTA(半紙!$B$11:$B$310)-COUNTA(条幅!$B$11:$B$310)),"")))=0,"",IF(794&lt;=COUNTA(半紙!$B$11:$B$310),INDEX(半紙!$G$11:$G$310,794),IF(794&lt;=COUNTA(半紙!$B$11:$B$310)+COUNTA(条幅!$B$11:$B$310),INDEX(条幅!$G$11:$G$310,794-COUNTA(半紙!$B$11:$B$310)),IF(794&lt;=COUNTA(半紙!$B$11:$B$310)+COUNTA(条幅!$B$11:$B$310)+COUNTA(条幅4分の1!$B$11:$B$310),INDEX(条幅4分の1!$G$11:$G$310,794-COUNTA(半紙!$B$11:$B$310)-COUNTA(条幅!$B$11:$B$310)),""))))</f>
        <v/>
      </c>
      <c r="H799" s="38" t="str">
        <f>IF(IF(794&lt;=COUNTA(半紙!$B$11:$B$310),INDEX(半紙!$H$11:$H$310,794),IF(794&lt;=COUNTA(半紙!$B$11:$B$310)+COUNTA(条幅!$B$11:$B$310),INDEX(条幅!$H$11:$H$310,794-COUNTA(半紙!$B$11:$B$310)),IF(794&lt;=COUNTA(半紙!$B$11:$B$310)+COUNTA(条幅!$B$11:$B$310)+COUNTA(条幅4分の1!$B$11:$B$310),INDEX(条幅4分の1!$H$11:$H$310,794-COUNTA(半紙!$B$11:$B$310)-COUNTA(条幅!$B$11:$B$310)),"")))=0,"",IF(794&lt;=COUNTA(半紙!$B$11:$B$310),INDEX(半紙!$H$11:$H$310,794),IF(794&lt;=COUNTA(半紙!$B$11:$B$310)+COUNTA(条幅!$B$11:$B$310),INDEX(条幅!$H$11:$H$310,794-COUNTA(半紙!$B$11:$B$310)),IF(794&lt;=COUNTA(半紙!$B$11:$B$310)+COUNTA(条幅!$B$11:$B$310)+COUNTA(条幅4分の1!$B$11:$B$310),INDEX(条幅4分の1!$H$11:$H$310,794-COUNTA(半紙!$B$11:$B$310)-COUNTA(条幅!$B$11:$B$310)),""))))</f>
        <v/>
      </c>
      <c r="I799" s="38" t="str">
        <f>IF(IF(794&lt;=COUNTA(半紙!$B$11:$B$310),INDEX(半紙!$I$11:$I$310,794),IF(794&lt;=COUNTA(半紙!$B$11:$B$310)+COUNTA(条幅!$B$11:$B$310),INDEX(条幅!$I$11:$I$310,794-COUNTA(半紙!$B$11:$B$310)),IF(794&lt;=COUNTA(半紙!$B$11:$B$310)+COUNTA(条幅!$B$11:$B$310)+COUNTA(条幅4分の1!$B$11:$B$310),INDEX(条幅4分の1!$I$11:$I$310,794-COUNTA(半紙!$B$11:$B$310)-COUNTA(条幅!$B$11:$B$310)),"")))=0,"",IF(794&lt;=COUNTA(半紙!$B$11:$B$310),INDEX(半紙!$I$11:$I$310,794),IF(794&lt;=COUNTA(半紙!$B$11:$B$310)+COUNTA(条幅!$B$11:$B$310),INDEX(条幅!$I$11:$I$310,794-COUNTA(半紙!$B$11:$B$310)),IF(794&lt;=COUNTA(半紙!$B$11:$B$310)+COUNTA(条幅!$B$11:$B$310)+COUNTA(条幅4分の1!$B$11:$B$310),INDEX(条幅4分の1!$I$11:$I$310,794-COUNTA(半紙!$B$11:$B$310)-COUNTA(条幅!$B$11:$B$310)),""))))</f>
        <v/>
      </c>
      <c r="J799" s="38" t="str">
        <f>IF(IF(794&lt;=COUNTA(半紙!$B$11:$B$310),INDEX(半紙!$J$11:$J$310,794),IF(794&lt;=COUNTA(半紙!$B$11:$B$310)+COUNTA(条幅!$B$11:$B$310),INDEX(条幅!$J$11:$J$310,794-COUNTA(半紙!$B$11:$B$310)),IF(794&lt;=COUNTA(半紙!$B$11:$B$310)+COUNTA(条幅!$B$11:$B$310)+COUNTA(条幅4分の1!$B$11:$B$310),INDEX(条幅4分の1!$J$11:$J$310,794-COUNTA(半紙!$B$11:$B$310)-COUNTA(条幅!$B$11:$B$310)),"")))=0,"",IF(794&lt;=COUNTA(半紙!$B$11:$B$310),INDEX(半紙!$J$11:$J$310,794),IF(794&lt;=COUNTA(半紙!$B$11:$B$310)+COUNTA(条幅!$B$11:$B$310),INDEX(条幅!$J$11:$J$310,794-COUNTA(半紙!$B$11:$B$310)),IF(794&lt;=COUNTA(半紙!$B$11:$B$310)+COUNTA(条幅!$B$11:$B$310)+COUNTA(条幅4分の1!$B$11:$B$310),INDEX(条幅4分の1!$J$11:$J$310,794-COUNTA(半紙!$B$11:$B$310)-COUNTA(条幅!$B$11:$B$310)),""))))</f>
        <v/>
      </c>
      <c r="K799" s="38" t="str">
        <f>IF(IF(794&lt;=COUNTA(半紙!$B$11:$B$310),INDEX(半紙!$K$11:$K$310,794),IF(794&lt;=COUNTA(半紙!$B$11:$B$310)+COUNTA(条幅!$B$11:$B$310),INDEX(条幅!$K$11:$K$310,794-COUNTA(半紙!$B$11:$B$310)),IF(794&lt;=COUNTA(半紙!$B$11:$B$310)+COUNTA(条幅!$B$11:$B$310)+COUNTA(条幅4分の1!$B$11:$B$310),INDEX(条幅4分の1!$K$11:$K$310,794-COUNTA(半紙!$B$11:$B$310)-COUNTA(条幅!$B$11:$B$310)),"")))=0,"",IF(794&lt;=COUNTA(半紙!$B$11:$B$310),INDEX(半紙!$K$11:$K$310,794),IF(794&lt;=COUNTA(半紙!$B$11:$B$310)+COUNTA(条幅!$B$11:$B$310),INDEX(条幅!$K$11:$K$310,794-COUNTA(半紙!$B$11:$B$310)),IF(794&lt;=COUNTA(半紙!$B$11:$B$310)+COUNTA(条幅!$B$11:$B$310)+COUNTA(条幅4分の1!$B$11:$B$310),INDEX(条幅4分の1!$K$11:$K$310,794-COUNTA(半紙!$B$11:$B$310)-COUNTA(条幅!$B$11:$B$310)),""))))</f>
        <v/>
      </c>
      <c r="L799" s="48" t="str">
        <f>IF($B799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794))</f>
        <v/>
      </c>
    </row>
    <row r="800" spans="1:12" ht="15" customHeight="1">
      <c r="A800" s="37" t="str">
        <f>IF(795&lt;=COUNTA(半紙!$B$11:$B$310),"半紙",IF(795&lt;=COUNTA(半紙!$B$11:$B$310)+COUNTA(条幅!$B$11:$B$310),"条幅(半切)",IF(795&lt;=COUNTA(半紙!$B$11:$B$310)+COUNTA(条幅!$B$11:$B$310)+COUNTA(条幅4分の1!$B$11:$B$310),"条幅(1/4)","")))</f>
        <v/>
      </c>
      <c r="B800" s="38" t="str">
        <f>IF(IF(795&lt;=COUNTA(半紙!$B$11:$B$310),INDEX(半紙!$B$11:$B$310,795),IF(795&lt;=COUNTA(半紙!$B$11:$B$310)+COUNTA(条幅!$B$11:$B$310),INDEX(条幅!$B$11:$B$310,795-COUNTA(半紙!$B$11:$B$310)),IF(795&lt;=COUNTA(半紙!$B$11:$B$310)+COUNTA(条幅!$B$11:$B$310)+COUNTA(条幅4分の1!$B$11:$B$310),INDEX(条幅4分の1!$B$11:$B$310,795-COUNTA(半紙!$B$11:$B$310)-COUNTA(条幅!$B$11:$B$310)),"")))=0,"",IF(795&lt;=COUNTA(半紙!$B$11:$B$310),INDEX(半紙!$B$11:$B$310,795),IF(795&lt;=COUNTA(半紙!$B$11:$B$310)+COUNTA(条幅!$B$11:$B$310),INDEX(条幅!$B$11:$B$310,795-COUNTA(半紙!$B$11:$B$310)),IF(795&lt;=COUNTA(半紙!$B$11:$B$310)+COUNTA(条幅!$B$11:$B$310)+COUNTA(条幅4分の1!$B$11:$B$310),INDEX(条幅4分の1!$B$11:$B$310,795-COUNTA(半紙!$B$11:$B$310)-COUNTA(条幅!$B$11:$B$310)),""))))</f>
        <v/>
      </c>
      <c r="C800" s="38" t="str">
        <f>IF(IF(795&lt;=COUNTA(半紙!$B$11:$B$310),INDEX(半紙!$C$11:$C$310,795),IF(795&lt;=COUNTA(半紙!$B$11:$B$310)+COUNTA(条幅!$B$11:$B$310),INDEX(条幅!$C$11:$C$310,795-COUNTA(半紙!$B$11:$B$310)),IF(795&lt;=COUNTA(半紙!$B$11:$B$310)+COUNTA(条幅!$B$11:$B$310)+COUNTA(条幅4分の1!$B$11:$B$310),INDEX(条幅4分の1!$C$11:$C$310,795-COUNTA(半紙!$B$11:$B$310)-COUNTA(条幅!$B$11:$B$310)),"")))=0,"",IF(795&lt;=COUNTA(半紙!$B$11:$B$310),INDEX(半紙!$C$11:$C$310,795),IF(795&lt;=COUNTA(半紙!$B$11:$B$310)+COUNTA(条幅!$B$11:$B$310),INDEX(条幅!$C$11:$C$310,795-COUNTA(半紙!$B$11:$B$310)),IF(795&lt;=COUNTA(半紙!$B$11:$B$310)+COUNTA(条幅!$B$11:$B$310)+COUNTA(条幅4分の1!$B$11:$B$310),INDEX(条幅4分の1!$C$11:$C$310,795-COUNTA(半紙!$B$11:$B$310)-COUNTA(条幅!$B$11:$B$310)),""))))</f>
        <v/>
      </c>
      <c r="D800" s="38" t="str">
        <f>IF(IF(795&lt;=COUNTA(半紙!$B$11:$B$310),INDEX(半紙!$D$11:$D$310,795),IF(795&lt;=COUNTA(半紙!$B$11:$B$310)+COUNTA(条幅!$B$11:$B$310),INDEX(条幅!$D$11:$D$310,795-COUNTA(半紙!$B$11:$B$310)),IF(795&lt;=COUNTA(半紙!$B$11:$B$310)+COUNTA(条幅!$B$11:$B$310)+COUNTA(条幅4分の1!$B$11:$B$310),INDEX(条幅4分の1!$D$11:$D$310,795-COUNTA(半紙!$B$11:$B$310)-COUNTA(条幅!$B$11:$B$310)),"")))=0,"",IF(795&lt;=COUNTA(半紙!$B$11:$B$310),INDEX(半紙!$D$11:$D$310,795),IF(795&lt;=COUNTA(半紙!$B$11:$B$310)+COUNTA(条幅!$B$11:$B$310),INDEX(条幅!$D$11:$D$310,795-COUNTA(半紙!$B$11:$B$310)),IF(795&lt;=COUNTA(半紙!$B$11:$B$310)+COUNTA(条幅!$B$11:$B$310)+COUNTA(条幅4分の1!$B$11:$B$310),INDEX(条幅4分の1!$D$11:$D$310,795-COUNTA(半紙!$B$11:$B$310)-COUNTA(条幅!$B$11:$B$310)),""))))</f>
        <v/>
      </c>
      <c r="E800" s="38" t="str">
        <f>IF(IF(795&lt;=COUNTA(半紙!$B$11:$B$310),INDEX(半紙!$E$11:$E$310,795),IF(795&lt;=COUNTA(半紙!$B$11:$B$310)+COUNTA(条幅!$B$11:$B$310),INDEX(条幅!$E$11:$E$310,795-COUNTA(半紙!$B$11:$B$310)),IF(795&lt;=COUNTA(半紙!$B$11:$B$310)+COUNTA(条幅!$B$11:$B$310)+COUNTA(条幅4分の1!$B$11:$B$310),INDEX(条幅4分の1!$E$11:$E$310,795-COUNTA(半紙!$B$11:$B$310)-COUNTA(条幅!$B$11:$B$310)),"")))=0,"",IF(795&lt;=COUNTA(半紙!$B$11:$B$310),INDEX(半紙!$E$11:$E$310,795),IF(795&lt;=COUNTA(半紙!$B$11:$B$310)+COUNTA(条幅!$B$11:$B$310),INDEX(条幅!$E$11:$E$310,795-COUNTA(半紙!$B$11:$B$310)),IF(795&lt;=COUNTA(半紙!$B$11:$B$310)+COUNTA(条幅!$B$11:$B$310)+COUNTA(条幅4分の1!$B$11:$B$310),INDEX(条幅4分の1!$E$11:$E$310,795-COUNTA(半紙!$B$11:$B$310)-COUNTA(条幅!$B$11:$B$310)),""))))</f>
        <v/>
      </c>
      <c r="F800" s="38" t="str">
        <f>IF(IF(795&lt;=COUNTA(半紙!$B$11:$B$310),INDEX(半紙!$F$11:$F$310,795),IF(795&lt;=COUNTA(半紙!$B$11:$B$310)+COUNTA(条幅!$B$11:$B$310),INDEX(条幅!$F$11:$F$310,795-COUNTA(半紙!$B$11:$B$310)),IF(795&lt;=COUNTA(半紙!$B$11:$B$310)+COUNTA(条幅!$B$11:$B$310)+COUNTA(条幅4分の1!$B$11:$B$310),INDEX(条幅4分の1!$F$11:$F$310,795-COUNTA(半紙!$B$11:$B$310)-COUNTA(条幅!$B$11:$B$310)),"")))=0,"",IF(795&lt;=COUNTA(半紙!$B$11:$B$310),INDEX(半紙!$F$11:$F$310,795),IF(795&lt;=COUNTA(半紙!$B$11:$B$310)+COUNTA(条幅!$B$11:$B$310),INDEX(条幅!$F$11:$F$310,795-COUNTA(半紙!$B$11:$B$310)),IF(795&lt;=COUNTA(半紙!$B$11:$B$310)+COUNTA(条幅!$B$11:$B$310)+COUNTA(条幅4分の1!$B$11:$B$310),INDEX(条幅4分の1!$F$11:$F$310,795-COUNTA(半紙!$B$11:$B$310)-COUNTA(条幅!$B$11:$B$310)),""))))</f>
        <v/>
      </c>
      <c r="G800" s="38" t="str">
        <f>IF(IF(795&lt;=COUNTA(半紙!$B$11:$B$310),INDEX(半紙!$G$11:$G$310,795),IF(795&lt;=COUNTA(半紙!$B$11:$B$310)+COUNTA(条幅!$B$11:$B$310),INDEX(条幅!$G$11:$G$310,795-COUNTA(半紙!$B$11:$B$310)),IF(795&lt;=COUNTA(半紙!$B$11:$B$310)+COUNTA(条幅!$B$11:$B$310)+COUNTA(条幅4分の1!$B$11:$B$310),INDEX(条幅4分の1!$G$11:$G$310,795-COUNTA(半紙!$B$11:$B$310)-COUNTA(条幅!$B$11:$B$310)),"")))=0,"",IF(795&lt;=COUNTA(半紙!$B$11:$B$310),INDEX(半紙!$G$11:$G$310,795),IF(795&lt;=COUNTA(半紙!$B$11:$B$310)+COUNTA(条幅!$B$11:$B$310),INDEX(条幅!$G$11:$G$310,795-COUNTA(半紙!$B$11:$B$310)),IF(795&lt;=COUNTA(半紙!$B$11:$B$310)+COUNTA(条幅!$B$11:$B$310)+COUNTA(条幅4分の1!$B$11:$B$310),INDEX(条幅4分の1!$G$11:$G$310,795-COUNTA(半紙!$B$11:$B$310)-COUNTA(条幅!$B$11:$B$310)),""))))</f>
        <v/>
      </c>
      <c r="H800" s="38" t="str">
        <f>IF(IF(795&lt;=COUNTA(半紙!$B$11:$B$310),INDEX(半紙!$H$11:$H$310,795),IF(795&lt;=COUNTA(半紙!$B$11:$B$310)+COUNTA(条幅!$B$11:$B$310),INDEX(条幅!$H$11:$H$310,795-COUNTA(半紙!$B$11:$B$310)),IF(795&lt;=COUNTA(半紙!$B$11:$B$310)+COUNTA(条幅!$B$11:$B$310)+COUNTA(条幅4分の1!$B$11:$B$310),INDEX(条幅4分の1!$H$11:$H$310,795-COUNTA(半紙!$B$11:$B$310)-COUNTA(条幅!$B$11:$B$310)),"")))=0,"",IF(795&lt;=COUNTA(半紙!$B$11:$B$310),INDEX(半紙!$H$11:$H$310,795),IF(795&lt;=COUNTA(半紙!$B$11:$B$310)+COUNTA(条幅!$B$11:$B$310),INDEX(条幅!$H$11:$H$310,795-COUNTA(半紙!$B$11:$B$310)),IF(795&lt;=COUNTA(半紙!$B$11:$B$310)+COUNTA(条幅!$B$11:$B$310)+COUNTA(条幅4分の1!$B$11:$B$310),INDEX(条幅4分の1!$H$11:$H$310,795-COUNTA(半紙!$B$11:$B$310)-COUNTA(条幅!$B$11:$B$310)),""))))</f>
        <v/>
      </c>
      <c r="I800" s="38" t="str">
        <f>IF(IF(795&lt;=COUNTA(半紙!$B$11:$B$310),INDEX(半紙!$I$11:$I$310,795),IF(795&lt;=COUNTA(半紙!$B$11:$B$310)+COUNTA(条幅!$B$11:$B$310),INDEX(条幅!$I$11:$I$310,795-COUNTA(半紙!$B$11:$B$310)),IF(795&lt;=COUNTA(半紙!$B$11:$B$310)+COUNTA(条幅!$B$11:$B$310)+COUNTA(条幅4分の1!$B$11:$B$310),INDEX(条幅4分の1!$I$11:$I$310,795-COUNTA(半紙!$B$11:$B$310)-COUNTA(条幅!$B$11:$B$310)),"")))=0,"",IF(795&lt;=COUNTA(半紙!$B$11:$B$310),INDEX(半紙!$I$11:$I$310,795),IF(795&lt;=COUNTA(半紙!$B$11:$B$310)+COUNTA(条幅!$B$11:$B$310),INDEX(条幅!$I$11:$I$310,795-COUNTA(半紙!$B$11:$B$310)),IF(795&lt;=COUNTA(半紙!$B$11:$B$310)+COUNTA(条幅!$B$11:$B$310)+COUNTA(条幅4分の1!$B$11:$B$310),INDEX(条幅4分の1!$I$11:$I$310,795-COUNTA(半紙!$B$11:$B$310)-COUNTA(条幅!$B$11:$B$310)),""))))</f>
        <v/>
      </c>
      <c r="J800" s="38" t="str">
        <f>IF(IF(795&lt;=COUNTA(半紙!$B$11:$B$310),INDEX(半紙!$J$11:$J$310,795),IF(795&lt;=COUNTA(半紙!$B$11:$B$310)+COUNTA(条幅!$B$11:$B$310),INDEX(条幅!$J$11:$J$310,795-COUNTA(半紙!$B$11:$B$310)),IF(795&lt;=COUNTA(半紙!$B$11:$B$310)+COUNTA(条幅!$B$11:$B$310)+COUNTA(条幅4分の1!$B$11:$B$310),INDEX(条幅4分の1!$J$11:$J$310,795-COUNTA(半紙!$B$11:$B$310)-COUNTA(条幅!$B$11:$B$310)),"")))=0,"",IF(795&lt;=COUNTA(半紙!$B$11:$B$310),INDEX(半紙!$J$11:$J$310,795),IF(795&lt;=COUNTA(半紙!$B$11:$B$310)+COUNTA(条幅!$B$11:$B$310),INDEX(条幅!$J$11:$J$310,795-COUNTA(半紙!$B$11:$B$310)),IF(795&lt;=COUNTA(半紙!$B$11:$B$310)+COUNTA(条幅!$B$11:$B$310)+COUNTA(条幅4分の1!$B$11:$B$310),INDEX(条幅4分の1!$J$11:$J$310,795-COUNTA(半紙!$B$11:$B$310)-COUNTA(条幅!$B$11:$B$310)),""))))</f>
        <v/>
      </c>
      <c r="K800" s="38" t="str">
        <f>IF(IF(795&lt;=COUNTA(半紙!$B$11:$B$310),INDEX(半紙!$K$11:$K$310,795),IF(795&lt;=COUNTA(半紙!$B$11:$B$310)+COUNTA(条幅!$B$11:$B$310),INDEX(条幅!$K$11:$K$310,795-COUNTA(半紙!$B$11:$B$310)),IF(795&lt;=COUNTA(半紙!$B$11:$B$310)+COUNTA(条幅!$B$11:$B$310)+COUNTA(条幅4分の1!$B$11:$B$310),INDEX(条幅4分の1!$K$11:$K$310,795-COUNTA(半紙!$B$11:$B$310)-COUNTA(条幅!$B$11:$B$310)),"")))=0,"",IF(795&lt;=COUNTA(半紙!$B$11:$B$310),INDEX(半紙!$K$11:$K$310,795),IF(795&lt;=COUNTA(半紙!$B$11:$B$310)+COUNTA(条幅!$B$11:$B$310),INDEX(条幅!$K$11:$K$310,795-COUNTA(半紙!$B$11:$B$310)),IF(795&lt;=COUNTA(半紙!$B$11:$B$310)+COUNTA(条幅!$B$11:$B$310)+COUNTA(条幅4分の1!$B$11:$B$310),INDEX(条幅4分の1!$K$11:$K$310,795-COUNTA(半紙!$B$11:$B$310)-COUNTA(条幅!$B$11:$B$310)),""))))</f>
        <v/>
      </c>
      <c r="L800" s="48" t="str">
        <f>IF($B800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795))</f>
        <v/>
      </c>
    </row>
    <row r="801" spans="1:12" ht="15" customHeight="1">
      <c r="A801" s="37" t="str">
        <f>IF(796&lt;=COUNTA(半紙!$B$11:$B$310),"半紙",IF(796&lt;=COUNTA(半紙!$B$11:$B$310)+COUNTA(条幅!$B$11:$B$310),"条幅(半切)",IF(796&lt;=COUNTA(半紙!$B$11:$B$310)+COUNTA(条幅!$B$11:$B$310)+COUNTA(条幅4分の1!$B$11:$B$310),"条幅(1/4)","")))</f>
        <v/>
      </c>
      <c r="B801" s="38" t="str">
        <f>IF(IF(796&lt;=COUNTA(半紙!$B$11:$B$310),INDEX(半紙!$B$11:$B$310,796),IF(796&lt;=COUNTA(半紙!$B$11:$B$310)+COUNTA(条幅!$B$11:$B$310),INDEX(条幅!$B$11:$B$310,796-COUNTA(半紙!$B$11:$B$310)),IF(796&lt;=COUNTA(半紙!$B$11:$B$310)+COUNTA(条幅!$B$11:$B$310)+COUNTA(条幅4分の1!$B$11:$B$310),INDEX(条幅4分の1!$B$11:$B$310,796-COUNTA(半紙!$B$11:$B$310)-COUNTA(条幅!$B$11:$B$310)),"")))=0,"",IF(796&lt;=COUNTA(半紙!$B$11:$B$310),INDEX(半紙!$B$11:$B$310,796),IF(796&lt;=COUNTA(半紙!$B$11:$B$310)+COUNTA(条幅!$B$11:$B$310),INDEX(条幅!$B$11:$B$310,796-COUNTA(半紙!$B$11:$B$310)),IF(796&lt;=COUNTA(半紙!$B$11:$B$310)+COUNTA(条幅!$B$11:$B$310)+COUNTA(条幅4分の1!$B$11:$B$310),INDEX(条幅4分の1!$B$11:$B$310,796-COUNTA(半紙!$B$11:$B$310)-COUNTA(条幅!$B$11:$B$310)),""))))</f>
        <v/>
      </c>
      <c r="C801" s="38" t="str">
        <f>IF(IF(796&lt;=COUNTA(半紙!$B$11:$B$310),INDEX(半紙!$C$11:$C$310,796),IF(796&lt;=COUNTA(半紙!$B$11:$B$310)+COUNTA(条幅!$B$11:$B$310),INDEX(条幅!$C$11:$C$310,796-COUNTA(半紙!$B$11:$B$310)),IF(796&lt;=COUNTA(半紙!$B$11:$B$310)+COUNTA(条幅!$B$11:$B$310)+COUNTA(条幅4分の1!$B$11:$B$310),INDEX(条幅4分の1!$C$11:$C$310,796-COUNTA(半紙!$B$11:$B$310)-COUNTA(条幅!$B$11:$B$310)),"")))=0,"",IF(796&lt;=COUNTA(半紙!$B$11:$B$310),INDEX(半紙!$C$11:$C$310,796),IF(796&lt;=COUNTA(半紙!$B$11:$B$310)+COUNTA(条幅!$B$11:$B$310),INDEX(条幅!$C$11:$C$310,796-COUNTA(半紙!$B$11:$B$310)),IF(796&lt;=COUNTA(半紙!$B$11:$B$310)+COUNTA(条幅!$B$11:$B$310)+COUNTA(条幅4分の1!$B$11:$B$310),INDEX(条幅4分の1!$C$11:$C$310,796-COUNTA(半紙!$B$11:$B$310)-COUNTA(条幅!$B$11:$B$310)),""))))</f>
        <v/>
      </c>
      <c r="D801" s="38" t="str">
        <f>IF(IF(796&lt;=COUNTA(半紙!$B$11:$B$310),INDEX(半紙!$D$11:$D$310,796),IF(796&lt;=COUNTA(半紙!$B$11:$B$310)+COUNTA(条幅!$B$11:$B$310),INDEX(条幅!$D$11:$D$310,796-COUNTA(半紙!$B$11:$B$310)),IF(796&lt;=COUNTA(半紙!$B$11:$B$310)+COUNTA(条幅!$B$11:$B$310)+COUNTA(条幅4分の1!$B$11:$B$310),INDEX(条幅4分の1!$D$11:$D$310,796-COUNTA(半紙!$B$11:$B$310)-COUNTA(条幅!$B$11:$B$310)),"")))=0,"",IF(796&lt;=COUNTA(半紙!$B$11:$B$310),INDEX(半紙!$D$11:$D$310,796),IF(796&lt;=COUNTA(半紙!$B$11:$B$310)+COUNTA(条幅!$B$11:$B$310),INDEX(条幅!$D$11:$D$310,796-COUNTA(半紙!$B$11:$B$310)),IF(796&lt;=COUNTA(半紙!$B$11:$B$310)+COUNTA(条幅!$B$11:$B$310)+COUNTA(条幅4分の1!$B$11:$B$310),INDEX(条幅4分の1!$D$11:$D$310,796-COUNTA(半紙!$B$11:$B$310)-COUNTA(条幅!$B$11:$B$310)),""))))</f>
        <v/>
      </c>
      <c r="E801" s="38" t="str">
        <f>IF(IF(796&lt;=COUNTA(半紙!$B$11:$B$310),INDEX(半紙!$E$11:$E$310,796),IF(796&lt;=COUNTA(半紙!$B$11:$B$310)+COUNTA(条幅!$B$11:$B$310),INDEX(条幅!$E$11:$E$310,796-COUNTA(半紙!$B$11:$B$310)),IF(796&lt;=COUNTA(半紙!$B$11:$B$310)+COUNTA(条幅!$B$11:$B$310)+COUNTA(条幅4分の1!$B$11:$B$310),INDEX(条幅4分の1!$E$11:$E$310,796-COUNTA(半紙!$B$11:$B$310)-COUNTA(条幅!$B$11:$B$310)),"")))=0,"",IF(796&lt;=COUNTA(半紙!$B$11:$B$310),INDEX(半紙!$E$11:$E$310,796),IF(796&lt;=COUNTA(半紙!$B$11:$B$310)+COUNTA(条幅!$B$11:$B$310),INDEX(条幅!$E$11:$E$310,796-COUNTA(半紙!$B$11:$B$310)),IF(796&lt;=COUNTA(半紙!$B$11:$B$310)+COUNTA(条幅!$B$11:$B$310)+COUNTA(条幅4分の1!$B$11:$B$310),INDEX(条幅4分の1!$E$11:$E$310,796-COUNTA(半紙!$B$11:$B$310)-COUNTA(条幅!$B$11:$B$310)),""))))</f>
        <v/>
      </c>
      <c r="F801" s="38" t="str">
        <f>IF(IF(796&lt;=COUNTA(半紙!$B$11:$B$310),INDEX(半紙!$F$11:$F$310,796),IF(796&lt;=COUNTA(半紙!$B$11:$B$310)+COUNTA(条幅!$B$11:$B$310),INDEX(条幅!$F$11:$F$310,796-COUNTA(半紙!$B$11:$B$310)),IF(796&lt;=COUNTA(半紙!$B$11:$B$310)+COUNTA(条幅!$B$11:$B$310)+COUNTA(条幅4分の1!$B$11:$B$310),INDEX(条幅4分の1!$F$11:$F$310,796-COUNTA(半紙!$B$11:$B$310)-COUNTA(条幅!$B$11:$B$310)),"")))=0,"",IF(796&lt;=COUNTA(半紙!$B$11:$B$310),INDEX(半紙!$F$11:$F$310,796),IF(796&lt;=COUNTA(半紙!$B$11:$B$310)+COUNTA(条幅!$B$11:$B$310),INDEX(条幅!$F$11:$F$310,796-COUNTA(半紙!$B$11:$B$310)),IF(796&lt;=COUNTA(半紙!$B$11:$B$310)+COUNTA(条幅!$B$11:$B$310)+COUNTA(条幅4分の1!$B$11:$B$310),INDEX(条幅4分の1!$F$11:$F$310,796-COUNTA(半紙!$B$11:$B$310)-COUNTA(条幅!$B$11:$B$310)),""))))</f>
        <v/>
      </c>
      <c r="G801" s="38" t="str">
        <f>IF(IF(796&lt;=COUNTA(半紙!$B$11:$B$310),INDEX(半紙!$G$11:$G$310,796),IF(796&lt;=COUNTA(半紙!$B$11:$B$310)+COUNTA(条幅!$B$11:$B$310),INDEX(条幅!$G$11:$G$310,796-COUNTA(半紙!$B$11:$B$310)),IF(796&lt;=COUNTA(半紙!$B$11:$B$310)+COUNTA(条幅!$B$11:$B$310)+COUNTA(条幅4分の1!$B$11:$B$310),INDEX(条幅4分の1!$G$11:$G$310,796-COUNTA(半紙!$B$11:$B$310)-COUNTA(条幅!$B$11:$B$310)),"")))=0,"",IF(796&lt;=COUNTA(半紙!$B$11:$B$310),INDEX(半紙!$G$11:$G$310,796),IF(796&lt;=COUNTA(半紙!$B$11:$B$310)+COUNTA(条幅!$B$11:$B$310),INDEX(条幅!$G$11:$G$310,796-COUNTA(半紙!$B$11:$B$310)),IF(796&lt;=COUNTA(半紙!$B$11:$B$310)+COUNTA(条幅!$B$11:$B$310)+COUNTA(条幅4分の1!$B$11:$B$310),INDEX(条幅4分の1!$G$11:$G$310,796-COUNTA(半紙!$B$11:$B$310)-COUNTA(条幅!$B$11:$B$310)),""))))</f>
        <v/>
      </c>
      <c r="H801" s="38" t="str">
        <f>IF(IF(796&lt;=COUNTA(半紙!$B$11:$B$310),INDEX(半紙!$H$11:$H$310,796),IF(796&lt;=COUNTA(半紙!$B$11:$B$310)+COUNTA(条幅!$B$11:$B$310),INDEX(条幅!$H$11:$H$310,796-COUNTA(半紙!$B$11:$B$310)),IF(796&lt;=COUNTA(半紙!$B$11:$B$310)+COUNTA(条幅!$B$11:$B$310)+COUNTA(条幅4分の1!$B$11:$B$310),INDEX(条幅4分の1!$H$11:$H$310,796-COUNTA(半紙!$B$11:$B$310)-COUNTA(条幅!$B$11:$B$310)),"")))=0,"",IF(796&lt;=COUNTA(半紙!$B$11:$B$310),INDEX(半紙!$H$11:$H$310,796),IF(796&lt;=COUNTA(半紙!$B$11:$B$310)+COUNTA(条幅!$B$11:$B$310),INDEX(条幅!$H$11:$H$310,796-COUNTA(半紙!$B$11:$B$310)),IF(796&lt;=COUNTA(半紙!$B$11:$B$310)+COUNTA(条幅!$B$11:$B$310)+COUNTA(条幅4分の1!$B$11:$B$310),INDEX(条幅4分の1!$H$11:$H$310,796-COUNTA(半紙!$B$11:$B$310)-COUNTA(条幅!$B$11:$B$310)),""))))</f>
        <v/>
      </c>
      <c r="I801" s="38" t="str">
        <f>IF(IF(796&lt;=COUNTA(半紙!$B$11:$B$310),INDEX(半紙!$I$11:$I$310,796),IF(796&lt;=COUNTA(半紙!$B$11:$B$310)+COUNTA(条幅!$B$11:$B$310),INDEX(条幅!$I$11:$I$310,796-COUNTA(半紙!$B$11:$B$310)),IF(796&lt;=COUNTA(半紙!$B$11:$B$310)+COUNTA(条幅!$B$11:$B$310)+COUNTA(条幅4分の1!$B$11:$B$310),INDEX(条幅4分の1!$I$11:$I$310,796-COUNTA(半紙!$B$11:$B$310)-COUNTA(条幅!$B$11:$B$310)),"")))=0,"",IF(796&lt;=COUNTA(半紙!$B$11:$B$310),INDEX(半紙!$I$11:$I$310,796),IF(796&lt;=COUNTA(半紙!$B$11:$B$310)+COUNTA(条幅!$B$11:$B$310),INDEX(条幅!$I$11:$I$310,796-COUNTA(半紙!$B$11:$B$310)),IF(796&lt;=COUNTA(半紙!$B$11:$B$310)+COUNTA(条幅!$B$11:$B$310)+COUNTA(条幅4分の1!$B$11:$B$310),INDEX(条幅4分の1!$I$11:$I$310,796-COUNTA(半紙!$B$11:$B$310)-COUNTA(条幅!$B$11:$B$310)),""))))</f>
        <v/>
      </c>
      <c r="J801" s="38" t="str">
        <f>IF(IF(796&lt;=COUNTA(半紙!$B$11:$B$310),INDEX(半紙!$J$11:$J$310,796),IF(796&lt;=COUNTA(半紙!$B$11:$B$310)+COUNTA(条幅!$B$11:$B$310),INDEX(条幅!$J$11:$J$310,796-COUNTA(半紙!$B$11:$B$310)),IF(796&lt;=COUNTA(半紙!$B$11:$B$310)+COUNTA(条幅!$B$11:$B$310)+COUNTA(条幅4分の1!$B$11:$B$310),INDEX(条幅4分の1!$J$11:$J$310,796-COUNTA(半紙!$B$11:$B$310)-COUNTA(条幅!$B$11:$B$310)),"")))=0,"",IF(796&lt;=COUNTA(半紙!$B$11:$B$310),INDEX(半紙!$J$11:$J$310,796),IF(796&lt;=COUNTA(半紙!$B$11:$B$310)+COUNTA(条幅!$B$11:$B$310),INDEX(条幅!$J$11:$J$310,796-COUNTA(半紙!$B$11:$B$310)),IF(796&lt;=COUNTA(半紙!$B$11:$B$310)+COUNTA(条幅!$B$11:$B$310)+COUNTA(条幅4分の1!$B$11:$B$310),INDEX(条幅4分の1!$J$11:$J$310,796-COUNTA(半紙!$B$11:$B$310)-COUNTA(条幅!$B$11:$B$310)),""))))</f>
        <v/>
      </c>
      <c r="K801" s="38" t="str">
        <f>IF(IF(796&lt;=COUNTA(半紙!$B$11:$B$310),INDEX(半紙!$K$11:$K$310,796),IF(796&lt;=COUNTA(半紙!$B$11:$B$310)+COUNTA(条幅!$B$11:$B$310),INDEX(条幅!$K$11:$K$310,796-COUNTA(半紙!$B$11:$B$310)),IF(796&lt;=COUNTA(半紙!$B$11:$B$310)+COUNTA(条幅!$B$11:$B$310)+COUNTA(条幅4分の1!$B$11:$B$310),INDEX(条幅4分の1!$K$11:$K$310,796-COUNTA(半紙!$B$11:$B$310)-COUNTA(条幅!$B$11:$B$310)),"")))=0,"",IF(796&lt;=COUNTA(半紙!$B$11:$B$310),INDEX(半紙!$K$11:$K$310,796),IF(796&lt;=COUNTA(半紙!$B$11:$B$310)+COUNTA(条幅!$B$11:$B$310),INDEX(条幅!$K$11:$K$310,796-COUNTA(半紙!$B$11:$B$310)),IF(796&lt;=COUNTA(半紙!$B$11:$B$310)+COUNTA(条幅!$B$11:$B$310)+COUNTA(条幅4分の1!$B$11:$B$310),INDEX(条幅4分の1!$K$11:$K$310,796-COUNTA(半紙!$B$11:$B$310)-COUNTA(条幅!$B$11:$B$310)),""))))</f>
        <v/>
      </c>
      <c r="L801" s="48" t="str">
        <f>IF($B801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796))</f>
        <v/>
      </c>
    </row>
    <row r="802" spans="1:12" ht="15" customHeight="1">
      <c r="A802" s="37" t="str">
        <f>IF(797&lt;=COUNTA(半紙!$B$11:$B$310),"半紙",IF(797&lt;=COUNTA(半紙!$B$11:$B$310)+COUNTA(条幅!$B$11:$B$310),"条幅(半切)",IF(797&lt;=COUNTA(半紙!$B$11:$B$310)+COUNTA(条幅!$B$11:$B$310)+COUNTA(条幅4分の1!$B$11:$B$310),"条幅(1/4)","")))</f>
        <v/>
      </c>
      <c r="B802" s="38" t="str">
        <f>IF(IF(797&lt;=COUNTA(半紙!$B$11:$B$310),INDEX(半紙!$B$11:$B$310,797),IF(797&lt;=COUNTA(半紙!$B$11:$B$310)+COUNTA(条幅!$B$11:$B$310),INDEX(条幅!$B$11:$B$310,797-COUNTA(半紙!$B$11:$B$310)),IF(797&lt;=COUNTA(半紙!$B$11:$B$310)+COUNTA(条幅!$B$11:$B$310)+COUNTA(条幅4分の1!$B$11:$B$310),INDEX(条幅4分の1!$B$11:$B$310,797-COUNTA(半紙!$B$11:$B$310)-COUNTA(条幅!$B$11:$B$310)),"")))=0,"",IF(797&lt;=COUNTA(半紙!$B$11:$B$310),INDEX(半紙!$B$11:$B$310,797),IF(797&lt;=COUNTA(半紙!$B$11:$B$310)+COUNTA(条幅!$B$11:$B$310),INDEX(条幅!$B$11:$B$310,797-COUNTA(半紙!$B$11:$B$310)),IF(797&lt;=COUNTA(半紙!$B$11:$B$310)+COUNTA(条幅!$B$11:$B$310)+COUNTA(条幅4分の1!$B$11:$B$310),INDEX(条幅4分の1!$B$11:$B$310,797-COUNTA(半紙!$B$11:$B$310)-COUNTA(条幅!$B$11:$B$310)),""))))</f>
        <v/>
      </c>
      <c r="C802" s="38" t="str">
        <f>IF(IF(797&lt;=COUNTA(半紙!$B$11:$B$310),INDEX(半紙!$C$11:$C$310,797),IF(797&lt;=COUNTA(半紙!$B$11:$B$310)+COUNTA(条幅!$B$11:$B$310),INDEX(条幅!$C$11:$C$310,797-COUNTA(半紙!$B$11:$B$310)),IF(797&lt;=COUNTA(半紙!$B$11:$B$310)+COUNTA(条幅!$B$11:$B$310)+COUNTA(条幅4分の1!$B$11:$B$310),INDEX(条幅4分の1!$C$11:$C$310,797-COUNTA(半紙!$B$11:$B$310)-COUNTA(条幅!$B$11:$B$310)),"")))=0,"",IF(797&lt;=COUNTA(半紙!$B$11:$B$310),INDEX(半紙!$C$11:$C$310,797),IF(797&lt;=COUNTA(半紙!$B$11:$B$310)+COUNTA(条幅!$B$11:$B$310),INDEX(条幅!$C$11:$C$310,797-COUNTA(半紙!$B$11:$B$310)),IF(797&lt;=COUNTA(半紙!$B$11:$B$310)+COUNTA(条幅!$B$11:$B$310)+COUNTA(条幅4分の1!$B$11:$B$310),INDEX(条幅4分の1!$C$11:$C$310,797-COUNTA(半紙!$B$11:$B$310)-COUNTA(条幅!$B$11:$B$310)),""))))</f>
        <v/>
      </c>
      <c r="D802" s="38" t="str">
        <f>IF(IF(797&lt;=COUNTA(半紙!$B$11:$B$310),INDEX(半紙!$D$11:$D$310,797),IF(797&lt;=COUNTA(半紙!$B$11:$B$310)+COUNTA(条幅!$B$11:$B$310),INDEX(条幅!$D$11:$D$310,797-COUNTA(半紙!$B$11:$B$310)),IF(797&lt;=COUNTA(半紙!$B$11:$B$310)+COUNTA(条幅!$B$11:$B$310)+COUNTA(条幅4分の1!$B$11:$B$310),INDEX(条幅4分の1!$D$11:$D$310,797-COUNTA(半紙!$B$11:$B$310)-COUNTA(条幅!$B$11:$B$310)),"")))=0,"",IF(797&lt;=COUNTA(半紙!$B$11:$B$310),INDEX(半紙!$D$11:$D$310,797),IF(797&lt;=COUNTA(半紙!$B$11:$B$310)+COUNTA(条幅!$B$11:$B$310),INDEX(条幅!$D$11:$D$310,797-COUNTA(半紙!$B$11:$B$310)),IF(797&lt;=COUNTA(半紙!$B$11:$B$310)+COUNTA(条幅!$B$11:$B$310)+COUNTA(条幅4分の1!$B$11:$B$310),INDEX(条幅4分の1!$D$11:$D$310,797-COUNTA(半紙!$B$11:$B$310)-COUNTA(条幅!$B$11:$B$310)),""))))</f>
        <v/>
      </c>
      <c r="E802" s="38" t="str">
        <f>IF(IF(797&lt;=COUNTA(半紙!$B$11:$B$310),INDEX(半紙!$E$11:$E$310,797),IF(797&lt;=COUNTA(半紙!$B$11:$B$310)+COUNTA(条幅!$B$11:$B$310),INDEX(条幅!$E$11:$E$310,797-COUNTA(半紙!$B$11:$B$310)),IF(797&lt;=COUNTA(半紙!$B$11:$B$310)+COUNTA(条幅!$B$11:$B$310)+COUNTA(条幅4分の1!$B$11:$B$310),INDEX(条幅4分の1!$E$11:$E$310,797-COUNTA(半紙!$B$11:$B$310)-COUNTA(条幅!$B$11:$B$310)),"")))=0,"",IF(797&lt;=COUNTA(半紙!$B$11:$B$310),INDEX(半紙!$E$11:$E$310,797),IF(797&lt;=COUNTA(半紙!$B$11:$B$310)+COUNTA(条幅!$B$11:$B$310),INDEX(条幅!$E$11:$E$310,797-COUNTA(半紙!$B$11:$B$310)),IF(797&lt;=COUNTA(半紙!$B$11:$B$310)+COUNTA(条幅!$B$11:$B$310)+COUNTA(条幅4分の1!$B$11:$B$310),INDEX(条幅4分の1!$E$11:$E$310,797-COUNTA(半紙!$B$11:$B$310)-COUNTA(条幅!$B$11:$B$310)),""))))</f>
        <v/>
      </c>
      <c r="F802" s="38" t="str">
        <f>IF(IF(797&lt;=COUNTA(半紙!$B$11:$B$310),INDEX(半紙!$F$11:$F$310,797),IF(797&lt;=COUNTA(半紙!$B$11:$B$310)+COUNTA(条幅!$B$11:$B$310),INDEX(条幅!$F$11:$F$310,797-COUNTA(半紙!$B$11:$B$310)),IF(797&lt;=COUNTA(半紙!$B$11:$B$310)+COUNTA(条幅!$B$11:$B$310)+COUNTA(条幅4分の1!$B$11:$B$310),INDEX(条幅4分の1!$F$11:$F$310,797-COUNTA(半紙!$B$11:$B$310)-COUNTA(条幅!$B$11:$B$310)),"")))=0,"",IF(797&lt;=COUNTA(半紙!$B$11:$B$310),INDEX(半紙!$F$11:$F$310,797),IF(797&lt;=COUNTA(半紙!$B$11:$B$310)+COUNTA(条幅!$B$11:$B$310),INDEX(条幅!$F$11:$F$310,797-COUNTA(半紙!$B$11:$B$310)),IF(797&lt;=COUNTA(半紙!$B$11:$B$310)+COUNTA(条幅!$B$11:$B$310)+COUNTA(条幅4分の1!$B$11:$B$310),INDEX(条幅4分の1!$F$11:$F$310,797-COUNTA(半紙!$B$11:$B$310)-COUNTA(条幅!$B$11:$B$310)),""))))</f>
        <v/>
      </c>
      <c r="G802" s="38" t="str">
        <f>IF(IF(797&lt;=COUNTA(半紙!$B$11:$B$310),INDEX(半紙!$G$11:$G$310,797),IF(797&lt;=COUNTA(半紙!$B$11:$B$310)+COUNTA(条幅!$B$11:$B$310),INDEX(条幅!$G$11:$G$310,797-COUNTA(半紙!$B$11:$B$310)),IF(797&lt;=COUNTA(半紙!$B$11:$B$310)+COUNTA(条幅!$B$11:$B$310)+COUNTA(条幅4分の1!$B$11:$B$310),INDEX(条幅4分の1!$G$11:$G$310,797-COUNTA(半紙!$B$11:$B$310)-COUNTA(条幅!$B$11:$B$310)),"")))=0,"",IF(797&lt;=COUNTA(半紙!$B$11:$B$310),INDEX(半紙!$G$11:$G$310,797),IF(797&lt;=COUNTA(半紙!$B$11:$B$310)+COUNTA(条幅!$B$11:$B$310),INDEX(条幅!$G$11:$G$310,797-COUNTA(半紙!$B$11:$B$310)),IF(797&lt;=COUNTA(半紙!$B$11:$B$310)+COUNTA(条幅!$B$11:$B$310)+COUNTA(条幅4分の1!$B$11:$B$310),INDEX(条幅4分の1!$G$11:$G$310,797-COUNTA(半紙!$B$11:$B$310)-COUNTA(条幅!$B$11:$B$310)),""))))</f>
        <v/>
      </c>
      <c r="H802" s="38" t="str">
        <f>IF(IF(797&lt;=COUNTA(半紙!$B$11:$B$310),INDEX(半紙!$H$11:$H$310,797),IF(797&lt;=COUNTA(半紙!$B$11:$B$310)+COUNTA(条幅!$B$11:$B$310),INDEX(条幅!$H$11:$H$310,797-COUNTA(半紙!$B$11:$B$310)),IF(797&lt;=COUNTA(半紙!$B$11:$B$310)+COUNTA(条幅!$B$11:$B$310)+COUNTA(条幅4分の1!$B$11:$B$310),INDEX(条幅4分の1!$H$11:$H$310,797-COUNTA(半紙!$B$11:$B$310)-COUNTA(条幅!$B$11:$B$310)),"")))=0,"",IF(797&lt;=COUNTA(半紙!$B$11:$B$310),INDEX(半紙!$H$11:$H$310,797),IF(797&lt;=COUNTA(半紙!$B$11:$B$310)+COUNTA(条幅!$B$11:$B$310),INDEX(条幅!$H$11:$H$310,797-COUNTA(半紙!$B$11:$B$310)),IF(797&lt;=COUNTA(半紙!$B$11:$B$310)+COUNTA(条幅!$B$11:$B$310)+COUNTA(条幅4分の1!$B$11:$B$310),INDEX(条幅4分の1!$H$11:$H$310,797-COUNTA(半紙!$B$11:$B$310)-COUNTA(条幅!$B$11:$B$310)),""))))</f>
        <v/>
      </c>
      <c r="I802" s="38" t="str">
        <f>IF(IF(797&lt;=COUNTA(半紙!$B$11:$B$310),INDEX(半紙!$I$11:$I$310,797),IF(797&lt;=COUNTA(半紙!$B$11:$B$310)+COUNTA(条幅!$B$11:$B$310),INDEX(条幅!$I$11:$I$310,797-COUNTA(半紙!$B$11:$B$310)),IF(797&lt;=COUNTA(半紙!$B$11:$B$310)+COUNTA(条幅!$B$11:$B$310)+COUNTA(条幅4分の1!$B$11:$B$310),INDEX(条幅4分の1!$I$11:$I$310,797-COUNTA(半紙!$B$11:$B$310)-COUNTA(条幅!$B$11:$B$310)),"")))=0,"",IF(797&lt;=COUNTA(半紙!$B$11:$B$310),INDEX(半紙!$I$11:$I$310,797),IF(797&lt;=COUNTA(半紙!$B$11:$B$310)+COUNTA(条幅!$B$11:$B$310),INDEX(条幅!$I$11:$I$310,797-COUNTA(半紙!$B$11:$B$310)),IF(797&lt;=COUNTA(半紙!$B$11:$B$310)+COUNTA(条幅!$B$11:$B$310)+COUNTA(条幅4分の1!$B$11:$B$310),INDEX(条幅4分の1!$I$11:$I$310,797-COUNTA(半紙!$B$11:$B$310)-COUNTA(条幅!$B$11:$B$310)),""))))</f>
        <v/>
      </c>
      <c r="J802" s="38" t="str">
        <f>IF(IF(797&lt;=COUNTA(半紙!$B$11:$B$310),INDEX(半紙!$J$11:$J$310,797),IF(797&lt;=COUNTA(半紙!$B$11:$B$310)+COUNTA(条幅!$B$11:$B$310),INDEX(条幅!$J$11:$J$310,797-COUNTA(半紙!$B$11:$B$310)),IF(797&lt;=COUNTA(半紙!$B$11:$B$310)+COUNTA(条幅!$B$11:$B$310)+COUNTA(条幅4分の1!$B$11:$B$310),INDEX(条幅4分の1!$J$11:$J$310,797-COUNTA(半紙!$B$11:$B$310)-COUNTA(条幅!$B$11:$B$310)),"")))=0,"",IF(797&lt;=COUNTA(半紙!$B$11:$B$310),INDEX(半紙!$J$11:$J$310,797),IF(797&lt;=COUNTA(半紙!$B$11:$B$310)+COUNTA(条幅!$B$11:$B$310),INDEX(条幅!$J$11:$J$310,797-COUNTA(半紙!$B$11:$B$310)),IF(797&lt;=COUNTA(半紙!$B$11:$B$310)+COUNTA(条幅!$B$11:$B$310)+COUNTA(条幅4分の1!$B$11:$B$310),INDEX(条幅4分の1!$J$11:$J$310,797-COUNTA(半紙!$B$11:$B$310)-COUNTA(条幅!$B$11:$B$310)),""))))</f>
        <v/>
      </c>
      <c r="K802" s="38" t="str">
        <f>IF(IF(797&lt;=COUNTA(半紙!$B$11:$B$310),INDEX(半紙!$K$11:$K$310,797),IF(797&lt;=COUNTA(半紙!$B$11:$B$310)+COUNTA(条幅!$B$11:$B$310),INDEX(条幅!$K$11:$K$310,797-COUNTA(半紙!$B$11:$B$310)),IF(797&lt;=COUNTA(半紙!$B$11:$B$310)+COUNTA(条幅!$B$11:$B$310)+COUNTA(条幅4分の1!$B$11:$B$310),INDEX(条幅4分の1!$K$11:$K$310,797-COUNTA(半紙!$B$11:$B$310)-COUNTA(条幅!$B$11:$B$310)),"")))=0,"",IF(797&lt;=COUNTA(半紙!$B$11:$B$310),INDEX(半紙!$K$11:$K$310,797),IF(797&lt;=COUNTA(半紙!$B$11:$B$310)+COUNTA(条幅!$B$11:$B$310),INDEX(条幅!$K$11:$K$310,797-COUNTA(半紙!$B$11:$B$310)),IF(797&lt;=COUNTA(半紙!$B$11:$B$310)+COUNTA(条幅!$B$11:$B$310)+COUNTA(条幅4分の1!$B$11:$B$310),INDEX(条幅4分の1!$K$11:$K$310,797-COUNTA(半紙!$B$11:$B$310)-COUNTA(条幅!$B$11:$B$310)),""))))</f>
        <v/>
      </c>
      <c r="L802" s="48" t="str">
        <f>IF($B802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797))</f>
        <v/>
      </c>
    </row>
    <row r="803" spans="1:12" ht="15" customHeight="1">
      <c r="A803" s="37" t="str">
        <f>IF(798&lt;=COUNTA(半紙!$B$11:$B$310),"半紙",IF(798&lt;=COUNTA(半紙!$B$11:$B$310)+COUNTA(条幅!$B$11:$B$310),"条幅(半切)",IF(798&lt;=COUNTA(半紙!$B$11:$B$310)+COUNTA(条幅!$B$11:$B$310)+COUNTA(条幅4分の1!$B$11:$B$310),"条幅(1/4)","")))</f>
        <v/>
      </c>
      <c r="B803" s="38" t="str">
        <f>IF(IF(798&lt;=COUNTA(半紙!$B$11:$B$310),INDEX(半紙!$B$11:$B$310,798),IF(798&lt;=COUNTA(半紙!$B$11:$B$310)+COUNTA(条幅!$B$11:$B$310),INDEX(条幅!$B$11:$B$310,798-COUNTA(半紙!$B$11:$B$310)),IF(798&lt;=COUNTA(半紙!$B$11:$B$310)+COUNTA(条幅!$B$11:$B$310)+COUNTA(条幅4分の1!$B$11:$B$310),INDEX(条幅4分の1!$B$11:$B$310,798-COUNTA(半紙!$B$11:$B$310)-COUNTA(条幅!$B$11:$B$310)),"")))=0,"",IF(798&lt;=COUNTA(半紙!$B$11:$B$310),INDEX(半紙!$B$11:$B$310,798),IF(798&lt;=COUNTA(半紙!$B$11:$B$310)+COUNTA(条幅!$B$11:$B$310),INDEX(条幅!$B$11:$B$310,798-COUNTA(半紙!$B$11:$B$310)),IF(798&lt;=COUNTA(半紙!$B$11:$B$310)+COUNTA(条幅!$B$11:$B$310)+COUNTA(条幅4分の1!$B$11:$B$310),INDEX(条幅4分の1!$B$11:$B$310,798-COUNTA(半紙!$B$11:$B$310)-COUNTA(条幅!$B$11:$B$310)),""))))</f>
        <v/>
      </c>
      <c r="C803" s="38" t="str">
        <f>IF(IF(798&lt;=COUNTA(半紙!$B$11:$B$310),INDEX(半紙!$C$11:$C$310,798),IF(798&lt;=COUNTA(半紙!$B$11:$B$310)+COUNTA(条幅!$B$11:$B$310),INDEX(条幅!$C$11:$C$310,798-COUNTA(半紙!$B$11:$B$310)),IF(798&lt;=COUNTA(半紙!$B$11:$B$310)+COUNTA(条幅!$B$11:$B$310)+COUNTA(条幅4分の1!$B$11:$B$310),INDEX(条幅4分の1!$C$11:$C$310,798-COUNTA(半紙!$B$11:$B$310)-COUNTA(条幅!$B$11:$B$310)),"")))=0,"",IF(798&lt;=COUNTA(半紙!$B$11:$B$310),INDEX(半紙!$C$11:$C$310,798),IF(798&lt;=COUNTA(半紙!$B$11:$B$310)+COUNTA(条幅!$B$11:$B$310),INDEX(条幅!$C$11:$C$310,798-COUNTA(半紙!$B$11:$B$310)),IF(798&lt;=COUNTA(半紙!$B$11:$B$310)+COUNTA(条幅!$B$11:$B$310)+COUNTA(条幅4分の1!$B$11:$B$310),INDEX(条幅4分の1!$C$11:$C$310,798-COUNTA(半紙!$B$11:$B$310)-COUNTA(条幅!$B$11:$B$310)),""))))</f>
        <v/>
      </c>
      <c r="D803" s="38" t="str">
        <f>IF(IF(798&lt;=COUNTA(半紙!$B$11:$B$310),INDEX(半紙!$D$11:$D$310,798),IF(798&lt;=COUNTA(半紙!$B$11:$B$310)+COUNTA(条幅!$B$11:$B$310),INDEX(条幅!$D$11:$D$310,798-COUNTA(半紙!$B$11:$B$310)),IF(798&lt;=COUNTA(半紙!$B$11:$B$310)+COUNTA(条幅!$B$11:$B$310)+COUNTA(条幅4分の1!$B$11:$B$310),INDEX(条幅4分の1!$D$11:$D$310,798-COUNTA(半紙!$B$11:$B$310)-COUNTA(条幅!$B$11:$B$310)),"")))=0,"",IF(798&lt;=COUNTA(半紙!$B$11:$B$310),INDEX(半紙!$D$11:$D$310,798),IF(798&lt;=COUNTA(半紙!$B$11:$B$310)+COUNTA(条幅!$B$11:$B$310),INDEX(条幅!$D$11:$D$310,798-COUNTA(半紙!$B$11:$B$310)),IF(798&lt;=COUNTA(半紙!$B$11:$B$310)+COUNTA(条幅!$B$11:$B$310)+COUNTA(条幅4分の1!$B$11:$B$310),INDEX(条幅4分の1!$D$11:$D$310,798-COUNTA(半紙!$B$11:$B$310)-COUNTA(条幅!$B$11:$B$310)),""))))</f>
        <v/>
      </c>
      <c r="E803" s="38" t="str">
        <f>IF(IF(798&lt;=COUNTA(半紙!$B$11:$B$310),INDEX(半紙!$E$11:$E$310,798),IF(798&lt;=COUNTA(半紙!$B$11:$B$310)+COUNTA(条幅!$B$11:$B$310),INDEX(条幅!$E$11:$E$310,798-COUNTA(半紙!$B$11:$B$310)),IF(798&lt;=COUNTA(半紙!$B$11:$B$310)+COUNTA(条幅!$B$11:$B$310)+COUNTA(条幅4分の1!$B$11:$B$310),INDEX(条幅4分の1!$E$11:$E$310,798-COUNTA(半紙!$B$11:$B$310)-COUNTA(条幅!$B$11:$B$310)),"")))=0,"",IF(798&lt;=COUNTA(半紙!$B$11:$B$310),INDEX(半紙!$E$11:$E$310,798),IF(798&lt;=COUNTA(半紙!$B$11:$B$310)+COUNTA(条幅!$B$11:$B$310),INDEX(条幅!$E$11:$E$310,798-COUNTA(半紙!$B$11:$B$310)),IF(798&lt;=COUNTA(半紙!$B$11:$B$310)+COUNTA(条幅!$B$11:$B$310)+COUNTA(条幅4分の1!$B$11:$B$310),INDEX(条幅4分の1!$E$11:$E$310,798-COUNTA(半紙!$B$11:$B$310)-COUNTA(条幅!$B$11:$B$310)),""))))</f>
        <v/>
      </c>
      <c r="F803" s="38" t="str">
        <f>IF(IF(798&lt;=COUNTA(半紙!$B$11:$B$310),INDEX(半紙!$F$11:$F$310,798),IF(798&lt;=COUNTA(半紙!$B$11:$B$310)+COUNTA(条幅!$B$11:$B$310),INDEX(条幅!$F$11:$F$310,798-COUNTA(半紙!$B$11:$B$310)),IF(798&lt;=COUNTA(半紙!$B$11:$B$310)+COUNTA(条幅!$B$11:$B$310)+COUNTA(条幅4分の1!$B$11:$B$310),INDEX(条幅4分の1!$F$11:$F$310,798-COUNTA(半紙!$B$11:$B$310)-COUNTA(条幅!$B$11:$B$310)),"")))=0,"",IF(798&lt;=COUNTA(半紙!$B$11:$B$310),INDEX(半紙!$F$11:$F$310,798),IF(798&lt;=COUNTA(半紙!$B$11:$B$310)+COUNTA(条幅!$B$11:$B$310),INDEX(条幅!$F$11:$F$310,798-COUNTA(半紙!$B$11:$B$310)),IF(798&lt;=COUNTA(半紙!$B$11:$B$310)+COUNTA(条幅!$B$11:$B$310)+COUNTA(条幅4分の1!$B$11:$B$310),INDEX(条幅4分の1!$F$11:$F$310,798-COUNTA(半紙!$B$11:$B$310)-COUNTA(条幅!$B$11:$B$310)),""))))</f>
        <v/>
      </c>
      <c r="G803" s="38" t="str">
        <f>IF(IF(798&lt;=COUNTA(半紙!$B$11:$B$310),INDEX(半紙!$G$11:$G$310,798),IF(798&lt;=COUNTA(半紙!$B$11:$B$310)+COUNTA(条幅!$B$11:$B$310),INDEX(条幅!$G$11:$G$310,798-COUNTA(半紙!$B$11:$B$310)),IF(798&lt;=COUNTA(半紙!$B$11:$B$310)+COUNTA(条幅!$B$11:$B$310)+COUNTA(条幅4分の1!$B$11:$B$310),INDEX(条幅4分の1!$G$11:$G$310,798-COUNTA(半紙!$B$11:$B$310)-COUNTA(条幅!$B$11:$B$310)),"")))=0,"",IF(798&lt;=COUNTA(半紙!$B$11:$B$310),INDEX(半紙!$G$11:$G$310,798),IF(798&lt;=COUNTA(半紙!$B$11:$B$310)+COUNTA(条幅!$B$11:$B$310),INDEX(条幅!$G$11:$G$310,798-COUNTA(半紙!$B$11:$B$310)),IF(798&lt;=COUNTA(半紙!$B$11:$B$310)+COUNTA(条幅!$B$11:$B$310)+COUNTA(条幅4分の1!$B$11:$B$310),INDEX(条幅4分の1!$G$11:$G$310,798-COUNTA(半紙!$B$11:$B$310)-COUNTA(条幅!$B$11:$B$310)),""))))</f>
        <v/>
      </c>
      <c r="H803" s="38" t="str">
        <f>IF(IF(798&lt;=COUNTA(半紙!$B$11:$B$310),INDEX(半紙!$H$11:$H$310,798),IF(798&lt;=COUNTA(半紙!$B$11:$B$310)+COUNTA(条幅!$B$11:$B$310),INDEX(条幅!$H$11:$H$310,798-COUNTA(半紙!$B$11:$B$310)),IF(798&lt;=COUNTA(半紙!$B$11:$B$310)+COUNTA(条幅!$B$11:$B$310)+COUNTA(条幅4分の1!$B$11:$B$310),INDEX(条幅4分の1!$H$11:$H$310,798-COUNTA(半紙!$B$11:$B$310)-COUNTA(条幅!$B$11:$B$310)),"")))=0,"",IF(798&lt;=COUNTA(半紙!$B$11:$B$310),INDEX(半紙!$H$11:$H$310,798),IF(798&lt;=COUNTA(半紙!$B$11:$B$310)+COUNTA(条幅!$B$11:$B$310),INDEX(条幅!$H$11:$H$310,798-COUNTA(半紙!$B$11:$B$310)),IF(798&lt;=COUNTA(半紙!$B$11:$B$310)+COUNTA(条幅!$B$11:$B$310)+COUNTA(条幅4分の1!$B$11:$B$310),INDEX(条幅4分の1!$H$11:$H$310,798-COUNTA(半紙!$B$11:$B$310)-COUNTA(条幅!$B$11:$B$310)),""))))</f>
        <v/>
      </c>
      <c r="I803" s="38" t="str">
        <f>IF(IF(798&lt;=COUNTA(半紙!$B$11:$B$310),INDEX(半紙!$I$11:$I$310,798),IF(798&lt;=COUNTA(半紙!$B$11:$B$310)+COUNTA(条幅!$B$11:$B$310),INDEX(条幅!$I$11:$I$310,798-COUNTA(半紙!$B$11:$B$310)),IF(798&lt;=COUNTA(半紙!$B$11:$B$310)+COUNTA(条幅!$B$11:$B$310)+COUNTA(条幅4分の1!$B$11:$B$310),INDEX(条幅4分の1!$I$11:$I$310,798-COUNTA(半紙!$B$11:$B$310)-COUNTA(条幅!$B$11:$B$310)),"")))=0,"",IF(798&lt;=COUNTA(半紙!$B$11:$B$310),INDEX(半紙!$I$11:$I$310,798),IF(798&lt;=COUNTA(半紙!$B$11:$B$310)+COUNTA(条幅!$B$11:$B$310),INDEX(条幅!$I$11:$I$310,798-COUNTA(半紙!$B$11:$B$310)),IF(798&lt;=COUNTA(半紙!$B$11:$B$310)+COUNTA(条幅!$B$11:$B$310)+COUNTA(条幅4分の1!$B$11:$B$310),INDEX(条幅4分の1!$I$11:$I$310,798-COUNTA(半紙!$B$11:$B$310)-COUNTA(条幅!$B$11:$B$310)),""))))</f>
        <v/>
      </c>
      <c r="J803" s="38" t="str">
        <f>IF(IF(798&lt;=COUNTA(半紙!$B$11:$B$310),INDEX(半紙!$J$11:$J$310,798),IF(798&lt;=COUNTA(半紙!$B$11:$B$310)+COUNTA(条幅!$B$11:$B$310),INDEX(条幅!$J$11:$J$310,798-COUNTA(半紙!$B$11:$B$310)),IF(798&lt;=COUNTA(半紙!$B$11:$B$310)+COUNTA(条幅!$B$11:$B$310)+COUNTA(条幅4分の1!$B$11:$B$310),INDEX(条幅4分の1!$J$11:$J$310,798-COUNTA(半紙!$B$11:$B$310)-COUNTA(条幅!$B$11:$B$310)),"")))=0,"",IF(798&lt;=COUNTA(半紙!$B$11:$B$310),INDEX(半紙!$J$11:$J$310,798),IF(798&lt;=COUNTA(半紙!$B$11:$B$310)+COUNTA(条幅!$B$11:$B$310),INDEX(条幅!$J$11:$J$310,798-COUNTA(半紙!$B$11:$B$310)),IF(798&lt;=COUNTA(半紙!$B$11:$B$310)+COUNTA(条幅!$B$11:$B$310)+COUNTA(条幅4分の1!$B$11:$B$310),INDEX(条幅4分の1!$J$11:$J$310,798-COUNTA(半紙!$B$11:$B$310)-COUNTA(条幅!$B$11:$B$310)),""))))</f>
        <v/>
      </c>
      <c r="K803" s="38" t="str">
        <f>IF(IF(798&lt;=COUNTA(半紙!$B$11:$B$310),INDEX(半紙!$K$11:$K$310,798),IF(798&lt;=COUNTA(半紙!$B$11:$B$310)+COUNTA(条幅!$B$11:$B$310),INDEX(条幅!$K$11:$K$310,798-COUNTA(半紙!$B$11:$B$310)),IF(798&lt;=COUNTA(半紙!$B$11:$B$310)+COUNTA(条幅!$B$11:$B$310)+COUNTA(条幅4分の1!$B$11:$B$310),INDEX(条幅4分の1!$K$11:$K$310,798-COUNTA(半紙!$B$11:$B$310)-COUNTA(条幅!$B$11:$B$310)),"")))=0,"",IF(798&lt;=COUNTA(半紙!$B$11:$B$310),INDEX(半紙!$K$11:$K$310,798),IF(798&lt;=COUNTA(半紙!$B$11:$B$310)+COUNTA(条幅!$B$11:$B$310),INDEX(条幅!$K$11:$K$310,798-COUNTA(半紙!$B$11:$B$310)),IF(798&lt;=COUNTA(半紙!$B$11:$B$310)+COUNTA(条幅!$B$11:$B$310)+COUNTA(条幅4分の1!$B$11:$B$310),INDEX(条幅4分の1!$K$11:$K$310,798-COUNTA(半紙!$B$11:$B$310)-COUNTA(条幅!$B$11:$B$310)),""))))</f>
        <v/>
      </c>
      <c r="L803" s="48" t="str">
        <f>IF($B803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798))</f>
        <v/>
      </c>
    </row>
    <row r="804" spans="1:12" ht="15" customHeight="1">
      <c r="A804" s="37" t="str">
        <f>IF(799&lt;=COUNTA(半紙!$B$11:$B$310),"半紙",IF(799&lt;=COUNTA(半紙!$B$11:$B$310)+COUNTA(条幅!$B$11:$B$310),"条幅(半切)",IF(799&lt;=COUNTA(半紙!$B$11:$B$310)+COUNTA(条幅!$B$11:$B$310)+COUNTA(条幅4分の1!$B$11:$B$310),"条幅(1/4)","")))</f>
        <v/>
      </c>
      <c r="B804" s="38" t="str">
        <f>IF(IF(799&lt;=COUNTA(半紙!$B$11:$B$310),INDEX(半紙!$B$11:$B$310,799),IF(799&lt;=COUNTA(半紙!$B$11:$B$310)+COUNTA(条幅!$B$11:$B$310),INDEX(条幅!$B$11:$B$310,799-COUNTA(半紙!$B$11:$B$310)),IF(799&lt;=COUNTA(半紙!$B$11:$B$310)+COUNTA(条幅!$B$11:$B$310)+COUNTA(条幅4分の1!$B$11:$B$310),INDEX(条幅4分の1!$B$11:$B$310,799-COUNTA(半紙!$B$11:$B$310)-COUNTA(条幅!$B$11:$B$310)),"")))=0,"",IF(799&lt;=COUNTA(半紙!$B$11:$B$310),INDEX(半紙!$B$11:$B$310,799),IF(799&lt;=COUNTA(半紙!$B$11:$B$310)+COUNTA(条幅!$B$11:$B$310),INDEX(条幅!$B$11:$B$310,799-COUNTA(半紙!$B$11:$B$310)),IF(799&lt;=COUNTA(半紙!$B$11:$B$310)+COUNTA(条幅!$B$11:$B$310)+COUNTA(条幅4分の1!$B$11:$B$310),INDEX(条幅4分の1!$B$11:$B$310,799-COUNTA(半紙!$B$11:$B$310)-COUNTA(条幅!$B$11:$B$310)),""))))</f>
        <v/>
      </c>
      <c r="C804" s="38" t="str">
        <f>IF(IF(799&lt;=COUNTA(半紙!$B$11:$B$310),INDEX(半紙!$C$11:$C$310,799),IF(799&lt;=COUNTA(半紙!$B$11:$B$310)+COUNTA(条幅!$B$11:$B$310),INDEX(条幅!$C$11:$C$310,799-COUNTA(半紙!$B$11:$B$310)),IF(799&lt;=COUNTA(半紙!$B$11:$B$310)+COUNTA(条幅!$B$11:$B$310)+COUNTA(条幅4分の1!$B$11:$B$310),INDEX(条幅4分の1!$C$11:$C$310,799-COUNTA(半紙!$B$11:$B$310)-COUNTA(条幅!$B$11:$B$310)),"")))=0,"",IF(799&lt;=COUNTA(半紙!$B$11:$B$310),INDEX(半紙!$C$11:$C$310,799),IF(799&lt;=COUNTA(半紙!$B$11:$B$310)+COUNTA(条幅!$B$11:$B$310),INDEX(条幅!$C$11:$C$310,799-COUNTA(半紙!$B$11:$B$310)),IF(799&lt;=COUNTA(半紙!$B$11:$B$310)+COUNTA(条幅!$B$11:$B$310)+COUNTA(条幅4分の1!$B$11:$B$310),INDEX(条幅4分の1!$C$11:$C$310,799-COUNTA(半紙!$B$11:$B$310)-COUNTA(条幅!$B$11:$B$310)),""))))</f>
        <v/>
      </c>
      <c r="D804" s="38" t="str">
        <f>IF(IF(799&lt;=COUNTA(半紙!$B$11:$B$310),INDEX(半紙!$D$11:$D$310,799),IF(799&lt;=COUNTA(半紙!$B$11:$B$310)+COUNTA(条幅!$B$11:$B$310),INDEX(条幅!$D$11:$D$310,799-COUNTA(半紙!$B$11:$B$310)),IF(799&lt;=COUNTA(半紙!$B$11:$B$310)+COUNTA(条幅!$B$11:$B$310)+COUNTA(条幅4分の1!$B$11:$B$310),INDEX(条幅4分の1!$D$11:$D$310,799-COUNTA(半紙!$B$11:$B$310)-COUNTA(条幅!$B$11:$B$310)),"")))=0,"",IF(799&lt;=COUNTA(半紙!$B$11:$B$310),INDEX(半紙!$D$11:$D$310,799),IF(799&lt;=COUNTA(半紙!$B$11:$B$310)+COUNTA(条幅!$B$11:$B$310),INDEX(条幅!$D$11:$D$310,799-COUNTA(半紙!$B$11:$B$310)),IF(799&lt;=COUNTA(半紙!$B$11:$B$310)+COUNTA(条幅!$B$11:$B$310)+COUNTA(条幅4分の1!$B$11:$B$310),INDEX(条幅4分の1!$D$11:$D$310,799-COUNTA(半紙!$B$11:$B$310)-COUNTA(条幅!$B$11:$B$310)),""))))</f>
        <v/>
      </c>
      <c r="E804" s="38" t="str">
        <f>IF(IF(799&lt;=COUNTA(半紙!$B$11:$B$310),INDEX(半紙!$E$11:$E$310,799),IF(799&lt;=COUNTA(半紙!$B$11:$B$310)+COUNTA(条幅!$B$11:$B$310),INDEX(条幅!$E$11:$E$310,799-COUNTA(半紙!$B$11:$B$310)),IF(799&lt;=COUNTA(半紙!$B$11:$B$310)+COUNTA(条幅!$B$11:$B$310)+COUNTA(条幅4分の1!$B$11:$B$310),INDEX(条幅4分の1!$E$11:$E$310,799-COUNTA(半紙!$B$11:$B$310)-COUNTA(条幅!$B$11:$B$310)),"")))=0,"",IF(799&lt;=COUNTA(半紙!$B$11:$B$310),INDEX(半紙!$E$11:$E$310,799),IF(799&lt;=COUNTA(半紙!$B$11:$B$310)+COUNTA(条幅!$B$11:$B$310),INDEX(条幅!$E$11:$E$310,799-COUNTA(半紙!$B$11:$B$310)),IF(799&lt;=COUNTA(半紙!$B$11:$B$310)+COUNTA(条幅!$B$11:$B$310)+COUNTA(条幅4分の1!$B$11:$B$310),INDEX(条幅4分の1!$E$11:$E$310,799-COUNTA(半紙!$B$11:$B$310)-COUNTA(条幅!$B$11:$B$310)),""))))</f>
        <v/>
      </c>
      <c r="F804" s="38" t="str">
        <f>IF(IF(799&lt;=COUNTA(半紙!$B$11:$B$310),INDEX(半紙!$F$11:$F$310,799),IF(799&lt;=COUNTA(半紙!$B$11:$B$310)+COUNTA(条幅!$B$11:$B$310),INDEX(条幅!$F$11:$F$310,799-COUNTA(半紙!$B$11:$B$310)),IF(799&lt;=COUNTA(半紙!$B$11:$B$310)+COUNTA(条幅!$B$11:$B$310)+COUNTA(条幅4分の1!$B$11:$B$310),INDEX(条幅4分の1!$F$11:$F$310,799-COUNTA(半紙!$B$11:$B$310)-COUNTA(条幅!$B$11:$B$310)),"")))=0,"",IF(799&lt;=COUNTA(半紙!$B$11:$B$310),INDEX(半紙!$F$11:$F$310,799),IF(799&lt;=COUNTA(半紙!$B$11:$B$310)+COUNTA(条幅!$B$11:$B$310),INDEX(条幅!$F$11:$F$310,799-COUNTA(半紙!$B$11:$B$310)),IF(799&lt;=COUNTA(半紙!$B$11:$B$310)+COUNTA(条幅!$B$11:$B$310)+COUNTA(条幅4分の1!$B$11:$B$310),INDEX(条幅4分の1!$F$11:$F$310,799-COUNTA(半紙!$B$11:$B$310)-COUNTA(条幅!$B$11:$B$310)),""))))</f>
        <v/>
      </c>
      <c r="G804" s="38" t="str">
        <f>IF(IF(799&lt;=COUNTA(半紙!$B$11:$B$310),INDEX(半紙!$G$11:$G$310,799),IF(799&lt;=COUNTA(半紙!$B$11:$B$310)+COUNTA(条幅!$B$11:$B$310),INDEX(条幅!$G$11:$G$310,799-COUNTA(半紙!$B$11:$B$310)),IF(799&lt;=COUNTA(半紙!$B$11:$B$310)+COUNTA(条幅!$B$11:$B$310)+COUNTA(条幅4分の1!$B$11:$B$310),INDEX(条幅4分の1!$G$11:$G$310,799-COUNTA(半紙!$B$11:$B$310)-COUNTA(条幅!$B$11:$B$310)),"")))=0,"",IF(799&lt;=COUNTA(半紙!$B$11:$B$310),INDEX(半紙!$G$11:$G$310,799),IF(799&lt;=COUNTA(半紙!$B$11:$B$310)+COUNTA(条幅!$B$11:$B$310),INDEX(条幅!$G$11:$G$310,799-COUNTA(半紙!$B$11:$B$310)),IF(799&lt;=COUNTA(半紙!$B$11:$B$310)+COUNTA(条幅!$B$11:$B$310)+COUNTA(条幅4分の1!$B$11:$B$310),INDEX(条幅4分の1!$G$11:$G$310,799-COUNTA(半紙!$B$11:$B$310)-COUNTA(条幅!$B$11:$B$310)),""))))</f>
        <v/>
      </c>
      <c r="H804" s="38" t="str">
        <f>IF(IF(799&lt;=COUNTA(半紙!$B$11:$B$310),INDEX(半紙!$H$11:$H$310,799),IF(799&lt;=COUNTA(半紙!$B$11:$B$310)+COUNTA(条幅!$B$11:$B$310),INDEX(条幅!$H$11:$H$310,799-COUNTA(半紙!$B$11:$B$310)),IF(799&lt;=COUNTA(半紙!$B$11:$B$310)+COUNTA(条幅!$B$11:$B$310)+COUNTA(条幅4分の1!$B$11:$B$310),INDEX(条幅4分の1!$H$11:$H$310,799-COUNTA(半紙!$B$11:$B$310)-COUNTA(条幅!$B$11:$B$310)),"")))=0,"",IF(799&lt;=COUNTA(半紙!$B$11:$B$310),INDEX(半紙!$H$11:$H$310,799),IF(799&lt;=COUNTA(半紙!$B$11:$B$310)+COUNTA(条幅!$B$11:$B$310),INDEX(条幅!$H$11:$H$310,799-COUNTA(半紙!$B$11:$B$310)),IF(799&lt;=COUNTA(半紙!$B$11:$B$310)+COUNTA(条幅!$B$11:$B$310)+COUNTA(条幅4分の1!$B$11:$B$310),INDEX(条幅4分の1!$H$11:$H$310,799-COUNTA(半紙!$B$11:$B$310)-COUNTA(条幅!$B$11:$B$310)),""))))</f>
        <v/>
      </c>
      <c r="I804" s="38" t="str">
        <f>IF(IF(799&lt;=COUNTA(半紙!$B$11:$B$310),INDEX(半紙!$I$11:$I$310,799),IF(799&lt;=COUNTA(半紙!$B$11:$B$310)+COUNTA(条幅!$B$11:$B$310),INDEX(条幅!$I$11:$I$310,799-COUNTA(半紙!$B$11:$B$310)),IF(799&lt;=COUNTA(半紙!$B$11:$B$310)+COUNTA(条幅!$B$11:$B$310)+COUNTA(条幅4分の1!$B$11:$B$310),INDEX(条幅4分の1!$I$11:$I$310,799-COUNTA(半紙!$B$11:$B$310)-COUNTA(条幅!$B$11:$B$310)),"")))=0,"",IF(799&lt;=COUNTA(半紙!$B$11:$B$310),INDEX(半紙!$I$11:$I$310,799),IF(799&lt;=COUNTA(半紙!$B$11:$B$310)+COUNTA(条幅!$B$11:$B$310),INDEX(条幅!$I$11:$I$310,799-COUNTA(半紙!$B$11:$B$310)),IF(799&lt;=COUNTA(半紙!$B$11:$B$310)+COUNTA(条幅!$B$11:$B$310)+COUNTA(条幅4分の1!$B$11:$B$310),INDEX(条幅4分の1!$I$11:$I$310,799-COUNTA(半紙!$B$11:$B$310)-COUNTA(条幅!$B$11:$B$310)),""))))</f>
        <v/>
      </c>
      <c r="J804" s="38" t="str">
        <f>IF(IF(799&lt;=COUNTA(半紙!$B$11:$B$310),INDEX(半紙!$J$11:$J$310,799),IF(799&lt;=COUNTA(半紙!$B$11:$B$310)+COUNTA(条幅!$B$11:$B$310),INDEX(条幅!$J$11:$J$310,799-COUNTA(半紙!$B$11:$B$310)),IF(799&lt;=COUNTA(半紙!$B$11:$B$310)+COUNTA(条幅!$B$11:$B$310)+COUNTA(条幅4分の1!$B$11:$B$310),INDEX(条幅4分の1!$J$11:$J$310,799-COUNTA(半紙!$B$11:$B$310)-COUNTA(条幅!$B$11:$B$310)),"")))=0,"",IF(799&lt;=COUNTA(半紙!$B$11:$B$310),INDEX(半紙!$J$11:$J$310,799),IF(799&lt;=COUNTA(半紙!$B$11:$B$310)+COUNTA(条幅!$B$11:$B$310),INDEX(条幅!$J$11:$J$310,799-COUNTA(半紙!$B$11:$B$310)),IF(799&lt;=COUNTA(半紙!$B$11:$B$310)+COUNTA(条幅!$B$11:$B$310)+COUNTA(条幅4分の1!$B$11:$B$310),INDEX(条幅4分の1!$J$11:$J$310,799-COUNTA(半紙!$B$11:$B$310)-COUNTA(条幅!$B$11:$B$310)),""))))</f>
        <v/>
      </c>
      <c r="K804" s="38" t="str">
        <f>IF(IF(799&lt;=COUNTA(半紙!$B$11:$B$310),INDEX(半紙!$K$11:$K$310,799),IF(799&lt;=COUNTA(半紙!$B$11:$B$310)+COUNTA(条幅!$B$11:$B$310),INDEX(条幅!$K$11:$K$310,799-COUNTA(半紙!$B$11:$B$310)),IF(799&lt;=COUNTA(半紙!$B$11:$B$310)+COUNTA(条幅!$B$11:$B$310)+COUNTA(条幅4分の1!$B$11:$B$310),INDEX(条幅4分の1!$K$11:$K$310,799-COUNTA(半紙!$B$11:$B$310)-COUNTA(条幅!$B$11:$B$310)),"")))=0,"",IF(799&lt;=COUNTA(半紙!$B$11:$B$310),INDEX(半紙!$K$11:$K$310,799),IF(799&lt;=COUNTA(半紙!$B$11:$B$310)+COUNTA(条幅!$B$11:$B$310),INDEX(条幅!$K$11:$K$310,799-COUNTA(半紙!$B$11:$B$310)),IF(799&lt;=COUNTA(半紙!$B$11:$B$310)+COUNTA(条幅!$B$11:$B$310)+COUNTA(条幅4分の1!$B$11:$B$310),INDEX(条幅4分の1!$K$11:$K$310,799-COUNTA(半紙!$B$11:$B$310)-COUNTA(条幅!$B$11:$B$310)),""))))</f>
        <v/>
      </c>
      <c r="L804" s="48" t="str">
        <f>IF($B804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799))</f>
        <v/>
      </c>
    </row>
    <row r="805" spans="1:12" ht="15" customHeight="1">
      <c r="A805" s="37" t="str">
        <f>IF(800&lt;=COUNTA(半紙!$B$11:$B$310),"半紙",IF(800&lt;=COUNTA(半紙!$B$11:$B$310)+COUNTA(条幅!$B$11:$B$310),"条幅(半切)",IF(800&lt;=COUNTA(半紙!$B$11:$B$310)+COUNTA(条幅!$B$11:$B$310)+COUNTA(条幅4分の1!$B$11:$B$310),"条幅(1/4)","")))</f>
        <v/>
      </c>
      <c r="B805" s="38" t="str">
        <f>IF(IF(800&lt;=COUNTA(半紙!$B$11:$B$310),INDEX(半紙!$B$11:$B$310,800),IF(800&lt;=COUNTA(半紙!$B$11:$B$310)+COUNTA(条幅!$B$11:$B$310),INDEX(条幅!$B$11:$B$310,800-COUNTA(半紙!$B$11:$B$310)),IF(800&lt;=COUNTA(半紙!$B$11:$B$310)+COUNTA(条幅!$B$11:$B$310)+COUNTA(条幅4分の1!$B$11:$B$310),INDEX(条幅4分の1!$B$11:$B$310,800-COUNTA(半紙!$B$11:$B$310)-COUNTA(条幅!$B$11:$B$310)),"")))=0,"",IF(800&lt;=COUNTA(半紙!$B$11:$B$310),INDEX(半紙!$B$11:$B$310,800),IF(800&lt;=COUNTA(半紙!$B$11:$B$310)+COUNTA(条幅!$B$11:$B$310),INDEX(条幅!$B$11:$B$310,800-COUNTA(半紙!$B$11:$B$310)),IF(800&lt;=COUNTA(半紙!$B$11:$B$310)+COUNTA(条幅!$B$11:$B$310)+COUNTA(条幅4分の1!$B$11:$B$310),INDEX(条幅4分の1!$B$11:$B$310,800-COUNTA(半紙!$B$11:$B$310)-COUNTA(条幅!$B$11:$B$310)),""))))</f>
        <v/>
      </c>
      <c r="C805" s="38" t="str">
        <f>IF(IF(800&lt;=COUNTA(半紙!$B$11:$B$310),INDEX(半紙!$C$11:$C$310,800),IF(800&lt;=COUNTA(半紙!$B$11:$B$310)+COUNTA(条幅!$B$11:$B$310),INDEX(条幅!$C$11:$C$310,800-COUNTA(半紙!$B$11:$B$310)),IF(800&lt;=COUNTA(半紙!$B$11:$B$310)+COUNTA(条幅!$B$11:$B$310)+COUNTA(条幅4分の1!$B$11:$B$310),INDEX(条幅4分の1!$C$11:$C$310,800-COUNTA(半紙!$B$11:$B$310)-COUNTA(条幅!$B$11:$B$310)),"")))=0,"",IF(800&lt;=COUNTA(半紙!$B$11:$B$310),INDEX(半紙!$C$11:$C$310,800),IF(800&lt;=COUNTA(半紙!$B$11:$B$310)+COUNTA(条幅!$B$11:$B$310),INDEX(条幅!$C$11:$C$310,800-COUNTA(半紙!$B$11:$B$310)),IF(800&lt;=COUNTA(半紙!$B$11:$B$310)+COUNTA(条幅!$B$11:$B$310)+COUNTA(条幅4分の1!$B$11:$B$310),INDEX(条幅4分の1!$C$11:$C$310,800-COUNTA(半紙!$B$11:$B$310)-COUNTA(条幅!$B$11:$B$310)),""))))</f>
        <v/>
      </c>
      <c r="D805" s="38" t="str">
        <f>IF(IF(800&lt;=COUNTA(半紙!$B$11:$B$310),INDEX(半紙!$D$11:$D$310,800),IF(800&lt;=COUNTA(半紙!$B$11:$B$310)+COUNTA(条幅!$B$11:$B$310),INDEX(条幅!$D$11:$D$310,800-COUNTA(半紙!$B$11:$B$310)),IF(800&lt;=COUNTA(半紙!$B$11:$B$310)+COUNTA(条幅!$B$11:$B$310)+COUNTA(条幅4分の1!$B$11:$B$310),INDEX(条幅4分の1!$D$11:$D$310,800-COUNTA(半紙!$B$11:$B$310)-COUNTA(条幅!$B$11:$B$310)),"")))=0,"",IF(800&lt;=COUNTA(半紙!$B$11:$B$310),INDEX(半紙!$D$11:$D$310,800),IF(800&lt;=COUNTA(半紙!$B$11:$B$310)+COUNTA(条幅!$B$11:$B$310),INDEX(条幅!$D$11:$D$310,800-COUNTA(半紙!$B$11:$B$310)),IF(800&lt;=COUNTA(半紙!$B$11:$B$310)+COUNTA(条幅!$B$11:$B$310)+COUNTA(条幅4分の1!$B$11:$B$310),INDEX(条幅4分の1!$D$11:$D$310,800-COUNTA(半紙!$B$11:$B$310)-COUNTA(条幅!$B$11:$B$310)),""))))</f>
        <v/>
      </c>
      <c r="E805" s="38" t="str">
        <f>IF(IF(800&lt;=COUNTA(半紙!$B$11:$B$310),INDEX(半紙!$E$11:$E$310,800),IF(800&lt;=COUNTA(半紙!$B$11:$B$310)+COUNTA(条幅!$B$11:$B$310),INDEX(条幅!$E$11:$E$310,800-COUNTA(半紙!$B$11:$B$310)),IF(800&lt;=COUNTA(半紙!$B$11:$B$310)+COUNTA(条幅!$B$11:$B$310)+COUNTA(条幅4分の1!$B$11:$B$310),INDEX(条幅4分の1!$E$11:$E$310,800-COUNTA(半紙!$B$11:$B$310)-COUNTA(条幅!$B$11:$B$310)),"")))=0,"",IF(800&lt;=COUNTA(半紙!$B$11:$B$310),INDEX(半紙!$E$11:$E$310,800),IF(800&lt;=COUNTA(半紙!$B$11:$B$310)+COUNTA(条幅!$B$11:$B$310),INDEX(条幅!$E$11:$E$310,800-COUNTA(半紙!$B$11:$B$310)),IF(800&lt;=COUNTA(半紙!$B$11:$B$310)+COUNTA(条幅!$B$11:$B$310)+COUNTA(条幅4分の1!$B$11:$B$310),INDEX(条幅4分の1!$E$11:$E$310,800-COUNTA(半紙!$B$11:$B$310)-COUNTA(条幅!$B$11:$B$310)),""))))</f>
        <v/>
      </c>
      <c r="F805" s="38" t="str">
        <f>IF(IF(800&lt;=COUNTA(半紙!$B$11:$B$310),INDEX(半紙!$F$11:$F$310,800),IF(800&lt;=COUNTA(半紙!$B$11:$B$310)+COUNTA(条幅!$B$11:$B$310),INDEX(条幅!$F$11:$F$310,800-COUNTA(半紙!$B$11:$B$310)),IF(800&lt;=COUNTA(半紙!$B$11:$B$310)+COUNTA(条幅!$B$11:$B$310)+COUNTA(条幅4分の1!$B$11:$B$310),INDEX(条幅4分の1!$F$11:$F$310,800-COUNTA(半紙!$B$11:$B$310)-COUNTA(条幅!$B$11:$B$310)),"")))=0,"",IF(800&lt;=COUNTA(半紙!$B$11:$B$310),INDEX(半紙!$F$11:$F$310,800),IF(800&lt;=COUNTA(半紙!$B$11:$B$310)+COUNTA(条幅!$B$11:$B$310),INDEX(条幅!$F$11:$F$310,800-COUNTA(半紙!$B$11:$B$310)),IF(800&lt;=COUNTA(半紙!$B$11:$B$310)+COUNTA(条幅!$B$11:$B$310)+COUNTA(条幅4分の1!$B$11:$B$310),INDEX(条幅4分の1!$F$11:$F$310,800-COUNTA(半紙!$B$11:$B$310)-COUNTA(条幅!$B$11:$B$310)),""))))</f>
        <v/>
      </c>
      <c r="G805" s="38" t="str">
        <f>IF(IF(800&lt;=COUNTA(半紙!$B$11:$B$310),INDEX(半紙!$G$11:$G$310,800),IF(800&lt;=COUNTA(半紙!$B$11:$B$310)+COUNTA(条幅!$B$11:$B$310),INDEX(条幅!$G$11:$G$310,800-COUNTA(半紙!$B$11:$B$310)),IF(800&lt;=COUNTA(半紙!$B$11:$B$310)+COUNTA(条幅!$B$11:$B$310)+COUNTA(条幅4分の1!$B$11:$B$310),INDEX(条幅4分の1!$G$11:$G$310,800-COUNTA(半紙!$B$11:$B$310)-COUNTA(条幅!$B$11:$B$310)),"")))=0,"",IF(800&lt;=COUNTA(半紙!$B$11:$B$310),INDEX(半紙!$G$11:$G$310,800),IF(800&lt;=COUNTA(半紙!$B$11:$B$310)+COUNTA(条幅!$B$11:$B$310),INDEX(条幅!$G$11:$G$310,800-COUNTA(半紙!$B$11:$B$310)),IF(800&lt;=COUNTA(半紙!$B$11:$B$310)+COUNTA(条幅!$B$11:$B$310)+COUNTA(条幅4分の1!$B$11:$B$310),INDEX(条幅4分の1!$G$11:$G$310,800-COUNTA(半紙!$B$11:$B$310)-COUNTA(条幅!$B$11:$B$310)),""))))</f>
        <v/>
      </c>
      <c r="H805" s="38" t="str">
        <f>IF(IF(800&lt;=COUNTA(半紙!$B$11:$B$310),INDEX(半紙!$H$11:$H$310,800),IF(800&lt;=COUNTA(半紙!$B$11:$B$310)+COUNTA(条幅!$B$11:$B$310),INDEX(条幅!$H$11:$H$310,800-COUNTA(半紙!$B$11:$B$310)),IF(800&lt;=COUNTA(半紙!$B$11:$B$310)+COUNTA(条幅!$B$11:$B$310)+COUNTA(条幅4分の1!$B$11:$B$310),INDEX(条幅4分の1!$H$11:$H$310,800-COUNTA(半紙!$B$11:$B$310)-COUNTA(条幅!$B$11:$B$310)),"")))=0,"",IF(800&lt;=COUNTA(半紙!$B$11:$B$310),INDEX(半紙!$H$11:$H$310,800),IF(800&lt;=COUNTA(半紙!$B$11:$B$310)+COUNTA(条幅!$B$11:$B$310),INDEX(条幅!$H$11:$H$310,800-COUNTA(半紙!$B$11:$B$310)),IF(800&lt;=COUNTA(半紙!$B$11:$B$310)+COUNTA(条幅!$B$11:$B$310)+COUNTA(条幅4分の1!$B$11:$B$310),INDEX(条幅4分の1!$H$11:$H$310,800-COUNTA(半紙!$B$11:$B$310)-COUNTA(条幅!$B$11:$B$310)),""))))</f>
        <v/>
      </c>
      <c r="I805" s="38" t="str">
        <f>IF(IF(800&lt;=COUNTA(半紙!$B$11:$B$310),INDEX(半紙!$I$11:$I$310,800),IF(800&lt;=COUNTA(半紙!$B$11:$B$310)+COUNTA(条幅!$B$11:$B$310),INDEX(条幅!$I$11:$I$310,800-COUNTA(半紙!$B$11:$B$310)),IF(800&lt;=COUNTA(半紙!$B$11:$B$310)+COUNTA(条幅!$B$11:$B$310)+COUNTA(条幅4分の1!$B$11:$B$310),INDEX(条幅4分の1!$I$11:$I$310,800-COUNTA(半紙!$B$11:$B$310)-COUNTA(条幅!$B$11:$B$310)),"")))=0,"",IF(800&lt;=COUNTA(半紙!$B$11:$B$310),INDEX(半紙!$I$11:$I$310,800),IF(800&lt;=COUNTA(半紙!$B$11:$B$310)+COUNTA(条幅!$B$11:$B$310),INDEX(条幅!$I$11:$I$310,800-COUNTA(半紙!$B$11:$B$310)),IF(800&lt;=COUNTA(半紙!$B$11:$B$310)+COUNTA(条幅!$B$11:$B$310)+COUNTA(条幅4分の1!$B$11:$B$310),INDEX(条幅4分の1!$I$11:$I$310,800-COUNTA(半紙!$B$11:$B$310)-COUNTA(条幅!$B$11:$B$310)),""))))</f>
        <v/>
      </c>
      <c r="J805" s="38" t="str">
        <f>IF(IF(800&lt;=COUNTA(半紙!$B$11:$B$310),INDEX(半紙!$J$11:$J$310,800),IF(800&lt;=COUNTA(半紙!$B$11:$B$310)+COUNTA(条幅!$B$11:$B$310),INDEX(条幅!$J$11:$J$310,800-COUNTA(半紙!$B$11:$B$310)),IF(800&lt;=COUNTA(半紙!$B$11:$B$310)+COUNTA(条幅!$B$11:$B$310)+COUNTA(条幅4分の1!$B$11:$B$310),INDEX(条幅4分の1!$J$11:$J$310,800-COUNTA(半紙!$B$11:$B$310)-COUNTA(条幅!$B$11:$B$310)),"")))=0,"",IF(800&lt;=COUNTA(半紙!$B$11:$B$310),INDEX(半紙!$J$11:$J$310,800),IF(800&lt;=COUNTA(半紙!$B$11:$B$310)+COUNTA(条幅!$B$11:$B$310),INDEX(条幅!$J$11:$J$310,800-COUNTA(半紙!$B$11:$B$310)),IF(800&lt;=COUNTA(半紙!$B$11:$B$310)+COUNTA(条幅!$B$11:$B$310)+COUNTA(条幅4分の1!$B$11:$B$310),INDEX(条幅4分の1!$J$11:$J$310,800-COUNTA(半紙!$B$11:$B$310)-COUNTA(条幅!$B$11:$B$310)),""))))</f>
        <v/>
      </c>
      <c r="K805" s="38" t="str">
        <f>IF(IF(800&lt;=COUNTA(半紙!$B$11:$B$310),INDEX(半紙!$K$11:$K$310,800),IF(800&lt;=COUNTA(半紙!$B$11:$B$310)+COUNTA(条幅!$B$11:$B$310),INDEX(条幅!$K$11:$K$310,800-COUNTA(半紙!$B$11:$B$310)),IF(800&lt;=COUNTA(半紙!$B$11:$B$310)+COUNTA(条幅!$B$11:$B$310)+COUNTA(条幅4分の1!$B$11:$B$310),INDEX(条幅4分の1!$K$11:$K$310,800-COUNTA(半紙!$B$11:$B$310)-COUNTA(条幅!$B$11:$B$310)),"")))=0,"",IF(800&lt;=COUNTA(半紙!$B$11:$B$310),INDEX(半紙!$K$11:$K$310,800),IF(800&lt;=COUNTA(半紙!$B$11:$B$310)+COUNTA(条幅!$B$11:$B$310),INDEX(条幅!$K$11:$K$310,800-COUNTA(半紙!$B$11:$B$310)),IF(800&lt;=COUNTA(半紙!$B$11:$B$310)+COUNTA(条幅!$B$11:$B$310)+COUNTA(条幅4分の1!$B$11:$B$310),INDEX(条幅4分の1!$K$11:$K$310,800-COUNTA(半紙!$B$11:$B$310)-COUNTA(条幅!$B$11:$B$310)),""))))</f>
        <v/>
      </c>
      <c r="L805" s="48" t="str">
        <f>IF($B805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800))</f>
        <v/>
      </c>
    </row>
    <row r="806" spans="1:12" ht="15" customHeight="1">
      <c r="A806" s="37" t="str">
        <f>IF(801&lt;=COUNTA(半紙!$B$11:$B$310),"半紙",IF(801&lt;=COUNTA(半紙!$B$11:$B$310)+COUNTA(条幅!$B$11:$B$310),"条幅(半切)",IF(801&lt;=COUNTA(半紙!$B$11:$B$310)+COUNTA(条幅!$B$11:$B$310)+COUNTA(条幅4分の1!$B$11:$B$310),"条幅(1/4)","")))</f>
        <v/>
      </c>
      <c r="B806" s="38" t="str">
        <f>IF(IF(801&lt;=COUNTA(半紙!$B$11:$B$310),INDEX(半紙!$B$11:$B$310,801),IF(801&lt;=COUNTA(半紙!$B$11:$B$310)+COUNTA(条幅!$B$11:$B$310),INDEX(条幅!$B$11:$B$310,801-COUNTA(半紙!$B$11:$B$310)),IF(801&lt;=COUNTA(半紙!$B$11:$B$310)+COUNTA(条幅!$B$11:$B$310)+COUNTA(条幅4分の1!$B$11:$B$310),INDEX(条幅4分の1!$B$11:$B$310,801-COUNTA(半紙!$B$11:$B$310)-COUNTA(条幅!$B$11:$B$310)),"")))=0,"",IF(801&lt;=COUNTA(半紙!$B$11:$B$310),INDEX(半紙!$B$11:$B$310,801),IF(801&lt;=COUNTA(半紙!$B$11:$B$310)+COUNTA(条幅!$B$11:$B$310),INDEX(条幅!$B$11:$B$310,801-COUNTA(半紙!$B$11:$B$310)),IF(801&lt;=COUNTA(半紙!$B$11:$B$310)+COUNTA(条幅!$B$11:$B$310)+COUNTA(条幅4分の1!$B$11:$B$310),INDEX(条幅4分の1!$B$11:$B$310,801-COUNTA(半紙!$B$11:$B$310)-COUNTA(条幅!$B$11:$B$310)),""))))</f>
        <v/>
      </c>
      <c r="C806" s="38" t="str">
        <f>IF(IF(801&lt;=COUNTA(半紙!$B$11:$B$310),INDEX(半紙!$C$11:$C$310,801),IF(801&lt;=COUNTA(半紙!$B$11:$B$310)+COUNTA(条幅!$B$11:$B$310),INDEX(条幅!$C$11:$C$310,801-COUNTA(半紙!$B$11:$B$310)),IF(801&lt;=COUNTA(半紙!$B$11:$B$310)+COUNTA(条幅!$B$11:$B$310)+COUNTA(条幅4分の1!$B$11:$B$310),INDEX(条幅4分の1!$C$11:$C$310,801-COUNTA(半紙!$B$11:$B$310)-COUNTA(条幅!$B$11:$B$310)),"")))=0,"",IF(801&lt;=COUNTA(半紙!$B$11:$B$310),INDEX(半紙!$C$11:$C$310,801),IF(801&lt;=COUNTA(半紙!$B$11:$B$310)+COUNTA(条幅!$B$11:$B$310),INDEX(条幅!$C$11:$C$310,801-COUNTA(半紙!$B$11:$B$310)),IF(801&lt;=COUNTA(半紙!$B$11:$B$310)+COUNTA(条幅!$B$11:$B$310)+COUNTA(条幅4分の1!$B$11:$B$310),INDEX(条幅4分の1!$C$11:$C$310,801-COUNTA(半紙!$B$11:$B$310)-COUNTA(条幅!$B$11:$B$310)),""))))</f>
        <v/>
      </c>
      <c r="D806" s="38" t="str">
        <f>IF(IF(801&lt;=COUNTA(半紙!$B$11:$B$310),INDEX(半紙!$D$11:$D$310,801),IF(801&lt;=COUNTA(半紙!$B$11:$B$310)+COUNTA(条幅!$B$11:$B$310),INDEX(条幅!$D$11:$D$310,801-COUNTA(半紙!$B$11:$B$310)),IF(801&lt;=COUNTA(半紙!$B$11:$B$310)+COUNTA(条幅!$B$11:$B$310)+COUNTA(条幅4分の1!$B$11:$B$310),INDEX(条幅4分の1!$D$11:$D$310,801-COUNTA(半紙!$B$11:$B$310)-COUNTA(条幅!$B$11:$B$310)),"")))=0,"",IF(801&lt;=COUNTA(半紙!$B$11:$B$310),INDEX(半紙!$D$11:$D$310,801),IF(801&lt;=COUNTA(半紙!$B$11:$B$310)+COUNTA(条幅!$B$11:$B$310),INDEX(条幅!$D$11:$D$310,801-COUNTA(半紙!$B$11:$B$310)),IF(801&lt;=COUNTA(半紙!$B$11:$B$310)+COUNTA(条幅!$B$11:$B$310)+COUNTA(条幅4分の1!$B$11:$B$310),INDEX(条幅4分の1!$D$11:$D$310,801-COUNTA(半紙!$B$11:$B$310)-COUNTA(条幅!$B$11:$B$310)),""))))</f>
        <v/>
      </c>
      <c r="E806" s="38" t="str">
        <f>IF(IF(801&lt;=COUNTA(半紙!$B$11:$B$310),INDEX(半紙!$E$11:$E$310,801),IF(801&lt;=COUNTA(半紙!$B$11:$B$310)+COUNTA(条幅!$B$11:$B$310),INDEX(条幅!$E$11:$E$310,801-COUNTA(半紙!$B$11:$B$310)),IF(801&lt;=COUNTA(半紙!$B$11:$B$310)+COUNTA(条幅!$B$11:$B$310)+COUNTA(条幅4分の1!$B$11:$B$310),INDEX(条幅4分の1!$E$11:$E$310,801-COUNTA(半紙!$B$11:$B$310)-COUNTA(条幅!$B$11:$B$310)),"")))=0,"",IF(801&lt;=COUNTA(半紙!$B$11:$B$310),INDEX(半紙!$E$11:$E$310,801),IF(801&lt;=COUNTA(半紙!$B$11:$B$310)+COUNTA(条幅!$B$11:$B$310),INDEX(条幅!$E$11:$E$310,801-COUNTA(半紙!$B$11:$B$310)),IF(801&lt;=COUNTA(半紙!$B$11:$B$310)+COUNTA(条幅!$B$11:$B$310)+COUNTA(条幅4分の1!$B$11:$B$310),INDEX(条幅4分の1!$E$11:$E$310,801-COUNTA(半紙!$B$11:$B$310)-COUNTA(条幅!$B$11:$B$310)),""))))</f>
        <v/>
      </c>
      <c r="F806" s="38" t="str">
        <f>IF(IF(801&lt;=COUNTA(半紙!$B$11:$B$310),INDEX(半紙!$F$11:$F$310,801),IF(801&lt;=COUNTA(半紙!$B$11:$B$310)+COUNTA(条幅!$B$11:$B$310),INDEX(条幅!$F$11:$F$310,801-COUNTA(半紙!$B$11:$B$310)),IF(801&lt;=COUNTA(半紙!$B$11:$B$310)+COUNTA(条幅!$B$11:$B$310)+COUNTA(条幅4分の1!$B$11:$B$310),INDEX(条幅4分の1!$F$11:$F$310,801-COUNTA(半紙!$B$11:$B$310)-COUNTA(条幅!$B$11:$B$310)),"")))=0,"",IF(801&lt;=COUNTA(半紙!$B$11:$B$310),INDEX(半紙!$F$11:$F$310,801),IF(801&lt;=COUNTA(半紙!$B$11:$B$310)+COUNTA(条幅!$B$11:$B$310),INDEX(条幅!$F$11:$F$310,801-COUNTA(半紙!$B$11:$B$310)),IF(801&lt;=COUNTA(半紙!$B$11:$B$310)+COUNTA(条幅!$B$11:$B$310)+COUNTA(条幅4分の1!$B$11:$B$310),INDEX(条幅4分の1!$F$11:$F$310,801-COUNTA(半紙!$B$11:$B$310)-COUNTA(条幅!$B$11:$B$310)),""))))</f>
        <v/>
      </c>
      <c r="G806" s="38" t="str">
        <f>IF(IF(801&lt;=COUNTA(半紙!$B$11:$B$310),INDEX(半紙!$G$11:$G$310,801),IF(801&lt;=COUNTA(半紙!$B$11:$B$310)+COUNTA(条幅!$B$11:$B$310),INDEX(条幅!$G$11:$G$310,801-COUNTA(半紙!$B$11:$B$310)),IF(801&lt;=COUNTA(半紙!$B$11:$B$310)+COUNTA(条幅!$B$11:$B$310)+COUNTA(条幅4分の1!$B$11:$B$310),INDEX(条幅4分の1!$G$11:$G$310,801-COUNTA(半紙!$B$11:$B$310)-COUNTA(条幅!$B$11:$B$310)),"")))=0,"",IF(801&lt;=COUNTA(半紙!$B$11:$B$310),INDEX(半紙!$G$11:$G$310,801),IF(801&lt;=COUNTA(半紙!$B$11:$B$310)+COUNTA(条幅!$B$11:$B$310),INDEX(条幅!$G$11:$G$310,801-COUNTA(半紙!$B$11:$B$310)),IF(801&lt;=COUNTA(半紙!$B$11:$B$310)+COUNTA(条幅!$B$11:$B$310)+COUNTA(条幅4分の1!$B$11:$B$310),INDEX(条幅4分の1!$G$11:$G$310,801-COUNTA(半紙!$B$11:$B$310)-COUNTA(条幅!$B$11:$B$310)),""))))</f>
        <v/>
      </c>
      <c r="H806" s="38" t="str">
        <f>IF(IF(801&lt;=COUNTA(半紙!$B$11:$B$310),INDEX(半紙!$H$11:$H$310,801),IF(801&lt;=COUNTA(半紙!$B$11:$B$310)+COUNTA(条幅!$B$11:$B$310),INDEX(条幅!$H$11:$H$310,801-COUNTA(半紙!$B$11:$B$310)),IF(801&lt;=COUNTA(半紙!$B$11:$B$310)+COUNTA(条幅!$B$11:$B$310)+COUNTA(条幅4分の1!$B$11:$B$310),INDEX(条幅4分の1!$H$11:$H$310,801-COUNTA(半紙!$B$11:$B$310)-COUNTA(条幅!$B$11:$B$310)),"")))=0,"",IF(801&lt;=COUNTA(半紙!$B$11:$B$310),INDEX(半紙!$H$11:$H$310,801),IF(801&lt;=COUNTA(半紙!$B$11:$B$310)+COUNTA(条幅!$B$11:$B$310),INDEX(条幅!$H$11:$H$310,801-COUNTA(半紙!$B$11:$B$310)),IF(801&lt;=COUNTA(半紙!$B$11:$B$310)+COUNTA(条幅!$B$11:$B$310)+COUNTA(条幅4分の1!$B$11:$B$310),INDEX(条幅4分の1!$H$11:$H$310,801-COUNTA(半紙!$B$11:$B$310)-COUNTA(条幅!$B$11:$B$310)),""))))</f>
        <v/>
      </c>
      <c r="I806" s="38" t="str">
        <f>IF(IF(801&lt;=COUNTA(半紙!$B$11:$B$310),INDEX(半紙!$I$11:$I$310,801),IF(801&lt;=COUNTA(半紙!$B$11:$B$310)+COUNTA(条幅!$B$11:$B$310),INDEX(条幅!$I$11:$I$310,801-COUNTA(半紙!$B$11:$B$310)),IF(801&lt;=COUNTA(半紙!$B$11:$B$310)+COUNTA(条幅!$B$11:$B$310)+COUNTA(条幅4分の1!$B$11:$B$310),INDEX(条幅4分の1!$I$11:$I$310,801-COUNTA(半紙!$B$11:$B$310)-COUNTA(条幅!$B$11:$B$310)),"")))=0,"",IF(801&lt;=COUNTA(半紙!$B$11:$B$310),INDEX(半紙!$I$11:$I$310,801),IF(801&lt;=COUNTA(半紙!$B$11:$B$310)+COUNTA(条幅!$B$11:$B$310),INDEX(条幅!$I$11:$I$310,801-COUNTA(半紙!$B$11:$B$310)),IF(801&lt;=COUNTA(半紙!$B$11:$B$310)+COUNTA(条幅!$B$11:$B$310)+COUNTA(条幅4分の1!$B$11:$B$310),INDEX(条幅4分の1!$I$11:$I$310,801-COUNTA(半紙!$B$11:$B$310)-COUNTA(条幅!$B$11:$B$310)),""))))</f>
        <v/>
      </c>
      <c r="J806" s="38" t="str">
        <f>IF(IF(801&lt;=COUNTA(半紙!$B$11:$B$310),INDEX(半紙!$J$11:$J$310,801),IF(801&lt;=COUNTA(半紙!$B$11:$B$310)+COUNTA(条幅!$B$11:$B$310),INDEX(条幅!$J$11:$J$310,801-COUNTA(半紙!$B$11:$B$310)),IF(801&lt;=COUNTA(半紙!$B$11:$B$310)+COUNTA(条幅!$B$11:$B$310)+COUNTA(条幅4分の1!$B$11:$B$310),INDEX(条幅4分の1!$J$11:$J$310,801-COUNTA(半紙!$B$11:$B$310)-COUNTA(条幅!$B$11:$B$310)),"")))=0,"",IF(801&lt;=COUNTA(半紙!$B$11:$B$310),INDEX(半紙!$J$11:$J$310,801),IF(801&lt;=COUNTA(半紙!$B$11:$B$310)+COUNTA(条幅!$B$11:$B$310),INDEX(条幅!$J$11:$J$310,801-COUNTA(半紙!$B$11:$B$310)),IF(801&lt;=COUNTA(半紙!$B$11:$B$310)+COUNTA(条幅!$B$11:$B$310)+COUNTA(条幅4分の1!$B$11:$B$310),INDEX(条幅4分の1!$J$11:$J$310,801-COUNTA(半紙!$B$11:$B$310)-COUNTA(条幅!$B$11:$B$310)),""))))</f>
        <v/>
      </c>
      <c r="K806" s="38" t="str">
        <f>IF(IF(801&lt;=COUNTA(半紙!$B$11:$B$310),INDEX(半紙!$K$11:$K$310,801),IF(801&lt;=COUNTA(半紙!$B$11:$B$310)+COUNTA(条幅!$B$11:$B$310),INDEX(条幅!$K$11:$K$310,801-COUNTA(半紙!$B$11:$B$310)),IF(801&lt;=COUNTA(半紙!$B$11:$B$310)+COUNTA(条幅!$B$11:$B$310)+COUNTA(条幅4分の1!$B$11:$B$310),INDEX(条幅4分の1!$K$11:$K$310,801-COUNTA(半紙!$B$11:$B$310)-COUNTA(条幅!$B$11:$B$310)),"")))=0,"",IF(801&lt;=COUNTA(半紙!$B$11:$B$310),INDEX(半紙!$K$11:$K$310,801),IF(801&lt;=COUNTA(半紙!$B$11:$B$310)+COUNTA(条幅!$B$11:$B$310),INDEX(条幅!$K$11:$K$310,801-COUNTA(半紙!$B$11:$B$310)),IF(801&lt;=COUNTA(半紙!$B$11:$B$310)+COUNTA(条幅!$B$11:$B$310)+COUNTA(条幅4分の1!$B$11:$B$310),INDEX(条幅4分の1!$K$11:$K$310,801-COUNTA(半紙!$B$11:$B$310)-COUNTA(条幅!$B$11:$B$310)),""))))</f>
        <v/>
      </c>
      <c r="L806" s="48" t="str">
        <f>IF($B806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801))</f>
        <v/>
      </c>
    </row>
    <row r="807" spans="1:12" ht="15" customHeight="1">
      <c r="A807" s="37" t="str">
        <f>IF(802&lt;=COUNTA(半紙!$B$11:$B$310),"半紙",IF(802&lt;=COUNTA(半紙!$B$11:$B$310)+COUNTA(条幅!$B$11:$B$310),"条幅(半切)",IF(802&lt;=COUNTA(半紙!$B$11:$B$310)+COUNTA(条幅!$B$11:$B$310)+COUNTA(条幅4分の1!$B$11:$B$310),"条幅(1/4)","")))</f>
        <v/>
      </c>
      <c r="B807" s="38" t="str">
        <f>IF(IF(802&lt;=COUNTA(半紙!$B$11:$B$310),INDEX(半紙!$B$11:$B$310,802),IF(802&lt;=COUNTA(半紙!$B$11:$B$310)+COUNTA(条幅!$B$11:$B$310),INDEX(条幅!$B$11:$B$310,802-COUNTA(半紙!$B$11:$B$310)),IF(802&lt;=COUNTA(半紙!$B$11:$B$310)+COUNTA(条幅!$B$11:$B$310)+COUNTA(条幅4分の1!$B$11:$B$310),INDEX(条幅4分の1!$B$11:$B$310,802-COUNTA(半紙!$B$11:$B$310)-COUNTA(条幅!$B$11:$B$310)),"")))=0,"",IF(802&lt;=COUNTA(半紙!$B$11:$B$310),INDEX(半紙!$B$11:$B$310,802),IF(802&lt;=COUNTA(半紙!$B$11:$B$310)+COUNTA(条幅!$B$11:$B$310),INDEX(条幅!$B$11:$B$310,802-COUNTA(半紙!$B$11:$B$310)),IF(802&lt;=COUNTA(半紙!$B$11:$B$310)+COUNTA(条幅!$B$11:$B$310)+COUNTA(条幅4分の1!$B$11:$B$310),INDEX(条幅4分の1!$B$11:$B$310,802-COUNTA(半紙!$B$11:$B$310)-COUNTA(条幅!$B$11:$B$310)),""))))</f>
        <v/>
      </c>
      <c r="C807" s="38" t="str">
        <f>IF(IF(802&lt;=COUNTA(半紙!$B$11:$B$310),INDEX(半紙!$C$11:$C$310,802),IF(802&lt;=COUNTA(半紙!$B$11:$B$310)+COUNTA(条幅!$B$11:$B$310),INDEX(条幅!$C$11:$C$310,802-COUNTA(半紙!$B$11:$B$310)),IF(802&lt;=COUNTA(半紙!$B$11:$B$310)+COUNTA(条幅!$B$11:$B$310)+COUNTA(条幅4分の1!$B$11:$B$310),INDEX(条幅4分の1!$C$11:$C$310,802-COUNTA(半紙!$B$11:$B$310)-COUNTA(条幅!$B$11:$B$310)),"")))=0,"",IF(802&lt;=COUNTA(半紙!$B$11:$B$310),INDEX(半紙!$C$11:$C$310,802),IF(802&lt;=COUNTA(半紙!$B$11:$B$310)+COUNTA(条幅!$B$11:$B$310),INDEX(条幅!$C$11:$C$310,802-COUNTA(半紙!$B$11:$B$310)),IF(802&lt;=COUNTA(半紙!$B$11:$B$310)+COUNTA(条幅!$B$11:$B$310)+COUNTA(条幅4分の1!$B$11:$B$310),INDEX(条幅4分の1!$C$11:$C$310,802-COUNTA(半紙!$B$11:$B$310)-COUNTA(条幅!$B$11:$B$310)),""))))</f>
        <v/>
      </c>
      <c r="D807" s="38" t="str">
        <f>IF(IF(802&lt;=COUNTA(半紙!$B$11:$B$310),INDEX(半紙!$D$11:$D$310,802),IF(802&lt;=COUNTA(半紙!$B$11:$B$310)+COUNTA(条幅!$B$11:$B$310),INDEX(条幅!$D$11:$D$310,802-COUNTA(半紙!$B$11:$B$310)),IF(802&lt;=COUNTA(半紙!$B$11:$B$310)+COUNTA(条幅!$B$11:$B$310)+COUNTA(条幅4分の1!$B$11:$B$310),INDEX(条幅4分の1!$D$11:$D$310,802-COUNTA(半紙!$B$11:$B$310)-COUNTA(条幅!$B$11:$B$310)),"")))=0,"",IF(802&lt;=COUNTA(半紙!$B$11:$B$310),INDEX(半紙!$D$11:$D$310,802),IF(802&lt;=COUNTA(半紙!$B$11:$B$310)+COUNTA(条幅!$B$11:$B$310),INDEX(条幅!$D$11:$D$310,802-COUNTA(半紙!$B$11:$B$310)),IF(802&lt;=COUNTA(半紙!$B$11:$B$310)+COUNTA(条幅!$B$11:$B$310)+COUNTA(条幅4分の1!$B$11:$B$310),INDEX(条幅4分の1!$D$11:$D$310,802-COUNTA(半紙!$B$11:$B$310)-COUNTA(条幅!$B$11:$B$310)),""))))</f>
        <v/>
      </c>
      <c r="E807" s="38" t="str">
        <f>IF(IF(802&lt;=COUNTA(半紙!$B$11:$B$310),INDEX(半紙!$E$11:$E$310,802),IF(802&lt;=COUNTA(半紙!$B$11:$B$310)+COUNTA(条幅!$B$11:$B$310),INDEX(条幅!$E$11:$E$310,802-COUNTA(半紙!$B$11:$B$310)),IF(802&lt;=COUNTA(半紙!$B$11:$B$310)+COUNTA(条幅!$B$11:$B$310)+COUNTA(条幅4分の1!$B$11:$B$310),INDEX(条幅4分の1!$E$11:$E$310,802-COUNTA(半紙!$B$11:$B$310)-COUNTA(条幅!$B$11:$B$310)),"")))=0,"",IF(802&lt;=COUNTA(半紙!$B$11:$B$310),INDEX(半紙!$E$11:$E$310,802),IF(802&lt;=COUNTA(半紙!$B$11:$B$310)+COUNTA(条幅!$B$11:$B$310),INDEX(条幅!$E$11:$E$310,802-COUNTA(半紙!$B$11:$B$310)),IF(802&lt;=COUNTA(半紙!$B$11:$B$310)+COUNTA(条幅!$B$11:$B$310)+COUNTA(条幅4分の1!$B$11:$B$310),INDEX(条幅4分の1!$E$11:$E$310,802-COUNTA(半紙!$B$11:$B$310)-COUNTA(条幅!$B$11:$B$310)),""))))</f>
        <v/>
      </c>
      <c r="F807" s="38" t="str">
        <f>IF(IF(802&lt;=COUNTA(半紙!$B$11:$B$310),INDEX(半紙!$F$11:$F$310,802),IF(802&lt;=COUNTA(半紙!$B$11:$B$310)+COUNTA(条幅!$B$11:$B$310),INDEX(条幅!$F$11:$F$310,802-COUNTA(半紙!$B$11:$B$310)),IF(802&lt;=COUNTA(半紙!$B$11:$B$310)+COUNTA(条幅!$B$11:$B$310)+COUNTA(条幅4分の1!$B$11:$B$310),INDEX(条幅4分の1!$F$11:$F$310,802-COUNTA(半紙!$B$11:$B$310)-COUNTA(条幅!$B$11:$B$310)),"")))=0,"",IF(802&lt;=COUNTA(半紙!$B$11:$B$310),INDEX(半紙!$F$11:$F$310,802),IF(802&lt;=COUNTA(半紙!$B$11:$B$310)+COUNTA(条幅!$B$11:$B$310),INDEX(条幅!$F$11:$F$310,802-COUNTA(半紙!$B$11:$B$310)),IF(802&lt;=COUNTA(半紙!$B$11:$B$310)+COUNTA(条幅!$B$11:$B$310)+COUNTA(条幅4分の1!$B$11:$B$310),INDEX(条幅4分の1!$F$11:$F$310,802-COUNTA(半紙!$B$11:$B$310)-COUNTA(条幅!$B$11:$B$310)),""))))</f>
        <v/>
      </c>
      <c r="G807" s="38" t="str">
        <f>IF(IF(802&lt;=COUNTA(半紙!$B$11:$B$310),INDEX(半紙!$G$11:$G$310,802),IF(802&lt;=COUNTA(半紙!$B$11:$B$310)+COUNTA(条幅!$B$11:$B$310),INDEX(条幅!$G$11:$G$310,802-COUNTA(半紙!$B$11:$B$310)),IF(802&lt;=COUNTA(半紙!$B$11:$B$310)+COUNTA(条幅!$B$11:$B$310)+COUNTA(条幅4分の1!$B$11:$B$310),INDEX(条幅4分の1!$G$11:$G$310,802-COUNTA(半紙!$B$11:$B$310)-COUNTA(条幅!$B$11:$B$310)),"")))=0,"",IF(802&lt;=COUNTA(半紙!$B$11:$B$310),INDEX(半紙!$G$11:$G$310,802),IF(802&lt;=COUNTA(半紙!$B$11:$B$310)+COUNTA(条幅!$B$11:$B$310),INDEX(条幅!$G$11:$G$310,802-COUNTA(半紙!$B$11:$B$310)),IF(802&lt;=COUNTA(半紙!$B$11:$B$310)+COUNTA(条幅!$B$11:$B$310)+COUNTA(条幅4分の1!$B$11:$B$310),INDEX(条幅4分の1!$G$11:$G$310,802-COUNTA(半紙!$B$11:$B$310)-COUNTA(条幅!$B$11:$B$310)),""))))</f>
        <v/>
      </c>
      <c r="H807" s="38" t="str">
        <f>IF(IF(802&lt;=COUNTA(半紙!$B$11:$B$310),INDEX(半紙!$H$11:$H$310,802),IF(802&lt;=COUNTA(半紙!$B$11:$B$310)+COUNTA(条幅!$B$11:$B$310),INDEX(条幅!$H$11:$H$310,802-COUNTA(半紙!$B$11:$B$310)),IF(802&lt;=COUNTA(半紙!$B$11:$B$310)+COUNTA(条幅!$B$11:$B$310)+COUNTA(条幅4分の1!$B$11:$B$310),INDEX(条幅4分の1!$H$11:$H$310,802-COUNTA(半紙!$B$11:$B$310)-COUNTA(条幅!$B$11:$B$310)),"")))=0,"",IF(802&lt;=COUNTA(半紙!$B$11:$B$310),INDEX(半紙!$H$11:$H$310,802),IF(802&lt;=COUNTA(半紙!$B$11:$B$310)+COUNTA(条幅!$B$11:$B$310),INDEX(条幅!$H$11:$H$310,802-COUNTA(半紙!$B$11:$B$310)),IF(802&lt;=COUNTA(半紙!$B$11:$B$310)+COUNTA(条幅!$B$11:$B$310)+COUNTA(条幅4分の1!$B$11:$B$310),INDEX(条幅4分の1!$H$11:$H$310,802-COUNTA(半紙!$B$11:$B$310)-COUNTA(条幅!$B$11:$B$310)),""))))</f>
        <v/>
      </c>
      <c r="I807" s="38" t="str">
        <f>IF(IF(802&lt;=COUNTA(半紙!$B$11:$B$310),INDEX(半紙!$I$11:$I$310,802),IF(802&lt;=COUNTA(半紙!$B$11:$B$310)+COUNTA(条幅!$B$11:$B$310),INDEX(条幅!$I$11:$I$310,802-COUNTA(半紙!$B$11:$B$310)),IF(802&lt;=COUNTA(半紙!$B$11:$B$310)+COUNTA(条幅!$B$11:$B$310)+COUNTA(条幅4分の1!$B$11:$B$310),INDEX(条幅4分の1!$I$11:$I$310,802-COUNTA(半紙!$B$11:$B$310)-COUNTA(条幅!$B$11:$B$310)),"")))=0,"",IF(802&lt;=COUNTA(半紙!$B$11:$B$310),INDEX(半紙!$I$11:$I$310,802),IF(802&lt;=COUNTA(半紙!$B$11:$B$310)+COUNTA(条幅!$B$11:$B$310),INDEX(条幅!$I$11:$I$310,802-COUNTA(半紙!$B$11:$B$310)),IF(802&lt;=COUNTA(半紙!$B$11:$B$310)+COUNTA(条幅!$B$11:$B$310)+COUNTA(条幅4分の1!$B$11:$B$310),INDEX(条幅4分の1!$I$11:$I$310,802-COUNTA(半紙!$B$11:$B$310)-COUNTA(条幅!$B$11:$B$310)),""))))</f>
        <v/>
      </c>
      <c r="J807" s="38" t="str">
        <f>IF(IF(802&lt;=COUNTA(半紙!$B$11:$B$310),INDEX(半紙!$J$11:$J$310,802),IF(802&lt;=COUNTA(半紙!$B$11:$B$310)+COUNTA(条幅!$B$11:$B$310),INDEX(条幅!$J$11:$J$310,802-COUNTA(半紙!$B$11:$B$310)),IF(802&lt;=COUNTA(半紙!$B$11:$B$310)+COUNTA(条幅!$B$11:$B$310)+COUNTA(条幅4分の1!$B$11:$B$310),INDEX(条幅4分の1!$J$11:$J$310,802-COUNTA(半紙!$B$11:$B$310)-COUNTA(条幅!$B$11:$B$310)),"")))=0,"",IF(802&lt;=COUNTA(半紙!$B$11:$B$310),INDEX(半紙!$J$11:$J$310,802),IF(802&lt;=COUNTA(半紙!$B$11:$B$310)+COUNTA(条幅!$B$11:$B$310),INDEX(条幅!$J$11:$J$310,802-COUNTA(半紙!$B$11:$B$310)),IF(802&lt;=COUNTA(半紙!$B$11:$B$310)+COUNTA(条幅!$B$11:$B$310)+COUNTA(条幅4分の1!$B$11:$B$310),INDEX(条幅4分の1!$J$11:$J$310,802-COUNTA(半紙!$B$11:$B$310)-COUNTA(条幅!$B$11:$B$310)),""))))</f>
        <v/>
      </c>
      <c r="K807" s="38" t="str">
        <f>IF(IF(802&lt;=COUNTA(半紙!$B$11:$B$310),INDEX(半紙!$K$11:$K$310,802),IF(802&lt;=COUNTA(半紙!$B$11:$B$310)+COUNTA(条幅!$B$11:$B$310),INDEX(条幅!$K$11:$K$310,802-COUNTA(半紙!$B$11:$B$310)),IF(802&lt;=COUNTA(半紙!$B$11:$B$310)+COUNTA(条幅!$B$11:$B$310)+COUNTA(条幅4分の1!$B$11:$B$310),INDEX(条幅4分の1!$K$11:$K$310,802-COUNTA(半紙!$B$11:$B$310)-COUNTA(条幅!$B$11:$B$310)),"")))=0,"",IF(802&lt;=COUNTA(半紙!$B$11:$B$310),INDEX(半紙!$K$11:$K$310,802),IF(802&lt;=COUNTA(半紙!$B$11:$B$310)+COUNTA(条幅!$B$11:$B$310),INDEX(条幅!$K$11:$K$310,802-COUNTA(半紙!$B$11:$B$310)),IF(802&lt;=COUNTA(半紙!$B$11:$B$310)+COUNTA(条幅!$B$11:$B$310)+COUNTA(条幅4分の1!$B$11:$B$310),INDEX(条幅4分の1!$K$11:$K$310,802-COUNTA(半紙!$B$11:$B$310)-COUNTA(条幅!$B$11:$B$310)),""))))</f>
        <v/>
      </c>
      <c r="L807" s="48" t="str">
        <f>IF($B807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802))</f>
        <v/>
      </c>
    </row>
    <row r="808" spans="1:12" ht="15" customHeight="1">
      <c r="A808" s="37" t="str">
        <f>IF(803&lt;=COUNTA(半紙!$B$11:$B$310),"半紙",IF(803&lt;=COUNTA(半紙!$B$11:$B$310)+COUNTA(条幅!$B$11:$B$310),"条幅(半切)",IF(803&lt;=COUNTA(半紙!$B$11:$B$310)+COUNTA(条幅!$B$11:$B$310)+COUNTA(条幅4分の1!$B$11:$B$310),"条幅(1/4)","")))</f>
        <v/>
      </c>
      <c r="B808" s="38" t="str">
        <f>IF(IF(803&lt;=COUNTA(半紙!$B$11:$B$310),INDEX(半紙!$B$11:$B$310,803),IF(803&lt;=COUNTA(半紙!$B$11:$B$310)+COUNTA(条幅!$B$11:$B$310),INDEX(条幅!$B$11:$B$310,803-COUNTA(半紙!$B$11:$B$310)),IF(803&lt;=COUNTA(半紙!$B$11:$B$310)+COUNTA(条幅!$B$11:$B$310)+COUNTA(条幅4分の1!$B$11:$B$310),INDEX(条幅4分の1!$B$11:$B$310,803-COUNTA(半紙!$B$11:$B$310)-COUNTA(条幅!$B$11:$B$310)),"")))=0,"",IF(803&lt;=COUNTA(半紙!$B$11:$B$310),INDEX(半紙!$B$11:$B$310,803),IF(803&lt;=COUNTA(半紙!$B$11:$B$310)+COUNTA(条幅!$B$11:$B$310),INDEX(条幅!$B$11:$B$310,803-COUNTA(半紙!$B$11:$B$310)),IF(803&lt;=COUNTA(半紙!$B$11:$B$310)+COUNTA(条幅!$B$11:$B$310)+COUNTA(条幅4分の1!$B$11:$B$310),INDEX(条幅4分の1!$B$11:$B$310,803-COUNTA(半紙!$B$11:$B$310)-COUNTA(条幅!$B$11:$B$310)),""))))</f>
        <v/>
      </c>
      <c r="C808" s="38" t="str">
        <f>IF(IF(803&lt;=COUNTA(半紙!$B$11:$B$310),INDEX(半紙!$C$11:$C$310,803),IF(803&lt;=COUNTA(半紙!$B$11:$B$310)+COUNTA(条幅!$B$11:$B$310),INDEX(条幅!$C$11:$C$310,803-COUNTA(半紙!$B$11:$B$310)),IF(803&lt;=COUNTA(半紙!$B$11:$B$310)+COUNTA(条幅!$B$11:$B$310)+COUNTA(条幅4分の1!$B$11:$B$310),INDEX(条幅4分の1!$C$11:$C$310,803-COUNTA(半紙!$B$11:$B$310)-COUNTA(条幅!$B$11:$B$310)),"")))=0,"",IF(803&lt;=COUNTA(半紙!$B$11:$B$310),INDEX(半紙!$C$11:$C$310,803),IF(803&lt;=COUNTA(半紙!$B$11:$B$310)+COUNTA(条幅!$B$11:$B$310),INDEX(条幅!$C$11:$C$310,803-COUNTA(半紙!$B$11:$B$310)),IF(803&lt;=COUNTA(半紙!$B$11:$B$310)+COUNTA(条幅!$B$11:$B$310)+COUNTA(条幅4分の1!$B$11:$B$310),INDEX(条幅4分の1!$C$11:$C$310,803-COUNTA(半紙!$B$11:$B$310)-COUNTA(条幅!$B$11:$B$310)),""))))</f>
        <v/>
      </c>
      <c r="D808" s="38" t="str">
        <f>IF(IF(803&lt;=COUNTA(半紙!$B$11:$B$310),INDEX(半紙!$D$11:$D$310,803),IF(803&lt;=COUNTA(半紙!$B$11:$B$310)+COUNTA(条幅!$B$11:$B$310),INDEX(条幅!$D$11:$D$310,803-COUNTA(半紙!$B$11:$B$310)),IF(803&lt;=COUNTA(半紙!$B$11:$B$310)+COUNTA(条幅!$B$11:$B$310)+COUNTA(条幅4分の1!$B$11:$B$310),INDEX(条幅4分の1!$D$11:$D$310,803-COUNTA(半紙!$B$11:$B$310)-COUNTA(条幅!$B$11:$B$310)),"")))=0,"",IF(803&lt;=COUNTA(半紙!$B$11:$B$310),INDEX(半紙!$D$11:$D$310,803),IF(803&lt;=COUNTA(半紙!$B$11:$B$310)+COUNTA(条幅!$B$11:$B$310),INDEX(条幅!$D$11:$D$310,803-COUNTA(半紙!$B$11:$B$310)),IF(803&lt;=COUNTA(半紙!$B$11:$B$310)+COUNTA(条幅!$B$11:$B$310)+COUNTA(条幅4分の1!$B$11:$B$310),INDEX(条幅4分の1!$D$11:$D$310,803-COUNTA(半紙!$B$11:$B$310)-COUNTA(条幅!$B$11:$B$310)),""))))</f>
        <v/>
      </c>
      <c r="E808" s="38" t="str">
        <f>IF(IF(803&lt;=COUNTA(半紙!$B$11:$B$310),INDEX(半紙!$E$11:$E$310,803),IF(803&lt;=COUNTA(半紙!$B$11:$B$310)+COUNTA(条幅!$B$11:$B$310),INDEX(条幅!$E$11:$E$310,803-COUNTA(半紙!$B$11:$B$310)),IF(803&lt;=COUNTA(半紙!$B$11:$B$310)+COUNTA(条幅!$B$11:$B$310)+COUNTA(条幅4分の1!$B$11:$B$310),INDEX(条幅4分の1!$E$11:$E$310,803-COUNTA(半紙!$B$11:$B$310)-COUNTA(条幅!$B$11:$B$310)),"")))=0,"",IF(803&lt;=COUNTA(半紙!$B$11:$B$310),INDEX(半紙!$E$11:$E$310,803),IF(803&lt;=COUNTA(半紙!$B$11:$B$310)+COUNTA(条幅!$B$11:$B$310),INDEX(条幅!$E$11:$E$310,803-COUNTA(半紙!$B$11:$B$310)),IF(803&lt;=COUNTA(半紙!$B$11:$B$310)+COUNTA(条幅!$B$11:$B$310)+COUNTA(条幅4分の1!$B$11:$B$310),INDEX(条幅4分の1!$E$11:$E$310,803-COUNTA(半紙!$B$11:$B$310)-COUNTA(条幅!$B$11:$B$310)),""))))</f>
        <v/>
      </c>
      <c r="F808" s="38" t="str">
        <f>IF(IF(803&lt;=COUNTA(半紙!$B$11:$B$310),INDEX(半紙!$F$11:$F$310,803),IF(803&lt;=COUNTA(半紙!$B$11:$B$310)+COUNTA(条幅!$B$11:$B$310),INDEX(条幅!$F$11:$F$310,803-COUNTA(半紙!$B$11:$B$310)),IF(803&lt;=COUNTA(半紙!$B$11:$B$310)+COUNTA(条幅!$B$11:$B$310)+COUNTA(条幅4分の1!$B$11:$B$310),INDEX(条幅4分の1!$F$11:$F$310,803-COUNTA(半紙!$B$11:$B$310)-COUNTA(条幅!$B$11:$B$310)),"")))=0,"",IF(803&lt;=COUNTA(半紙!$B$11:$B$310),INDEX(半紙!$F$11:$F$310,803),IF(803&lt;=COUNTA(半紙!$B$11:$B$310)+COUNTA(条幅!$B$11:$B$310),INDEX(条幅!$F$11:$F$310,803-COUNTA(半紙!$B$11:$B$310)),IF(803&lt;=COUNTA(半紙!$B$11:$B$310)+COUNTA(条幅!$B$11:$B$310)+COUNTA(条幅4分の1!$B$11:$B$310),INDEX(条幅4分の1!$F$11:$F$310,803-COUNTA(半紙!$B$11:$B$310)-COUNTA(条幅!$B$11:$B$310)),""))))</f>
        <v/>
      </c>
      <c r="G808" s="38" t="str">
        <f>IF(IF(803&lt;=COUNTA(半紙!$B$11:$B$310),INDEX(半紙!$G$11:$G$310,803),IF(803&lt;=COUNTA(半紙!$B$11:$B$310)+COUNTA(条幅!$B$11:$B$310),INDEX(条幅!$G$11:$G$310,803-COUNTA(半紙!$B$11:$B$310)),IF(803&lt;=COUNTA(半紙!$B$11:$B$310)+COUNTA(条幅!$B$11:$B$310)+COUNTA(条幅4分の1!$B$11:$B$310),INDEX(条幅4分の1!$G$11:$G$310,803-COUNTA(半紙!$B$11:$B$310)-COUNTA(条幅!$B$11:$B$310)),"")))=0,"",IF(803&lt;=COUNTA(半紙!$B$11:$B$310),INDEX(半紙!$G$11:$G$310,803),IF(803&lt;=COUNTA(半紙!$B$11:$B$310)+COUNTA(条幅!$B$11:$B$310),INDEX(条幅!$G$11:$G$310,803-COUNTA(半紙!$B$11:$B$310)),IF(803&lt;=COUNTA(半紙!$B$11:$B$310)+COUNTA(条幅!$B$11:$B$310)+COUNTA(条幅4分の1!$B$11:$B$310),INDEX(条幅4分の1!$G$11:$G$310,803-COUNTA(半紙!$B$11:$B$310)-COUNTA(条幅!$B$11:$B$310)),""))))</f>
        <v/>
      </c>
      <c r="H808" s="38" t="str">
        <f>IF(IF(803&lt;=COUNTA(半紙!$B$11:$B$310),INDEX(半紙!$H$11:$H$310,803),IF(803&lt;=COUNTA(半紙!$B$11:$B$310)+COUNTA(条幅!$B$11:$B$310),INDEX(条幅!$H$11:$H$310,803-COUNTA(半紙!$B$11:$B$310)),IF(803&lt;=COUNTA(半紙!$B$11:$B$310)+COUNTA(条幅!$B$11:$B$310)+COUNTA(条幅4分の1!$B$11:$B$310),INDEX(条幅4分の1!$H$11:$H$310,803-COUNTA(半紙!$B$11:$B$310)-COUNTA(条幅!$B$11:$B$310)),"")))=0,"",IF(803&lt;=COUNTA(半紙!$B$11:$B$310),INDEX(半紙!$H$11:$H$310,803),IF(803&lt;=COUNTA(半紙!$B$11:$B$310)+COUNTA(条幅!$B$11:$B$310),INDEX(条幅!$H$11:$H$310,803-COUNTA(半紙!$B$11:$B$310)),IF(803&lt;=COUNTA(半紙!$B$11:$B$310)+COUNTA(条幅!$B$11:$B$310)+COUNTA(条幅4分の1!$B$11:$B$310),INDEX(条幅4分の1!$H$11:$H$310,803-COUNTA(半紙!$B$11:$B$310)-COUNTA(条幅!$B$11:$B$310)),""))))</f>
        <v/>
      </c>
      <c r="I808" s="38" t="str">
        <f>IF(IF(803&lt;=COUNTA(半紙!$B$11:$B$310),INDEX(半紙!$I$11:$I$310,803),IF(803&lt;=COUNTA(半紙!$B$11:$B$310)+COUNTA(条幅!$B$11:$B$310),INDEX(条幅!$I$11:$I$310,803-COUNTA(半紙!$B$11:$B$310)),IF(803&lt;=COUNTA(半紙!$B$11:$B$310)+COUNTA(条幅!$B$11:$B$310)+COUNTA(条幅4分の1!$B$11:$B$310),INDEX(条幅4分の1!$I$11:$I$310,803-COUNTA(半紙!$B$11:$B$310)-COUNTA(条幅!$B$11:$B$310)),"")))=0,"",IF(803&lt;=COUNTA(半紙!$B$11:$B$310),INDEX(半紙!$I$11:$I$310,803),IF(803&lt;=COUNTA(半紙!$B$11:$B$310)+COUNTA(条幅!$B$11:$B$310),INDEX(条幅!$I$11:$I$310,803-COUNTA(半紙!$B$11:$B$310)),IF(803&lt;=COUNTA(半紙!$B$11:$B$310)+COUNTA(条幅!$B$11:$B$310)+COUNTA(条幅4分の1!$B$11:$B$310),INDEX(条幅4分の1!$I$11:$I$310,803-COUNTA(半紙!$B$11:$B$310)-COUNTA(条幅!$B$11:$B$310)),""))))</f>
        <v/>
      </c>
      <c r="J808" s="38" t="str">
        <f>IF(IF(803&lt;=COUNTA(半紙!$B$11:$B$310),INDEX(半紙!$J$11:$J$310,803),IF(803&lt;=COUNTA(半紙!$B$11:$B$310)+COUNTA(条幅!$B$11:$B$310),INDEX(条幅!$J$11:$J$310,803-COUNTA(半紙!$B$11:$B$310)),IF(803&lt;=COUNTA(半紙!$B$11:$B$310)+COUNTA(条幅!$B$11:$B$310)+COUNTA(条幅4分の1!$B$11:$B$310),INDEX(条幅4分の1!$J$11:$J$310,803-COUNTA(半紙!$B$11:$B$310)-COUNTA(条幅!$B$11:$B$310)),"")))=0,"",IF(803&lt;=COUNTA(半紙!$B$11:$B$310),INDEX(半紙!$J$11:$J$310,803),IF(803&lt;=COUNTA(半紙!$B$11:$B$310)+COUNTA(条幅!$B$11:$B$310),INDEX(条幅!$J$11:$J$310,803-COUNTA(半紙!$B$11:$B$310)),IF(803&lt;=COUNTA(半紙!$B$11:$B$310)+COUNTA(条幅!$B$11:$B$310)+COUNTA(条幅4分の1!$B$11:$B$310),INDEX(条幅4分の1!$J$11:$J$310,803-COUNTA(半紙!$B$11:$B$310)-COUNTA(条幅!$B$11:$B$310)),""))))</f>
        <v/>
      </c>
      <c r="K808" s="38" t="str">
        <f>IF(IF(803&lt;=COUNTA(半紙!$B$11:$B$310),INDEX(半紙!$K$11:$K$310,803),IF(803&lt;=COUNTA(半紙!$B$11:$B$310)+COUNTA(条幅!$B$11:$B$310),INDEX(条幅!$K$11:$K$310,803-COUNTA(半紙!$B$11:$B$310)),IF(803&lt;=COUNTA(半紙!$B$11:$B$310)+COUNTA(条幅!$B$11:$B$310)+COUNTA(条幅4分の1!$B$11:$B$310),INDEX(条幅4分の1!$K$11:$K$310,803-COUNTA(半紙!$B$11:$B$310)-COUNTA(条幅!$B$11:$B$310)),"")))=0,"",IF(803&lt;=COUNTA(半紙!$B$11:$B$310),INDEX(半紙!$K$11:$K$310,803),IF(803&lt;=COUNTA(半紙!$B$11:$B$310)+COUNTA(条幅!$B$11:$B$310),INDEX(条幅!$K$11:$K$310,803-COUNTA(半紙!$B$11:$B$310)),IF(803&lt;=COUNTA(半紙!$B$11:$B$310)+COUNTA(条幅!$B$11:$B$310)+COUNTA(条幅4分の1!$B$11:$B$310),INDEX(条幅4分の1!$K$11:$K$310,803-COUNTA(半紙!$B$11:$B$310)-COUNTA(条幅!$B$11:$B$310)),""))))</f>
        <v/>
      </c>
      <c r="L808" s="48" t="str">
        <f>IF($B808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803))</f>
        <v/>
      </c>
    </row>
    <row r="809" spans="1:12" ht="15" customHeight="1">
      <c r="A809" s="37" t="str">
        <f>IF(804&lt;=COUNTA(半紙!$B$11:$B$310),"半紙",IF(804&lt;=COUNTA(半紙!$B$11:$B$310)+COUNTA(条幅!$B$11:$B$310),"条幅(半切)",IF(804&lt;=COUNTA(半紙!$B$11:$B$310)+COUNTA(条幅!$B$11:$B$310)+COUNTA(条幅4分の1!$B$11:$B$310),"条幅(1/4)","")))</f>
        <v/>
      </c>
      <c r="B809" s="38" t="str">
        <f>IF(IF(804&lt;=COUNTA(半紙!$B$11:$B$310),INDEX(半紙!$B$11:$B$310,804),IF(804&lt;=COUNTA(半紙!$B$11:$B$310)+COUNTA(条幅!$B$11:$B$310),INDEX(条幅!$B$11:$B$310,804-COUNTA(半紙!$B$11:$B$310)),IF(804&lt;=COUNTA(半紙!$B$11:$B$310)+COUNTA(条幅!$B$11:$B$310)+COUNTA(条幅4分の1!$B$11:$B$310),INDEX(条幅4分の1!$B$11:$B$310,804-COUNTA(半紙!$B$11:$B$310)-COUNTA(条幅!$B$11:$B$310)),"")))=0,"",IF(804&lt;=COUNTA(半紙!$B$11:$B$310),INDEX(半紙!$B$11:$B$310,804),IF(804&lt;=COUNTA(半紙!$B$11:$B$310)+COUNTA(条幅!$B$11:$B$310),INDEX(条幅!$B$11:$B$310,804-COUNTA(半紙!$B$11:$B$310)),IF(804&lt;=COUNTA(半紙!$B$11:$B$310)+COUNTA(条幅!$B$11:$B$310)+COUNTA(条幅4分の1!$B$11:$B$310),INDEX(条幅4分の1!$B$11:$B$310,804-COUNTA(半紙!$B$11:$B$310)-COUNTA(条幅!$B$11:$B$310)),""))))</f>
        <v/>
      </c>
      <c r="C809" s="38" t="str">
        <f>IF(IF(804&lt;=COUNTA(半紙!$B$11:$B$310),INDEX(半紙!$C$11:$C$310,804),IF(804&lt;=COUNTA(半紙!$B$11:$B$310)+COUNTA(条幅!$B$11:$B$310),INDEX(条幅!$C$11:$C$310,804-COUNTA(半紙!$B$11:$B$310)),IF(804&lt;=COUNTA(半紙!$B$11:$B$310)+COUNTA(条幅!$B$11:$B$310)+COUNTA(条幅4分の1!$B$11:$B$310),INDEX(条幅4分の1!$C$11:$C$310,804-COUNTA(半紙!$B$11:$B$310)-COUNTA(条幅!$B$11:$B$310)),"")))=0,"",IF(804&lt;=COUNTA(半紙!$B$11:$B$310),INDEX(半紙!$C$11:$C$310,804),IF(804&lt;=COUNTA(半紙!$B$11:$B$310)+COUNTA(条幅!$B$11:$B$310),INDEX(条幅!$C$11:$C$310,804-COUNTA(半紙!$B$11:$B$310)),IF(804&lt;=COUNTA(半紙!$B$11:$B$310)+COUNTA(条幅!$B$11:$B$310)+COUNTA(条幅4分の1!$B$11:$B$310),INDEX(条幅4分の1!$C$11:$C$310,804-COUNTA(半紙!$B$11:$B$310)-COUNTA(条幅!$B$11:$B$310)),""))))</f>
        <v/>
      </c>
      <c r="D809" s="38" t="str">
        <f>IF(IF(804&lt;=COUNTA(半紙!$B$11:$B$310),INDEX(半紙!$D$11:$D$310,804),IF(804&lt;=COUNTA(半紙!$B$11:$B$310)+COUNTA(条幅!$B$11:$B$310),INDEX(条幅!$D$11:$D$310,804-COUNTA(半紙!$B$11:$B$310)),IF(804&lt;=COUNTA(半紙!$B$11:$B$310)+COUNTA(条幅!$B$11:$B$310)+COUNTA(条幅4分の1!$B$11:$B$310),INDEX(条幅4分の1!$D$11:$D$310,804-COUNTA(半紙!$B$11:$B$310)-COUNTA(条幅!$B$11:$B$310)),"")))=0,"",IF(804&lt;=COUNTA(半紙!$B$11:$B$310),INDEX(半紙!$D$11:$D$310,804),IF(804&lt;=COUNTA(半紙!$B$11:$B$310)+COUNTA(条幅!$B$11:$B$310),INDEX(条幅!$D$11:$D$310,804-COUNTA(半紙!$B$11:$B$310)),IF(804&lt;=COUNTA(半紙!$B$11:$B$310)+COUNTA(条幅!$B$11:$B$310)+COUNTA(条幅4分の1!$B$11:$B$310),INDEX(条幅4分の1!$D$11:$D$310,804-COUNTA(半紙!$B$11:$B$310)-COUNTA(条幅!$B$11:$B$310)),""))))</f>
        <v/>
      </c>
      <c r="E809" s="38" t="str">
        <f>IF(IF(804&lt;=COUNTA(半紙!$B$11:$B$310),INDEX(半紙!$E$11:$E$310,804),IF(804&lt;=COUNTA(半紙!$B$11:$B$310)+COUNTA(条幅!$B$11:$B$310),INDEX(条幅!$E$11:$E$310,804-COUNTA(半紙!$B$11:$B$310)),IF(804&lt;=COUNTA(半紙!$B$11:$B$310)+COUNTA(条幅!$B$11:$B$310)+COUNTA(条幅4分の1!$B$11:$B$310),INDEX(条幅4分の1!$E$11:$E$310,804-COUNTA(半紙!$B$11:$B$310)-COUNTA(条幅!$B$11:$B$310)),"")))=0,"",IF(804&lt;=COUNTA(半紙!$B$11:$B$310),INDEX(半紙!$E$11:$E$310,804),IF(804&lt;=COUNTA(半紙!$B$11:$B$310)+COUNTA(条幅!$B$11:$B$310),INDEX(条幅!$E$11:$E$310,804-COUNTA(半紙!$B$11:$B$310)),IF(804&lt;=COUNTA(半紙!$B$11:$B$310)+COUNTA(条幅!$B$11:$B$310)+COUNTA(条幅4分の1!$B$11:$B$310),INDEX(条幅4分の1!$E$11:$E$310,804-COUNTA(半紙!$B$11:$B$310)-COUNTA(条幅!$B$11:$B$310)),""))))</f>
        <v/>
      </c>
      <c r="F809" s="38" t="str">
        <f>IF(IF(804&lt;=COUNTA(半紙!$B$11:$B$310),INDEX(半紙!$F$11:$F$310,804),IF(804&lt;=COUNTA(半紙!$B$11:$B$310)+COUNTA(条幅!$B$11:$B$310),INDEX(条幅!$F$11:$F$310,804-COUNTA(半紙!$B$11:$B$310)),IF(804&lt;=COUNTA(半紙!$B$11:$B$310)+COUNTA(条幅!$B$11:$B$310)+COUNTA(条幅4分の1!$B$11:$B$310),INDEX(条幅4分の1!$F$11:$F$310,804-COUNTA(半紙!$B$11:$B$310)-COUNTA(条幅!$B$11:$B$310)),"")))=0,"",IF(804&lt;=COUNTA(半紙!$B$11:$B$310),INDEX(半紙!$F$11:$F$310,804),IF(804&lt;=COUNTA(半紙!$B$11:$B$310)+COUNTA(条幅!$B$11:$B$310),INDEX(条幅!$F$11:$F$310,804-COUNTA(半紙!$B$11:$B$310)),IF(804&lt;=COUNTA(半紙!$B$11:$B$310)+COUNTA(条幅!$B$11:$B$310)+COUNTA(条幅4分の1!$B$11:$B$310),INDEX(条幅4分の1!$F$11:$F$310,804-COUNTA(半紙!$B$11:$B$310)-COUNTA(条幅!$B$11:$B$310)),""))))</f>
        <v/>
      </c>
      <c r="G809" s="38" t="str">
        <f>IF(IF(804&lt;=COUNTA(半紙!$B$11:$B$310),INDEX(半紙!$G$11:$G$310,804),IF(804&lt;=COUNTA(半紙!$B$11:$B$310)+COUNTA(条幅!$B$11:$B$310),INDEX(条幅!$G$11:$G$310,804-COUNTA(半紙!$B$11:$B$310)),IF(804&lt;=COUNTA(半紙!$B$11:$B$310)+COUNTA(条幅!$B$11:$B$310)+COUNTA(条幅4分の1!$B$11:$B$310),INDEX(条幅4分の1!$G$11:$G$310,804-COUNTA(半紙!$B$11:$B$310)-COUNTA(条幅!$B$11:$B$310)),"")))=0,"",IF(804&lt;=COUNTA(半紙!$B$11:$B$310),INDEX(半紙!$G$11:$G$310,804),IF(804&lt;=COUNTA(半紙!$B$11:$B$310)+COUNTA(条幅!$B$11:$B$310),INDEX(条幅!$G$11:$G$310,804-COUNTA(半紙!$B$11:$B$310)),IF(804&lt;=COUNTA(半紙!$B$11:$B$310)+COUNTA(条幅!$B$11:$B$310)+COUNTA(条幅4分の1!$B$11:$B$310),INDEX(条幅4分の1!$G$11:$G$310,804-COUNTA(半紙!$B$11:$B$310)-COUNTA(条幅!$B$11:$B$310)),""))))</f>
        <v/>
      </c>
      <c r="H809" s="38" t="str">
        <f>IF(IF(804&lt;=COUNTA(半紙!$B$11:$B$310),INDEX(半紙!$H$11:$H$310,804),IF(804&lt;=COUNTA(半紙!$B$11:$B$310)+COUNTA(条幅!$B$11:$B$310),INDEX(条幅!$H$11:$H$310,804-COUNTA(半紙!$B$11:$B$310)),IF(804&lt;=COUNTA(半紙!$B$11:$B$310)+COUNTA(条幅!$B$11:$B$310)+COUNTA(条幅4分の1!$B$11:$B$310),INDEX(条幅4分の1!$H$11:$H$310,804-COUNTA(半紙!$B$11:$B$310)-COUNTA(条幅!$B$11:$B$310)),"")))=0,"",IF(804&lt;=COUNTA(半紙!$B$11:$B$310),INDEX(半紙!$H$11:$H$310,804),IF(804&lt;=COUNTA(半紙!$B$11:$B$310)+COUNTA(条幅!$B$11:$B$310),INDEX(条幅!$H$11:$H$310,804-COUNTA(半紙!$B$11:$B$310)),IF(804&lt;=COUNTA(半紙!$B$11:$B$310)+COUNTA(条幅!$B$11:$B$310)+COUNTA(条幅4分の1!$B$11:$B$310),INDEX(条幅4分の1!$H$11:$H$310,804-COUNTA(半紙!$B$11:$B$310)-COUNTA(条幅!$B$11:$B$310)),""))))</f>
        <v/>
      </c>
      <c r="I809" s="38" t="str">
        <f>IF(IF(804&lt;=COUNTA(半紙!$B$11:$B$310),INDEX(半紙!$I$11:$I$310,804),IF(804&lt;=COUNTA(半紙!$B$11:$B$310)+COUNTA(条幅!$B$11:$B$310),INDEX(条幅!$I$11:$I$310,804-COUNTA(半紙!$B$11:$B$310)),IF(804&lt;=COUNTA(半紙!$B$11:$B$310)+COUNTA(条幅!$B$11:$B$310)+COUNTA(条幅4分の1!$B$11:$B$310),INDEX(条幅4分の1!$I$11:$I$310,804-COUNTA(半紙!$B$11:$B$310)-COUNTA(条幅!$B$11:$B$310)),"")))=0,"",IF(804&lt;=COUNTA(半紙!$B$11:$B$310),INDEX(半紙!$I$11:$I$310,804),IF(804&lt;=COUNTA(半紙!$B$11:$B$310)+COUNTA(条幅!$B$11:$B$310),INDEX(条幅!$I$11:$I$310,804-COUNTA(半紙!$B$11:$B$310)),IF(804&lt;=COUNTA(半紙!$B$11:$B$310)+COUNTA(条幅!$B$11:$B$310)+COUNTA(条幅4分の1!$B$11:$B$310),INDEX(条幅4分の1!$I$11:$I$310,804-COUNTA(半紙!$B$11:$B$310)-COUNTA(条幅!$B$11:$B$310)),""))))</f>
        <v/>
      </c>
      <c r="J809" s="38" t="str">
        <f>IF(IF(804&lt;=COUNTA(半紙!$B$11:$B$310),INDEX(半紙!$J$11:$J$310,804),IF(804&lt;=COUNTA(半紙!$B$11:$B$310)+COUNTA(条幅!$B$11:$B$310),INDEX(条幅!$J$11:$J$310,804-COUNTA(半紙!$B$11:$B$310)),IF(804&lt;=COUNTA(半紙!$B$11:$B$310)+COUNTA(条幅!$B$11:$B$310)+COUNTA(条幅4分の1!$B$11:$B$310),INDEX(条幅4分の1!$J$11:$J$310,804-COUNTA(半紙!$B$11:$B$310)-COUNTA(条幅!$B$11:$B$310)),"")))=0,"",IF(804&lt;=COUNTA(半紙!$B$11:$B$310),INDEX(半紙!$J$11:$J$310,804),IF(804&lt;=COUNTA(半紙!$B$11:$B$310)+COUNTA(条幅!$B$11:$B$310),INDEX(条幅!$J$11:$J$310,804-COUNTA(半紙!$B$11:$B$310)),IF(804&lt;=COUNTA(半紙!$B$11:$B$310)+COUNTA(条幅!$B$11:$B$310)+COUNTA(条幅4分の1!$B$11:$B$310),INDEX(条幅4分の1!$J$11:$J$310,804-COUNTA(半紙!$B$11:$B$310)-COUNTA(条幅!$B$11:$B$310)),""))))</f>
        <v/>
      </c>
      <c r="K809" s="38" t="str">
        <f>IF(IF(804&lt;=COUNTA(半紙!$B$11:$B$310),INDEX(半紙!$K$11:$K$310,804),IF(804&lt;=COUNTA(半紙!$B$11:$B$310)+COUNTA(条幅!$B$11:$B$310),INDEX(条幅!$K$11:$K$310,804-COUNTA(半紙!$B$11:$B$310)),IF(804&lt;=COUNTA(半紙!$B$11:$B$310)+COUNTA(条幅!$B$11:$B$310)+COUNTA(条幅4分の1!$B$11:$B$310),INDEX(条幅4分の1!$K$11:$K$310,804-COUNTA(半紙!$B$11:$B$310)-COUNTA(条幅!$B$11:$B$310)),"")))=0,"",IF(804&lt;=COUNTA(半紙!$B$11:$B$310),INDEX(半紙!$K$11:$K$310,804),IF(804&lt;=COUNTA(半紙!$B$11:$B$310)+COUNTA(条幅!$B$11:$B$310),INDEX(条幅!$K$11:$K$310,804-COUNTA(半紙!$B$11:$B$310)),IF(804&lt;=COUNTA(半紙!$B$11:$B$310)+COUNTA(条幅!$B$11:$B$310)+COUNTA(条幅4分の1!$B$11:$B$310),INDEX(条幅4分の1!$K$11:$K$310,804-COUNTA(半紙!$B$11:$B$310)-COUNTA(条幅!$B$11:$B$310)),""))))</f>
        <v/>
      </c>
      <c r="L809" s="48" t="str">
        <f>IF($B809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804))</f>
        <v/>
      </c>
    </row>
    <row r="810" spans="1:12" ht="15" customHeight="1">
      <c r="A810" s="37" t="str">
        <f>IF(805&lt;=COUNTA(半紙!$B$11:$B$310),"半紙",IF(805&lt;=COUNTA(半紙!$B$11:$B$310)+COUNTA(条幅!$B$11:$B$310),"条幅(半切)",IF(805&lt;=COUNTA(半紙!$B$11:$B$310)+COUNTA(条幅!$B$11:$B$310)+COUNTA(条幅4分の1!$B$11:$B$310),"条幅(1/4)","")))</f>
        <v/>
      </c>
      <c r="B810" s="38" t="str">
        <f>IF(IF(805&lt;=COUNTA(半紙!$B$11:$B$310),INDEX(半紙!$B$11:$B$310,805),IF(805&lt;=COUNTA(半紙!$B$11:$B$310)+COUNTA(条幅!$B$11:$B$310),INDEX(条幅!$B$11:$B$310,805-COUNTA(半紙!$B$11:$B$310)),IF(805&lt;=COUNTA(半紙!$B$11:$B$310)+COUNTA(条幅!$B$11:$B$310)+COUNTA(条幅4分の1!$B$11:$B$310),INDEX(条幅4分の1!$B$11:$B$310,805-COUNTA(半紙!$B$11:$B$310)-COUNTA(条幅!$B$11:$B$310)),"")))=0,"",IF(805&lt;=COUNTA(半紙!$B$11:$B$310),INDEX(半紙!$B$11:$B$310,805),IF(805&lt;=COUNTA(半紙!$B$11:$B$310)+COUNTA(条幅!$B$11:$B$310),INDEX(条幅!$B$11:$B$310,805-COUNTA(半紙!$B$11:$B$310)),IF(805&lt;=COUNTA(半紙!$B$11:$B$310)+COUNTA(条幅!$B$11:$B$310)+COUNTA(条幅4分の1!$B$11:$B$310),INDEX(条幅4分の1!$B$11:$B$310,805-COUNTA(半紙!$B$11:$B$310)-COUNTA(条幅!$B$11:$B$310)),""))))</f>
        <v/>
      </c>
      <c r="C810" s="38" t="str">
        <f>IF(IF(805&lt;=COUNTA(半紙!$B$11:$B$310),INDEX(半紙!$C$11:$C$310,805),IF(805&lt;=COUNTA(半紙!$B$11:$B$310)+COUNTA(条幅!$B$11:$B$310),INDEX(条幅!$C$11:$C$310,805-COUNTA(半紙!$B$11:$B$310)),IF(805&lt;=COUNTA(半紙!$B$11:$B$310)+COUNTA(条幅!$B$11:$B$310)+COUNTA(条幅4分の1!$B$11:$B$310),INDEX(条幅4分の1!$C$11:$C$310,805-COUNTA(半紙!$B$11:$B$310)-COUNTA(条幅!$B$11:$B$310)),"")))=0,"",IF(805&lt;=COUNTA(半紙!$B$11:$B$310),INDEX(半紙!$C$11:$C$310,805),IF(805&lt;=COUNTA(半紙!$B$11:$B$310)+COUNTA(条幅!$B$11:$B$310),INDEX(条幅!$C$11:$C$310,805-COUNTA(半紙!$B$11:$B$310)),IF(805&lt;=COUNTA(半紙!$B$11:$B$310)+COUNTA(条幅!$B$11:$B$310)+COUNTA(条幅4分の1!$B$11:$B$310),INDEX(条幅4分の1!$C$11:$C$310,805-COUNTA(半紙!$B$11:$B$310)-COUNTA(条幅!$B$11:$B$310)),""))))</f>
        <v/>
      </c>
      <c r="D810" s="38" t="str">
        <f>IF(IF(805&lt;=COUNTA(半紙!$B$11:$B$310),INDEX(半紙!$D$11:$D$310,805),IF(805&lt;=COUNTA(半紙!$B$11:$B$310)+COUNTA(条幅!$B$11:$B$310),INDEX(条幅!$D$11:$D$310,805-COUNTA(半紙!$B$11:$B$310)),IF(805&lt;=COUNTA(半紙!$B$11:$B$310)+COUNTA(条幅!$B$11:$B$310)+COUNTA(条幅4分の1!$B$11:$B$310),INDEX(条幅4分の1!$D$11:$D$310,805-COUNTA(半紙!$B$11:$B$310)-COUNTA(条幅!$B$11:$B$310)),"")))=0,"",IF(805&lt;=COUNTA(半紙!$B$11:$B$310),INDEX(半紙!$D$11:$D$310,805),IF(805&lt;=COUNTA(半紙!$B$11:$B$310)+COUNTA(条幅!$B$11:$B$310),INDEX(条幅!$D$11:$D$310,805-COUNTA(半紙!$B$11:$B$310)),IF(805&lt;=COUNTA(半紙!$B$11:$B$310)+COUNTA(条幅!$B$11:$B$310)+COUNTA(条幅4分の1!$B$11:$B$310),INDEX(条幅4分の1!$D$11:$D$310,805-COUNTA(半紙!$B$11:$B$310)-COUNTA(条幅!$B$11:$B$310)),""))))</f>
        <v/>
      </c>
      <c r="E810" s="38" t="str">
        <f>IF(IF(805&lt;=COUNTA(半紙!$B$11:$B$310),INDEX(半紙!$E$11:$E$310,805),IF(805&lt;=COUNTA(半紙!$B$11:$B$310)+COUNTA(条幅!$B$11:$B$310),INDEX(条幅!$E$11:$E$310,805-COUNTA(半紙!$B$11:$B$310)),IF(805&lt;=COUNTA(半紙!$B$11:$B$310)+COUNTA(条幅!$B$11:$B$310)+COUNTA(条幅4分の1!$B$11:$B$310),INDEX(条幅4分の1!$E$11:$E$310,805-COUNTA(半紙!$B$11:$B$310)-COUNTA(条幅!$B$11:$B$310)),"")))=0,"",IF(805&lt;=COUNTA(半紙!$B$11:$B$310),INDEX(半紙!$E$11:$E$310,805),IF(805&lt;=COUNTA(半紙!$B$11:$B$310)+COUNTA(条幅!$B$11:$B$310),INDEX(条幅!$E$11:$E$310,805-COUNTA(半紙!$B$11:$B$310)),IF(805&lt;=COUNTA(半紙!$B$11:$B$310)+COUNTA(条幅!$B$11:$B$310)+COUNTA(条幅4分の1!$B$11:$B$310),INDEX(条幅4分の1!$E$11:$E$310,805-COUNTA(半紙!$B$11:$B$310)-COUNTA(条幅!$B$11:$B$310)),""))))</f>
        <v/>
      </c>
      <c r="F810" s="38" t="str">
        <f>IF(IF(805&lt;=COUNTA(半紙!$B$11:$B$310),INDEX(半紙!$F$11:$F$310,805),IF(805&lt;=COUNTA(半紙!$B$11:$B$310)+COUNTA(条幅!$B$11:$B$310),INDEX(条幅!$F$11:$F$310,805-COUNTA(半紙!$B$11:$B$310)),IF(805&lt;=COUNTA(半紙!$B$11:$B$310)+COUNTA(条幅!$B$11:$B$310)+COUNTA(条幅4分の1!$B$11:$B$310),INDEX(条幅4分の1!$F$11:$F$310,805-COUNTA(半紙!$B$11:$B$310)-COUNTA(条幅!$B$11:$B$310)),"")))=0,"",IF(805&lt;=COUNTA(半紙!$B$11:$B$310),INDEX(半紙!$F$11:$F$310,805),IF(805&lt;=COUNTA(半紙!$B$11:$B$310)+COUNTA(条幅!$B$11:$B$310),INDEX(条幅!$F$11:$F$310,805-COUNTA(半紙!$B$11:$B$310)),IF(805&lt;=COUNTA(半紙!$B$11:$B$310)+COUNTA(条幅!$B$11:$B$310)+COUNTA(条幅4分の1!$B$11:$B$310),INDEX(条幅4分の1!$F$11:$F$310,805-COUNTA(半紙!$B$11:$B$310)-COUNTA(条幅!$B$11:$B$310)),""))))</f>
        <v/>
      </c>
      <c r="G810" s="38" t="str">
        <f>IF(IF(805&lt;=COUNTA(半紙!$B$11:$B$310),INDEX(半紙!$G$11:$G$310,805),IF(805&lt;=COUNTA(半紙!$B$11:$B$310)+COUNTA(条幅!$B$11:$B$310),INDEX(条幅!$G$11:$G$310,805-COUNTA(半紙!$B$11:$B$310)),IF(805&lt;=COUNTA(半紙!$B$11:$B$310)+COUNTA(条幅!$B$11:$B$310)+COUNTA(条幅4分の1!$B$11:$B$310),INDEX(条幅4分の1!$G$11:$G$310,805-COUNTA(半紙!$B$11:$B$310)-COUNTA(条幅!$B$11:$B$310)),"")))=0,"",IF(805&lt;=COUNTA(半紙!$B$11:$B$310),INDEX(半紙!$G$11:$G$310,805),IF(805&lt;=COUNTA(半紙!$B$11:$B$310)+COUNTA(条幅!$B$11:$B$310),INDEX(条幅!$G$11:$G$310,805-COUNTA(半紙!$B$11:$B$310)),IF(805&lt;=COUNTA(半紙!$B$11:$B$310)+COUNTA(条幅!$B$11:$B$310)+COUNTA(条幅4分の1!$B$11:$B$310),INDEX(条幅4分の1!$G$11:$G$310,805-COUNTA(半紙!$B$11:$B$310)-COUNTA(条幅!$B$11:$B$310)),""))))</f>
        <v/>
      </c>
      <c r="H810" s="38" t="str">
        <f>IF(IF(805&lt;=COUNTA(半紙!$B$11:$B$310),INDEX(半紙!$H$11:$H$310,805),IF(805&lt;=COUNTA(半紙!$B$11:$B$310)+COUNTA(条幅!$B$11:$B$310),INDEX(条幅!$H$11:$H$310,805-COUNTA(半紙!$B$11:$B$310)),IF(805&lt;=COUNTA(半紙!$B$11:$B$310)+COUNTA(条幅!$B$11:$B$310)+COUNTA(条幅4分の1!$B$11:$B$310),INDEX(条幅4分の1!$H$11:$H$310,805-COUNTA(半紙!$B$11:$B$310)-COUNTA(条幅!$B$11:$B$310)),"")))=0,"",IF(805&lt;=COUNTA(半紙!$B$11:$B$310),INDEX(半紙!$H$11:$H$310,805),IF(805&lt;=COUNTA(半紙!$B$11:$B$310)+COUNTA(条幅!$B$11:$B$310),INDEX(条幅!$H$11:$H$310,805-COUNTA(半紙!$B$11:$B$310)),IF(805&lt;=COUNTA(半紙!$B$11:$B$310)+COUNTA(条幅!$B$11:$B$310)+COUNTA(条幅4分の1!$B$11:$B$310),INDEX(条幅4分の1!$H$11:$H$310,805-COUNTA(半紙!$B$11:$B$310)-COUNTA(条幅!$B$11:$B$310)),""))))</f>
        <v/>
      </c>
      <c r="I810" s="38" t="str">
        <f>IF(IF(805&lt;=COUNTA(半紙!$B$11:$B$310),INDEX(半紙!$I$11:$I$310,805),IF(805&lt;=COUNTA(半紙!$B$11:$B$310)+COUNTA(条幅!$B$11:$B$310),INDEX(条幅!$I$11:$I$310,805-COUNTA(半紙!$B$11:$B$310)),IF(805&lt;=COUNTA(半紙!$B$11:$B$310)+COUNTA(条幅!$B$11:$B$310)+COUNTA(条幅4分の1!$B$11:$B$310),INDEX(条幅4分の1!$I$11:$I$310,805-COUNTA(半紙!$B$11:$B$310)-COUNTA(条幅!$B$11:$B$310)),"")))=0,"",IF(805&lt;=COUNTA(半紙!$B$11:$B$310),INDEX(半紙!$I$11:$I$310,805),IF(805&lt;=COUNTA(半紙!$B$11:$B$310)+COUNTA(条幅!$B$11:$B$310),INDEX(条幅!$I$11:$I$310,805-COUNTA(半紙!$B$11:$B$310)),IF(805&lt;=COUNTA(半紙!$B$11:$B$310)+COUNTA(条幅!$B$11:$B$310)+COUNTA(条幅4分の1!$B$11:$B$310),INDEX(条幅4分の1!$I$11:$I$310,805-COUNTA(半紙!$B$11:$B$310)-COUNTA(条幅!$B$11:$B$310)),""))))</f>
        <v/>
      </c>
      <c r="J810" s="38" t="str">
        <f>IF(IF(805&lt;=COUNTA(半紙!$B$11:$B$310),INDEX(半紙!$J$11:$J$310,805),IF(805&lt;=COUNTA(半紙!$B$11:$B$310)+COUNTA(条幅!$B$11:$B$310),INDEX(条幅!$J$11:$J$310,805-COUNTA(半紙!$B$11:$B$310)),IF(805&lt;=COUNTA(半紙!$B$11:$B$310)+COUNTA(条幅!$B$11:$B$310)+COUNTA(条幅4分の1!$B$11:$B$310),INDEX(条幅4分の1!$J$11:$J$310,805-COUNTA(半紙!$B$11:$B$310)-COUNTA(条幅!$B$11:$B$310)),"")))=0,"",IF(805&lt;=COUNTA(半紙!$B$11:$B$310),INDEX(半紙!$J$11:$J$310,805),IF(805&lt;=COUNTA(半紙!$B$11:$B$310)+COUNTA(条幅!$B$11:$B$310),INDEX(条幅!$J$11:$J$310,805-COUNTA(半紙!$B$11:$B$310)),IF(805&lt;=COUNTA(半紙!$B$11:$B$310)+COUNTA(条幅!$B$11:$B$310)+COUNTA(条幅4分の1!$B$11:$B$310),INDEX(条幅4分の1!$J$11:$J$310,805-COUNTA(半紙!$B$11:$B$310)-COUNTA(条幅!$B$11:$B$310)),""))))</f>
        <v/>
      </c>
      <c r="K810" s="38" t="str">
        <f>IF(IF(805&lt;=COUNTA(半紙!$B$11:$B$310),INDEX(半紙!$K$11:$K$310,805),IF(805&lt;=COUNTA(半紙!$B$11:$B$310)+COUNTA(条幅!$B$11:$B$310),INDEX(条幅!$K$11:$K$310,805-COUNTA(半紙!$B$11:$B$310)),IF(805&lt;=COUNTA(半紙!$B$11:$B$310)+COUNTA(条幅!$B$11:$B$310)+COUNTA(条幅4分の1!$B$11:$B$310),INDEX(条幅4分の1!$K$11:$K$310,805-COUNTA(半紙!$B$11:$B$310)-COUNTA(条幅!$B$11:$B$310)),"")))=0,"",IF(805&lt;=COUNTA(半紙!$B$11:$B$310),INDEX(半紙!$K$11:$K$310,805),IF(805&lt;=COUNTA(半紙!$B$11:$B$310)+COUNTA(条幅!$B$11:$B$310),INDEX(条幅!$K$11:$K$310,805-COUNTA(半紙!$B$11:$B$310)),IF(805&lt;=COUNTA(半紙!$B$11:$B$310)+COUNTA(条幅!$B$11:$B$310)+COUNTA(条幅4分の1!$B$11:$B$310),INDEX(条幅4分の1!$K$11:$K$310,805-COUNTA(半紙!$B$11:$B$310)-COUNTA(条幅!$B$11:$B$310)),""))))</f>
        <v/>
      </c>
      <c r="L810" s="48" t="str">
        <f>IF($B810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805))</f>
        <v/>
      </c>
    </row>
    <row r="811" spans="1:12" ht="15" customHeight="1">
      <c r="A811" s="37" t="str">
        <f>IF(806&lt;=COUNTA(半紙!$B$11:$B$310),"半紙",IF(806&lt;=COUNTA(半紙!$B$11:$B$310)+COUNTA(条幅!$B$11:$B$310),"条幅(半切)",IF(806&lt;=COUNTA(半紙!$B$11:$B$310)+COUNTA(条幅!$B$11:$B$310)+COUNTA(条幅4分の1!$B$11:$B$310),"条幅(1/4)","")))</f>
        <v/>
      </c>
      <c r="B811" s="38" t="str">
        <f>IF(IF(806&lt;=COUNTA(半紙!$B$11:$B$310),INDEX(半紙!$B$11:$B$310,806),IF(806&lt;=COUNTA(半紙!$B$11:$B$310)+COUNTA(条幅!$B$11:$B$310),INDEX(条幅!$B$11:$B$310,806-COUNTA(半紙!$B$11:$B$310)),IF(806&lt;=COUNTA(半紙!$B$11:$B$310)+COUNTA(条幅!$B$11:$B$310)+COUNTA(条幅4分の1!$B$11:$B$310),INDEX(条幅4分の1!$B$11:$B$310,806-COUNTA(半紙!$B$11:$B$310)-COUNTA(条幅!$B$11:$B$310)),"")))=0,"",IF(806&lt;=COUNTA(半紙!$B$11:$B$310),INDEX(半紙!$B$11:$B$310,806),IF(806&lt;=COUNTA(半紙!$B$11:$B$310)+COUNTA(条幅!$B$11:$B$310),INDEX(条幅!$B$11:$B$310,806-COUNTA(半紙!$B$11:$B$310)),IF(806&lt;=COUNTA(半紙!$B$11:$B$310)+COUNTA(条幅!$B$11:$B$310)+COUNTA(条幅4分の1!$B$11:$B$310),INDEX(条幅4分の1!$B$11:$B$310,806-COUNTA(半紙!$B$11:$B$310)-COUNTA(条幅!$B$11:$B$310)),""))))</f>
        <v/>
      </c>
      <c r="C811" s="38" t="str">
        <f>IF(IF(806&lt;=COUNTA(半紙!$B$11:$B$310),INDEX(半紙!$C$11:$C$310,806),IF(806&lt;=COUNTA(半紙!$B$11:$B$310)+COUNTA(条幅!$B$11:$B$310),INDEX(条幅!$C$11:$C$310,806-COUNTA(半紙!$B$11:$B$310)),IF(806&lt;=COUNTA(半紙!$B$11:$B$310)+COUNTA(条幅!$B$11:$B$310)+COUNTA(条幅4分の1!$B$11:$B$310),INDEX(条幅4分の1!$C$11:$C$310,806-COUNTA(半紙!$B$11:$B$310)-COUNTA(条幅!$B$11:$B$310)),"")))=0,"",IF(806&lt;=COUNTA(半紙!$B$11:$B$310),INDEX(半紙!$C$11:$C$310,806),IF(806&lt;=COUNTA(半紙!$B$11:$B$310)+COUNTA(条幅!$B$11:$B$310),INDEX(条幅!$C$11:$C$310,806-COUNTA(半紙!$B$11:$B$310)),IF(806&lt;=COUNTA(半紙!$B$11:$B$310)+COUNTA(条幅!$B$11:$B$310)+COUNTA(条幅4分の1!$B$11:$B$310),INDEX(条幅4分の1!$C$11:$C$310,806-COUNTA(半紙!$B$11:$B$310)-COUNTA(条幅!$B$11:$B$310)),""))))</f>
        <v/>
      </c>
      <c r="D811" s="38" t="str">
        <f>IF(IF(806&lt;=COUNTA(半紙!$B$11:$B$310),INDEX(半紙!$D$11:$D$310,806),IF(806&lt;=COUNTA(半紙!$B$11:$B$310)+COUNTA(条幅!$B$11:$B$310),INDEX(条幅!$D$11:$D$310,806-COUNTA(半紙!$B$11:$B$310)),IF(806&lt;=COUNTA(半紙!$B$11:$B$310)+COUNTA(条幅!$B$11:$B$310)+COUNTA(条幅4分の1!$B$11:$B$310),INDEX(条幅4分の1!$D$11:$D$310,806-COUNTA(半紙!$B$11:$B$310)-COUNTA(条幅!$B$11:$B$310)),"")))=0,"",IF(806&lt;=COUNTA(半紙!$B$11:$B$310),INDEX(半紙!$D$11:$D$310,806),IF(806&lt;=COUNTA(半紙!$B$11:$B$310)+COUNTA(条幅!$B$11:$B$310),INDEX(条幅!$D$11:$D$310,806-COUNTA(半紙!$B$11:$B$310)),IF(806&lt;=COUNTA(半紙!$B$11:$B$310)+COUNTA(条幅!$B$11:$B$310)+COUNTA(条幅4分の1!$B$11:$B$310),INDEX(条幅4分の1!$D$11:$D$310,806-COUNTA(半紙!$B$11:$B$310)-COUNTA(条幅!$B$11:$B$310)),""))))</f>
        <v/>
      </c>
      <c r="E811" s="38" t="str">
        <f>IF(IF(806&lt;=COUNTA(半紙!$B$11:$B$310),INDEX(半紙!$E$11:$E$310,806),IF(806&lt;=COUNTA(半紙!$B$11:$B$310)+COUNTA(条幅!$B$11:$B$310),INDEX(条幅!$E$11:$E$310,806-COUNTA(半紙!$B$11:$B$310)),IF(806&lt;=COUNTA(半紙!$B$11:$B$310)+COUNTA(条幅!$B$11:$B$310)+COUNTA(条幅4分の1!$B$11:$B$310),INDEX(条幅4分の1!$E$11:$E$310,806-COUNTA(半紙!$B$11:$B$310)-COUNTA(条幅!$B$11:$B$310)),"")))=0,"",IF(806&lt;=COUNTA(半紙!$B$11:$B$310),INDEX(半紙!$E$11:$E$310,806),IF(806&lt;=COUNTA(半紙!$B$11:$B$310)+COUNTA(条幅!$B$11:$B$310),INDEX(条幅!$E$11:$E$310,806-COUNTA(半紙!$B$11:$B$310)),IF(806&lt;=COUNTA(半紙!$B$11:$B$310)+COUNTA(条幅!$B$11:$B$310)+COUNTA(条幅4分の1!$B$11:$B$310),INDEX(条幅4分の1!$E$11:$E$310,806-COUNTA(半紙!$B$11:$B$310)-COUNTA(条幅!$B$11:$B$310)),""))))</f>
        <v/>
      </c>
      <c r="F811" s="38" t="str">
        <f>IF(IF(806&lt;=COUNTA(半紙!$B$11:$B$310),INDEX(半紙!$F$11:$F$310,806),IF(806&lt;=COUNTA(半紙!$B$11:$B$310)+COUNTA(条幅!$B$11:$B$310),INDEX(条幅!$F$11:$F$310,806-COUNTA(半紙!$B$11:$B$310)),IF(806&lt;=COUNTA(半紙!$B$11:$B$310)+COUNTA(条幅!$B$11:$B$310)+COUNTA(条幅4分の1!$B$11:$B$310),INDEX(条幅4分の1!$F$11:$F$310,806-COUNTA(半紙!$B$11:$B$310)-COUNTA(条幅!$B$11:$B$310)),"")))=0,"",IF(806&lt;=COUNTA(半紙!$B$11:$B$310),INDEX(半紙!$F$11:$F$310,806),IF(806&lt;=COUNTA(半紙!$B$11:$B$310)+COUNTA(条幅!$B$11:$B$310),INDEX(条幅!$F$11:$F$310,806-COUNTA(半紙!$B$11:$B$310)),IF(806&lt;=COUNTA(半紙!$B$11:$B$310)+COUNTA(条幅!$B$11:$B$310)+COUNTA(条幅4分の1!$B$11:$B$310),INDEX(条幅4分の1!$F$11:$F$310,806-COUNTA(半紙!$B$11:$B$310)-COUNTA(条幅!$B$11:$B$310)),""))))</f>
        <v/>
      </c>
      <c r="G811" s="38" t="str">
        <f>IF(IF(806&lt;=COUNTA(半紙!$B$11:$B$310),INDEX(半紙!$G$11:$G$310,806),IF(806&lt;=COUNTA(半紙!$B$11:$B$310)+COUNTA(条幅!$B$11:$B$310),INDEX(条幅!$G$11:$G$310,806-COUNTA(半紙!$B$11:$B$310)),IF(806&lt;=COUNTA(半紙!$B$11:$B$310)+COUNTA(条幅!$B$11:$B$310)+COUNTA(条幅4分の1!$B$11:$B$310),INDEX(条幅4分の1!$G$11:$G$310,806-COUNTA(半紙!$B$11:$B$310)-COUNTA(条幅!$B$11:$B$310)),"")))=0,"",IF(806&lt;=COUNTA(半紙!$B$11:$B$310),INDEX(半紙!$G$11:$G$310,806),IF(806&lt;=COUNTA(半紙!$B$11:$B$310)+COUNTA(条幅!$B$11:$B$310),INDEX(条幅!$G$11:$G$310,806-COUNTA(半紙!$B$11:$B$310)),IF(806&lt;=COUNTA(半紙!$B$11:$B$310)+COUNTA(条幅!$B$11:$B$310)+COUNTA(条幅4分の1!$B$11:$B$310),INDEX(条幅4分の1!$G$11:$G$310,806-COUNTA(半紙!$B$11:$B$310)-COUNTA(条幅!$B$11:$B$310)),""))))</f>
        <v/>
      </c>
      <c r="H811" s="38" t="str">
        <f>IF(IF(806&lt;=COUNTA(半紙!$B$11:$B$310),INDEX(半紙!$H$11:$H$310,806),IF(806&lt;=COUNTA(半紙!$B$11:$B$310)+COUNTA(条幅!$B$11:$B$310),INDEX(条幅!$H$11:$H$310,806-COUNTA(半紙!$B$11:$B$310)),IF(806&lt;=COUNTA(半紙!$B$11:$B$310)+COUNTA(条幅!$B$11:$B$310)+COUNTA(条幅4分の1!$B$11:$B$310),INDEX(条幅4分の1!$H$11:$H$310,806-COUNTA(半紙!$B$11:$B$310)-COUNTA(条幅!$B$11:$B$310)),"")))=0,"",IF(806&lt;=COUNTA(半紙!$B$11:$B$310),INDEX(半紙!$H$11:$H$310,806),IF(806&lt;=COUNTA(半紙!$B$11:$B$310)+COUNTA(条幅!$B$11:$B$310),INDEX(条幅!$H$11:$H$310,806-COUNTA(半紙!$B$11:$B$310)),IF(806&lt;=COUNTA(半紙!$B$11:$B$310)+COUNTA(条幅!$B$11:$B$310)+COUNTA(条幅4分の1!$B$11:$B$310),INDEX(条幅4分の1!$H$11:$H$310,806-COUNTA(半紙!$B$11:$B$310)-COUNTA(条幅!$B$11:$B$310)),""))))</f>
        <v/>
      </c>
      <c r="I811" s="38" t="str">
        <f>IF(IF(806&lt;=COUNTA(半紙!$B$11:$B$310),INDEX(半紙!$I$11:$I$310,806),IF(806&lt;=COUNTA(半紙!$B$11:$B$310)+COUNTA(条幅!$B$11:$B$310),INDEX(条幅!$I$11:$I$310,806-COUNTA(半紙!$B$11:$B$310)),IF(806&lt;=COUNTA(半紙!$B$11:$B$310)+COUNTA(条幅!$B$11:$B$310)+COUNTA(条幅4分の1!$B$11:$B$310),INDEX(条幅4分の1!$I$11:$I$310,806-COUNTA(半紙!$B$11:$B$310)-COUNTA(条幅!$B$11:$B$310)),"")))=0,"",IF(806&lt;=COUNTA(半紙!$B$11:$B$310),INDEX(半紙!$I$11:$I$310,806),IF(806&lt;=COUNTA(半紙!$B$11:$B$310)+COUNTA(条幅!$B$11:$B$310),INDEX(条幅!$I$11:$I$310,806-COUNTA(半紙!$B$11:$B$310)),IF(806&lt;=COUNTA(半紙!$B$11:$B$310)+COUNTA(条幅!$B$11:$B$310)+COUNTA(条幅4分の1!$B$11:$B$310),INDEX(条幅4分の1!$I$11:$I$310,806-COUNTA(半紙!$B$11:$B$310)-COUNTA(条幅!$B$11:$B$310)),""))))</f>
        <v/>
      </c>
      <c r="J811" s="38" t="str">
        <f>IF(IF(806&lt;=COUNTA(半紙!$B$11:$B$310),INDEX(半紙!$J$11:$J$310,806),IF(806&lt;=COUNTA(半紙!$B$11:$B$310)+COUNTA(条幅!$B$11:$B$310),INDEX(条幅!$J$11:$J$310,806-COUNTA(半紙!$B$11:$B$310)),IF(806&lt;=COUNTA(半紙!$B$11:$B$310)+COUNTA(条幅!$B$11:$B$310)+COUNTA(条幅4分の1!$B$11:$B$310),INDEX(条幅4分の1!$J$11:$J$310,806-COUNTA(半紙!$B$11:$B$310)-COUNTA(条幅!$B$11:$B$310)),"")))=0,"",IF(806&lt;=COUNTA(半紙!$B$11:$B$310),INDEX(半紙!$J$11:$J$310,806),IF(806&lt;=COUNTA(半紙!$B$11:$B$310)+COUNTA(条幅!$B$11:$B$310),INDEX(条幅!$J$11:$J$310,806-COUNTA(半紙!$B$11:$B$310)),IF(806&lt;=COUNTA(半紙!$B$11:$B$310)+COUNTA(条幅!$B$11:$B$310)+COUNTA(条幅4分の1!$B$11:$B$310),INDEX(条幅4分の1!$J$11:$J$310,806-COUNTA(半紙!$B$11:$B$310)-COUNTA(条幅!$B$11:$B$310)),""))))</f>
        <v/>
      </c>
      <c r="K811" s="38" t="str">
        <f>IF(IF(806&lt;=COUNTA(半紙!$B$11:$B$310),INDEX(半紙!$K$11:$K$310,806),IF(806&lt;=COUNTA(半紙!$B$11:$B$310)+COUNTA(条幅!$B$11:$B$310),INDEX(条幅!$K$11:$K$310,806-COUNTA(半紙!$B$11:$B$310)),IF(806&lt;=COUNTA(半紙!$B$11:$B$310)+COUNTA(条幅!$B$11:$B$310)+COUNTA(条幅4分の1!$B$11:$B$310),INDEX(条幅4分の1!$K$11:$K$310,806-COUNTA(半紙!$B$11:$B$310)-COUNTA(条幅!$B$11:$B$310)),"")))=0,"",IF(806&lt;=COUNTA(半紙!$B$11:$B$310),INDEX(半紙!$K$11:$K$310,806),IF(806&lt;=COUNTA(半紙!$B$11:$B$310)+COUNTA(条幅!$B$11:$B$310),INDEX(条幅!$K$11:$K$310,806-COUNTA(半紙!$B$11:$B$310)),IF(806&lt;=COUNTA(半紙!$B$11:$B$310)+COUNTA(条幅!$B$11:$B$310)+COUNTA(条幅4分の1!$B$11:$B$310),INDEX(条幅4分の1!$K$11:$K$310,806-COUNTA(半紙!$B$11:$B$310)-COUNTA(条幅!$B$11:$B$310)),""))))</f>
        <v/>
      </c>
      <c r="L811" s="48" t="str">
        <f>IF($B811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806))</f>
        <v/>
      </c>
    </row>
    <row r="812" spans="1:12" ht="15" customHeight="1">
      <c r="A812" s="37" t="str">
        <f>IF(807&lt;=COUNTA(半紙!$B$11:$B$310),"半紙",IF(807&lt;=COUNTA(半紙!$B$11:$B$310)+COUNTA(条幅!$B$11:$B$310),"条幅(半切)",IF(807&lt;=COUNTA(半紙!$B$11:$B$310)+COUNTA(条幅!$B$11:$B$310)+COUNTA(条幅4分の1!$B$11:$B$310),"条幅(1/4)","")))</f>
        <v/>
      </c>
      <c r="B812" s="38" t="str">
        <f>IF(IF(807&lt;=COUNTA(半紙!$B$11:$B$310),INDEX(半紙!$B$11:$B$310,807),IF(807&lt;=COUNTA(半紙!$B$11:$B$310)+COUNTA(条幅!$B$11:$B$310),INDEX(条幅!$B$11:$B$310,807-COUNTA(半紙!$B$11:$B$310)),IF(807&lt;=COUNTA(半紙!$B$11:$B$310)+COUNTA(条幅!$B$11:$B$310)+COUNTA(条幅4分の1!$B$11:$B$310),INDEX(条幅4分の1!$B$11:$B$310,807-COUNTA(半紙!$B$11:$B$310)-COUNTA(条幅!$B$11:$B$310)),"")))=0,"",IF(807&lt;=COUNTA(半紙!$B$11:$B$310),INDEX(半紙!$B$11:$B$310,807),IF(807&lt;=COUNTA(半紙!$B$11:$B$310)+COUNTA(条幅!$B$11:$B$310),INDEX(条幅!$B$11:$B$310,807-COUNTA(半紙!$B$11:$B$310)),IF(807&lt;=COUNTA(半紙!$B$11:$B$310)+COUNTA(条幅!$B$11:$B$310)+COUNTA(条幅4分の1!$B$11:$B$310),INDEX(条幅4分の1!$B$11:$B$310,807-COUNTA(半紙!$B$11:$B$310)-COUNTA(条幅!$B$11:$B$310)),""))))</f>
        <v/>
      </c>
      <c r="C812" s="38" t="str">
        <f>IF(IF(807&lt;=COUNTA(半紙!$B$11:$B$310),INDEX(半紙!$C$11:$C$310,807),IF(807&lt;=COUNTA(半紙!$B$11:$B$310)+COUNTA(条幅!$B$11:$B$310),INDEX(条幅!$C$11:$C$310,807-COUNTA(半紙!$B$11:$B$310)),IF(807&lt;=COUNTA(半紙!$B$11:$B$310)+COUNTA(条幅!$B$11:$B$310)+COUNTA(条幅4分の1!$B$11:$B$310),INDEX(条幅4分の1!$C$11:$C$310,807-COUNTA(半紙!$B$11:$B$310)-COUNTA(条幅!$B$11:$B$310)),"")))=0,"",IF(807&lt;=COUNTA(半紙!$B$11:$B$310),INDEX(半紙!$C$11:$C$310,807),IF(807&lt;=COUNTA(半紙!$B$11:$B$310)+COUNTA(条幅!$B$11:$B$310),INDEX(条幅!$C$11:$C$310,807-COUNTA(半紙!$B$11:$B$310)),IF(807&lt;=COUNTA(半紙!$B$11:$B$310)+COUNTA(条幅!$B$11:$B$310)+COUNTA(条幅4分の1!$B$11:$B$310),INDEX(条幅4分の1!$C$11:$C$310,807-COUNTA(半紙!$B$11:$B$310)-COUNTA(条幅!$B$11:$B$310)),""))))</f>
        <v/>
      </c>
      <c r="D812" s="38" t="str">
        <f>IF(IF(807&lt;=COUNTA(半紙!$B$11:$B$310),INDEX(半紙!$D$11:$D$310,807),IF(807&lt;=COUNTA(半紙!$B$11:$B$310)+COUNTA(条幅!$B$11:$B$310),INDEX(条幅!$D$11:$D$310,807-COUNTA(半紙!$B$11:$B$310)),IF(807&lt;=COUNTA(半紙!$B$11:$B$310)+COUNTA(条幅!$B$11:$B$310)+COUNTA(条幅4分の1!$B$11:$B$310),INDEX(条幅4分の1!$D$11:$D$310,807-COUNTA(半紙!$B$11:$B$310)-COUNTA(条幅!$B$11:$B$310)),"")))=0,"",IF(807&lt;=COUNTA(半紙!$B$11:$B$310),INDEX(半紙!$D$11:$D$310,807),IF(807&lt;=COUNTA(半紙!$B$11:$B$310)+COUNTA(条幅!$B$11:$B$310),INDEX(条幅!$D$11:$D$310,807-COUNTA(半紙!$B$11:$B$310)),IF(807&lt;=COUNTA(半紙!$B$11:$B$310)+COUNTA(条幅!$B$11:$B$310)+COUNTA(条幅4分の1!$B$11:$B$310),INDEX(条幅4分の1!$D$11:$D$310,807-COUNTA(半紙!$B$11:$B$310)-COUNTA(条幅!$B$11:$B$310)),""))))</f>
        <v/>
      </c>
      <c r="E812" s="38" t="str">
        <f>IF(IF(807&lt;=COUNTA(半紙!$B$11:$B$310),INDEX(半紙!$E$11:$E$310,807),IF(807&lt;=COUNTA(半紙!$B$11:$B$310)+COUNTA(条幅!$B$11:$B$310),INDEX(条幅!$E$11:$E$310,807-COUNTA(半紙!$B$11:$B$310)),IF(807&lt;=COUNTA(半紙!$B$11:$B$310)+COUNTA(条幅!$B$11:$B$310)+COUNTA(条幅4分の1!$B$11:$B$310),INDEX(条幅4分の1!$E$11:$E$310,807-COUNTA(半紙!$B$11:$B$310)-COUNTA(条幅!$B$11:$B$310)),"")))=0,"",IF(807&lt;=COUNTA(半紙!$B$11:$B$310),INDEX(半紙!$E$11:$E$310,807),IF(807&lt;=COUNTA(半紙!$B$11:$B$310)+COUNTA(条幅!$B$11:$B$310),INDEX(条幅!$E$11:$E$310,807-COUNTA(半紙!$B$11:$B$310)),IF(807&lt;=COUNTA(半紙!$B$11:$B$310)+COUNTA(条幅!$B$11:$B$310)+COUNTA(条幅4分の1!$B$11:$B$310),INDEX(条幅4分の1!$E$11:$E$310,807-COUNTA(半紙!$B$11:$B$310)-COUNTA(条幅!$B$11:$B$310)),""))))</f>
        <v/>
      </c>
      <c r="F812" s="38" t="str">
        <f>IF(IF(807&lt;=COUNTA(半紙!$B$11:$B$310),INDEX(半紙!$F$11:$F$310,807),IF(807&lt;=COUNTA(半紙!$B$11:$B$310)+COUNTA(条幅!$B$11:$B$310),INDEX(条幅!$F$11:$F$310,807-COUNTA(半紙!$B$11:$B$310)),IF(807&lt;=COUNTA(半紙!$B$11:$B$310)+COUNTA(条幅!$B$11:$B$310)+COUNTA(条幅4分の1!$B$11:$B$310),INDEX(条幅4分の1!$F$11:$F$310,807-COUNTA(半紙!$B$11:$B$310)-COUNTA(条幅!$B$11:$B$310)),"")))=0,"",IF(807&lt;=COUNTA(半紙!$B$11:$B$310),INDEX(半紙!$F$11:$F$310,807),IF(807&lt;=COUNTA(半紙!$B$11:$B$310)+COUNTA(条幅!$B$11:$B$310),INDEX(条幅!$F$11:$F$310,807-COUNTA(半紙!$B$11:$B$310)),IF(807&lt;=COUNTA(半紙!$B$11:$B$310)+COUNTA(条幅!$B$11:$B$310)+COUNTA(条幅4分の1!$B$11:$B$310),INDEX(条幅4分の1!$F$11:$F$310,807-COUNTA(半紙!$B$11:$B$310)-COUNTA(条幅!$B$11:$B$310)),""))))</f>
        <v/>
      </c>
      <c r="G812" s="38" t="str">
        <f>IF(IF(807&lt;=COUNTA(半紙!$B$11:$B$310),INDEX(半紙!$G$11:$G$310,807),IF(807&lt;=COUNTA(半紙!$B$11:$B$310)+COUNTA(条幅!$B$11:$B$310),INDEX(条幅!$G$11:$G$310,807-COUNTA(半紙!$B$11:$B$310)),IF(807&lt;=COUNTA(半紙!$B$11:$B$310)+COUNTA(条幅!$B$11:$B$310)+COUNTA(条幅4分の1!$B$11:$B$310),INDEX(条幅4分の1!$G$11:$G$310,807-COUNTA(半紙!$B$11:$B$310)-COUNTA(条幅!$B$11:$B$310)),"")))=0,"",IF(807&lt;=COUNTA(半紙!$B$11:$B$310),INDEX(半紙!$G$11:$G$310,807),IF(807&lt;=COUNTA(半紙!$B$11:$B$310)+COUNTA(条幅!$B$11:$B$310),INDEX(条幅!$G$11:$G$310,807-COUNTA(半紙!$B$11:$B$310)),IF(807&lt;=COUNTA(半紙!$B$11:$B$310)+COUNTA(条幅!$B$11:$B$310)+COUNTA(条幅4分の1!$B$11:$B$310),INDEX(条幅4分の1!$G$11:$G$310,807-COUNTA(半紙!$B$11:$B$310)-COUNTA(条幅!$B$11:$B$310)),""))))</f>
        <v/>
      </c>
      <c r="H812" s="38" t="str">
        <f>IF(IF(807&lt;=COUNTA(半紙!$B$11:$B$310),INDEX(半紙!$H$11:$H$310,807),IF(807&lt;=COUNTA(半紙!$B$11:$B$310)+COUNTA(条幅!$B$11:$B$310),INDEX(条幅!$H$11:$H$310,807-COUNTA(半紙!$B$11:$B$310)),IF(807&lt;=COUNTA(半紙!$B$11:$B$310)+COUNTA(条幅!$B$11:$B$310)+COUNTA(条幅4分の1!$B$11:$B$310),INDEX(条幅4分の1!$H$11:$H$310,807-COUNTA(半紙!$B$11:$B$310)-COUNTA(条幅!$B$11:$B$310)),"")))=0,"",IF(807&lt;=COUNTA(半紙!$B$11:$B$310),INDEX(半紙!$H$11:$H$310,807),IF(807&lt;=COUNTA(半紙!$B$11:$B$310)+COUNTA(条幅!$B$11:$B$310),INDEX(条幅!$H$11:$H$310,807-COUNTA(半紙!$B$11:$B$310)),IF(807&lt;=COUNTA(半紙!$B$11:$B$310)+COUNTA(条幅!$B$11:$B$310)+COUNTA(条幅4分の1!$B$11:$B$310),INDEX(条幅4分の1!$H$11:$H$310,807-COUNTA(半紙!$B$11:$B$310)-COUNTA(条幅!$B$11:$B$310)),""))))</f>
        <v/>
      </c>
      <c r="I812" s="38" t="str">
        <f>IF(IF(807&lt;=COUNTA(半紙!$B$11:$B$310),INDEX(半紙!$I$11:$I$310,807),IF(807&lt;=COUNTA(半紙!$B$11:$B$310)+COUNTA(条幅!$B$11:$B$310),INDEX(条幅!$I$11:$I$310,807-COUNTA(半紙!$B$11:$B$310)),IF(807&lt;=COUNTA(半紙!$B$11:$B$310)+COUNTA(条幅!$B$11:$B$310)+COUNTA(条幅4分の1!$B$11:$B$310),INDEX(条幅4分の1!$I$11:$I$310,807-COUNTA(半紙!$B$11:$B$310)-COUNTA(条幅!$B$11:$B$310)),"")))=0,"",IF(807&lt;=COUNTA(半紙!$B$11:$B$310),INDEX(半紙!$I$11:$I$310,807),IF(807&lt;=COUNTA(半紙!$B$11:$B$310)+COUNTA(条幅!$B$11:$B$310),INDEX(条幅!$I$11:$I$310,807-COUNTA(半紙!$B$11:$B$310)),IF(807&lt;=COUNTA(半紙!$B$11:$B$310)+COUNTA(条幅!$B$11:$B$310)+COUNTA(条幅4分の1!$B$11:$B$310),INDEX(条幅4分の1!$I$11:$I$310,807-COUNTA(半紙!$B$11:$B$310)-COUNTA(条幅!$B$11:$B$310)),""))))</f>
        <v/>
      </c>
      <c r="J812" s="38" t="str">
        <f>IF(IF(807&lt;=COUNTA(半紙!$B$11:$B$310),INDEX(半紙!$J$11:$J$310,807),IF(807&lt;=COUNTA(半紙!$B$11:$B$310)+COUNTA(条幅!$B$11:$B$310),INDEX(条幅!$J$11:$J$310,807-COUNTA(半紙!$B$11:$B$310)),IF(807&lt;=COUNTA(半紙!$B$11:$B$310)+COUNTA(条幅!$B$11:$B$310)+COUNTA(条幅4分の1!$B$11:$B$310),INDEX(条幅4分の1!$J$11:$J$310,807-COUNTA(半紙!$B$11:$B$310)-COUNTA(条幅!$B$11:$B$310)),"")))=0,"",IF(807&lt;=COUNTA(半紙!$B$11:$B$310),INDEX(半紙!$J$11:$J$310,807),IF(807&lt;=COUNTA(半紙!$B$11:$B$310)+COUNTA(条幅!$B$11:$B$310),INDEX(条幅!$J$11:$J$310,807-COUNTA(半紙!$B$11:$B$310)),IF(807&lt;=COUNTA(半紙!$B$11:$B$310)+COUNTA(条幅!$B$11:$B$310)+COUNTA(条幅4分の1!$B$11:$B$310),INDEX(条幅4分の1!$J$11:$J$310,807-COUNTA(半紙!$B$11:$B$310)-COUNTA(条幅!$B$11:$B$310)),""))))</f>
        <v/>
      </c>
      <c r="K812" s="38" t="str">
        <f>IF(IF(807&lt;=COUNTA(半紙!$B$11:$B$310),INDEX(半紙!$K$11:$K$310,807),IF(807&lt;=COUNTA(半紙!$B$11:$B$310)+COUNTA(条幅!$B$11:$B$310),INDEX(条幅!$K$11:$K$310,807-COUNTA(半紙!$B$11:$B$310)),IF(807&lt;=COUNTA(半紙!$B$11:$B$310)+COUNTA(条幅!$B$11:$B$310)+COUNTA(条幅4分の1!$B$11:$B$310),INDEX(条幅4分の1!$K$11:$K$310,807-COUNTA(半紙!$B$11:$B$310)-COUNTA(条幅!$B$11:$B$310)),"")))=0,"",IF(807&lt;=COUNTA(半紙!$B$11:$B$310),INDEX(半紙!$K$11:$K$310,807),IF(807&lt;=COUNTA(半紙!$B$11:$B$310)+COUNTA(条幅!$B$11:$B$310),INDEX(条幅!$K$11:$K$310,807-COUNTA(半紙!$B$11:$B$310)),IF(807&lt;=COUNTA(半紙!$B$11:$B$310)+COUNTA(条幅!$B$11:$B$310)+COUNTA(条幅4分の1!$B$11:$B$310),INDEX(条幅4分の1!$K$11:$K$310,807-COUNTA(半紙!$B$11:$B$310)-COUNTA(条幅!$B$11:$B$310)),""))))</f>
        <v/>
      </c>
      <c r="L812" s="48" t="str">
        <f>IF($B812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807))</f>
        <v/>
      </c>
    </row>
    <row r="813" spans="1:12" ht="15" customHeight="1">
      <c r="A813" s="37" t="str">
        <f>IF(808&lt;=COUNTA(半紙!$B$11:$B$310),"半紙",IF(808&lt;=COUNTA(半紙!$B$11:$B$310)+COUNTA(条幅!$B$11:$B$310),"条幅(半切)",IF(808&lt;=COUNTA(半紙!$B$11:$B$310)+COUNTA(条幅!$B$11:$B$310)+COUNTA(条幅4分の1!$B$11:$B$310),"条幅(1/4)","")))</f>
        <v/>
      </c>
      <c r="B813" s="38" t="str">
        <f>IF(IF(808&lt;=COUNTA(半紙!$B$11:$B$310),INDEX(半紙!$B$11:$B$310,808),IF(808&lt;=COUNTA(半紙!$B$11:$B$310)+COUNTA(条幅!$B$11:$B$310),INDEX(条幅!$B$11:$B$310,808-COUNTA(半紙!$B$11:$B$310)),IF(808&lt;=COUNTA(半紙!$B$11:$B$310)+COUNTA(条幅!$B$11:$B$310)+COUNTA(条幅4分の1!$B$11:$B$310),INDEX(条幅4分の1!$B$11:$B$310,808-COUNTA(半紙!$B$11:$B$310)-COUNTA(条幅!$B$11:$B$310)),"")))=0,"",IF(808&lt;=COUNTA(半紙!$B$11:$B$310),INDEX(半紙!$B$11:$B$310,808),IF(808&lt;=COUNTA(半紙!$B$11:$B$310)+COUNTA(条幅!$B$11:$B$310),INDEX(条幅!$B$11:$B$310,808-COUNTA(半紙!$B$11:$B$310)),IF(808&lt;=COUNTA(半紙!$B$11:$B$310)+COUNTA(条幅!$B$11:$B$310)+COUNTA(条幅4分の1!$B$11:$B$310),INDEX(条幅4分の1!$B$11:$B$310,808-COUNTA(半紙!$B$11:$B$310)-COUNTA(条幅!$B$11:$B$310)),""))))</f>
        <v/>
      </c>
      <c r="C813" s="38" t="str">
        <f>IF(IF(808&lt;=COUNTA(半紙!$B$11:$B$310),INDEX(半紙!$C$11:$C$310,808),IF(808&lt;=COUNTA(半紙!$B$11:$B$310)+COUNTA(条幅!$B$11:$B$310),INDEX(条幅!$C$11:$C$310,808-COUNTA(半紙!$B$11:$B$310)),IF(808&lt;=COUNTA(半紙!$B$11:$B$310)+COUNTA(条幅!$B$11:$B$310)+COUNTA(条幅4分の1!$B$11:$B$310),INDEX(条幅4分の1!$C$11:$C$310,808-COUNTA(半紙!$B$11:$B$310)-COUNTA(条幅!$B$11:$B$310)),"")))=0,"",IF(808&lt;=COUNTA(半紙!$B$11:$B$310),INDEX(半紙!$C$11:$C$310,808),IF(808&lt;=COUNTA(半紙!$B$11:$B$310)+COUNTA(条幅!$B$11:$B$310),INDEX(条幅!$C$11:$C$310,808-COUNTA(半紙!$B$11:$B$310)),IF(808&lt;=COUNTA(半紙!$B$11:$B$310)+COUNTA(条幅!$B$11:$B$310)+COUNTA(条幅4分の1!$B$11:$B$310),INDEX(条幅4分の1!$C$11:$C$310,808-COUNTA(半紙!$B$11:$B$310)-COUNTA(条幅!$B$11:$B$310)),""))))</f>
        <v/>
      </c>
      <c r="D813" s="38" t="str">
        <f>IF(IF(808&lt;=COUNTA(半紙!$B$11:$B$310),INDEX(半紙!$D$11:$D$310,808),IF(808&lt;=COUNTA(半紙!$B$11:$B$310)+COUNTA(条幅!$B$11:$B$310),INDEX(条幅!$D$11:$D$310,808-COUNTA(半紙!$B$11:$B$310)),IF(808&lt;=COUNTA(半紙!$B$11:$B$310)+COUNTA(条幅!$B$11:$B$310)+COUNTA(条幅4分の1!$B$11:$B$310),INDEX(条幅4分の1!$D$11:$D$310,808-COUNTA(半紙!$B$11:$B$310)-COUNTA(条幅!$B$11:$B$310)),"")))=0,"",IF(808&lt;=COUNTA(半紙!$B$11:$B$310),INDEX(半紙!$D$11:$D$310,808),IF(808&lt;=COUNTA(半紙!$B$11:$B$310)+COUNTA(条幅!$B$11:$B$310),INDEX(条幅!$D$11:$D$310,808-COUNTA(半紙!$B$11:$B$310)),IF(808&lt;=COUNTA(半紙!$B$11:$B$310)+COUNTA(条幅!$B$11:$B$310)+COUNTA(条幅4分の1!$B$11:$B$310),INDEX(条幅4分の1!$D$11:$D$310,808-COUNTA(半紙!$B$11:$B$310)-COUNTA(条幅!$B$11:$B$310)),""))))</f>
        <v/>
      </c>
      <c r="E813" s="38" t="str">
        <f>IF(IF(808&lt;=COUNTA(半紙!$B$11:$B$310),INDEX(半紙!$E$11:$E$310,808),IF(808&lt;=COUNTA(半紙!$B$11:$B$310)+COUNTA(条幅!$B$11:$B$310),INDEX(条幅!$E$11:$E$310,808-COUNTA(半紙!$B$11:$B$310)),IF(808&lt;=COUNTA(半紙!$B$11:$B$310)+COUNTA(条幅!$B$11:$B$310)+COUNTA(条幅4分の1!$B$11:$B$310),INDEX(条幅4分の1!$E$11:$E$310,808-COUNTA(半紙!$B$11:$B$310)-COUNTA(条幅!$B$11:$B$310)),"")))=0,"",IF(808&lt;=COUNTA(半紙!$B$11:$B$310),INDEX(半紙!$E$11:$E$310,808),IF(808&lt;=COUNTA(半紙!$B$11:$B$310)+COUNTA(条幅!$B$11:$B$310),INDEX(条幅!$E$11:$E$310,808-COUNTA(半紙!$B$11:$B$310)),IF(808&lt;=COUNTA(半紙!$B$11:$B$310)+COUNTA(条幅!$B$11:$B$310)+COUNTA(条幅4分の1!$B$11:$B$310),INDEX(条幅4分の1!$E$11:$E$310,808-COUNTA(半紙!$B$11:$B$310)-COUNTA(条幅!$B$11:$B$310)),""))))</f>
        <v/>
      </c>
      <c r="F813" s="38" t="str">
        <f>IF(IF(808&lt;=COUNTA(半紙!$B$11:$B$310),INDEX(半紙!$F$11:$F$310,808),IF(808&lt;=COUNTA(半紙!$B$11:$B$310)+COUNTA(条幅!$B$11:$B$310),INDEX(条幅!$F$11:$F$310,808-COUNTA(半紙!$B$11:$B$310)),IF(808&lt;=COUNTA(半紙!$B$11:$B$310)+COUNTA(条幅!$B$11:$B$310)+COUNTA(条幅4分の1!$B$11:$B$310),INDEX(条幅4分の1!$F$11:$F$310,808-COUNTA(半紙!$B$11:$B$310)-COUNTA(条幅!$B$11:$B$310)),"")))=0,"",IF(808&lt;=COUNTA(半紙!$B$11:$B$310),INDEX(半紙!$F$11:$F$310,808),IF(808&lt;=COUNTA(半紙!$B$11:$B$310)+COUNTA(条幅!$B$11:$B$310),INDEX(条幅!$F$11:$F$310,808-COUNTA(半紙!$B$11:$B$310)),IF(808&lt;=COUNTA(半紙!$B$11:$B$310)+COUNTA(条幅!$B$11:$B$310)+COUNTA(条幅4分の1!$B$11:$B$310),INDEX(条幅4分の1!$F$11:$F$310,808-COUNTA(半紙!$B$11:$B$310)-COUNTA(条幅!$B$11:$B$310)),""))))</f>
        <v/>
      </c>
      <c r="G813" s="38" t="str">
        <f>IF(IF(808&lt;=COUNTA(半紙!$B$11:$B$310),INDEX(半紙!$G$11:$G$310,808),IF(808&lt;=COUNTA(半紙!$B$11:$B$310)+COUNTA(条幅!$B$11:$B$310),INDEX(条幅!$G$11:$G$310,808-COUNTA(半紙!$B$11:$B$310)),IF(808&lt;=COUNTA(半紙!$B$11:$B$310)+COUNTA(条幅!$B$11:$B$310)+COUNTA(条幅4分の1!$B$11:$B$310),INDEX(条幅4分の1!$G$11:$G$310,808-COUNTA(半紙!$B$11:$B$310)-COUNTA(条幅!$B$11:$B$310)),"")))=0,"",IF(808&lt;=COUNTA(半紙!$B$11:$B$310),INDEX(半紙!$G$11:$G$310,808),IF(808&lt;=COUNTA(半紙!$B$11:$B$310)+COUNTA(条幅!$B$11:$B$310),INDEX(条幅!$G$11:$G$310,808-COUNTA(半紙!$B$11:$B$310)),IF(808&lt;=COUNTA(半紙!$B$11:$B$310)+COUNTA(条幅!$B$11:$B$310)+COUNTA(条幅4分の1!$B$11:$B$310),INDEX(条幅4分の1!$G$11:$G$310,808-COUNTA(半紙!$B$11:$B$310)-COUNTA(条幅!$B$11:$B$310)),""))))</f>
        <v/>
      </c>
      <c r="H813" s="38" t="str">
        <f>IF(IF(808&lt;=COUNTA(半紙!$B$11:$B$310),INDEX(半紙!$H$11:$H$310,808),IF(808&lt;=COUNTA(半紙!$B$11:$B$310)+COUNTA(条幅!$B$11:$B$310),INDEX(条幅!$H$11:$H$310,808-COUNTA(半紙!$B$11:$B$310)),IF(808&lt;=COUNTA(半紙!$B$11:$B$310)+COUNTA(条幅!$B$11:$B$310)+COUNTA(条幅4分の1!$B$11:$B$310),INDEX(条幅4分の1!$H$11:$H$310,808-COUNTA(半紙!$B$11:$B$310)-COUNTA(条幅!$B$11:$B$310)),"")))=0,"",IF(808&lt;=COUNTA(半紙!$B$11:$B$310),INDEX(半紙!$H$11:$H$310,808),IF(808&lt;=COUNTA(半紙!$B$11:$B$310)+COUNTA(条幅!$B$11:$B$310),INDEX(条幅!$H$11:$H$310,808-COUNTA(半紙!$B$11:$B$310)),IF(808&lt;=COUNTA(半紙!$B$11:$B$310)+COUNTA(条幅!$B$11:$B$310)+COUNTA(条幅4分の1!$B$11:$B$310),INDEX(条幅4分の1!$H$11:$H$310,808-COUNTA(半紙!$B$11:$B$310)-COUNTA(条幅!$B$11:$B$310)),""))))</f>
        <v/>
      </c>
      <c r="I813" s="38" t="str">
        <f>IF(IF(808&lt;=COUNTA(半紙!$B$11:$B$310),INDEX(半紙!$I$11:$I$310,808),IF(808&lt;=COUNTA(半紙!$B$11:$B$310)+COUNTA(条幅!$B$11:$B$310),INDEX(条幅!$I$11:$I$310,808-COUNTA(半紙!$B$11:$B$310)),IF(808&lt;=COUNTA(半紙!$B$11:$B$310)+COUNTA(条幅!$B$11:$B$310)+COUNTA(条幅4分の1!$B$11:$B$310),INDEX(条幅4分の1!$I$11:$I$310,808-COUNTA(半紙!$B$11:$B$310)-COUNTA(条幅!$B$11:$B$310)),"")))=0,"",IF(808&lt;=COUNTA(半紙!$B$11:$B$310),INDEX(半紙!$I$11:$I$310,808),IF(808&lt;=COUNTA(半紙!$B$11:$B$310)+COUNTA(条幅!$B$11:$B$310),INDEX(条幅!$I$11:$I$310,808-COUNTA(半紙!$B$11:$B$310)),IF(808&lt;=COUNTA(半紙!$B$11:$B$310)+COUNTA(条幅!$B$11:$B$310)+COUNTA(条幅4分の1!$B$11:$B$310),INDEX(条幅4分の1!$I$11:$I$310,808-COUNTA(半紙!$B$11:$B$310)-COUNTA(条幅!$B$11:$B$310)),""))))</f>
        <v/>
      </c>
      <c r="J813" s="38" t="str">
        <f>IF(IF(808&lt;=COUNTA(半紙!$B$11:$B$310),INDEX(半紙!$J$11:$J$310,808),IF(808&lt;=COUNTA(半紙!$B$11:$B$310)+COUNTA(条幅!$B$11:$B$310),INDEX(条幅!$J$11:$J$310,808-COUNTA(半紙!$B$11:$B$310)),IF(808&lt;=COUNTA(半紙!$B$11:$B$310)+COUNTA(条幅!$B$11:$B$310)+COUNTA(条幅4分の1!$B$11:$B$310),INDEX(条幅4分の1!$J$11:$J$310,808-COUNTA(半紙!$B$11:$B$310)-COUNTA(条幅!$B$11:$B$310)),"")))=0,"",IF(808&lt;=COUNTA(半紙!$B$11:$B$310),INDEX(半紙!$J$11:$J$310,808),IF(808&lt;=COUNTA(半紙!$B$11:$B$310)+COUNTA(条幅!$B$11:$B$310),INDEX(条幅!$J$11:$J$310,808-COUNTA(半紙!$B$11:$B$310)),IF(808&lt;=COUNTA(半紙!$B$11:$B$310)+COUNTA(条幅!$B$11:$B$310)+COUNTA(条幅4分の1!$B$11:$B$310),INDEX(条幅4分の1!$J$11:$J$310,808-COUNTA(半紙!$B$11:$B$310)-COUNTA(条幅!$B$11:$B$310)),""))))</f>
        <v/>
      </c>
      <c r="K813" s="38" t="str">
        <f>IF(IF(808&lt;=COUNTA(半紙!$B$11:$B$310),INDEX(半紙!$K$11:$K$310,808),IF(808&lt;=COUNTA(半紙!$B$11:$B$310)+COUNTA(条幅!$B$11:$B$310),INDEX(条幅!$K$11:$K$310,808-COUNTA(半紙!$B$11:$B$310)),IF(808&lt;=COUNTA(半紙!$B$11:$B$310)+COUNTA(条幅!$B$11:$B$310)+COUNTA(条幅4分の1!$B$11:$B$310),INDEX(条幅4分の1!$K$11:$K$310,808-COUNTA(半紙!$B$11:$B$310)-COUNTA(条幅!$B$11:$B$310)),"")))=0,"",IF(808&lt;=COUNTA(半紙!$B$11:$B$310),INDEX(半紙!$K$11:$K$310,808),IF(808&lt;=COUNTA(半紙!$B$11:$B$310)+COUNTA(条幅!$B$11:$B$310),INDEX(条幅!$K$11:$K$310,808-COUNTA(半紙!$B$11:$B$310)),IF(808&lt;=COUNTA(半紙!$B$11:$B$310)+COUNTA(条幅!$B$11:$B$310)+COUNTA(条幅4分の1!$B$11:$B$310),INDEX(条幅4分の1!$K$11:$K$310,808-COUNTA(半紙!$B$11:$B$310)-COUNTA(条幅!$B$11:$B$310)),""))))</f>
        <v/>
      </c>
      <c r="L813" s="48" t="str">
        <f>IF($B813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808))</f>
        <v/>
      </c>
    </row>
    <row r="814" spans="1:12" ht="15" customHeight="1">
      <c r="A814" s="37" t="str">
        <f>IF(809&lt;=COUNTA(半紙!$B$11:$B$310),"半紙",IF(809&lt;=COUNTA(半紙!$B$11:$B$310)+COUNTA(条幅!$B$11:$B$310),"条幅(半切)",IF(809&lt;=COUNTA(半紙!$B$11:$B$310)+COUNTA(条幅!$B$11:$B$310)+COUNTA(条幅4分の1!$B$11:$B$310),"条幅(1/4)","")))</f>
        <v/>
      </c>
      <c r="B814" s="38" t="str">
        <f>IF(IF(809&lt;=COUNTA(半紙!$B$11:$B$310),INDEX(半紙!$B$11:$B$310,809),IF(809&lt;=COUNTA(半紙!$B$11:$B$310)+COUNTA(条幅!$B$11:$B$310),INDEX(条幅!$B$11:$B$310,809-COUNTA(半紙!$B$11:$B$310)),IF(809&lt;=COUNTA(半紙!$B$11:$B$310)+COUNTA(条幅!$B$11:$B$310)+COUNTA(条幅4分の1!$B$11:$B$310),INDEX(条幅4分の1!$B$11:$B$310,809-COUNTA(半紙!$B$11:$B$310)-COUNTA(条幅!$B$11:$B$310)),"")))=0,"",IF(809&lt;=COUNTA(半紙!$B$11:$B$310),INDEX(半紙!$B$11:$B$310,809),IF(809&lt;=COUNTA(半紙!$B$11:$B$310)+COUNTA(条幅!$B$11:$B$310),INDEX(条幅!$B$11:$B$310,809-COUNTA(半紙!$B$11:$B$310)),IF(809&lt;=COUNTA(半紙!$B$11:$B$310)+COUNTA(条幅!$B$11:$B$310)+COUNTA(条幅4分の1!$B$11:$B$310),INDEX(条幅4分の1!$B$11:$B$310,809-COUNTA(半紙!$B$11:$B$310)-COUNTA(条幅!$B$11:$B$310)),""))))</f>
        <v/>
      </c>
      <c r="C814" s="38" t="str">
        <f>IF(IF(809&lt;=COUNTA(半紙!$B$11:$B$310),INDEX(半紙!$C$11:$C$310,809),IF(809&lt;=COUNTA(半紙!$B$11:$B$310)+COUNTA(条幅!$B$11:$B$310),INDEX(条幅!$C$11:$C$310,809-COUNTA(半紙!$B$11:$B$310)),IF(809&lt;=COUNTA(半紙!$B$11:$B$310)+COUNTA(条幅!$B$11:$B$310)+COUNTA(条幅4分の1!$B$11:$B$310),INDEX(条幅4分の1!$C$11:$C$310,809-COUNTA(半紙!$B$11:$B$310)-COUNTA(条幅!$B$11:$B$310)),"")))=0,"",IF(809&lt;=COUNTA(半紙!$B$11:$B$310),INDEX(半紙!$C$11:$C$310,809),IF(809&lt;=COUNTA(半紙!$B$11:$B$310)+COUNTA(条幅!$B$11:$B$310),INDEX(条幅!$C$11:$C$310,809-COUNTA(半紙!$B$11:$B$310)),IF(809&lt;=COUNTA(半紙!$B$11:$B$310)+COUNTA(条幅!$B$11:$B$310)+COUNTA(条幅4分の1!$B$11:$B$310),INDEX(条幅4分の1!$C$11:$C$310,809-COUNTA(半紙!$B$11:$B$310)-COUNTA(条幅!$B$11:$B$310)),""))))</f>
        <v/>
      </c>
      <c r="D814" s="38" t="str">
        <f>IF(IF(809&lt;=COUNTA(半紙!$B$11:$B$310),INDEX(半紙!$D$11:$D$310,809),IF(809&lt;=COUNTA(半紙!$B$11:$B$310)+COUNTA(条幅!$B$11:$B$310),INDEX(条幅!$D$11:$D$310,809-COUNTA(半紙!$B$11:$B$310)),IF(809&lt;=COUNTA(半紙!$B$11:$B$310)+COUNTA(条幅!$B$11:$B$310)+COUNTA(条幅4分の1!$B$11:$B$310),INDEX(条幅4分の1!$D$11:$D$310,809-COUNTA(半紙!$B$11:$B$310)-COUNTA(条幅!$B$11:$B$310)),"")))=0,"",IF(809&lt;=COUNTA(半紙!$B$11:$B$310),INDEX(半紙!$D$11:$D$310,809),IF(809&lt;=COUNTA(半紙!$B$11:$B$310)+COUNTA(条幅!$B$11:$B$310),INDEX(条幅!$D$11:$D$310,809-COUNTA(半紙!$B$11:$B$310)),IF(809&lt;=COUNTA(半紙!$B$11:$B$310)+COUNTA(条幅!$B$11:$B$310)+COUNTA(条幅4分の1!$B$11:$B$310),INDEX(条幅4分の1!$D$11:$D$310,809-COUNTA(半紙!$B$11:$B$310)-COUNTA(条幅!$B$11:$B$310)),""))))</f>
        <v/>
      </c>
      <c r="E814" s="38" t="str">
        <f>IF(IF(809&lt;=COUNTA(半紙!$B$11:$B$310),INDEX(半紙!$E$11:$E$310,809),IF(809&lt;=COUNTA(半紙!$B$11:$B$310)+COUNTA(条幅!$B$11:$B$310),INDEX(条幅!$E$11:$E$310,809-COUNTA(半紙!$B$11:$B$310)),IF(809&lt;=COUNTA(半紙!$B$11:$B$310)+COUNTA(条幅!$B$11:$B$310)+COUNTA(条幅4分の1!$B$11:$B$310),INDEX(条幅4分の1!$E$11:$E$310,809-COUNTA(半紙!$B$11:$B$310)-COUNTA(条幅!$B$11:$B$310)),"")))=0,"",IF(809&lt;=COUNTA(半紙!$B$11:$B$310),INDEX(半紙!$E$11:$E$310,809),IF(809&lt;=COUNTA(半紙!$B$11:$B$310)+COUNTA(条幅!$B$11:$B$310),INDEX(条幅!$E$11:$E$310,809-COUNTA(半紙!$B$11:$B$310)),IF(809&lt;=COUNTA(半紙!$B$11:$B$310)+COUNTA(条幅!$B$11:$B$310)+COUNTA(条幅4分の1!$B$11:$B$310),INDEX(条幅4分の1!$E$11:$E$310,809-COUNTA(半紙!$B$11:$B$310)-COUNTA(条幅!$B$11:$B$310)),""))))</f>
        <v/>
      </c>
      <c r="F814" s="38" t="str">
        <f>IF(IF(809&lt;=COUNTA(半紙!$B$11:$B$310),INDEX(半紙!$F$11:$F$310,809),IF(809&lt;=COUNTA(半紙!$B$11:$B$310)+COUNTA(条幅!$B$11:$B$310),INDEX(条幅!$F$11:$F$310,809-COUNTA(半紙!$B$11:$B$310)),IF(809&lt;=COUNTA(半紙!$B$11:$B$310)+COUNTA(条幅!$B$11:$B$310)+COUNTA(条幅4分の1!$B$11:$B$310),INDEX(条幅4分の1!$F$11:$F$310,809-COUNTA(半紙!$B$11:$B$310)-COUNTA(条幅!$B$11:$B$310)),"")))=0,"",IF(809&lt;=COUNTA(半紙!$B$11:$B$310),INDEX(半紙!$F$11:$F$310,809),IF(809&lt;=COUNTA(半紙!$B$11:$B$310)+COUNTA(条幅!$B$11:$B$310),INDEX(条幅!$F$11:$F$310,809-COUNTA(半紙!$B$11:$B$310)),IF(809&lt;=COUNTA(半紙!$B$11:$B$310)+COUNTA(条幅!$B$11:$B$310)+COUNTA(条幅4分の1!$B$11:$B$310),INDEX(条幅4分の1!$F$11:$F$310,809-COUNTA(半紙!$B$11:$B$310)-COUNTA(条幅!$B$11:$B$310)),""))))</f>
        <v/>
      </c>
      <c r="G814" s="38" t="str">
        <f>IF(IF(809&lt;=COUNTA(半紙!$B$11:$B$310),INDEX(半紙!$G$11:$G$310,809),IF(809&lt;=COUNTA(半紙!$B$11:$B$310)+COUNTA(条幅!$B$11:$B$310),INDEX(条幅!$G$11:$G$310,809-COUNTA(半紙!$B$11:$B$310)),IF(809&lt;=COUNTA(半紙!$B$11:$B$310)+COUNTA(条幅!$B$11:$B$310)+COUNTA(条幅4分の1!$B$11:$B$310),INDEX(条幅4分の1!$G$11:$G$310,809-COUNTA(半紙!$B$11:$B$310)-COUNTA(条幅!$B$11:$B$310)),"")))=0,"",IF(809&lt;=COUNTA(半紙!$B$11:$B$310),INDEX(半紙!$G$11:$G$310,809),IF(809&lt;=COUNTA(半紙!$B$11:$B$310)+COUNTA(条幅!$B$11:$B$310),INDEX(条幅!$G$11:$G$310,809-COUNTA(半紙!$B$11:$B$310)),IF(809&lt;=COUNTA(半紙!$B$11:$B$310)+COUNTA(条幅!$B$11:$B$310)+COUNTA(条幅4分の1!$B$11:$B$310),INDEX(条幅4分の1!$G$11:$G$310,809-COUNTA(半紙!$B$11:$B$310)-COUNTA(条幅!$B$11:$B$310)),""))))</f>
        <v/>
      </c>
      <c r="H814" s="38" t="str">
        <f>IF(IF(809&lt;=COUNTA(半紙!$B$11:$B$310),INDEX(半紙!$H$11:$H$310,809),IF(809&lt;=COUNTA(半紙!$B$11:$B$310)+COUNTA(条幅!$B$11:$B$310),INDEX(条幅!$H$11:$H$310,809-COUNTA(半紙!$B$11:$B$310)),IF(809&lt;=COUNTA(半紙!$B$11:$B$310)+COUNTA(条幅!$B$11:$B$310)+COUNTA(条幅4分の1!$B$11:$B$310),INDEX(条幅4分の1!$H$11:$H$310,809-COUNTA(半紙!$B$11:$B$310)-COUNTA(条幅!$B$11:$B$310)),"")))=0,"",IF(809&lt;=COUNTA(半紙!$B$11:$B$310),INDEX(半紙!$H$11:$H$310,809),IF(809&lt;=COUNTA(半紙!$B$11:$B$310)+COUNTA(条幅!$B$11:$B$310),INDEX(条幅!$H$11:$H$310,809-COUNTA(半紙!$B$11:$B$310)),IF(809&lt;=COUNTA(半紙!$B$11:$B$310)+COUNTA(条幅!$B$11:$B$310)+COUNTA(条幅4分の1!$B$11:$B$310),INDEX(条幅4分の1!$H$11:$H$310,809-COUNTA(半紙!$B$11:$B$310)-COUNTA(条幅!$B$11:$B$310)),""))))</f>
        <v/>
      </c>
      <c r="I814" s="38" t="str">
        <f>IF(IF(809&lt;=COUNTA(半紙!$B$11:$B$310),INDEX(半紙!$I$11:$I$310,809),IF(809&lt;=COUNTA(半紙!$B$11:$B$310)+COUNTA(条幅!$B$11:$B$310),INDEX(条幅!$I$11:$I$310,809-COUNTA(半紙!$B$11:$B$310)),IF(809&lt;=COUNTA(半紙!$B$11:$B$310)+COUNTA(条幅!$B$11:$B$310)+COUNTA(条幅4分の1!$B$11:$B$310),INDEX(条幅4分の1!$I$11:$I$310,809-COUNTA(半紙!$B$11:$B$310)-COUNTA(条幅!$B$11:$B$310)),"")))=0,"",IF(809&lt;=COUNTA(半紙!$B$11:$B$310),INDEX(半紙!$I$11:$I$310,809),IF(809&lt;=COUNTA(半紙!$B$11:$B$310)+COUNTA(条幅!$B$11:$B$310),INDEX(条幅!$I$11:$I$310,809-COUNTA(半紙!$B$11:$B$310)),IF(809&lt;=COUNTA(半紙!$B$11:$B$310)+COUNTA(条幅!$B$11:$B$310)+COUNTA(条幅4分の1!$B$11:$B$310),INDEX(条幅4分の1!$I$11:$I$310,809-COUNTA(半紙!$B$11:$B$310)-COUNTA(条幅!$B$11:$B$310)),""))))</f>
        <v/>
      </c>
      <c r="J814" s="38" t="str">
        <f>IF(IF(809&lt;=COUNTA(半紙!$B$11:$B$310),INDEX(半紙!$J$11:$J$310,809),IF(809&lt;=COUNTA(半紙!$B$11:$B$310)+COUNTA(条幅!$B$11:$B$310),INDEX(条幅!$J$11:$J$310,809-COUNTA(半紙!$B$11:$B$310)),IF(809&lt;=COUNTA(半紙!$B$11:$B$310)+COUNTA(条幅!$B$11:$B$310)+COUNTA(条幅4分の1!$B$11:$B$310),INDEX(条幅4分の1!$J$11:$J$310,809-COUNTA(半紙!$B$11:$B$310)-COUNTA(条幅!$B$11:$B$310)),"")))=0,"",IF(809&lt;=COUNTA(半紙!$B$11:$B$310),INDEX(半紙!$J$11:$J$310,809),IF(809&lt;=COUNTA(半紙!$B$11:$B$310)+COUNTA(条幅!$B$11:$B$310),INDEX(条幅!$J$11:$J$310,809-COUNTA(半紙!$B$11:$B$310)),IF(809&lt;=COUNTA(半紙!$B$11:$B$310)+COUNTA(条幅!$B$11:$B$310)+COUNTA(条幅4分の1!$B$11:$B$310),INDEX(条幅4分の1!$J$11:$J$310,809-COUNTA(半紙!$B$11:$B$310)-COUNTA(条幅!$B$11:$B$310)),""))))</f>
        <v/>
      </c>
      <c r="K814" s="38" t="str">
        <f>IF(IF(809&lt;=COUNTA(半紙!$B$11:$B$310),INDEX(半紙!$K$11:$K$310,809),IF(809&lt;=COUNTA(半紙!$B$11:$B$310)+COUNTA(条幅!$B$11:$B$310),INDEX(条幅!$K$11:$K$310,809-COUNTA(半紙!$B$11:$B$310)),IF(809&lt;=COUNTA(半紙!$B$11:$B$310)+COUNTA(条幅!$B$11:$B$310)+COUNTA(条幅4分の1!$B$11:$B$310),INDEX(条幅4分の1!$K$11:$K$310,809-COUNTA(半紙!$B$11:$B$310)-COUNTA(条幅!$B$11:$B$310)),"")))=0,"",IF(809&lt;=COUNTA(半紙!$B$11:$B$310),INDEX(半紙!$K$11:$K$310,809),IF(809&lt;=COUNTA(半紙!$B$11:$B$310)+COUNTA(条幅!$B$11:$B$310),INDEX(条幅!$K$11:$K$310,809-COUNTA(半紙!$B$11:$B$310)),IF(809&lt;=COUNTA(半紙!$B$11:$B$310)+COUNTA(条幅!$B$11:$B$310)+COUNTA(条幅4分の1!$B$11:$B$310),INDEX(条幅4分の1!$K$11:$K$310,809-COUNTA(半紙!$B$11:$B$310)-COUNTA(条幅!$B$11:$B$310)),""))))</f>
        <v/>
      </c>
      <c r="L814" s="48" t="str">
        <f>IF($B814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809))</f>
        <v/>
      </c>
    </row>
    <row r="815" spans="1:12" ht="15" customHeight="1">
      <c r="A815" s="37" t="str">
        <f>IF(810&lt;=COUNTA(半紙!$B$11:$B$310),"半紙",IF(810&lt;=COUNTA(半紙!$B$11:$B$310)+COUNTA(条幅!$B$11:$B$310),"条幅(半切)",IF(810&lt;=COUNTA(半紙!$B$11:$B$310)+COUNTA(条幅!$B$11:$B$310)+COUNTA(条幅4分の1!$B$11:$B$310),"条幅(1/4)","")))</f>
        <v/>
      </c>
      <c r="B815" s="38" t="str">
        <f>IF(IF(810&lt;=COUNTA(半紙!$B$11:$B$310),INDEX(半紙!$B$11:$B$310,810),IF(810&lt;=COUNTA(半紙!$B$11:$B$310)+COUNTA(条幅!$B$11:$B$310),INDEX(条幅!$B$11:$B$310,810-COUNTA(半紙!$B$11:$B$310)),IF(810&lt;=COUNTA(半紙!$B$11:$B$310)+COUNTA(条幅!$B$11:$B$310)+COUNTA(条幅4分の1!$B$11:$B$310),INDEX(条幅4分の1!$B$11:$B$310,810-COUNTA(半紙!$B$11:$B$310)-COUNTA(条幅!$B$11:$B$310)),"")))=0,"",IF(810&lt;=COUNTA(半紙!$B$11:$B$310),INDEX(半紙!$B$11:$B$310,810),IF(810&lt;=COUNTA(半紙!$B$11:$B$310)+COUNTA(条幅!$B$11:$B$310),INDEX(条幅!$B$11:$B$310,810-COUNTA(半紙!$B$11:$B$310)),IF(810&lt;=COUNTA(半紙!$B$11:$B$310)+COUNTA(条幅!$B$11:$B$310)+COUNTA(条幅4分の1!$B$11:$B$310),INDEX(条幅4分の1!$B$11:$B$310,810-COUNTA(半紙!$B$11:$B$310)-COUNTA(条幅!$B$11:$B$310)),""))))</f>
        <v/>
      </c>
      <c r="C815" s="38" t="str">
        <f>IF(IF(810&lt;=COUNTA(半紙!$B$11:$B$310),INDEX(半紙!$C$11:$C$310,810),IF(810&lt;=COUNTA(半紙!$B$11:$B$310)+COUNTA(条幅!$B$11:$B$310),INDEX(条幅!$C$11:$C$310,810-COUNTA(半紙!$B$11:$B$310)),IF(810&lt;=COUNTA(半紙!$B$11:$B$310)+COUNTA(条幅!$B$11:$B$310)+COUNTA(条幅4分の1!$B$11:$B$310),INDEX(条幅4分の1!$C$11:$C$310,810-COUNTA(半紙!$B$11:$B$310)-COUNTA(条幅!$B$11:$B$310)),"")))=0,"",IF(810&lt;=COUNTA(半紙!$B$11:$B$310),INDEX(半紙!$C$11:$C$310,810),IF(810&lt;=COUNTA(半紙!$B$11:$B$310)+COUNTA(条幅!$B$11:$B$310),INDEX(条幅!$C$11:$C$310,810-COUNTA(半紙!$B$11:$B$310)),IF(810&lt;=COUNTA(半紙!$B$11:$B$310)+COUNTA(条幅!$B$11:$B$310)+COUNTA(条幅4分の1!$B$11:$B$310),INDEX(条幅4分の1!$C$11:$C$310,810-COUNTA(半紙!$B$11:$B$310)-COUNTA(条幅!$B$11:$B$310)),""))))</f>
        <v/>
      </c>
      <c r="D815" s="38" t="str">
        <f>IF(IF(810&lt;=COUNTA(半紙!$B$11:$B$310),INDEX(半紙!$D$11:$D$310,810),IF(810&lt;=COUNTA(半紙!$B$11:$B$310)+COUNTA(条幅!$B$11:$B$310),INDEX(条幅!$D$11:$D$310,810-COUNTA(半紙!$B$11:$B$310)),IF(810&lt;=COUNTA(半紙!$B$11:$B$310)+COUNTA(条幅!$B$11:$B$310)+COUNTA(条幅4分の1!$B$11:$B$310),INDEX(条幅4分の1!$D$11:$D$310,810-COUNTA(半紙!$B$11:$B$310)-COUNTA(条幅!$B$11:$B$310)),"")))=0,"",IF(810&lt;=COUNTA(半紙!$B$11:$B$310),INDEX(半紙!$D$11:$D$310,810),IF(810&lt;=COUNTA(半紙!$B$11:$B$310)+COUNTA(条幅!$B$11:$B$310),INDEX(条幅!$D$11:$D$310,810-COUNTA(半紙!$B$11:$B$310)),IF(810&lt;=COUNTA(半紙!$B$11:$B$310)+COUNTA(条幅!$B$11:$B$310)+COUNTA(条幅4分の1!$B$11:$B$310),INDEX(条幅4分の1!$D$11:$D$310,810-COUNTA(半紙!$B$11:$B$310)-COUNTA(条幅!$B$11:$B$310)),""))))</f>
        <v/>
      </c>
      <c r="E815" s="38" t="str">
        <f>IF(IF(810&lt;=COUNTA(半紙!$B$11:$B$310),INDEX(半紙!$E$11:$E$310,810),IF(810&lt;=COUNTA(半紙!$B$11:$B$310)+COUNTA(条幅!$B$11:$B$310),INDEX(条幅!$E$11:$E$310,810-COUNTA(半紙!$B$11:$B$310)),IF(810&lt;=COUNTA(半紙!$B$11:$B$310)+COUNTA(条幅!$B$11:$B$310)+COUNTA(条幅4分の1!$B$11:$B$310),INDEX(条幅4分の1!$E$11:$E$310,810-COUNTA(半紙!$B$11:$B$310)-COUNTA(条幅!$B$11:$B$310)),"")))=0,"",IF(810&lt;=COUNTA(半紙!$B$11:$B$310),INDEX(半紙!$E$11:$E$310,810),IF(810&lt;=COUNTA(半紙!$B$11:$B$310)+COUNTA(条幅!$B$11:$B$310),INDEX(条幅!$E$11:$E$310,810-COUNTA(半紙!$B$11:$B$310)),IF(810&lt;=COUNTA(半紙!$B$11:$B$310)+COUNTA(条幅!$B$11:$B$310)+COUNTA(条幅4分の1!$B$11:$B$310),INDEX(条幅4分の1!$E$11:$E$310,810-COUNTA(半紙!$B$11:$B$310)-COUNTA(条幅!$B$11:$B$310)),""))))</f>
        <v/>
      </c>
      <c r="F815" s="38" t="str">
        <f>IF(IF(810&lt;=COUNTA(半紙!$B$11:$B$310),INDEX(半紙!$F$11:$F$310,810),IF(810&lt;=COUNTA(半紙!$B$11:$B$310)+COUNTA(条幅!$B$11:$B$310),INDEX(条幅!$F$11:$F$310,810-COUNTA(半紙!$B$11:$B$310)),IF(810&lt;=COUNTA(半紙!$B$11:$B$310)+COUNTA(条幅!$B$11:$B$310)+COUNTA(条幅4分の1!$B$11:$B$310),INDEX(条幅4分の1!$F$11:$F$310,810-COUNTA(半紙!$B$11:$B$310)-COUNTA(条幅!$B$11:$B$310)),"")))=0,"",IF(810&lt;=COUNTA(半紙!$B$11:$B$310),INDEX(半紙!$F$11:$F$310,810),IF(810&lt;=COUNTA(半紙!$B$11:$B$310)+COUNTA(条幅!$B$11:$B$310),INDEX(条幅!$F$11:$F$310,810-COUNTA(半紙!$B$11:$B$310)),IF(810&lt;=COUNTA(半紙!$B$11:$B$310)+COUNTA(条幅!$B$11:$B$310)+COUNTA(条幅4分の1!$B$11:$B$310),INDEX(条幅4分の1!$F$11:$F$310,810-COUNTA(半紙!$B$11:$B$310)-COUNTA(条幅!$B$11:$B$310)),""))))</f>
        <v/>
      </c>
      <c r="G815" s="38" t="str">
        <f>IF(IF(810&lt;=COUNTA(半紙!$B$11:$B$310),INDEX(半紙!$G$11:$G$310,810),IF(810&lt;=COUNTA(半紙!$B$11:$B$310)+COUNTA(条幅!$B$11:$B$310),INDEX(条幅!$G$11:$G$310,810-COUNTA(半紙!$B$11:$B$310)),IF(810&lt;=COUNTA(半紙!$B$11:$B$310)+COUNTA(条幅!$B$11:$B$310)+COUNTA(条幅4分の1!$B$11:$B$310),INDEX(条幅4分の1!$G$11:$G$310,810-COUNTA(半紙!$B$11:$B$310)-COUNTA(条幅!$B$11:$B$310)),"")))=0,"",IF(810&lt;=COUNTA(半紙!$B$11:$B$310),INDEX(半紙!$G$11:$G$310,810),IF(810&lt;=COUNTA(半紙!$B$11:$B$310)+COUNTA(条幅!$B$11:$B$310),INDEX(条幅!$G$11:$G$310,810-COUNTA(半紙!$B$11:$B$310)),IF(810&lt;=COUNTA(半紙!$B$11:$B$310)+COUNTA(条幅!$B$11:$B$310)+COUNTA(条幅4分の1!$B$11:$B$310),INDEX(条幅4分の1!$G$11:$G$310,810-COUNTA(半紙!$B$11:$B$310)-COUNTA(条幅!$B$11:$B$310)),""))))</f>
        <v/>
      </c>
      <c r="H815" s="38" t="str">
        <f>IF(IF(810&lt;=COUNTA(半紙!$B$11:$B$310),INDEX(半紙!$H$11:$H$310,810),IF(810&lt;=COUNTA(半紙!$B$11:$B$310)+COUNTA(条幅!$B$11:$B$310),INDEX(条幅!$H$11:$H$310,810-COUNTA(半紙!$B$11:$B$310)),IF(810&lt;=COUNTA(半紙!$B$11:$B$310)+COUNTA(条幅!$B$11:$B$310)+COUNTA(条幅4分の1!$B$11:$B$310),INDEX(条幅4分の1!$H$11:$H$310,810-COUNTA(半紙!$B$11:$B$310)-COUNTA(条幅!$B$11:$B$310)),"")))=0,"",IF(810&lt;=COUNTA(半紙!$B$11:$B$310),INDEX(半紙!$H$11:$H$310,810),IF(810&lt;=COUNTA(半紙!$B$11:$B$310)+COUNTA(条幅!$B$11:$B$310),INDEX(条幅!$H$11:$H$310,810-COUNTA(半紙!$B$11:$B$310)),IF(810&lt;=COUNTA(半紙!$B$11:$B$310)+COUNTA(条幅!$B$11:$B$310)+COUNTA(条幅4分の1!$B$11:$B$310),INDEX(条幅4分の1!$H$11:$H$310,810-COUNTA(半紙!$B$11:$B$310)-COUNTA(条幅!$B$11:$B$310)),""))))</f>
        <v/>
      </c>
      <c r="I815" s="38" t="str">
        <f>IF(IF(810&lt;=COUNTA(半紙!$B$11:$B$310),INDEX(半紙!$I$11:$I$310,810),IF(810&lt;=COUNTA(半紙!$B$11:$B$310)+COUNTA(条幅!$B$11:$B$310),INDEX(条幅!$I$11:$I$310,810-COUNTA(半紙!$B$11:$B$310)),IF(810&lt;=COUNTA(半紙!$B$11:$B$310)+COUNTA(条幅!$B$11:$B$310)+COUNTA(条幅4分の1!$B$11:$B$310),INDEX(条幅4分の1!$I$11:$I$310,810-COUNTA(半紙!$B$11:$B$310)-COUNTA(条幅!$B$11:$B$310)),"")))=0,"",IF(810&lt;=COUNTA(半紙!$B$11:$B$310),INDEX(半紙!$I$11:$I$310,810),IF(810&lt;=COUNTA(半紙!$B$11:$B$310)+COUNTA(条幅!$B$11:$B$310),INDEX(条幅!$I$11:$I$310,810-COUNTA(半紙!$B$11:$B$310)),IF(810&lt;=COUNTA(半紙!$B$11:$B$310)+COUNTA(条幅!$B$11:$B$310)+COUNTA(条幅4分の1!$B$11:$B$310),INDEX(条幅4分の1!$I$11:$I$310,810-COUNTA(半紙!$B$11:$B$310)-COUNTA(条幅!$B$11:$B$310)),""))))</f>
        <v/>
      </c>
      <c r="J815" s="38" t="str">
        <f>IF(IF(810&lt;=COUNTA(半紙!$B$11:$B$310),INDEX(半紙!$J$11:$J$310,810),IF(810&lt;=COUNTA(半紙!$B$11:$B$310)+COUNTA(条幅!$B$11:$B$310),INDEX(条幅!$J$11:$J$310,810-COUNTA(半紙!$B$11:$B$310)),IF(810&lt;=COUNTA(半紙!$B$11:$B$310)+COUNTA(条幅!$B$11:$B$310)+COUNTA(条幅4分の1!$B$11:$B$310),INDEX(条幅4分の1!$J$11:$J$310,810-COUNTA(半紙!$B$11:$B$310)-COUNTA(条幅!$B$11:$B$310)),"")))=0,"",IF(810&lt;=COUNTA(半紙!$B$11:$B$310),INDEX(半紙!$J$11:$J$310,810),IF(810&lt;=COUNTA(半紙!$B$11:$B$310)+COUNTA(条幅!$B$11:$B$310),INDEX(条幅!$J$11:$J$310,810-COUNTA(半紙!$B$11:$B$310)),IF(810&lt;=COUNTA(半紙!$B$11:$B$310)+COUNTA(条幅!$B$11:$B$310)+COUNTA(条幅4分の1!$B$11:$B$310),INDEX(条幅4分の1!$J$11:$J$310,810-COUNTA(半紙!$B$11:$B$310)-COUNTA(条幅!$B$11:$B$310)),""))))</f>
        <v/>
      </c>
      <c r="K815" s="38" t="str">
        <f>IF(IF(810&lt;=COUNTA(半紙!$B$11:$B$310),INDEX(半紙!$K$11:$K$310,810),IF(810&lt;=COUNTA(半紙!$B$11:$B$310)+COUNTA(条幅!$B$11:$B$310),INDEX(条幅!$K$11:$K$310,810-COUNTA(半紙!$B$11:$B$310)),IF(810&lt;=COUNTA(半紙!$B$11:$B$310)+COUNTA(条幅!$B$11:$B$310)+COUNTA(条幅4分の1!$B$11:$B$310),INDEX(条幅4分の1!$K$11:$K$310,810-COUNTA(半紙!$B$11:$B$310)-COUNTA(条幅!$B$11:$B$310)),"")))=0,"",IF(810&lt;=COUNTA(半紙!$B$11:$B$310),INDEX(半紙!$K$11:$K$310,810),IF(810&lt;=COUNTA(半紙!$B$11:$B$310)+COUNTA(条幅!$B$11:$B$310),INDEX(条幅!$K$11:$K$310,810-COUNTA(半紙!$B$11:$B$310)),IF(810&lt;=COUNTA(半紙!$B$11:$B$310)+COUNTA(条幅!$B$11:$B$310)+COUNTA(条幅4分の1!$B$11:$B$310),INDEX(条幅4分の1!$K$11:$K$310,810-COUNTA(半紙!$B$11:$B$310)-COUNTA(条幅!$B$11:$B$310)),""))))</f>
        <v/>
      </c>
      <c r="L815" s="48" t="str">
        <f>IF($B815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810))</f>
        <v/>
      </c>
    </row>
    <row r="816" spans="1:12" ht="15" customHeight="1">
      <c r="A816" s="37" t="str">
        <f>IF(811&lt;=COUNTA(半紙!$B$11:$B$310),"半紙",IF(811&lt;=COUNTA(半紙!$B$11:$B$310)+COUNTA(条幅!$B$11:$B$310),"条幅(半切)",IF(811&lt;=COUNTA(半紙!$B$11:$B$310)+COUNTA(条幅!$B$11:$B$310)+COUNTA(条幅4分の1!$B$11:$B$310),"条幅(1/4)","")))</f>
        <v/>
      </c>
      <c r="B816" s="38" t="str">
        <f>IF(IF(811&lt;=COUNTA(半紙!$B$11:$B$310),INDEX(半紙!$B$11:$B$310,811),IF(811&lt;=COUNTA(半紙!$B$11:$B$310)+COUNTA(条幅!$B$11:$B$310),INDEX(条幅!$B$11:$B$310,811-COUNTA(半紙!$B$11:$B$310)),IF(811&lt;=COUNTA(半紙!$B$11:$B$310)+COUNTA(条幅!$B$11:$B$310)+COUNTA(条幅4分の1!$B$11:$B$310),INDEX(条幅4分の1!$B$11:$B$310,811-COUNTA(半紙!$B$11:$B$310)-COUNTA(条幅!$B$11:$B$310)),"")))=0,"",IF(811&lt;=COUNTA(半紙!$B$11:$B$310),INDEX(半紙!$B$11:$B$310,811),IF(811&lt;=COUNTA(半紙!$B$11:$B$310)+COUNTA(条幅!$B$11:$B$310),INDEX(条幅!$B$11:$B$310,811-COUNTA(半紙!$B$11:$B$310)),IF(811&lt;=COUNTA(半紙!$B$11:$B$310)+COUNTA(条幅!$B$11:$B$310)+COUNTA(条幅4分の1!$B$11:$B$310),INDEX(条幅4分の1!$B$11:$B$310,811-COUNTA(半紙!$B$11:$B$310)-COUNTA(条幅!$B$11:$B$310)),""))))</f>
        <v/>
      </c>
      <c r="C816" s="38" t="str">
        <f>IF(IF(811&lt;=COUNTA(半紙!$B$11:$B$310),INDEX(半紙!$C$11:$C$310,811),IF(811&lt;=COUNTA(半紙!$B$11:$B$310)+COUNTA(条幅!$B$11:$B$310),INDEX(条幅!$C$11:$C$310,811-COUNTA(半紙!$B$11:$B$310)),IF(811&lt;=COUNTA(半紙!$B$11:$B$310)+COUNTA(条幅!$B$11:$B$310)+COUNTA(条幅4分の1!$B$11:$B$310),INDEX(条幅4分の1!$C$11:$C$310,811-COUNTA(半紙!$B$11:$B$310)-COUNTA(条幅!$B$11:$B$310)),"")))=0,"",IF(811&lt;=COUNTA(半紙!$B$11:$B$310),INDEX(半紙!$C$11:$C$310,811),IF(811&lt;=COUNTA(半紙!$B$11:$B$310)+COUNTA(条幅!$B$11:$B$310),INDEX(条幅!$C$11:$C$310,811-COUNTA(半紙!$B$11:$B$310)),IF(811&lt;=COUNTA(半紙!$B$11:$B$310)+COUNTA(条幅!$B$11:$B$310)+COUNTA(条幅4分の1!$B$11:$B$310),INDEX(条幅4分の1!$C$11:$C$310,811-COUNTA(半紙!$B$11:$B$310)-COUNTA(条幅!$B$11:$B$310)),""))))</f>
        <v/>
      </c>
      <c r="D816" s="38" t="str">
        <f>IF(IF(811&lt;=COUNTA(半紙!$B$11:$B$310),INDEX(半紙!$D$11:$D$310,811),IF(811&lt;=COUNTA(半紙!$B$11:$B$310)+COUNTA(条幅!$B$11:$B$310),INDEX(条幅!$D$11:$D$310,811-COUNTA(半紙!$B$11:$B$310)),IF(811&lt;=COUNTA(半紙!$B$11:$B$310)+COUNTA(条幅!$B$11:$B$310)+COUNTA(条幅4分の1!$B$11:$B$310),INDEX(条幅4分の1!$D$11:$D$310,811-COUNTA(半紙!$B$11:$B$310)-COUNTA(条幅!$B$11:$B$310)),"")))=0,"",IF(811&lt;=COUNTA(半紙!$B$11:$B$310),INDEX(半紙!$D$11:$D$310,811),IF(811&lt;=COUNTA(半紙!$B$11:$B$310)+COUNTA(条幅!$B$11:$B$310),INDEX(条幅!$D$11:$D$310,811-COUNTA(半紙!$B$11:$B$310)),IF(811&lt;=COUNTA(半紙!$B$11:$B$310)+COUNTA(条幅!$B$11:$B$310)+COUNTA(条幅4分の1!$B$11:$B$310),INDEX(条幅4分の1!$D$11:$D$310,811-COUNTA(半紙!$B$11:$B$310)-COUNTA(条幅!$B$11:$B$310)),""))))</f>
        <v/>
      </c>
      <c r="E816" s="38" t="str">
        <f>IF(IF(811&lt;=COUNTA(半紙!$B$11:$B$310),INDEX(半紙!$E$11:$E$310,811),IF(811&lt;=COUNTA(半紙!$B$11:$B$310)+COUNTA(条幅!$B$11:$B$310),INDEX(条幅!$E$11:$E$310,811-COUNTA(半紙!$B$11:$B$310)),IF(811&lt;=COUNTA(半紙!$B$11:$B$310)+COUNTA(条幅!$B$11:$B$310)+COUNTA(条幅4分の1!$B$11:$B$310),INDEX(条幅4分の1!$E$11:$E$310,811-COUNTA(半紙!$B$11:$B$310)-COUNTA(条幅!$B$11:$B$310)),"")))=0,"",IF(811&lt;=COUNTA(半紙!$B$11:$B$310),INDEX(半紙!$E$11:$E$310,811),IF(811&lt;=COUNTA(半紙!$B$11:$B$310)+COUNTA(条幅!$B$11:$B$310),INDEX(条幅!$E$11:$E$310,811-COUNTA(半紙!$B$11:$B$310)),IF(811&lt;=COUNTA(半紙!$B$11:$B$310)+COUNTA(条幅!$B$11:$B$310)+COUNTA(条幅4分の1!$B$11:$B$310),INDEX(条幅4分の1!$E$11:$E$310,811-COUNTA(半紙!$B$11:$B$310)-COUNTA(条幅!$B$11:$B$310)),""))))</f>
        <v/>
      </c>
      <c r="F816" s="38" t="str">
        <f>IF(IF(811&lt;=COUNTA(半紙!$B$11:$B$310),INDEX(半紙!$F$11:$F$310,811),IF(811&lt;=COUNTA(半紙!$B$11:$B$310)+COUNTA(条幅!$B$11:$B$310),INDEX(条幅!$F$11:$F$310,811-COUNTA(半紙!$B$11:$B$310)),IF(811&lt;=COUNTA(半紙!$B$11:$B$310)+COUNTA(条幅!$B$11:$B$310)+COUNTA(条幅4分の1!$B$11:$B$310),INDEX(条幅4分の1!$F$11:$F$310,811-COUNTA(半紙!$B$11:$B$310)-COUNTA(条幅!$B$11:$B$310)),"")))=0,"",IF(811&lt;=COUNTA(半紙!$B$11:$B$310),INDEX(半紙!$F$11:$F$310,811),IF(811&lt;=COUNTA(半紙!$B$11:$B$310)+COUNTA(条幅!$B$11:$B$310),INDEX(条幅!$F$11:$F$310,811-COUNTA(半紙!$B$11:$B$310)),IF(811&lt;=COUNTA(半紙!$B$11:$B$310)+COUNTA(条幅!$B$11:$B$310)+COUNTA(条幅4分の1!$B$11:$B$310),INDEX(条幅4分の1!$F$11:$F$310,811-COUNTA(半紙!$B$11:$B$310)-COUNTA(条幅!$B$11:$B$310)),""))))</f>
        <v/>
      </c>
      <c r="G816" s="38" t="str">
        <f>IF(IF(811&lt;=COUNTA(半紙!$B$11:$B$310),INDEX(半紙!$G$11:$G$310,811),IF(811&lt;=COUNTA(半紙!$B$11:$B$310)+COUNTA(条幅!$B$11:$B$310),INDEX(条幅!$G$11:$G$310,811-COUNTA(半紙!$B$11:$B$310)),IF(811&lt;=COUNTA(半紙!$B$11:$B$310)+COUNTA(条幅!$B$11:$B$310)+COUNTA(条幅4分の1!$B$11:$B$310),INDEX(条幅4分の1!$G$11:$G$310,811-COUNTA(半紙!$B$11:$B$310)-COUNTA(条幅!$B$11:$B$310)),"")))=0,"",IF(811&lt;=COUNTA(半紙!$B$11:$B$310),INDEX(半紙!$G$11:$G$310,811),IF(811&lt;=COUNTA(半紙!$B$11:$B$310)+COUNTA(条幅!$B$11:$B$310),INDEX(条幅!$G$11:$G$310,811-COUNTA(半紙!$B$11:$B$310)),IF(811&lt;=COUNTA(半紙!$B$11:$B$310)+COUNTA(条幅!$B$11:$B$310)+COUNTA(条幅4分の1!$B$11:$B$310),INDEX(条幅4分の1!$G$11:$G$310,811-COUNTA(半紙!$B$11:$B$310)-COUNTA(条幅!$B$11:$B$310)),""))))</f>
        <v/>
      </c>
      <c r="H816" s="38" t="str">
        <f>IF(IF(811&lt;=COUNTA(半紙!$B$11:$B$310),INDEX(半紙!$H$11:$H$310,811),IF(811&lt;=COUNTA(半紙!$B$11:$B$310)+COUNTA(条幅!$B$11:$B$310),INDEX(条幅!$H$11:$H$310,811-COUNTA(半紙!$B$11:$B$310)),IF(811&lt;=COUNTA(半紙!$B$11:$B$310)+COUNTA(条幅!$B$11:$B$310)+COUNTA(条幅4分の1!$B$11:$B$310),INDEX(条幅4分の1!$H$11:$H$310,811-COUNTA(半紙!$B$11:$B$310)-COUNTA(条幅!$B$11:$B$310)),"")))=0,"",IF(811&lt;=COUNTA(半紙!$B$11:$B$310),INDEX(半紙!$H$11:$H$310,811),IF(811&lt;=COUNTA(半紙!$B$11:$B$310)+COUNTA(条幅!$B$11:$B$310),INDEX(条幅!$H$11:$H$310,811-COUNTA(半紙!$B$11:$B$310)),IF(811&lt;=COUNTA(半紙!$B$11:$B$310)+COUNTA(条幅!$B$11:$B$310)+COUNTA(条幅4分の1!$B$11:$B$310),INDEX(条幅4分の1!$H$11:$H$310,811-COUNTA(半紙!$B$11:$B$310)-COUNTA(条幅!$B$11:$B$310)),""))))</f>
        <v/>
      </c>
      <c r="I816" s="38" t="str">
        <f>IF(IF(811&lt;=COUNTA(半紙!$B$11:$B$310),INDEX(半紙!$I$11:$I$310,811),IF(811&lt;=COUNTA(半紙!$B$11:$B$310)+COUNTA(条幅!$B$11:$B$310),INDEX(条幅!$I$11:$I$310,811-COUNTA(半紙!$B$11:$B$310)),IF(811&lt;=COUNTA(半紙!$B$11:$B$310)+COUNTA(条幅!$B$11:$B$310)+COUNTA(条幅4分の1!$B$11:$B$310),INDEX(条幅4分の1!$I$11:$I$310,811-COUNTA(半紙!$B$11:$B$310)-COUNTA(条幅!$B$11:$B$310)),"")))=0,"",IF(811&lt;=COUNTA(半紙!$B$11:$B$310),INDEX(半紙!$I$11:$I$310,811),IF(811&lt;=COUNTA(半紙!$B$11:$B$310)+COUNTA(条幅!$B$11:$B$310),INDEX(条幅!$I$11:$I$310,811-COUNTA(半紙!$B$11:$B$310)),IF(811&lt;=COUNTA(半紙!$B$11:$B$310)+COUNTA(条幅!$B$11:$B$310)+COUNTA(条幅4分の1!$B$11:$B$310),INDEX(条幅4分の1!$I$11:$I$310,811-COUNTA(半紙!$B$11:$B$310)-COUNTA(条幅!$B$11:$B$310)),""))))</f>
        <v/>
      </c>
      <c r="J816" s="38" t="str">
        <f>IF(IF(811&lt;=COUNTA(半紙!$B$11:$B$310),INDEX(半紙!$J$11:$J$310,811),IF(811&lt;=COUNTA(半紙!$B$11:$B$310)+COUNTA(条幅!$B$11:$B$310),INDEX(条幅!$J$11:$J$310,811-COUNTA(半紙!$B$11:$B$310)),IF(811&lt;=COUNTA(半紙!$B$11:$B$310)+COUNTA(条幅!$B$11:$B$310)+COUNTA(条幅4分の1!$B$11:$B$310),INDEX(条幅4分の1!$J$11:$J$310,811-COUNTA(半紙!$B$11:$B$310)-COUNTA(条幅!$B$11:$B$310)),"")))=0,"",IF(811&lt;=COUNTA(半紙!$B$11:$B$310),INDEX(半紙!$J$11:$J$310,811),IF(811&lt;=COUNTA(半紙!$B$11:$B$310)+COUNTA(条幅!$B$11:$B$310),INDEX(条幅!$J$11:$J$310,811-COUNTA(半紙!$B$11:$B$310)),IF(811&lt;=COUNTA(半紙!$B$11:$B$310)+COUNTA(条幅!$B$11:$B$310)+COUNTA(条幅4分の1!$B$11:$B$310),INDEX(条幅4分の1!$J$11:$J$310,811-COUNTA(半紙!$B$11:$B$310)-COUNTA(条幅!$B$11:$B$310)),""))))</f>
        <v/>
      </c>
      <c r="K816" s="38" t="str">
        <f>IF(IF(811&lt;=COUNTA(半紙!$B$11:$B$310),INDEX(半紙!$K$11:$K$310,811),IF(811&lt;=COUNTA(半紙!$B$11:$B$310)+COUNTA(条幅!$B$11:$B$310),INDEX(条幅!$K$11:$K$310,811-COUNTA(半紙!$B$11:$B$310)),IF(811&lt;=COUNTA(半紙!$B$11:$B$310)+COUNTA(条幅!$B$11:$B$310)+COUNTA(条幅4分の1!$B$11:$B$310),INDEX(条幅4分の1!$K$11:$K$310,811-COUNTA(半紙!$B$11:$B$310)-COUNTA(条幅!$B$11:$B$310)),"")))=0,"",IF(811&lt;=COUNTA(半紙!$B$11:$B$310),INDEX(半紙!$K$11:$K$310,811),IF(811&lt;=COUNTA(半紙!$B$11:$B$310)+COUNTA(条幅!$B$11:$B$310),INDEX(条幅!$K$11:$K$310,811-COUNTA(半紙!$B$11:$B$310)),IF(811&lt;=COUNTA(半紙!$B$11:$B$310)+COUNTA(条幅!$B$11:$B$310)+COUNTA(条幅4分の1!$B$11:$B$310),INDEX(条幅4分の1!$K$11:$K$310,811-COUNTA(半紙!$B$11:$B$310)-COUNTA(条幅!$B$11:$B$310)),""))))</f>
        <v/>
      </c>
      <c r="L816" s="48" t="str">
        <f>IF($B816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811))</f>
        <v/>
      </c>
    </row>
    <row r="817" spans="1:12" ht="15" customHeight="1">
      <c r="A817" s="37" t="str">
        <f>IF(812&lt;=COUNTA(半紙!$B$11:$B$310),"半紙",IF(812&lt;=COUNTA(半紙!$B$11:$B$310)+COUNTA(条幅!$B$11:$B$310),"条幅(半切)",IF(812&lt;=COUNTA(半紙!$B$11:$B$310)+COUNTA(条幅!$B$11:$B$310)+COUNTA(条幅4分の1!$B$11:$B$310),"条幅(1/4)","")))</f>
        <v/>
      </c>
      <c r="B817" s="38" t="str">
        <f>IF(IF(812&lt;=COUNTA(半紙!$B$11:$B$310),INDEX(半紙!$B$11:$B$310,812),IF(812&lt;=COUNTA(半紙!$B$11:$B$310)+COUNTA(条幅!$B$11:$B$310),INDEX(条幅!$B$11:$B$310,812-COUNTA(半紙!$B$11:$B$310)),IF(812&lt;=COUNTA(半紙!$B$11:$B$310)+COUNTA(条幅!$B$11:$B$310)+COUNTA(条幅4分の1!$B$11:$B$310),INDEX(条幅4分の1!$B$11:$B$310,812-COUNTA(半紙!$B$11:$B$310)-COUNTA(条幅!$B$11:$B$310)),"")))=0,"",IF(812&lt;=COUNTA(半紙!$B$11:$B$310),INDEX(半紙!$B$11:$B$310,812),IF(812&lt;=COUNTA(半紙!$B$11:$B$310)+COUNTA(条幅!$B$11:$B$310),INDEX(条幅!$B$11:$B$310,812-COUNTA(半紙!$B$11:$B$310)),IF(812&lt;=COUNTA(半紙!$B$11:$B$310)+COUNTA(条幅!$B$11:$B$310)+COUNTA(条幅4分の1!$B$11:$B$310),INDEX(条幅4分の1!$B$11:$B$310,812-COUNTA(半紙!$B$11:$B$310)-COUNTA(条幅!$B$11:$B$310)),""))))</f>
        <v/>
      </c>
      <c r="C817" s="38" t="str">
        <f>IF(IF(812&lt;=COUNTA(半紙!$B$11:$B$310),INDEX(半紙!$C$11:$C$310,812),IF(812&lt;=COUNTA(半紙!$B$11:$B$310)+COUNTA(条幅!$B$11:$B$310),INDEX(条幅!$C$11:$C$310,812-COUNTA(半紙!$B$11:$B$310)),IF(812&lt;=COUNTA(半紙!$B$11:$B$310)+COUNTA(条幅!$B$11:$B$310)+COUNTA(条幅4分の1!$B$11:$B$310),INDEX(条幅4分の1!$C$11:$C$310,812-COUNTA(半紙!$B$11:$B$310)-COUNTA(条幅!$B$11:$B$310)),"")))=0,"",IF(812&lt;=COUNTA(半紙!$B$11:$B$310),INDEX(半紙!$C$11:$C$310,812),IF(812&lt;=COUNTA(半紙!$B$11:$B$310)+COUNTA(条幅!$B$11:$B$310),INDEX(条幅!$C$11:$C$310,812-COUNTA(半紙!$B$11:$B$310)),IF(812&lt;=COUNTA(半紙!$B$11:$B$310)+COUNTA(条幅!$B$11:$B$310)+COUNTA(条幅4分の1!$B$11:$B$310),INDEX(条幅4分の1!$C$11:$C$310,812-COUNTA(半紙!$B$11:$B$310)-COUNTA(条幅!$B$11:$B$310)),""))))</f>
        <v/>
      </c>
      <c r="D817" s="38" t="str">
        <f>IF(IF(812&lt;=COUNTA(半紙!$B$11:$B$310),INDEX(半紙!$D$11:$D$310,812),IF(812&lt;=COUNTA(半紙!$B$11:$B$310)+COUNTA(条幅!$B$11:$B$310),INDEX(条幅!$D$11:$D$310,812-COUNTA(半紙!$B$11:$B$310)),IF(812&lt;=COUNTA(半紙!$B$11:$B$310)+COUNTA(条幅!$B$11:$B$310)+COUNTA(条幅4分の1!$B$11:$B$310),INDEX(条幅4分の1!$D$11:$D$310,812-COUNTA(半紙!$B$11:$B$310)-COUNTA(条幅!$B$11:$B$310)),"")))=0,"",IF(812&lt;=COUNTA(半紙!$B$11:$B$310),INDEX(半紙!$D$11:$D$310,812),IF(812&lt;=COUNTA(半紙!$B$11:$B$310)+COUNTA(条幅!$B$11:$B$310),INDEX(条幅!$D$11:$D$310,812-COUNTA(半紙!$B$11:$B$310)),IF(812&lt;=COUNTA(半紙!$B$11:$B$310)+COUNTA(条幅!$B$11:$B$310)+COUNTA(条幅4分の1!$B$11:$B$310),INDEX(条幅4分の1!$D$11:$D$310,812-COUNTA(半紙!$B$11:$B$310)-COUNTA(条幅!$B$11:$B$310)),""))))</f>
        <v/>
      </c>
      <c r="E817" s="38" t="str">
        <f>IF(IF(812&lt;=COUNTA(半紙!$B$11:$B$310),INDEX(半紙!$E$11:$E$310,812),IF(812&lt;=COUNTA(半紙!$B$11:$B$310)+COUNTA(条幅!$B$11:$B$310),INDEX(条幅!$E$11:$E$310,812-COUNTA(半紙!$B$11:$B$310)),IF(812&lt;=COUNTA(半紙!$B$11:$B$310)+COUNTA(条幅!$B$11:$B$310)+COUNTA(条幅4分の1!$B$11:$B$310),INDEX(条幅4分の1!$E$11:$E$310,812-COUNTA(半紙!$B$11:$B$310)-COUNTA(条幅!$B$11:$B$310)),"")))=0,"",IF(812&lt;=COUNTA(半紙!$B$11:$B$310),INDEX(半紙!$E$11:$E$310,812),IF(812&lt;=COUNTA(半紙!$B$11:$B$310)+COUNTA(条幅!$B$11:$B$310),INDEX(条幅!$E$11:$E$310,812-COUNTA(半紙!$B$11:$B$310)),IF(812&lt;=COUNTA(半紙!$B$11:$B$310)+COUNTA(条幅!$B$11:$B$310)+COUNTA(条幅4分の1!$B$11:$B$310),INDEX(条幅4分の1!$E$11:$E$310,812-COUNTA(半紙!$B$11:$B$310)-COUNTA(条幅!$B$11:$B$310)),""))))</f>
        <v/>
      </c>
      <c r="F817" s="38" t="str">
        <f>IF(IF(812&lt;=COUNTA(半紙!$B$11:$B$310),INDEX(半紙!$F$11:$F$310,812),IF(812&lt;=COUNTA(半紙!$B$11:$B$310)+COUNTA(条幅!$B$11:$B$310),INDEX(条幅!$F$11:$F$310,812-COUNTA(半紙!$B$11:$B$310)),IF(812&lt;=COUNTA(半紙!$B$11:$B$310)+COUNTA(条幅!$B$11:$B$310)+COUNTA(条幅4分の1!$B$11:$B$310),INDEX(条幅4分の1!$F$11:$F$310,812-COUNTA(半紙!$B$11:$B$310)-COUNTA(条幅!$B$11:$B$310)),"")))=0,"",IF(812&lt;=COUNTA(半紙!$B$11:$B$310),INDEX(半紙!$F$11:$F$310,812),IF(812&lt;=COUNTA(半紙!$B$11:$B$310)+COUNTA(条幅!$B$11:$B$310),INDEX(条幅!$F$11:$F$310,812-COUNTA(半紙!$B$11:$B$310)),IF(812&lt;=COUNTA(半紙!$B$11:$B$310)+COUNTA(条幅!$B$11:$B$310)+COUNTA(条幅4分の1!$B$11:$B$310),INDEX(条幅4分の1!$F$11:$F$310,812-COUNTA(半紙!$B$11:$B$310)-COUNTA(条幅!$B$11:$B$310)),""))))</f>
        <v/>
      </c>
      <c r="G817" s="38" t="str">
        <f>IF(IF(812&lt;=COUNTA(半紙!$B$11:$B$310),INDEX(半紙!$G$11:$G$310,812),IF(812&lt;=COUNTA(半紙!$B$11:$B$310)+COUNTA(条幅!$B$11:$B$310),INDEX(条幅!$G$11:$G$310,812-COUNTA(半紙!$B$11:$B$310)),IF(812&lt;=COUNTA(半紙!$B$11:$B$310)+COUNTA(条幅!$B$11:$B$310)+COUNTA(条幅4分の1!$B$11:$B$310),INDEX(条幅4分の1!$G$11:$G$310,812-COUNTA(半紙!$B$11:$B$310)-COUNTA(条幅!$B$11:$B$310)),"")))=0,"",IF(812&lt;=COUNTA(半紙!$B$11:$B$310),INDEX(半紙!$G$11:$G$310,812),IF(812&lt;=COUNTA(半紙!$B$11:$B$310)+COUNTA(条幅!$B$11:$B$310),INDEX(条幅!$G$11:$G$310,812-COUNTA(半紙!$B$11:$B$310)),IF(812&lt;=COUNTA(半紙!$B$11:$B$310)+COUNTA(条幅!$B$11:$B$310)+COUNTA(条幅4分の1!$B$11:$B$310),INDEX(条幅4分の1!$G$11:$G$310,812-COUNTA(半紙!$B$11:$B$310)-COUNTA(条幅!$B$11:$B$310)),""))))</f>
        <v/>
      </c>
      <c r="H817" s="38" t="str">
        <f>IF(IF(812&lt;=COUNTA(半紙!$B$11:$B$310),INDEX(半紙!$H$11:$H$310,812),IF(812&lt;=COUNTA(半紙!$B$11:$B$310)+COUNTA(条幅!$B$11:$B$310),INDEX(条幅!$H$11:$H$310,812-COUNTA(半紙!$B$11:$B$310)),IF(812&lt;=COUNTA(半紙!$B$11:$B$310)+COUNTA(条幅!$B$11:$B$310)+COUNTA(条幅4分の1!$B$11:$B$310),INDEX(条幅4分の1!$H$11:$H$310,812-COUNTA(半紙!$B$11:$B$310)-COUNTA(条幅!$B$11:$B$310)),"")))=0,"",IF(812&lt;=COUNTA(半紙!$B$11:$B$310),INDEX(半紙!$H$11:$H$310,812),IF(812&lt;=COUNTA(半紙!$B$11:$B$310)+COUNTA(条幅!$B$11:$B$310),INDEX(条幅!$H$11:$H$310,812-COUNTA(半紙!$B$11:$B$310)),IF(812&lt;=COUNTA(半紙!$B$11:$B$310)+COUNTA(条幅!$B$11:$B$310)+COUNTA(条幅4分の1!$B$11:$B$310),INDEX(条幅4分の1!$H$11:$H$310,812-COUNTA(半紙!$B$11:$B$310)-COUNTA(条幅!$B$11:$B$310)),""))))</f>
        <v/>
      </c>
      <c r="I817" s="38" t="str">
        <f>IF(IF(812&lt;=COUNTA(半紙!$B$11:$B$310),INDEX(半紙!$I$11:$I$310,812),IF(812&lt;=COUNTA(半紙!$B$11:$B$310)+COUNTA(条幅!$B$11:$B$310),INDEX(条幅!$I$11:$I$310,812-COUNTA(半紙!$B$11:$B$310)),IF(812&lt;=COUNTA(半紙!$B$11:$B$310)+COUNTA(条幅!$B$11:$B$310)+COUNTA(条幅4分の1!$B$11:$B$310),INDEX(条幅4分の1!$I$11:$I$310,812-COUNTA(半紙!$B$11:$B$310)-COUNTA(条幅!$B$11:$B$310)),"")))=0,"",IF(812&lt;=COUNTA(半紙!$B$11:$B$310),INDEX(半紙!$I$11:$I$310,812),IF(812&lt;=COUNTA(半紙!$B$11:$B$310)+COUNTA(条幅!$B$11:$B$310),INDEX(条幅!$I$11:$I$310,812-COUNTA(半紙!$B$11:$B$310)),IF(812&lt;=COUNTA(半紙!$B$11:$B$310)+COUNTA(条幅!$B$11:$B$310)+COUNTA(条幅4分の1!$B$11:$B$310),INDEX(条幅4分の1!$I$11:$I$310,812-COUNTA(半紙!$B$11:$B$310)-COUNTA(条幅!$B$11:$B$310)),""))))</f>
        <v/>
      </c>
      <c r="J817" s="38" t="str">
        <f>IF(IF(812&lt;=COUNTA(半紙!$B$11:$B$310),INDEX(半紙!$J$11:$J$310,812),IF(812&lt;=COUNTA(半紙!$B$11:$B$310)+COUNTA(条幅!$B$11:$B$310),INDEX(条幅!$J$11:$J$310,812-COUNTA(半紙!$B$11:$B$310)),IF(812&lt;=COUNTA(半紙!$B$11:$B$310)+COUNTA(条幅!$B$11:$B$310)+COUNTA(条幅4分の1!$B$11:$B$310),INDEX(条幅4分の1!$J$11:$J$310,812-COUNTA(半紙!$B$11:$B$310)-COUNTA(条幅!$B$11:$B$310)),"")))=0,"",IF(812&lt;=COUNTA(半紙!$B$11:$B$310),INDEX(半紙!$J$11:$J$310,812),IF(812&lt;=COUNTA(半紙!$B$11:$B$310)+COUNTA(条幅!$B$11:$B$310),INDEX(条幅!$J$11:$J$310,812-COUNTA(半紙!$B$11:$B$310)),IF(812&lt;=COUNTA(半紙!$B$11:$B$310)+COUNTA(条幅!$B$11:$B$310)+COUNTA(条幅4分の1!$B$11:$B$310),INDEX(条幅4分の1!$J$11:$J$310,812-COUNTA(半紙!$B$11:$B$310)-COUNTA(条幅!$B$11:$B$310)),""))))</f>
        <v/>
      </c>
      <c r="K817" s="38" t="str">
        <f>IF(IF(812&lt;=COUNTA(半紙!$B$11:$B$310),INDEX(半紙!$K$11:$K$310,812),IF(812&lt;=COUNTA(半紙!$B$11:$B$310)+COUNTA(条幅!$B$11:$B$310),INDEX(条幅!$K$11:$K$310,812-COUNTA(半紙!$B$11:$B$310)),IF(812&lt;=COUNTA(半紙!$B$11:$B$310)+COUNTA(条幅!$B$11:$B$310)+COUNTA(条幅4分の1!$B$11:$B$310),INDEX(条幅4分の1!$K$11:$K$310,812-COUNTA(半紙!$B$11:$B$310)-COUNTA(条幅!$B$11:$B$310)),"")))=0,"",IF(812&lt;=COUNTA(半紙!$B$11:$B$310),INDEX(半紙!$K$11:$K$310,812),IF(812&lt;=COUNTA(半紙!$B$11:$B$310)+COUNTA(条幅!$B$11:$B$310),INDEX(条幅!$K$11:$K$310,812-COUNTA(半紙!$B$11:$B$310)),IF(812&lt;=COUNTA(半紙!$B$11:$B$310)+COUNTA(条幅!$B$11:$B$310)+COUNTA(条幅4分の1!$B$11:$B$310),INDEX(条幅4分の1!$K$11:$K$310,812-COUNTA(半紙!$B$11:$B$310)-COUNTA(条幅!$B$11:$B$310)),""))))</f>
        <v/>
      </c>
      <c r="L817" s="48" t="str">
        <f>IF($B817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812))</f>
        <v/>
      </c>
    </row>
    <row r="818" spans="1:12" ht="15" customHeight="1">
      <c r="A818" s="37" t="str">
        <f>IF(813&lt;=COUNTA(半紙!$B$11:$B$310),"半紙",IF(813&lt;=COUNTA(半紙!$B$11:$B$310)+COUNTA(条幅!$B$11:$B$310),"条幅(半切)",IF(813&lt;=COUNTA(半紙!$B$11:$B$310)+COUNTA(条幅!$B$11:$B$310)+COUNTA(条幅4分の1!$B$11:$B$310),"条幅(1/4)","")))</f>
        <v/>
      </c>
      <c r="B818" s="38" t="str">
        <f>IF(IF(813&lt;=COUNTA(半紙!$B$11:$B$310),INDEX(半紙!$B$11:$B$310,813),IF(813&lt;=COUNTA(半紙!$B$11:$B$310)+COUNTA(条幅!$B$11:$B$310),INDEX(条幅!$B$11:$B$310,813-COUNTA(半紙!$B$11:$B$310)),IF(813&lt;=COUNTA(半紙!$B$11:$B$310)+COUNTA(条幅!$B$11:$B$310)+COUNTA(条幅4分の1!$B$11:$B$310),INDEX(条幅4分の1!$B$11:$B$310,813-COUNTA(半紙!$B$11:$B$310)-COUNTA(条幅!$B$11:$B$310)),"")))=0,"",IF(813&lt;=COUNTA(半紙!$B$11:$B$310),INDEX(半紙!$B$11:$B$310,813),IF(813&lt;=COUNTA(半紙!$B$11:$B$310)+COUNTA(条幅!$B$11:$B$310),INDEX(条幅!$B$11:$B$310,813-COUNTA(半紙!$B$11:$B$310)),IF(813&lt;=COUNTA(半紙!$B$11:$B$310)+COUNTA(条幅!$B$11:$B$310)+COUNTA(条幅4分の1!$B$11:$B$310),INDEX(条幅4分の1!$B$11:$B$310,813-COUNTA(半紙!$B$11:$B$310)-COUNTA(条幅!$B$11:$B$310)),""))))</f>
        <v/>
      </c>
      <c r="C818" s="38" t="str">
        <f>IF(IF(813&lt;=COUNTA(半紙!$B$11:$B$310),INDEX(半紙!$C$11:$C$310,813),IF(813&lt;=COUNTA(半紙!$B$11:$B$310)+COUNTA(条幅!$B$11:$B$310),INDEX(条幅!$C$11:$C$310,813-COUNTA(半紙!$B$11:$B$310)),IF(813&lt;=COUNTA(半紙!$B$11:$B$310)+COUNTA(条幅!$B$11:$B$310)+COUNTA(条幅4分の1!$B$11:$B$310),INDEX(条幅4分の1!$C$11:$C$310,813-COUNTA(半紙!$B$11:$B$310)-COUNTA(条幅!$B$11:$B$310)),"")))=0,"",IF(813&lt;=COUNTA(半紙!$B$11:$B$310),INDEX(半紙!$C$11:$C$310,813),IF(813&lt;=COUNTA(半紙!$B$11:$B$310)+COUNTA(条幅!$B$11:$B$310),INDEX(条幅!$C$11:$C$310,813-COUNTA(半紙!$B$11:$B$310)),IF(813&lt;=COUNTA(半紙!$B$11:$B$310)+COUNTA(条幅!$B$11:$B$310)+COUNTA(条幅4分の1!$B$11:$B$310),INDEX(条幅4分の1!$C$11:$C$310,813-COUNTA(半紙!$B$11:$B$310)-COUNTA(条幅!$B$11:$B$310)),""))))</f>
        <v/>
      </c>
      <c r="D818" s="38" t="str">
        <f>IF(IF(813&lt;=COUNTA(半紙!$B$11:$B$310),INDEX(半紙!$D$11:$D$310,813),IF(813&lt;=COUNTA(半紙!$B$11:$B$310)+COUNTA(条幅!$B$11:$B$310),INDEX(条幅!$D$11:$D$310,813-COUNTA(半紙!$B$11:$B$310)),IF(813&lt;=COUNTA(半紙!$B$11:$B$310)+COUNTA(条幅!$B$11:$B$310)+COUNTA(条幅4分の1!$B$11:$B$310),INDEX(条幅4分の1!$D$11:$D$310,813-COUNTA(半紙!$B$11:$B$310)-COUNTA(条幅!$B$11:$B$310)),"")))=0,"",IF(813&lt;=COUNTA(半紙!$B$11:$B$310),INDEX(半紙!$D$11:$D$310,813),IF(813&lt;=COUNTA(半紙!$B$11:$B$310)+COUNTA(条幅!$B$11:$B$310),INDEX(条幅!$D$11:$D$310,813-COUNTA(半紙!$B$11:$B$310)),IF(813&lt;=COUNTA(半紙!$B$11:$B$310)+COUNTA(条幅!$B$11:$B$310)+COUNTA(条幅4分の1!$B$11:$B$310),INDEX(条幅4分の1!$D$11:$D$310,813-COUNTA(半紙!$B$11:$B$310)-COUNTA(条幅!$B$11:$B$310)),""))))</f>
        <v/>
      </c>
      <c r="E818" s="38" t="str">
        <f>IF(IF(813&lt;=COUNTA(半紙!$B$11:$B$310),INDEX(半紙!$E$11:$E$310,813),IF(813&lt;=COUNTA(半紙!$B$11:$B$310)+COUNTA(条幅!$B$11:$B$310),INDEX(条幅!$E$11:$E$310,813-COUNTA(半紙!$B$11:$B$310)),IF(813&lt;=COUNTA(半紙!$B$11:$B$310)+COUNTA(条幅!$B$11:$B$310)+COUNTA(条幅4分の1!$B$11:$B$310),INDEX(条幅4分の1!$E$11:$E$310,813-COUNTA(半紙!$B$11:$B$310)-COUNTA(条幅!$B$11:$B$310)),"")))=0,"",IF(813&lt;=COUNTA(半紙!$B$11:$B$310),INDEX(半紙!$E$11:$E$310,813),IF(813&lt;=COUNTA(半紙!$B$11:$B$310)+COUNTA(条幅!$B$11:$B$310),INDEX(条幅!$E$11:$E$310,813-COUNTA(半紙!$B$11:$B$310)),IF(813&lt;=COUNTA(半紙!$B$11:$B$310)+COUNTA(条幅!$B$11:$B$310)+COUNTA(条幅4分の1!$B$11:$B$310),INDEX(条幅4分の1!$E$11:$E$310,813-COUNTA(半紙!$B$11:$B$310)-COUNTA(条幅!$B$11:$B$310)),""))))</f>
        <v/>
      </c>
      <c r="F818" s="38" t="str">
        <f>IF(IF(813&lt;=COUNTA(半紙!$B$11:$B$310),INDEX(半紙!$F$11:$F$310,813),IF(813&lt;=COUNTA(半紙!$B$11:$B$310)+COUNTA(条幅!$B$11:$B$310),INDEX(条幅!$F$11:$F$310,813-COUNTA(半紙!$B$11:$B$310)),IF(813&lt;=COUNTA(半紙!$B$11:$B$310)+COUNTA(条幅!$B$11:$B$310)+COUNTA(条幅4分の1!$B$11:$B$310),INDEX(条幅4分の1!$F$11:$F$310,813-COUNTA(半紙!$B$11:$B$310)-COUNTA(条幅!$B$11:$B$310)),"")))=0,"",IF(813&lt;=COUNTA(半紙!$B$11:$B$310),INDEX(半紙!$F$11:$F$310,813),IF(813&lt;=COUNTA(半紙!$B$11:$B$310)+COUNTA(条幅!$B$11:$B$310),INDEX(条幅!$F$11:$F$310,813-COUNTA(半紙!$B$11:$B$310)),IF(813&lt;=COUNTA(半紙!$B$11:$B$310)+COUNTA(条幅!$B$11:$B$310)+COUNTA(条幅4分の1!$B$11:$B$310),INDEX(条幅4分の1!$F$11:$F$310,813-COUNTA(半紙!$B$11:$B$310)-COUNTA(条幅!$B$11:$B$310)),""))))</f>
        <v/>
      </c>
      <c r="G818" s="38" t="str">
        <f>IF(IF(813&lt;=COUNTA(半紙!$B$11:$B$310),INDEX(半紙!$G$11:$G$310,813),IF(813&lt;=COUNTA(半紙!$B$11:$B$310)+COUNTA(条幅!$B$11:$B$310),INDEX(条幅!$G$11:$G$310,813-COUNTA(半紙!$B$11:$B$310)),IF(813&lt;=COUNTA(半紙!$B$11:$B$310)+COUNTA(条幅!$B$11:$B$310)+COUNTA(条幅4分の1!$B$11:$B$310),INDEX(条幅4分の1!$G$11:$G$310,813-COUNTA(半紙!$B$11:$B$310)-COUNTA(条幅!$B$11:$B$310)),"")))=0,"",IF(813&lt;=COUNTA(半紙!$B$11:$B$310),INDEX(半紙!$G$11:$G$310,813),IF(813&lt;=COUNTA(半紙!$B$11:$B$310)+COUNTA(条幅!$B$11:$B$310),INDEX(条幅!$G$11:$G$310,813-COUNTA(半紙!$B$11:$B$310)),IF(813&lt;=COUNTA(半紙!$B$11:$B$310)+COUNTA(条幅!$B$11:$B$310)+COUNTA(条幅4分の1!$B$11:$B$310),INDEX(条幅4分の1!$G$11:$G$310,813-COUNTA(半紙!$B$11:$B$310)-COUNTA(条幅!$B$11:$B$310)),""))))</f>
        <v/>
      </c>
      <c r="H818" s="38" t="str">
        <f>IF(IF(813&lt;=COUNTA(半紙!$B$11:$B$310),INDEX(半紙!$H$11:$H$310,813),IF(813&lt;=COUNTA(半紙!$B$11:$B$310)+COUNTA(条幅!$B$11:$B$310),INDEX(条幅!$H$11:$H$310,813-COUNTA(半紙!$B$11:$B$310)),IF(813&lt;=COUNTA(半紙!$B$11:$B$310)+COUNTA(条幅!$B$11:$B$310)+COUNTA(条幅4分の1!$B$11:$B$310),INDEX(条幅4分の1!$H$11:$H$310,813-COUNTA(半紙!$B$11:$B$310)-COUNTA(条幅!$B$11:$B$310)),"")))=0,"",IF(813&lt;=COUNTA(半紙!$B$11:$B$310),INDEX(半紙!$H$11:$H$310,813),IF(813&lt;=COUNTA(半紙!$B$11:$B$310)+COUNTA(条幅!$B$11:$B$310),INDEX(条幅!$H$11:$H$310,813-COUNTA(半紙!$B$11:$B$310)),IF(813&lt;=COUNTA(半紙!$B$11:$B$310)+COUNTA(条幅!$B$11:$B$310)+COUNTA(条幅4分の1!$B$11:$B$310),INDEX(条幅4分の1!$H$11:$H$310,813-COUNTA(半紙!$B$11:$B$310)-COUNTA(条幅!$B$11:$B$310)),""))))</f>
        <v/>
      </c>
      <c r="I818" s="38" t="str">
        <f>IF(IF(813&lt;=COUNTA(半紙!$B$11:$B$310),INDEX(半紙!$I$11:$I$310,813),IF(813&lt;=COUNTA(半紙!$B$11:$B$310)+COUNTA(条幅!$B$11:$B$310),INDEX(条幅!$I$11:$I$310,813-COUNTA(半紙!$B$11:$B$310)),IF(813&lt;=COUNTA(半紙!$B$11:$B$310)+COUNTA(条幅!$B$11:$B$310)+COUNTA(条幅4分の1!$B$11:$B$310),INDEX(条幅4分の1!$I$11:$I$310,813-COUNTA(半紙!$B$11:$B$310)-COUNTA(条幅!$B$11:$B$310)),"")))=0,"",IF(813&lt;=COUNTA(半紙!$B$11:$B$310),INDEX(半紙!$I$11:$I$310,813),IF(813&lt;=COUNTA(半紙!$B$11:$B$310)+COUNTA(条幅!$B$11:$B$310),INDEX(条幅!$I$11:$I$310,813-COUNTA(半紙!$B$11:$B$310)),IF(813&lt;=COUNTA(半紙!$B$11:$B$310)+COUNTA(条幅!$B$11:$B$310)+COUNTA(条幅4分の1!$B$11:$B$310),INDEX(条幅4分の1!$I$11:$I$310,813-COUNTA(半紙!$B$11:$B$310)-COUNTA(条幅!$B$11:$B$310)),""))))</f>
        <v/>
      </c>
      <c r="J818" s="38" t="str">
        <f>IF(IF(813&lt;=COUNTA(半紙!$B$11:$B$310),INDEX(半紙!$J$11:$J$310,813),IF(813&lt;=COUNTA(半紙!$B$11:$B$310)+COUNTA(条幅!$B$11:$B$310),INDEX(条幅!$J$11:$J$310,813-COUNTA(半紙!$B$11:$B$310)),IF(813&lt;=COUNTA(半紙!$B$11:$B$310)+COUNTA(条幅!$B$11:$B$310)+COUNTA(条幅4分の1!$B$11:$B$310),INDEX(条幅4分の1!$J$11:$J$310,813-COUNTA(半紙!$B$11:$B$310)-COUNTA(条幅!$B$11:$B$310)),"")))=0,"",IF(813&lt;=COUNTA(半紙!$B$11:$B$310),INDEX(半紙!$J$11:$J$310,813),IF(813&lt;=COUNTA(半紙!$B$11:$B$310)+COUNTA(条幅!$B$11:$B$310),INDEX(条幅!$J$11:$J$310,813-COUNTA(半紙!$B$11:$B$310)),IF(813&lt;=COUNTA(半紙!$B$11:$B$310)+COUNTA(条幅!$B$11:$B$310)+COUNTA(条幅4分の1!$B$11:$B$310),INDEX(条幅4分の1!$J$11:$J$310,813-COUNTA(半紙!$B$11:$B$310)-COUNTA(条幅!$B$11:$B$310)),""))))</f>
        <v/>
      </c>
      <c r="K818" s="38" t="str">
        <f>IF(IF(813&lt;=COUNTA(半紙!$B$11:$B$310),INDEX(半紙!$K$11:$K$310,813),IF(813&lt;=COUNTA(半紙!$B$11:$B$310)+COUNTA(条幅!$B$11:$B$310),INDEX(条幅!$K$11:$K$310,813-COUNTA(半紙!$B$11:$B$310)),IF(813&lt;=COUNTA(半紙!$B$11:$B$310)+COUNTA(条幅!$B$11:$B$310)+COUNTA(条幅4分の1!$B$11:$B$310),INDEX(条幅4分の1!$K$11:$K$310,813-COUNTA(半紙!$B$11:$B$310)-COUNTA(条幅!$B$11:$B$310)),"")))=0,"",IF(813&lt;=COUNTA(半紙!$B$11:$B$310),INDEX(半紙!$K$11:$K$310,813),IF(813&lt;=COUNTA(半紙!$B$11:$B$310)+COUNTA(条幅!$B$11:$B$310),INDEX(条幅!$K$11:$K$310,813-COUNTA(半紙!$B$11:$B$310)),IF(813&lt;=COUNTA(半紙!$B$11:$B$310)+COUNTA(条幅!$B$11:$B$310)+COUNTA(条幅4分の1!$B$11:$B$310),INDEX(条幅4分の1!$K$11:$K$310,813-COUNTA(半紙!$B$11:$B$310)-COUNTA(条幅!$B$11:$B$310)),""))))</f>
        <v/>
      </c>
      <c r="L818" s="48" t="str">
        <f>IF($B818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813))</f>
        <v/>
      </c>
    </row>
    <row r="819" spans="1:12" ht="15" customHeight="1">
      <c r="A819" s="37" t="str">
        <f>IF(814&lt;=COUNTA(半紙!$B$11:$B$310),"半紙",IF(814&lt;=COUNTA(半紙!$B$11:$B$310)+COUNTA(条幅!$B$11:$B$310),"条幅(半切)",IF(814&lt;=COUNTA(半紙!$B$11:$B$310)+COUNTA(条幅!$B$11:$B$310)+COUNTA(条幅4分の1!$B$11:$B$310),"条幅(1/4)","")))</f>
        <v/>
      </c>
      <c r="B819" s="38" t="str">
        <f>IF(IF(814&lt;=COUNTA(半紙!$B$11:$B$310),INDEX(半紙!$B$11:$B$310,814),IF(814&lt;=COUNTA(半紙!$B$11:$B$310)+COUNTA(条幅!$B$11:$B$310),INDEX(条幅!$B$11:$B$310,814-COUNTA(半紙!$B$11:$B$310)),IF(814&lt;=COUNTA(半紙!$B$11:$B$310)+COUNTA(条幅!$B$11:$B$310)+COUNTA(条幅4分の1!$B$11:$B$310),INDEX(条幅4分の1!$B$11:$B$310,814-COUNTA(半紙!$B$11:$B$310)-COUNTA(条幅!$B$11:$B$310)),"")))=0,"",IF(814&lt;=COUNTA(半紙!$B$11:$B$310),INDEX(半紙!$B$11:$B$310,814),IF(814&lt;=COUNTA(半紙!$B$11:$B$310)+COUNTA(条幅!$B$11:$B$310),INDEX(条幅!$B$11:$B$310,814-COUNTA(半紙!$B$11:$B$310)),IF(814&lt;=COUNTA(半紙!$B$11:$B$310)+COUNTA(条幅!$B$11:$B$310)+COUNTA(条幅4分の1!$B$11:$B$310),INDEX(条幅4分の1!$B$11:$B$310,814-COUNTA(半紙!$B$11:$B$310)-COUNTA(条幅!$B$11:$B$310)),""))))</f>
        <v/>
      </c>
      <c r="C819" s="38" t="str">
        <f>IF(IF(814&lt;=COUNTA(半紙!$B$11:$B$310),INDEX(半紙!$C$11:$C$310,814),IF(814&lt;=COUNTA(半紙!$B$11:$B$310)+COUNTA(条幅!$B$11:$B$310),INDEX(条幅!$C$11:$C$310,814-COUNTA(半紙!$B$11:$B$310)),IF(814&lt;=COUNTA(半紙!$B$11:$B$310)+COUNTA(条幅!$B$11:$B$310)+COUNTA(条幅4分の1!$B$11:$B$310),INDEX(条幅4分の1!$C$11:$C$310,814-COUNTA(半紙!$B$11:$B$310)-COUNTA(条幅!$B$11:$B$310)),"")))=0,"",IF(814&lt;=COUNTA(半紙!$B$11:$B$310),INDEX(半紙!$C$11:$C$310,814),IF(814&lt;=COUNTA(半紙!$B$11:$B$310)+COUNTA(条幅!$B$11:$B$310),INDEX(条幅!$C$11:$C$310,814-COUNTA(半紙!$B$11:$B$310)),IF(814&lt;=COUNTA(半紙!$B$11:$B$310)+COUNTA(条幅!$B$11:$B$310)+COUNTA(条幅4分の1!$B$11:$B$310),INDEX(条幅4分の1!$C$11:$C$310,814-COUNTA(半紙!$B$11:$B$310)-COUNTA(条幅!$B$11:$B$310)),""))))</f>
        <v/>
      </c>
      <c r="D819" s="38" t="str">
        <f>IF(IF(814&lt;=COUNTA(半紙!$B$11:$B$310),INDEX(半紙!$D$11:$D$310,814),IF(814&lt;=COUNTA(半紙!$B$11:$B$310)+COUNTA(条幅!$B$11:$B$310),INDEX(条幅!$D$11:$D$310,814-COUNTA(半紙!$B$11:$B$310)),IF(814&lt;=COUNTA(半紙!$B$11:$B$310)+COUNTA(条幅!$B$11:$B$310)+COUNTA(条幅4分の1!$B$11:$B$310),INDEX(条幅4分の1!$D$11:$D$310,814-COUNTA(半紙!$B$11:$B$310)-COUNTA(条幅!$B$11:$B$310)),"")))=0,"",IF(814&lt;=COUNTA(半紙!$B$11:$B$310),INDEX(半紙!$D$11:$D$310,814),IF(814&lt;=COUNTA(半紙!$B$11:$B$310)+COUNTA(条幅!$B$11:$B$310),INDEX(条幅!$D$11:$D$310,814-COUNTA(半紙!$B$11:$B$310)),IF(814&lt;=COUNTA(半紙!$B$11:$B$310)+COUNTA(条幅!$B$11:$B$310)+COUNTA(条幅4分の1!$B$11:$B$310),INDEX(条幅4分の1!$D$11:$D$310,814-COUNTA(半紙!$B$11:$B$310)-COUNTA(条幅!$B$11:$B$310)),""))))</f>
        <v/>
      </c>
      <c r="E819" s="38" t="str">
        <f>IF(IF(814&lt;=COUNTA(半紙!$B$11:$B$310),INDEX(半紙!$E$11:$E$310,814),IF(814&lt;=COUNTA(半紙!$B$11:$B$310)+COUNTA(条幅!$B$11:$B$310),INDEX(条幅!$E$11:$E$310,814-COUNTA(半紙!$B$11:$B$310)),IF(814&lt;=COUNTA(半紙!$B$11:$B$310)+COUNTA(条幅!$B$11:$B$310)+COUNTA(条幅4分の1!$B$11:$B$310),INDEX(条幅4分の1!$E$11:$E$310,814-COUNTA(半紙!$B$11:$B$310)-COUNTA(条幅!$B$11:$B$310)),"")))=0,"",IF(814&lt;=COUNTA(半紙!$B$11:$B$310),INDEX(半紙!$E$11:$E$310,814),IF(814&lt;=COUNTA(半紙!$B$11:$B$310)+COUNTA(条幅!$B$11:$B$310),INDEX(条幅!$E$11:$E$310,814-COUNTA(半紙!$B$11:$B$310)),IF(814&lt;=COUNTA(半紙!$B$11:$B$310)+COUNTA(条幅!$B$11:$B$310)+COUNTA(条幅4分の1!$B$11:$B$310),INDEX(条幅4分の1!$E$11:$E$310,814-COUNTA(半紙!$B$11:$B$310)-COUNTA(条幅!$B$11:$B$310)),""))))</f>
        <v/>
      </c>
      <c r="F819" s="38" t="str">
        <f>IF(IF(814&lt;=COUNTA(半紙!$B$11:$B$310),INDEX(半紙!$F$11:$F$310,814),IF(814&lt;=COUNTA(半紙!$B$11:$B$310)+COUNTA(条幅!$B$11:$B$310),INDEX(条幅!$F$11:$F$310,814-COUNTA(半紙!$B$11:$B$310)),IF(814&lt;=COUNTA(半紙!$B$11:$B$310)+COUNTA(条幅!$B$11:$B$310)+COUNTA(条幅4分の1!$B$11:$B$310),INDEX(条幅4分の1!$F$11:$F$310,814-COUNTA(半紙!$B$11:$B$310)-COUNTA(条幅!$B$11:$B$310)),"")))=0,"",IF(814&lt;=COUNTA(半紙!$B$11:$B$310),INDEX(半紙!$F$11:$F$310,814),IF(814&lt;=COUNTA(半紙!$B$11:$B$310)+COUNTA(条幅!$B$11:$B$310),INDEX(条幅!$F$11:$F$310,814-COUNTA(半紙!$B$11:$B$310)),IF(814&lt;=COUNTA(半紙!$B$11:$B$310)+COUNTA(条幅!$B$11:$B$310)+COUNTA(条幅4分の1!$B$11:$B$310),INDEX(条幅4分の1!$F$11:$F$310,814-COUNTA(半紙!$B$11:$B$310)-COUNTA(条幅!$B$11:$B$310)),""))))</f>
        <v/>
      </c>
      <c r="G819" s="38" t="str">
        <f>IF(IF(814&lt;=COUNTA(半紙!$B$11:$B$310),INDEX(半紙!$G$11:$G$310,814),IF(814&lt;=COUNTA(半紙!$B$11:$B$310)+COUNTA(条幅!$B$11:$B$310),INDEX(条幅!$G$11:$G$310,814-COUNTA(半紙!$B$11:$B$310)),IF(814&lt;=COUNTA(半紙!$B$11:$B$310)+COUNTA(条幅!$B$11:$B$310)+COUNTA(条幅4分の1!$B$11:$B$310),INDEX(条幅4分の1!$G$11:$G$310,814-COUNTA(半紙!$B$11:$B$310)-COUNTA(条幅!$B$11:$B$310)),"")))=0,"",IF(814&lt;=COUNTA(半紙!$B$11:$B$310),INDEX(半紙!$G$11:$G$310,814),IF(814&lt;=COUNTA(半紙!$B$11:$B$310)+COUNTA(条幅!$B$11:$B$310),INDEX(条幅!$G$11:$G$310,814-COUNTA(半紙!$B$11:$B$310)),IF(814&lt;=COUNTA(半紙!$B$11:$B$310)+COUNTA(条幅!$B$11:$B$310)+COUNTA(条幅4分の1!$B$11:$B$310),INDEX(条幅4分の1!$G$11:$G$310,814-COUNTA(半紙!$B$11:$B$310)-COUNTA(条幅!$B$11:$B$310)),""))))</f>
        <v/>
      </c>
      <c r="H819" s="38" t="str">
        <f>IF(IF(814&lt;=COUNTA(半紙!$B$11:$B$310),INDEX(半紙!$H$11:$H$310,814),IF(814&lt;=COUNTA(半紙!$B$11:$B$310)+COUNTA(条幅!$B$11:$B$310),INDEX(条幅!$H$11:$H$310,814-COUNTA(半紙!$B$11:$B$310)),IF(814&lt;=COUNTA(半紙!$B$11:$B$310)+COUNTA(条幅!$B$11:$B$310)+COUNTA(条幅4分の1!$B$11:$B$310),INDEX(条幅4分の1!$H$11:$H$310,814-COUNTA(半紙!$B$11:$B$310)-COUNTA(条幅!$B$11:$B$310)),"")))=0,"",IF(814&lt;=COUNTA(半紙!$B$11:$B$310),INDEX(半紙!$H$11:$H$310,814),IF(814&lt;=COUNTA(半紙!$B$11:$B$310)+COUNTA(条幅!$B$11:$B$310),INDEX(条幅!$H$11:$H$310,814-COUNTA(半紙!$B$11:$B$310)),IF(814&lt;=COUNTA(半紙!$B$11:$B$310)+COUNTA(条幅!$B$11:$B$310)+COUNTA(条幅4分の1!$B$11:$B$310),INDEX(条幅4分の1!$H$11:$H$310,814-COUNTA(半紙!$B$11:$B$310)-COUNTA(条幅!$B$11:$B$310)),""))))</f>
        <v/>
      </c>
      <c r="I819" s="38" t="str">
        <f>IF(IF(814&lt;=COUNTA(半紙!$B$11:$B$310),INDEX(半紙!$I$11:$I$310,814),IF(814&lt;=COUNTA(半紙!$B$11:$B$310)+COUNTA(条幅!$B$11:$B$310),INDEX(条幅!$I$11:$I$310,814-COUNTA(半紙!$B$11:$B$310)),IF(814&lt;=COUNTA(半紙!$B$11:$B$310)+COUNTA(条幅!$B$11:$B$310)+COUNTA(条幅4分の1!$B$11:$B$310),INDEX(条幅4分の1!$I$11:$I$310,814-COUNTA(半紙!$B$11:$B$310)-COUNTA(条幅!$B$11:$B$310)),"")))=0,"",IF(814&lt;=COUNTA(半紙!$B$11:$B$310),INDEX(半紙!$I$11:$I$310,814),IF(814&lt;=COUNTA(半紙!$B$11:$B$310)+COUNTA(条幅!$B$11:$B$310),INDEX(条幅!$I$11:$I$310,814-COUNTA(半紙!$B$11:$B$310)),IF(814&lt;=COUNTA(半紙!$B$11:$B$310)+COUNTA(条幅!$B$11:$B$310)+COUNTA(条幅4分の1!$B$11:$B$310),INDEX(条幅4分の1!$I$11:$I$310,814-COUNTA(半紙!$B$11:$B$310)-COUNTA(条幅!$B$11:$B$310)),""))))</f>
        <v/>
      </c>
      <c r="J819" s="38" t="str">
        <f>IF(IF(814&lt;=COUNTA(半紙!$B$11:$B$310),INDEX(半紙!$J$11:$J$310,814),IF(814&lt;=COUNTA(半紙!$B$11:$B$310)+COUNTA(条幅!$B$11:$B$310),INDEX(条幅!$J$11:$J$310,814-COUNTA(半紙!$B$11:$B$310)),IF(814&lt;=COUNTA(半紙!$B$11:$B$310)+COUNTA(条幅!$B$11:$B$310)+COUNTA(条幅4分の1!$B$11:$B$310),INDEX(条幅4分の1!$J$11:$J$310,814-COUNTA(半紙!$B$11:$B$310)-COUNTA(条幅!$B$11:$B$310)),"")))=0,"",IF(814&lt;=COUNTA(半紙!$B$11:$B$310),INDEX(半紙!$J$11:$J$310,814),IF(814&lt;=COUNTA(半紙!$B$11:$B$310)+COUNTA(条幅!$B$11:$B$310),INDEX(条幅!$J$11:$J$310,814-COUNTA(半紙!$B$11:$B$310)),IF(814&lt;=COUNTA(半紙!$B$11:$B$310)+COUNTA(条幅!$B$11:$B$310)+COUNTA(条幅4分の1!$B$11:$B$310),INDEX(条幅4分の1!$J$11:$J$310,814-COUNTA(半紙!$B$11:$B$310)-COUNTA(条幅!$B$11:$B$310)),""))))</f>
        <v/>
      </c>
      <c r="K819" s="38" t="str">
        <f>IF(IF(814&lt;=COUNTA(半紙!$B$11:$B$310),INDEX(半紙!$K$11:$K$310,814),IF(814&lt;=COUNTA(半紙!$B$11:$B$310)+COUNTA(条幅!$B$11:$B$310),INDEX(条幅!$K$11:$K$310,814-COUNTA(半紙!$B$11:$B$310)),IF(814&lt;=COUNTA(半紙!$B$11:$B$310)+COUNTA(条幅!$B$11:$B$310)+COUNTA(条幅4分の1!$B$11:$B$310),INDEX(条幅4分の1!$K$11:$K$310,814-COUNTA(半紙!$B$11:$B$310)-COUNTA(条幅!$B$11:$B$310)),"")))=0,"",IF(814&lt;=COUNTA(半紙!$B$11:$B$310),INDEX(半紙!$K$11:$K$310,814),IF(814&lt;=COUNTA(半紙!$B$11:$B$310)+COUNTA(条幅!$B$11:$B$310),INDEX(条幅!$K$11:$K$310,814-COUNTA(半紙!$B$11:$B$310)),IF(814&lt;=COUNTA(半紙!$B$11:$B$310)+COUNTA(条幅!$B$11:$B$310)+COUNTA(条幅4分の1!$B$11:$B$310),INDEX(条幅4分の1!$K$11:$K$310,814-COUNTA(半紙!$B$11:$B$310)-COUNTA(条幅!$B$11:$B$310)),""))))</f>
        <v/>
      </c>
      <c r="L819" s="48" t="str">
        <f>IF($B819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814))</f>
        <v/>
      </c>
    </row>
    <row r="820" spans="1:12" ht="15" customHeight="1">
      <c r="A820" s="37" t="str">
        <f>IF(815&lt;=COUNTA(半紙!$B$11:$B$310),"半紙",IF(815&lt;=COUNTA(半紙!$B$11:$B$310)+COUNTA(条幅!$B$11:$B$310),"条幅(半切)",IF(815&lt;=COUNTA(半紙!$B$11:$B$310)+COUNTA(条幅!$B$11:$B$310)+COUNTA(条幅4分の1!$B$11:$B$310),"条幅(1/4)","")))</f>
        <v/>
      </c>
      <c r="B820" s="38" t="str">
        <f>IF(IF(815&lt;=COUNTA(半紙!$B$11:$B$310),INDEX(半紙!$B$11:$B$310,815),IF(815&lt;=COUNTA(半紙!$B$11:$B$310)+COUNTA(条幅!$B$11:$B$310),INDEX(条幅!$B$11:$B$310,815-COUNTA(半紙!$B$11:$B$310)),IF(815&lt;=COUNTA(半紙!$B$11:$B$310)+COUNTA(条幅!$B$11:$B$310)+COUNTA(条幅4分の1!$B$11:$B$310),INDEX(条幅4分の1!$B$11:$B$310,815-COUNTA(半紙!$B$11:$B$310)-COUNTA(条幅!$B$11:$B$310)),"")))=0,"",IF(815&lt;=COUNTA(半紙!$B$11:$B$310),INDEX(半紙!$B$11:$B$310,815),IF(815&lt;=COUNTA(半紙!$B$11:$B$310)+COUNTA(条幅!$B$11:$B$310),INDEX(条幅!$B$11:$B$310,815-COUNTA(半紙!$B$11:$B$310)),IF(815&lt;=COUNTA(半紙!$B$11:$B$310)+COUNTA(条幅!$B$11:$B$310)+COUNTA(条幅4分の1!$B$11:$B$310),INDEX(条幅4分の1!$B$11:$B$310,815-COUNTA(半紙!$B$11:$B$310)-COUNTA(条幅!$B$11:$B$310)),""))))</f>
        <v/>
      </c>
      <c r="C820" s="38" t="str">
        <f>IF(IF(815&lt;=COUNTA(半紙!$B$11:$B$310),INDEX(半紙!$C$11:$C$310,815),IF(815&lt;=COUNTA(半紙!$B$11:$B$310)+COUNTA(条幅!$B$11:$B$310),INDEX(条幅!$C$11:$C$310,815-COUNTA(半紙!$B$11:$B$310)),IF(815&lt;=COUNTA(半紙!$B$11:$B$310)+COUNTA(条幅!$B$11:$B$310)+COUNTA(条幅4分の1!$B$11:$B$310),INDEX(条幅4分の1!$C$11:$C$310,815-COUNTA(半紙!$B$11:$B$310)-COUNTA(条幅!$B$11:$B$310)),"")))=0,"",IF(815&lt;=COUNTA(半紙!$B$11:$B$310),INDEX(半紙!$C$11:$C$310,815),IF(815&lt;=COUNTA(半紙!$B$11:$B$310)+COUNTA(条幅!$B$11:$B$310),INDEX(条幅!$C$11:$C$310,815-COUNTA(半紙!$B$11:$B$310)),IF(815&lt;=COUNTA(半紙!$B$11:$B$310)+COUNTA(条幅!$B$11:$B$310)+COUNTA(条幅4分の1!$B$11:$B$310),INDEX(条幅4分の1!$C$11:$C$310,815-COUNTA(半紙!$B$11:$B$310)-COUNTA(条幅!$B$11:$B$310)),""))))</f>
        <v/>
      </c>
      <c r="D820" s="38" t="str">
        <f>IF(IF(815&lt;=COUNTA(半紙!$B$11:$B$310),INDEX(半紙!$D$11:$D$310,815),IF(815&lt;=COUNTA(半紙!$B$11:$B$310)+COUNTA(条幅!$B$11:$B$310),INDEX(条幅!$D$11:$D$310,815-COUNTA(半紙!$B$11:$B$310)),IF(815&lt;=COUNTA(半紙!$B$11:$B$310)+COUNTA(条幅!$B$11:$B$310)+COUNTA(条幅4分の1!$B$11:$B$310),INDEX(条幅4分の1!$D$11:$D$310,815-COUNTA(半紙!$B$11:$B$310)-COUNTA(条幅!$B$11:$B$310)),"")))=0,"",IF(815&lt;=COUNTA(半紙!$B$11:$B$310),INDEX(半紙!$D$11:$D$310,815),IF(815&lt;=COUNTA(半紙!$B$11:$B$310)+COUNTA(条幅!$B$11:$B$310),INDEX(条幅!$D$11:$D$310,815-COUNTA(半紙!$B$11:$B$310)),IF(815&lt;=COUNTA(半紙!$B$11:$B$310)+COUNTA(条幅!$B$11:$B$310)+COUNTA(条幅4分の1!$B$11:$B$310),INDEX(条幅4分の1!$D$11:$D$310,815-COUNTA(半紙!$B$11:$B$310)-COUNTA(条幅!$B$11:$B$310)),""))))</f>
        <v/>
      </c>
      <c r="E820" s="38" t="str">
        <f>IF(IF(815&lt;=COUNTA(半紙!$B$11:$B$310),INDEX(半紙!$E$11:$E$310,815),IF(815&lt;=COUNTA(半紙!$B$11:$B$310)+COUNTA(条幅!$B$11:$B$310),INDEX(条幅!$E$11:$E$310,815-COUNTA(半紙!$B$11:$B$310)),IF(815&lt;=COUNTA(半紙!$B$11:$B$310)+COUNTA(条幅!$B$11:$B$310)+COUNTA(条幅4分の1!$B$11:$B$310),INDEX(条幅4分の1!$E$11:$E$310,815-COUNTA(半紙!$B$11:$B$310)-COUNTA(条幅!$B$11:$B$310)),"")))=0,"",IF(815&lt;=COUNTA(半紙!$B$11:$B$310),INDEX(半紙!$E$11:$E$310,815),IF(815&lt;=COUNTA(半紙!$B$11:$B$310)+COUNTA(条幅!$B$11:$B$310),INDEX(条幅!$E$11:$E$310,815-COUNTA(半紙!$B$11:$B$310)),IF(815&lt;=COUNTA(半紙!$B$11:$B$310)+COUNTA(条幅!$B$11:$B$310)+COUNTA(条幅4分の1!$B$11:$B$310),INDEX(条幅4分の1!$E$11:$E$310,815-COUNTA(半紙!$B$11:$B$310)-COUNTA(条幅!$B$11:$B$310)),""))))</f>
        <v/>
      </c>
      <c r="F820" s="38" t="str">
        <f>IF(IF(815&lt;=COUNTA(半紙!$B$11:$B$310),INDEX(半紙!$F$11:$F$310,815),IF(815&lt;=COUNTA(半紙!$B$11:$B$310)+COUNTA(条幅!$B$11:$B$310),INDEX(条幅!$F$11:$F$310,815-COUNTA(半紙!$B$11:$B$310)),IF(815&lt;=COUNTA(半紙!$B$11:$B$310)+COUNTA(条幅!$B$11:$B$310)+COUNTA(条幅4分の1!$B$11:$B$310),INDEX(条幅4分の1!$F$11:$F$310,815-COUNTA(半紙!$B$11:$B$310)-COUNTA(条幅!$B$11:$B$310)),"")))=0,"",IF(815&lt;=COUNTA(半紙!$B$11:$B$310),INDEX(半紙!$F$11:$F$310,815),IF(815&lt;=COUNTA(半紙!$B$11:$B$310)+COUNTA(条幅!$B$11:$B$310),INDEX(条幅!$F$11:$F$310,815-COUNTA(半紙!$B$11:$B$310)),IF(815&lt;=COUNTA(半紙!$B$11:$B$310)+COUNTA(条幅!$B$11:$B$310)+COUNTA(条幅4分の1!$B$11:$B$310),INDEX(条幅4分の1!$F$11:$F$310,815-COUNTA(半紙!$B$11:$B$310)-COUNTA(条幅!$B$11:$B$310)),""))))</f>
        <v/>
      </c>
      <c r="G820" s="38" t="str">
        <f>IF(IF(815&lt;=COUNTA(半紙!$B$11:$B$310),INDEX(半紙!$G$11:$G$310,815),IF(815&lt;=COUNTA(半紙!$B$11:$B$310)+COUNTA(条幅!$B$11:$B$310),INDEX(条幅!$G$11:$G$310,815-COUNTA(半紙!$B$11:$B$310)),IF(815&lt;=COUNTA(半紙!$B$11:$B$310)+COUNTA(条幅!$B$11:$B$310)+COUNTA(条幅4分の1!$B$11:$B$310),INDEX(条幅4分の1!$G$11:$G$310,815-COUNTA(半紙!$B$11:$B$310)-COUNTA(条幅!$B$11:$B$310)),"")))=0,"",IF(815&lt;=COUNTA(半紙!$B$11:$B$310),INDEX(半紙!$G$11:$G$310,815),IF(815&lt;=COUNTA(半紙!$B$11:$B$310)+COUNTA(条幅!$B$11:$B$310),INDEX(条幅!$G$11:$G$310,815-COUNTA(半紙!$B$11:$B$310)),IF(815&lt;=COUNTA(半紙!$B$11:$B$310)+COUNTA(条幅!$B$11:$B$310)+COUNTA(条幅4分の1!$B$11:$B$310),INDEX(条幅4分の1!$G$11:$G$310,815-COUNTA(半紙!$B$11:$B$310)-COUNTA(条幅!$B$11:$B$310)),""))))</f>
        <v/>
      </c>
      <c r="H820" s="38" t="str">
        <f>IF(IF(815&lt;=COUNTA(半紙!$B$11:$B$310),INDEX(半紙!$H$11:$H$310,815),IF(815&lt;=COUNTA(半紙!$B$11:$B$310)+COUNTA(条幅!$B$11:$B$310),INDEX(条幅!$H$11:$H$310,815-COUNTA(半紙!$B$11:$B$310)),IF(815&lt;=COUNTA(半紙!$B$11:$B$310)+COUNTA(条幅!$B$11:$B$310)+COUNTA(条幅4分の1!$B$11:$B$310),INDEX(条幅4分の1!$H$11:$H$310,815-COUNTA(半紙!$B$11:$B$310)-COUNTA(条幅!$B$11:$B$310)),"")))=0,"",IF(815&lt;=COUNTA(半紙!$B$11:$B$310),INDEX(半紙!$H$11:$H$310,815),IF(815&lt;=COUNTA(半紙!$B$11:$B$310)+COUNTA(条幅!$B$11:$B$310),INDEX(条幅!$H$11:$H$310,815-COUNTA(半紙!$B$11:$B$310)),IF(815&lt;=COUNTA(半紙!$B$11:$B$310)+COUNTA(条幅!$B$11:$B$310)+COUNTA(条幅4分の1!$B$11:$B$310),INDEX(条幅4分の1!$H$11:$H$310,815-COUNTA(半紙!$B$11:$B$310)-COUNTA(条幅!$B$11:$B$310)),""))))</f>
        <v/>
      </c>
      <c r="I820" s="38" t="str">
        <f>IF(IF(815&lt;=COUNTA(半紙!$B$11:$B$310),INDEX(半紙!$I$11:$I$310,815),IF(815&lt;=COUNTA(半紙!$B$11:$B$310)+COUNTA(条幅!$B$11:$B$310),INDEX(条幅!$I$11:$I$310,815-COUNTA(半紙!$B$11:$B$310)),IF(815&lt;=COUNTA(半紙!$B$11:$B$310)+COUNTA(条幅!$B$11:$B$310)+COUNTA(条幅4分の1!$B$11:$B$310),INDEX(条幅4分の1!$I$11:$I$310,815-COUNTA(半紙!$B$11:$B$310)-COUNTA(条幅!$B$11:$B$310)),"")))=0,"",IF(815&lt;=COUNTA(半紙!$B$11:$B$310),INDEX(半紙!$I$11:$I$310,815),IF(815&lt;=COUNTA(半紙!$B$11:$B$310)+COUNTA(条幅!$B$11:$B$310),INDEX(条幅!$I$11:$I$310,815-COUNTA(半紙!$B$11:$B$310)),IF(815&lt;=COUNTA(半紙!$B$11:$B$310)+COUNTA(条幅!$B$11:$B$310)+COUNTA(条幅4分の1!$B$11:$B$310),INDEX(条幅4分の1!$I$11:$I$310,815-COUNTA(半紙!$B$11:$B$310)-COUNTA(条幅!$B$11:$B$310)),""))))</f>
        <v/>
      </c>
      <c r="J820" s="38" t="str">
        <f>IF(IF(815&lt;=COUNTA(半紙!$B$11:$B$310),INDEX(半紙!$J$11:$J$310,815),IF(815&lt;=COUNTA(半紙!$B$11:$B$310)+COUNTA(条幅!$B$11:$B$310),INDEX(条幅!$J$11:$J$310,815-COUNTA(半紙!$B$11:$B$310)),IF(815&lt;=COUNTA(半紙!$B$11:$B$310)+COUNTA(条幅!$B$11:$B$310)+COUNTA(条幅4分の1!$B$11:$B$310),INDEX(条幅4分の1!$J$11:$J$310,815-COUNTA(半紙!$B$11:$B$310)-COUNTA(条幅!$B$11:$B$310)),"")))=0,"",IF(815&lt;=COUNTA(半紙!$B$11:$B$310),INDEX(半紙!$J$11:$J$310,815),IF(815&lt;=COUNTA(半紙!$B$11:$B$310)+COUNTA(条幅!$B$11:$B$310),INDEX(条幅!$J$11:$J$310,815-COUNTA(半紙!$B$11:$B$310)),IF(815&lt;=COUNTA(半紙!$B$11:$B$310)+COUNTA(条幅!$B$11:$B$310)+COUNTA(条幅4分の1!$B$11:$B$310),INDEX(条幅4分の1!$J$11:$J$310,815-COUNTA(半紙!$B$11:$B$310)-COUNTA(条幅!$B$11:$B$310)),""))))</f>
        <v/>
      </c>
      <c r="K820" s="38" t="str">
        <f>IF(IF(815&lt;=COUNTA(半紙!$B$11:$B$310),INDEX(半紙!$K$11:$K$310,815),IF(815&lt;=COUNTA(半紙!$B$11:$B$310)+COUNTA(条幅!$B$11:$B$310),INDEX(条幅!$K$11:$K$310,815-COUNTA(半紙!$B$11:$B$310)),IF(815&lt;=COUNTA(半紙!$B$11:$B$310)+COUNTA(条幅!$B$11:$B$310)+COUNTA(条幅4分の1!$B$11:$B$310),INDEX(条幅4分の1!$K$11:$K$310,815-COUNTA(半紙!$B$11:$B$310)-COUNTA(条幅!$B$11:$B$310)),"")))=0,"",IF(815&lt;=COUNTA(半紙!$B$11:$B$310),INDEX(半紙!$K$11:$K$310,815),IF(815&lt;=COUNTA(半紙!$B$11:$B$310)+COUNTA(条幅!$B$11:$B$310),INDEX(条幅!$K$11:$K$310,815-COUNTA(半紙!$B$11:$B$310)),IF(815&lt;=COUNTA(半紙!$B$11:$B$310)+COUNTA(条幅!$B$11:$B$310)+COUNTA(条幅4分の1!$B$11:$B$310),INDEX(条幅4分の1!$K$11:$K$310,815-COUNTA(半紙!$B$11:$B$310)-COUNTA(条幅!$B$11:$B$310)),""))))</f>
        <v/>
      </c>
      <c r="L820" s="48" t="str">
        <f>IF($B820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815))</f>
        <v/>
      </c>
    </row>
    <row r="821" spans="1:12" ht="15" customHeight="1">
      <c r="A821" s="37" t="str">
        <f>IF(816&lt;=COUNTA(半紙!$B$11:$B$310),"半紙",IF(816&lt;=COUNTA(半紙!$B$11:$B$310)+COUNTA(条幅!$B$11:$B$310),"条幅(半切)",IF(816&lt;=COUNTA(半紙!$B$11:$B$310)+COUNTA(条幅!$B$11:$B$310)+COUNTA(条幅4分の1!$B$11:$B$310),"条幅(1/4)","")))</f>
        <v/>
      </c>
      <c r="B821" s="38" t="str">
        <f>IF(IF(816&lt;=COUNTA(半紙!$B$11:$B$310),INDEX(半紙!$B$11:$B$310,816),IF(816&lt;=COUNTA(半紙!$B$11:$B$310)+COUNTA(条幅!$B$11:$B$310),INDEX(条幅!$B$11:$B$310,816-COUNTA(半紙!$B$11:$B$310)),IF(816&lt;=COUNTA(半紙!$B$11:$B$310)+COUNTA(条幅!$B$11:$B$310)+COUNTA(条幅4分の1!$B$11:$B$310),INDEX(条幅4分の1!$B$11:$B$310,816-COUNTA(半紙!$B$11:$B$310)-COUNTA(条幅!$B$11:$B$310)),"")))=0,"",IF(816&lt;=COUNTA(半紙!$B$11:$B$310),INDEX(半紙!$B$11:$B$310,816),IF(816&lt;=COUNTA(半紙!$B$11:$B$310)+COUNTA(条幅!$B$11:$B$310),INDEX(条幅!$B$11:$B$310,816-COUNTA(半紙!$B$11:$B$310)),IF(816&lt;=COUNTA(半紙!$B$11:$B$310)+COUNTA(条幅!$B$11:$B$310)+COUNTA(条幅4分の1!$B$11:$B$310),INDEX(条幅4分の1!$B$11:$B$310,816-COUNTA(半紙!$B$11:$B$310)-COUNTA(条幅!$B$11:$B$310)),""))))</f>
        <v/>
      </c>
      <c r="C821" s="38" t="str">
        <f>IF(IF(816&lt;=COUNTA(半紙!$B$11:$B$310),INDEX(半紙!$C$11:$C$310,816),IF(816&lt;=COUNTA(半紙!$B$11:$B$310)+COUNTA(条幅!$B$11:$B$310),INDEX(条幅!$C$11:$C$310,816-COUNTA(半紙!$B$11:$B$310)),IF(816&lt;=COUNTA(半紙!$B$11:$B$310)+COUNTA(条幅!$B$11:$B$310)+COUNTA(条幅4分の1!$B$11:$B$310),INDEX(条幅4分の1!$C$11:$C$310,816-COUNTA(半紙!$B$11:$B$310)-COUNTA(条幅!$B$11:$B$310)),"")))=0,"",IF(816&lt;=COUNTA(半紙!$B$11:$B$310),INDEX(半紙!$C$11:$C$310,816),IF(816&lt;=COUNTA(半紙!$B$11:$B$310)+COUNTA(条幅!$B$11:$B$310),INDEX(条幅!$C$11:$C$310,816-COUNTA(半紙!$B$11:$B$310)),IF(816&lt;=COUNTA(半紙!$B$11:$B$310)+COUNTA(条幅!$B$11:$B$310)+COUNTA(条幅4分の1!$B$11:$B$310),INDEX(条幅4分の1!$C$11:$C$310,816-COUNTA(半紙!$B$11:$B$310)-COUNTA(条幅!$B$11:$B$310)),""))))</f>
        <v/>
      </c>
      <c r="D821" s="38" t="str">
        <f>IF(IF(816&lt;=COUNTA(半紙!$B$11:$B$310),INDEX(半紙!$D$11:$D$310,816),IF(816&lt;=COUNTA(半紙!$B$11:$B$310)+COUNTA(条幅!$B$11:$B$310),INDEX(条幅!$D$11:$D$310,816-COUNTA(半紙!$B$11:$B$310)),IF(816&lt;=COUNTA(半紙!$B$11:$B$310)+COUNTA(条幅!$B$11:$B$310)+COUNTA(条幅4分の1!$B$11:$B$310),INDEX(条幅4分の1!$D$11:$D$310,816-COUNTA(半紙!$B$11:$B$310)-COUNTA(条幅!$B$11:$B$310)),"")))=0,"",IF(816&lt;=COUNTA(半紙!$B$11:$B$310),INDEX(半紙!$D$11:$D$310,816),IF(816&lt;=COUNTA(半紙!$B$11:$B$310)+COUNTA(条幅!$B$11:$B$310),INDEX(条幅!$D$11:$D$310,816-COUNTA(半紙!$B$11:$B$310)),IF(816&lt;=COUNTA(半紙!$B$11:$B$310)+COUNTA(条幅!$B$11:$B$310)+COUNTA(条幅4分の1!$B$11:$B$310),INDEX(条幅4分の1!$D$11:$D$310,816-COUNTA(半紙!$B$11:$B$310)-COUNTA(条幅!$B$11:$B$310)),""))))</f>
        <v/>
      </c>
      <c r="E821" s="38" t="str">
        <f>IF(IF(816&lt;=COUNTA(半紙!$B$11:$B$310),INDEX(半紙!$E$11:$E$310,816),IF(816&lt;=COUNTA(半紙!$B$11:$B$310)+COUNTA(条幅!$B$11:$B$310),INDEX(条幅!$E$11:$E$310,816-COUNTA(半紙!$B$11:$B$310)),IF(816&lt;=COUNTA(半紙!$B$11:$B$310)+COUNTA(条幅!$B$11:$B$310)+COUNTA(条幅4分の1!$B$11:$B$310),INDEX(条幅4分の1!$E$11:$E$310,816-COUNTA(半紙!$B$11:$B$310)-COUNTA(条幅!$B$11:$B$310)),"")))=0,"",IF(816&lt;=COUNTA(半紙!$B$11:$B$310),INDEX(半紙!$E$11:$E$310,816),IF(816&lt;=COUNTA(半紙!$B$11:$B$310)+COUNTA(条幅!$B$11:$B$310),INDEX(条幅!$E$11:$E$310,816-COUNTA(半紙!$B$11:$B$310)),IF(816&lt;=COUNTA(半紙!$B$11:$B$310)+COUNTA(条幅!$B$11:$B$310)+COUNTA(条幅4分の1!$B$11:$B$310),INDEX(条幅4分の1!$E$11:$E$310,816-COUNTA(半紙!$B$11:$B$310)-COUNTA(条幅!$B$11:$B$310)),""))))</f>
        <v/>
      </c>
      <c r="F821" s="38" t="str">
        <f>IF(IF(816&lt;=COUNTA(半紙!$B$11:$B$310),INDEX(半紙!$F$11:$F$310,816),IF(816&lt;=COUNTA(半紙!$B$11:$B$310)+COUNTA(条幅!$B$11:$B$310),INDEX(条幅!$F$11:$F$310,816-COUNTA(半紙!$B$11:$B$310)),IF(816&lt;=COUNTA(半紙!$B$11:$B$310)+COUNTA(条幅!$B$11:$B$310)+COUNTA(条幅4分の1!$B$11:$B$310),INDEX(条幅4分の1!$F$11:$F$310,816-COUNTA(半紙!$B$11:$B$310)-COUNTA(条幅!$B$11:$B$310)),"")))=0,"",IF(816&lt;=COUNTA(半紙!$B$11:$B$310),INDEX(半紙!$F$11:$F$310,816),IF(816&lt;=COUNTA(半紙!$B$11:$B$310)+COUNTA(条幅!$B$11:$B$310),INDEX(条幅!$F$11:$F$310,816-COUNTA(半紙!$B$11:$B$310)),IF(816&lt;=COUNTA(半紙!$B$11:$B$310)+COUNTA(条幅!$B$11:$B$310)+COUNTA(条幅4分の1!$B$11:$B$310),INDEX(条幅4分の1!$F$11:$F$310,816-COUNTA(半紙!$B$11:$B$310)-COUNTA(条幅!$B$11:$B$310)),""))))</f>
        <v/>
      </c>
      <c r="G821" s="38" t="str">
        <f>IF(IF(816&lt;=COUNTA(半紙!$B$11:$B$310),INDEX(半紙!$G$11:$G$310,816),IF(816&lt;=COUNTA(半紙!$B$11:$B$310)+COUNTA(条幅!$B$11:$B$310),INDEX(条幅!$G$11:$G$310,816-COUNTA(半紙!$B$11:$B$310)),IF(816&lt;=COUNTA(半紙!$B$11:$B$310)+COUNTA(条幅!$B$11:$B$310)+COUNTA(条幅4分の1!$B$11:$B$310),INDEX(条幅4分の1!$G$11:$G$310,816-COUNTA(半紙!$B$11:$B$310)-COUNTA(条幅!$B$11:$B$310)),"")))=0,"",IF(816&lt;=COUNTA(半紙!$B$11:$B$310),INDEX(半紙!$G$11:$G$310,816),IF(816&lt;=COUNTA(半紙!$B$11:$B$310)+COUNTA(条幅!$B$11:$B$310),INDEX(条幅!$G$11:$G$310,816-COUNTA(半紙!$B$11:$B$310)),IF(816&lt;=COUNTA(半紙!$B$11:$B$310)+COUNTA(条幅!$B$11:$B$310)+COUNTA(条幅4分の1!$B$11:$B$310),INDEX(条幅4分の1!$G$11:$G$310,816-COUNTA(半紙!$B$11:$B$310)-COUNTA(条幅!$B$11:$B$310)),""))))</f>
        <v/>
      </c>
      <c r="H821" s="38" t="str">
        <f>IF(IF(816&lt;=COUNTA(半紙!$B$11:$B$310),INDEX(半紙!$H$11:$H$310,816),IF(816&lt;=COUNTA(半紙!$B$11:$B$310)+COUNTA(条幅!$B$11:$B$310),INDEX(条幅!$H$11:$H$310,816-COUNTA(半紙!$B$11:$B$310)),IF(816&lt;=COUNTA(半紙!$B$11:$B$310)+COUNTA(条幅!$B$11:$B$310)+COUNTA(条幅4分の1!$B$11:$B$310),INDEX(条幅4分の1!$H$11:$H$310,816-COUNTA(半紙!$B$11:$B$310)-COUNTA(条幅!$B$11:$B$310)),"")))=0,"",IF(816&lt;=COUNTA(半紙!$B$11:$B$310),INDEX(半紙!$H$11:$H$310,816),IF(816&lt;=COUNTA(半紙!$B$11:$B$310)+COUNTA(条幅!$B$11:$B$310),INDEX(条幅!$H$11:$H$310,816-COUNTA(半紙!$B$11:$B$310)),IF(816&lt;=COUNTA(半紙!$B$11:$B$310)+COUNTA(条幅!$B$11:$B$310)+COUNTA(条幅4分の1!$B$11:$B$310),INDEX(条幅4分の1!$H$11:$H$310,816-COUNTA(半紙!$B$11:$B$310)-COUNTA(条幅!$B$11:$B$310)),""))))</f>
        <v/>
      </c>
      <c r="I821" s="38" t="str">
        <f>IF(IF(816&lt;=COUNTA(半紙!$B$11:$B$310),INDEX(半紙!$I$11:$I$310,816),IF(816&lt;=COUNTA(半紙!$B$11:$B$310)+COUNTA(条幅!$B$11:$B$310),INDEX(条幅!$I$11:$I$310,816-COUNTA(半紙!$B$11:$B$310)),IF(816&lt;=COUNTA(半紙!$B$11:$B$310)+COUNTA(条幅!$B$11:$B$310)+COUNTA(条幅4分の1!$B$11:$B$310),INDEX(条幅4分の1!$I$11:$I$310,816-COUNTA(半紙!$B$11:$B$310)-COUNTA(条幅!$B$11:$B$310)),"")))=0,"",IF(816&lt;=COUNTA(半紙!$B$11:$B$310),INDEX(半紙!$I$11:$I$310,816),IF(816&lt;=COUNTA(半紙!$B$11:$B$310)+COUNTA(条幅!$B$11:$B$310),INDEX(条幅!$I$11:$I$310,816-COUNTA(半紙!$B$11:$B$310)),IF(816&lt;=COUNTA(半紙!$B$11:$B$310)+COUNTA(条幅!$B$11:$B$310)+COUNTA(条幅4分の1!$B$11:$B$310),INDEX(条幅4分の1!$I$11:$I$310,816-COUNTA(半紙!$B$11:$B$310)-COUNTA(条幅!$B$11:$B$310)),""))))</f>
        <v/>
      </c>
      <c r="J821" s="38" t="str">
        <f>IF(IF(816&lt;=COUNTA(半紙!$B$11:$B$310),INDEX(半紙!$J$11:$J$310,816),IF(816&lt;=COUNTA(半紙!$B$11:$B$310)+COUNTA(条幅!$B$11:$B$310),INDEX(条幅!$J$11:$J$310,816-COUNTA(半紙!$B$11:$B$310)),IF(816&lt;=COUNTA(半紙!$B$11:$B$310)+COUNTA(条幅!$B$11:$B$310)+COUNTA(条幅4分の1!$B$11:$B$310),INDEX(条幅4分の1!$J$11:$J$310,816-COUNTA(半紙!$B$11:$B$310)-COUNTA(条幅!$B$11:$B$310)),"")))=0,"",IF(816&lt;=COUNTA(半紙!$B$11:$B$310),INDEX(半紙!$J$11:$J$310,816),IF(816&lt;=COUNTA(半紙!$B$11:$B$310)+COUNTA(条幅!$B$11:$B$310),INDEX(条幅!$J$11:$J$310,816-COUNTA(半紙!$B$11:$B$310)),IF(816&lt;=COUNTA(半紙!$B$11:$B$310)+COUNTA(条幅!$B$11:$B$310)+COUNTA(条幅4分の1!$B$11:$B$310),INDEX(条幅4分の1!$J$11:$J$310,816-COUNTA(半紙!$B$11:$B$310)-COUNTA(条幅!$B$11:$B$310)),""))))</f>
        <v/>
      </c>
      <c r="K821" s="38" t="str">
        <f>IF(IF(816&lt;=COUNTA(半紙!$B$11:$B$310),INDEX(半紙!$K$11:$K$310,816),IF(816&lt;=COUNTA(半紙!$B$11:$B$310)+COUNTA(条幅!$B$11:$B$310),INDEX(条幅!$K$11:$K$310,816-COUNTA(半紙!$B$11:$B$310)),IF(816&lt;=COUNTA(半紙!$B$11:$B$310)+COUNTA(条幅!$B$11:$B$310)+COUNTA(条幅4分の1!$B$11:$B$310),INDEX(条幅4分の1!$K$11:$K$310,816-COUNTA(半紙!$B$11:$B$310)-COUNTA(条幅!$B$11:$B$310)),"")))=0,"",IF(816&lt;=COUNTA(半紙!$B$11:$B$310),INDEX(半紙!$K$11:$K$310,816),IF(816&lt;=COUNTA(半紙!$B$11:$B$310)+COUNTA(条幅!$B$11:$B$310),INDEX(条幅!$K$11:$K$310,816-COUNTA(半紙!$B$11:$B$310)),IF(816&lt;=COUNTA(半紙!$B$11:$B$310)+COUNTA(条幅!$B$11:$B$310)+COUNTA(条幅4分の1!$B$11:$B$310),INDEX(条幅4分の1!$K$11:$K$310,816-COUNTA(半紙!$B$11:$B$310)-COUNTA(条幅!$B$11:$B$310)),""))))</f>
        <v/>
      </c>
      <c r="L821" s="48" t="str">
        <f>IF($B821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816))</f>
        <v/>
      </c>
    </row>
    <row r="822" spans="1:12" ht="15" customHeight="1">
      <c r="A822" s="37" t="str">
        <f>IF(817&lt;=COUNTA(半紙!$B$11:$B$310),"半紙",IF(817&lt;=COUNTA(半紙!$B$11:$B$310)+COUNTA(条幅!$B$11:$B$310),"条幅(半切)",IF(817&lt;=COUNTA(半紙!$B$11:$B$310)+COUNTA(条幅!$B$11:$B$310)+COUNTA(条幅4分の1!$B$11:$B$310),"条幅(1/4)","")))</f>
        <v/>
      </c>
      <c r="B822" s="38" t="str">
        <f>IF(IF(817&lt;=COUNTA(半紙!$B$11:$B$310),INDEX(半紙!$B$11:$B$310,817),IF(817&lt;=COUNTA(半紙!$B$11:$B$310)+COUNTA(条幅!$B$11:$B$310),INDEX(条幅!$B$11:$B$310,817-COUNTA(半紙!$B$11:$B$310)),IF(817&lt;=COUNTA(半紙!$B$11:$B$310)+COUNTA(条幅!$B$11:$B$310)+COUNTA(条幅4分の1!$B$11:$B$310),INDEX(条幅4分の1!$B$11:$B$310,817-COUNTA(半紙!$B$11:$B$310)-COUNTA(条幅!$B$11:$B$310)),"")))=0,"",IF(817&lt;=COUNTA(半紙!$B$11:$B$310),INDEX(半紙!$B$11:$B$310,817),IF(817&lt;=COUNTA(半紙!$B$11:$B$310)+COUNTA(条幅!$B$11:$B$310),INDEX(条幅!$B$11:$B$310,817-COUNTA(半紙!$B$11:$B$310)),IF(817&lt;=COUNTA(半紙!$B$11:$B$310)+COUNTA(条幅!$B$11:$B$310)+COUNTA(条幅4分の1!$B$11:$B$310),INDEX(条幅4分の1!$B$11:$B$310,817-COUNTA(半紙!$B$11:$B$310)-COUNTA(条幅!$B$11:$B$310)),""))))</f>
        <v/>
      </c>
      <c r="C822" s="38" t="str">
        <f>IF(IF(817&lt;=COUNTA(半紙!$B$11:$B$310),INDEX(半紙!$C$11:$C$310,817),IF(817&lt;=COUNTA(半紙!$B$11:$B$310)+COUNTA(条幅!$B$11:$B$310),INDEX(条幅!$C$11:$C$310,817-COUNTA(半紙!$B$11:$B$310)),IF(817&lt;=COUNTA(半紙!$B$11:$B$310)+COUNTA(条幅!$B$11:$B$310)+COUNTA(条幅4分の1!$B$11:$B$310),INDEX(条幅4分の1!$C$11:$C$310,817-COUNTA(半紙!$B$11:$B$310)-COUNTA(条幅!$B$11:$B$310)),"")))=0,"",IF(817&lt;=COUNTA(半紙!$B$11:$B$310),INDEX(半紙!$C$11:$C$310,817),IF(817&lt;=COUNTA(半紙!$B$11:$B$310)+COUNTA(条幅!$B$11:$B$310),INDEX(条幅!$C$11:$C$310,817-COUNTA(半紙!$B$11:$B$310)),IF(817&lt;=COUNTA(半紙!$B$11:$B$310)+COUNTA(条幅!$B$11:$B$310)+COUNTA(条幅4分の1!$B$11:$B$310),INDEX(条幅4分の1!$C$11:$C$310,817-COUNTA(半紙!$B$11:$B$310)-COUNTA(条幅!$B$11:$B$310)),""))))</f>
        <v/>
      </c>
      <c r="D822" s="38" t="str">
        <f>IF(IF(817&lt;=COUNTA(半紙!$B$11:$B$310),INDEX(半紙!$D$11:$D$310,817),IF(817&lt;=COUNTA(半紙!$B$11:$B$310)+COUNTA(条幅!$B$11:$B$310),INDEX(条幅!$D$11:$D$310,817-COUNTA(半紙!$B$11:$B$310)),IF(817&lt;=COUNTA(半紙!$B$11:$B$310)+COUNTA(条幅!$B$11:$B$310)+COUNTA(条幅4分の1!$B$11:$B$310),INDEX(条幅4分の1!$D$11:$D$310,817-COUNTA(半紙!$B$11:$B$310)-COUNTA(条幅!$B$11:$B$310)),"")))=0,"",IF(817&lt;=COUNTA(半紙!$B$11:$B$310),INDEX(半紙!$D$11:$D$310,817),IF(817&lt;=COUNTA(半紙!$B$11:$B$310)+COUNTA(条幅!$B$11:$B$310),INDEX(条幅!$D$11:$D$310,817-COUNTA(半紙!$B$11:$B$310)),IF(817&lt;=COUNTA(半紙!$B$11:$B$310)+COUNTA(条幅!$B$11:$B$310)+COUNTA(条幅4分の1!$B$11:$B$310),INDEX(条幅4分の1!$D$11:$D$310,817-COUNTA(半紙!$B$11:$B$310)-COUNTA(条幅!$B$11:$B$310)),""))))</f>
        <v/>
      </c>
      <c r="E822" s="38" t="str">
        <f>IF(IF(817&lt;=COUNTA(半紙!$B$11:$B$310),INDEX(半紙!$E$11:$E$310,817),IF(817&lt;=COUNTA(半紙!$B$11:$B$310)+COUNTA(条幅!$B$11:$B$310),INDEX(条幅!$E$11:$E$310,817-COUNTA(半紙!$B$11:$B$310)),IF(817&lt;=COUNTA(半紙!$B$11:$B$310)+COUNTA(条幅!$B$11:$B$310)+COUNTA(条幅4分の1!$B$11:$B$310),INDEX(条幅4分の1!$E$11:$E$310,817-COUNTA(半紙!$B$11:$B$310)-COUNTA(条幅!$B$11:$B$310)),"")))=0,"",IF(817&lt;=COUNTA(半紙!$B$11:$B$310),INDEX(半紙!$E$11:$E$310,817),IF(817&lt;=COUNTA(半紙!$B$11:$B$310)+COUNTA(条幅!$B$11:$B$310),INDEX(条幅!$E$11:$E$310,817-COUNTA(半紙!$B$11:$B$310)),IF(817&lt;=COUNTA(半紙!$B$11:$B$310)+COUNTA(条幅!$B$11:$B$310)+COUNTA(条幅4分の1!$B$11:$B$310),INDEX(条幅4分の1!$E$11:$E$310,817-COUNTA(半紙!$B$11:$B$310)-COUNTA(条幅!$B$11:$B$310)),""))))</f>
        <v/>
      </c>
      <c r="F822" s="38" t="str">
        <f>IF(IF(817&lt;=COUNTA(半紙!$B$11:$B$310),INDEX(半紙!$F$11:$F$310,817),IF(817&lt;=COUNTA(半紙!$B$11:$B$310)+COUNTA(条幅!$B$11:$B$310),INDEX(条幅!$F$11:$F$310,817-COUNTA(半紙!$B$11:$B$310)),IF(817&lt;=COUNTA(半紙!$B$11:$B$310)+COUNTA(条幅!$B$11:$B$310)+COUNTA(条幅4分の1!$B$11:$B$310),INDEX(条幅4分の1!$F$11:$F$310,817-COUNTA(半紙!$B$11:$B$310)-COUNTA(条幅!$B$11:$B$310)),"")))=0,"",IF(817&lt;=COUNTA(半紙!$B$11:$B$310),INDEX(半紙!$F$11:$F$310,817),IF(817&lt;=COUNTA(半紙!$B$11:$B$310)+COUNTA(条幅!$B$11:$B$310),INDEX(条幅!$F$11:$F$310,817-COUNTA(半紙!$B$11:$B$310)),IF(817&lt;=COUNTA(半紙!$B$11:$B$310)+COUNTA(条幅!$B$11:$B$310)+COUNTA(条幅4分の1!$B$11:$B$310),INDEX(条幅4分の1!$F$11:$F$310,817-COUNTA(半紙!$B$11:$B$310)-COUNTA(条幅!$B$11:$B$310)),""))))</f>
        <v/>
      </c>
      <c r="G822" s="38" t="str">
        <f>IF(IF(817&lt;=COUNTA(半紙!$B$11:$B$310),INDEX(半紙!$G$11:$G$310,817),IF(817&lt;=COUNTA(半紙!$B$11:$B$310)+COUNTA(条幅!$B$11:$B$310),INDEX(条幅!$G$11:$G$310,817-COUNTA(半紙!$B$11:$B$310)),IF(817&lt;=COUNTA(半紙!$B$11:$B$310)+COUNTA(条幅!$B$11:$B$310)+COUNTA(条幅4分の1!$B$11:$B$310),INDEX(条幅4分の1!$G$11:$G$310,817-COUNTA(半紙!$B$11:$B$310)-COUNTA(条幅!$B$11:$B$310)),"")))=0,"",IF(817&lt;=COUNTA(半紙!$B$11:$B$310),INDEX(半紙!$G$11:$G$310,817),IF(817&lt;=COUNTA(半紙!$B$11:$B$310)+COUNTA(条幅!$B$11:$B$310),INDEX(条幅!$G$11:$G$310,817-COUNTA(半紙!$B$11:$B$310)),IF(817&lt;=COUNTA(半紙!$B$11:$B$310)+COUNTA(条幅!$B$11:$B$310)+COUNTA(条幅4分の1!$B$11:$B$310),INDEX(条幅4分の1!$G$11:$G$310,817-COUNTA(半紙!$B$11:$B$310)-COUNTA(条幅!$B$11:$B$310)),""))))</f>
        <v/>
      </c>
      <c r="H822" s="38" t="str">
        <f>IF(IF(817&lt;=COUNTA(半紙!$B$11:$B$310),INDEX(半紙!$H$11:$H$310,817),IF(817&lt;=COUNTA(半紙!$B$11:$B$310)+COUNTA(条幅!$B$11:$B$310),INDEX(条幅!$H$11:$H$310,817-COUNTA(半紙!$B$11:$B$310)),IF(817&lt;=COUNTA(半紙!$B$11:$B$310)+COUNTA(条幅!$B$11:$B$310)+COUNTA(条幅4分の1!$B$11:$B$310),INDEX(条幅4分の1!$H$11:$H$310,817-COUNTA(半紙!$B$11:$B$310)-COUNTA(条幅!$B$11:$B$310)),"")))=0,"",IF(817&lt;=COUNTA(半紙!$B$11:$B$310),INDEX(半紙!$H$11:$H$310,817),IF(817&lt;=COUNTA(半紙!$B$11:$B$310)+COUNTA(条幅!$B$11:$B$310),INDEX(条幅!$H$11:$H$310,817-COUNTA(半紙!$B$11:$B$310)),IF(817&lt;=COUNTA(半紙!$B$11:$B$310)+COUNTA(条幅!$B$11:$B$310)+COUNTA(条幅4分の1!$B$11:$B$310),INDEX(条幅4分の1!$H$11:$H$310,817-COUNTA(半紙!$B$11:$B$310)-COUNTA(条幅!$B$11:$B$310)),""))))</f>
        <v/>
      </c>
      <c r="I822" s="38" t="str">
        <f>IF(IF(817&lt;=COUNTA(半紙!$B$11:$B$310),INDEX(半紙!$I$11:$I$310,817),IF(817&lt;=COUNTA(半紙!$B$11:$B$310)+COUNTA(条幅!$B$11:$B$310),INDEX(条幅!$I$11:$I$310,817-COUNTA(半紙!$B$11:$B$310)),IF(817&lt;=COUNTA(半紙!$B$11:$B$310)+COUNTA(条幅!$B$11:$B$310)+COUNTA(条幅4分の1!$B$11:$B$310),INDEX(条幅4分の1!$I$11:$I$310,817-COUNTA(半紙!$B$11:$B$310)-COUNTA(条幅!$B$11:$B$310)),"")))=0,"",IF(817&lt;=COUNTA(半紙!$B$11:$B$310),INDEX(半紙!$I$11:$I$310,817),IF(817&lt;=COUNTA(半紙!$B$11:$B$310)+COUNTA(条幅!$B$11:$B$310),INDEX(条幅!$I$11:$I$310,817-COUNTA(半紙!$B$11:$B$310)),IF(817&lt;=COUNTA(半紙!$B$11:$B$310)+COUNTA(条幅!$B$11:$B$310)+COUNTA(条幅4分の1!$B$11:$B$310),INDEX(条幅4分の1!$I$11:$I$310,817-COUNTA(半紙!$B$11:$B$310)-COUNTA(条幅!$B$11:$B$310)),""))))</f>
        <v/>
      </c>
      <c r="J822" s="38" t="str">
        <f>IF(IF(817&lt;=COUNTA(半紙!$B$11:$B$310),INDEX(半紙!$J$11:$J$310,817),IF(817&lt;=COUNTA(半紙!$B$11:$B$310)+COUNTA(条幅!$B$11:$B$310),INDEX(条幅!$J$11:$J$310,817-COUNTA(半紙!$B$11:$B$310)),IF(817&lt;=COUNTA(半紙!$B$11:$B$310)+COUNTA(条幅!$B$11:$B$310)+COUNTA(条幅4分の1!$B$11:$B$310),INDEX(条幅4分の1!$J$11:$J$310,817-COUNTA(半紙!$B$11:$B$310)-COUNTA(条幅!$B$11:$B$310)),"")))=0,"",IF(817&lt;=COUNTA(半紙!$B$11:$B$310),INDEX(半紙!$J$11:$J$310,817),IF(817&lt;=COUNTA(半紙!$B$11:$B$310)+COUNTA(条幅!$B$11:$B$310),INDEX(条幅!$J$11:$J$310,817-COUNTA(半紙!$B$11:$B$310)),IF(817&lt;=COUNTA(半紙!$B$11:$B$310)+COUNTA(条幅!$B$11:$B$310)+COUNTA(条幅4分の1!$B$11:$B$310),INDEX(条幅4分の1!$J$11:$J$310,817-COUNTA(半紙!$B$11:$B$310)-COUNTA(条幅!$B$11:$B$310)),""))))</f>
        <v/>
      </c>
      <c r="K822" s="38" t="str">
        <f>IF(IF(817&lt;=COUNTA(半紙!$B$11:$B$310),INDEX(半紙!$K$11:$K$310,817),IF(817&lt;=COUNTA(半紙!$B$11:$B$310)+COUNTA(条幅!$B$11:$B$310),INDEX(条幅!$K$11:$K$310,817-COUNTA(半紙!$B$11:$B$310)),IF(817&lt;=COUNTA(半紙!$B$11:$B$310)+COUNTA(条幅!$B$11:$B$310)+COUNTA(条幅4分の1!$B$11:$B$310),INDEX(条幅4分の1!$K$11:$K$310,817-COUNTA(半紙!$B$11:$B$310)-COUNTA(条幅!$B$11:$B$310)),"")))=0,"",IF(817&lt;=COUNTA(半紙!$B$11:$B$310),INDEX(半紙!$K$11:$K$310,817),IF(817&lt;=COUNTA(半紙!$B$11:$B$310)+COUNTA(条幅!$B$11:$B$310),INDEX(条幅!$K$11:$K$310,817-COUNTA(半紙!$B$11:$B$310)),IF(817&lt;=COUNTA(半紙!$B$11:$B$310)+COUNTA(条幅!$B$11:$B$310)+COUNTA(条幅4分の1!$B$11:$B$310),INDEX(条幅4分の1!$K$11:$K$310,817-COUNTA(半紙!$B$11:$B$310)-COUNTA(条幅!$B$11:$B$310)),""))))</f>
        <v/>
      </c>
      <c r="L822" s="48" t="str">
        <f>IF($B822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817))</f>
        <v/>
      </c>
    </row>
    <row r="823" spans="1:12" ht="15" customHeight="1">
      <c r="A823" s="37" t="str">
        <f>IF(818&lt;=COUNTA(半紙!$B$11:$B$310),"半紙",IF(818&lt;=COUNTA(半紙!$B$11:$B$310)+COUNTA(条幅!$B$11:$B$310),"条幅(半切)",IF(818&lt;=COUNTA(半紙!$B$11:$B$310)+COUNTA(条幅!$B$11:$B$310)+COUNTA(条幅4分の1!$B$11:$B$310),"条幅(1/4)","")))</f>
        <v/>
      </c>
      <c r="B823" s="38" t="str">
        <f>IF(IF(818&lt;=COUNTA(半紙!$B$11:$B$310),INDEX(半紙!$B$11:$B$310,818),IF(818&lt;=COUNTA(半紙!$B$11:$B$310)+COUNTA(条幅!$B$11:$B$310),INDEX(条幅!$B$11:$B$310,818-COUNTA(半紙!$B$11:$B$310)),IF(818&lt;=COUNTA(半紙!$B$11:$B$310)+COUNTA(条幅!$B$11:$B$310)+COUNTA(条幅4分の1!$B$11:$B$310),INDEX(条幅4分の1!$B$11:$B$310,818-COUNTA(半紙!$B$11:$B$310)-COUNTA(条幅!$B$11:$B$310)),"")))=0,"",IF(818&lt;=COUNTA(半紙!$B$11:$B$310),INDEX(半紙!$B$11:$B$310,818),IF(818&lt;=COUNTA(半紙!$B$11:$B$310)+COUNTA(条幅!$B$11:$B$310),INDEX(条幅!$B$11:$B$310,818-COUNTA(半紙!$B$11:$B$310)),IF(818&lt;=COUNTA(半紙!$B$11:$B$310)+COUNTA(条幅!$B$11:$B$310)+COUNTA(条幅4分の1!$B$11:$B$310),INDEX(条幅4分の1!$B$11:$B$310,818-COUNTA(半紙!$B$11:$B$310)-COUNTA(条幅!$B$11:$B$310)),""))))</f>
        <v/>
      </c>
      <c r="C823" s="38" t="str">
        <f>IF(IF(818&lt;=COUNTA(半紙!$B$11:$B$310),INDEX(半紙!$C$11:$C$310,818),IF(818&lt;=COUNTA(半紙!$B$11:$B$310)+COUNTA(条幅!$B$11:$B$310),INDEX(条幅!$C$11:$C$310,818-COUNTA(半紙!$B$11:$B$310)),IF(818&lt;=COUNTA(半紙!$B$11:$B$310)+COUNTA(条幅!$B$11:$B$310)+COUNTA(条幅4分の1!$B$11:$B$310),INDEX(条幅4分の1!$C$11:$C$310,818-COUNTA(半紙!$B$11:$B$310)-COUNTA(条幅!$B$11:$B$310)),"")))=0,"",IF(818&lt;=COUNTA(半紙!$B$11:$B$310),INDEX(半紙!$C$11:$C$310,818),IF(818&lt;=COUNTA(半紙!$B$11:$B$310)+COUNTA(条幅!$B$11:$B$310),INDEX(条幅!$C$11:$C$310,818-COUNTA(半紙!$B$11:$B$310)),IF(818&lt;=COUNTA(半紙!$B$11:$B$310)+COUNTA(条幅!$B$11:$B$310)+COUNTA(条幅4分の1!$B$11:$B$310),INDEX(条幅4分の1!$C$11:$C$310,818-COUNTA(半紙!$B$11:$B$310)-COUNTA(条幅!$B$11:$B$310)),""))))</f>
        <v/>
      </c>
      <c r="D823" s="38" t="str">
        <f>IF(IF(818&lt;=COUNTA(半紙!$B$11:$B$310),INDEX(半紙!$D$11:$D$310,818),IF(818&lt;=COUNTA(半紙!$B$11:$B$310)+COUNTA(条幅!$B$11:$B$310),INDEX(条幅!$D$11:$D$310,818-COUNTA(半紙!$B$11:$B$310)),IF(818&lt;=COUNTA(半紙!$B$11:$B$310)+COUNTA(条幅!$B$11:$B$310)+COUNTA(条幅4分の1!$B$11:$B$310),INDEX(条幅4分の1!$D$11:$D$310,818-COUNTA(半紙!$B$11:$B$310)-COUNTA(条幅!$B$11:$B$310)),"")))=0,"",IF(818&lt;=COUNTA(半紙!$B$11:$B$310),INDEX(半紙!$D$11:$D$310,818),IF(818&lt;=COUNTA(半紙!$B$11:$B$310)+COUNTA(条幅!$B$11:$B$310),INDEX(条幅!$D$11:$D$310,818-COUNTA(半紙!$B$11:$B$310)),IF(818&lt;=COUNTA(半紙!$B$11:$B$310)+COUNTA(条幅!$B$11:$B$310)+COUNTA(条幅4分の1!$B$11:$B$310),INDEX(条幅4分の1!$D$11:$D$310,818-COUNTA(半紙!$B$11:$B$310)-COUNTA(条幅!$B$11:$B$310)),""))))</f>
        <v/>
      </c>
      <c r="E823" s="38" t="str">
        <f>IF(IF(818&lt;=COUNTA(半紙!$B$11:$B$310),INDEX(半紙!$E$11:$E$310,818),IF(818&lt;=COUNTA(半紙!$B$11:$B$310)+COUNTA(条幅!$B$11:$B$310),INDEX(条幅!$E$11:$E$310,818-COUNTA(半紙!$B$11:$B$310)),IF(818&lt;=COUNTA(半紙!$B$11:$B$310)+COUNTA(条幅!$B$11:$B$310)+COUNTA(条幅4分の1!$B$11:$B$310),INDEX(条幅4分の1!$E$11:$E$310,818-COUNTA(半紙!$B$11:$B$310)-COUNTA(条幅!$B$11:$B$310)),"")))=0,"",IF(818&lt;=COUNTA(半紙!$B$11:$B$310),INDEX(半紙!$E$11:$E$310,818),IF(818&lt;=COUNTA(半紙!$B$11:$B$310)+COUNTA(条幅!$B$11:$B$310),INDEX(条幅!$E$11:$E$310,818-COUNTA(半紙!$B$11:$B$310)),IF(818&lt;=COUNTA(半紙!$B$11:$B$310)+COUNTA(条幅!$B$11:$B$310)+COUNTA(条幅4分の1!$B$11:$B$310),INDEX(条幅4分の1!$E$11:$E$310,818-COUNTA(半紙!$B$11:$B$310)-COUNTA(条幅!$B$11:$B$310)),""))))</f>
        <v/>
      </c>
      <c r="F823" s="38" t="str">
        <f>IF(IF(818&lt;=COUNTA(半紙!$B$11:$B$310),INDEX(半紙!$F$11:$F$310,818),IF(818&lt;=COUNTA(半紙!$B$11:$B$310)+COUNTA(条幅!$B$11:$B$310),INDEX(条幅!$F$11:$F$310,818-COUNTA(半紙!$B$11:$B$310)),IF(818&lt;=COUNTA(半紙!$B$11:$B$310)+COUNTA(条幅!$B$11:$B$310)+COUNTA(条幅4分の1!$B$11:$B$310),INDEX(条幅4分の1!$F$11:$F$310,818-COUNTA(半紙!$B$11:$B$310)-COUNTA(条幅!$B$11:$B$310)),"")))=0,"",IF(818&lt;=COUNTA(半紙!$B$11:$B$310),INDEX(半紙!$F$11:$F$310,818),IF(818&lt;=COUNTA(半紙!$B$11:$B$310)+COUNTA(条幅!$B$11:$B$310),INDEX(条幅!$F$11:$F$310,818-COUNTA(半紙!$B$11:$B$310)),IF(818&lt;=COUNTA(半紙!$B$11:$B$310)+COUNTA(条幅!$B$11:$B$310)+COUNTA(条幅4分の1!$B$11:$B$310),INDEX(条幅4分の1!$F$11:$F$310,818-COUNTA(半紙!$B$11:$B$310)-COUNTA(条幅!$B$11:$B$310)),""))))</f>
        <v/>
      </c>
      <c r="G823" s="38" t="str">
        <f>IF(IF(818&lt;=COUNTA(半紙!$B$11:$B$310),INDEX(半紙!$G$11:$G$310,818),IF(818&lt;=COUNTA(半紙!$B$11:$B$310)+COUNTA(条幅!$B$11:$B$310),INDEX(条幅!$G$11:$G$310,818-COUNTA(半紙!$B$11:$B$310)),IF(818&lt;=COUNTA(半紙!$B$11:$B$310)+COUNTA(条幅!$B$11:$B$310)+COUNTA(条幅4分の1!$B$11:$B$310),INDEX(条幅4分の1!$G$11:$G$310,818-COUNTA(半紙!$B$11:$B$310)-COUNTA(条幅!$B$11:$B$310)),"")))=0,"",IF(818&lt;=COUNTA(半紙!$B$11:$B$310),INDEX(半紙!$G$11:$G$310,818),IF(818&lt;=COUNTA(半紙!$B$11:$B$310)+COUNTA(条幅!$B$11:$B$310),INDEX(条幅!$G$11:$G$310,818-COUNTA(半紙!$B$11:$B$310)),IF(818&lt;=COUNTA(半紙!$B$11:$B$310)+COUNTA(条幅!$B$11:$B$310)+COUNTA(条幅4分の1!$B$11:$B$310),INDEX(条幅4分の1!$G$11:$G$310,818-COUNTA(半紙!$B$11:$B$310)-COUNTA(条幅!$B$11:$B$310)),""))))</f>
        <v/>
      </c>
      <c r="H823" s="38" t="str">
        <f>IF(IF(818&lt;=COUNTA(半紙!$B$11:$B$310),INDEX(半紙!$H$11:$H$310,818),IF(818&lt;=COUNTA(半紙!$B$11:$B$310)+COUNTA(条幅!$B$11:$B$310),INDEX(条幅!$H$11:$H$310,818-COUNTA(半紙!$B$11:$B$310)),IF(818&lt;=COUNTA(半紙!$B$11:$B$310)+COUNTA(条幅!$B$11:$B$310)+COUNTA(条幅4分の1!$B$11:$B$310),INDEX(条幅4分の1!$H$11:$H$310,818-COUNTA(半紙!$B$11:$B$310)-COUNTA(条幅!$B$11:$B$310)),"")))=0,"",IF(818&lt;=COUNTA(半紙!$B$11:$B$310),INDEX(半紙!$H$11:$H$310,818),IF(818&lt;=COUNTA(半紙!$B$11:$B$310)+COUNTA(条幅!$B$11:$B$310),INDEX(条幅!$H$11:$H$310,818-COUNTA(半紙!$B$11:$B$310)),IF(818&lt;=COUNTA(半紙!$B$11:$B$310)+COUNTA(条幅!$B$11:$B$310)+COUNTA(条幅4分の1!$B$11:$B$310),INDEX(条幅4分の1!$H$11:$H$310,818-COUNTA(半紙!$B$11:$B$310)-COUNTA(条幅!$B$11:$B$310)),""))))</f>
        <v/>
      </c>
      <c r="I823" s="38" t="str">
        <f>IF(IF(818&lt;=COUNTA(半紙!$B$11:$B$310),INDEX(半紙!$I$11:$I$310,818),IF(818&lt;=COUNTA(半紙!$B$11:$B$310)+COUNTA(条幅!$B$11:$B$310),INDEX(条幅!$I$11:$I$310,818-COUNTA(半紙!$B$11:$B$310)),IF(818&lt;=COUNTA(半紙!$B$11:$B$310)+COUNTA(条幅!$B$11:$B$310)+COUNTA(条幅4分の1!$B$11:$B$310),INDEX(条幅4分の1!$I$11:$I$310,818-COUNTA(半紙!$B$11:$B$310)-COUNTA(条幅!$B$11:$B$310)),"")))=0,"",IF(818&lt;=COUNTA(半紙!$B$11:$B$310),INDEX(半紙!$I$11:$I$310,818),IF(818&lt;=COUNTA(半紙!$B$11:$B$310)+COUNTA(条幅!$B$11:$B$310),INDEX(条幅!$I$11:$I$310,818-COUNTA(半紙!$B$11:$B$310)),IF(818&lt;=COUNTA(半紙!$B$11:$B$310)+COUNTA(条幅!$B$11:$B$310)+COUNTA(条幅4分の1!$B$11:$B$310),INDEX(条幅4分の1!$I$11:$I$310,818-COUNTA(半紙!$B$11:$B$310)-COUNTA(条幅!$B$11:$B$310)),""))))</f>
        <v/>
      </c>
      <c r="J823" s="38" t="str">
        <f>IF(IF(818&lt;=COUNTA(半紙!$B$11:$B$310),INDEX(半紙!$J$11:$J$310,818),IF(818&lt;=COUNTA(半紙!$B$11:$B$310)+COUNTA(条幅!$B$11:$B$310),INDEX(条幅!$J$11:$J$310,818-COUNTA(半紙!$B$11:$B$310)),IF(818&lt;=COUNTA(半紙!$B$11:$B$310)+COUNTA(条幅!$B$11:$B$310)+COUNTA(条幅4分の1!$B$11:$B$310),INDEX(条幅4分の1!$J$11:$J$310,818-COUNTA(半紙!$B$11:$B$310)-COUNTA(条幅!$B$11:$B$310)),"")))=0,"",IF(818&lt;=COUNTA(半紙!$B$11:$B$310),INDEX(半紙!$J$11:$J$310,818),IF(818&lt;=COUNTA(半紙!$B$11:$B$310)+COUNTA(条幅!$B$11:$B$310),INDEX(条幅!$J$11:$J$310,818-COUNTA(半紙!$B$11:$B$310)),IF(818&lt;=COUNTA(半紙!$B$11:$B$310)+COUNTA(条幅!$B$11:$B$310)+COUNTA(条幅4分の1!$B$11:$B$310),INDEX(条幅4分の1!$J$11:$J$310,818-COUNTA(半紙!$B$11:$B$310)-COUNTA(条幅!$B$11:$B$310)),""))))</f>
        <v/>
      </c>
      <c r="K823" s="38" t="str">
        <f>IF(IF(818&lt;=COUNTA(半紙!$B$11:$B$310),INDEX(半紙!$K$11:$K$310,818),IF(818&lt;=COUNTA(半紙!$B$11:$B$310)+COUNTA(条幅!$B$11:$B$310),INDEX(条幅!$K$11:$K$310,818-COUNTA(半紙!$B$11:$B$310)),IF(818&lt;=COUNTA(半紙!$B$11:$B$310)+COUNTA(条幅!$B$11:$B$310)+COUNTA(条幅4分の1!$B$11:$B$310),INDEX(条幅4分の1!$K$11:$K$310,818-COUNTA(半紙!$B$11:$B$310)-COUNTA(条幅!$B$11:$B$310)),"")))=0,"",IF(818&lt;=COUNTA(半紙!$B$11:$B$310),INDEX(半紙!$K$11:$K$310,818),IF(818&lt;=COUNTA(半紙!$B$11:$B$310)+COUNTA(条幅!$B$11:$B$310),INDEX(条幅!$K$11:$K$310,818-COUNTA(半紙!$B$11:$B$310)),IF(818&lt;=COUNTA(半紙!$B$11:$B$310)+COUNTA(条幅!$B$11:$B$310)+COUNTA(条幅4分の1!$B$11:$B$310),INDEX(条幅4分の1!$K$11:$K$310,818-COUNTA(半紙!$B$11:$B$310)-COUNTA(条幅!$B$11:$B$310)),""))))</f>
        <v/>
      </c>
      <c r="L823" s="48" t="str">
        <f>IF($B823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818))</f>
        <v/>
      </c>
    </row>
    <row r="824" spans="1:12" ht="15" customHeight="1">
      <c r="A824" s="37" t="str">
        <f>IF(819&lt;=COUNTA(半紙!$B$11:$B$310),"半紙",IF(819&lt;=COUNTA(半紙!$B$11:$B$310)+COUNTA(条幅!$B$11:$B$310),"条幅(半切)",IF(819&lt;=COUNTA(半紙!$B$11:$B$310)+COUNTA(条幅!$B$11:$B$310)+COUNTA(条幅4分の1!$B$11:$B$310),"条幅(1/4)","")))</f>
        <v/>
      </c>
      <c r="B824" s="38" t="str">
        <f>IF(IF(819&lt;=COUNTA(半紙!$B$11:$B$310),INDEX(半紙!$B$11:$B$310,819),IF(819&lt;=COUNTA(半紙!$B$11:$B$310)+COUNTA(条幅!$B$11:$B$310),INDEX(条幅!$B$11:$B$310,819-COUNTA(半紙!$B$11:$B$310)),IF(819&lt;=COUNTA(半紙!$B$11:$B$310)+COUNTA(条幅!$B$11:$B$310)+COUNTA(条幅4分の1!$B$11:$B$310),INDEX(条幅4分の1!$B$11:$B$310,819-COUNTA(半紙!$B$11:$B$310)-COUNTA(条幅!$B$11:$B$310)),"")))=0,"",IF(819&lt;=COUNTA(半紙!$B$11:$B$310),INDEX(半紙!$B$11:$B$310,819),IF(819&lt;=COUNTA(半紙!$B$11:$B$310)+COUNTA(条幅!$B$11:$B$310),INDEX(条幅!$B$11:$B$310,819-COUNTA(半紙!$B$11:$B$310)),IF(819&lt;=COUNTA(半紙!$B$11:$B$310)+COUNTA(条幅!$B$11:$B$310)+COUNTA(条幅4分の1!$B$11:$B$310),INDEX(条幅4分の1!$B$11:$B$310,819-COUNTA(半紙!$B$11:$B$310)-COUNTA(条幅!$B$11:$B$310)),""))))</f>
        <v/>
      </c>
      <c r="C824" s="38" t="str">
        <f>IF(IF(819&lt;=COUNTA(半紙!$B$11:$B$310),INDEX(半紙!$C$11:$C$310,819),IF(819&lt;=COUNTA(半紙!$B$11:$B$310)+COUNTA(条幅!$B$11:$B$310),INDEX(条幅!$C$11:$C$310,819-COUNTA(半紙!$B$11:$B$310)),IF(819&lt;=COUNTA(半紙!$B$11:$B$310)+COUNTA(条幅!$B$11:$B$310)+COUNTA(条幅4分の1!$B$11:$B$310),INDEX(条幅4分の1!$C$11:$C$310,819-COUNTA(半紙!$B$11:$B$310)-COUNTA(条幅!$B$11:$B$310)),"")))=0,"",IF(819&lt;=COUNTA(半紙!$B$11:$B$310),INDEX(半紙!$C$11:$C$310,819),IF(819&lt;=COUNTA(半紙!$B$11:$B$310)+COUNTA(条幅!$B$11:$B$310),INDEX(条幅!$C$11:$C$310,819-COUNTA(半紙!$B$11:$B$310)),IF(819&lt;=COUNTA(半紙!$B$11:$B$310)+COUNTA(条幅!$B$11:$B$310)+COUNTA(条幅4分の1!$B$11:$B$310),INDEX(条幅4分の1!$C$11:$C$310,819-COUNTA(半紙!$B$11:$B$310)-COUNTA(条幅!$B$11:$B$310)),""))))</f>
        <v/>
      </c>
      <c r="D824" s="38" t="str">
        <f>IF(IF(819&lt;=COUNTA(半紙!$B$11:$B$310),INDEX(半紙!$D$11:$D$310,819),IF(819&lt;=COUNTA(半紙!$B$11:$B$310)+COUNTA(条幅!$B$11:$B$310),INDEX(条幅!$D$11:$D$310,819-COUNTA(半紙!$B$11:$B$310)),IF(819&lt;=COUNTA(半紙!$B$11:$B$310)+COUNTA(条幅!$B$11:$B$310)+COUNTA(条幅4分の1!$B$11:$B$310),INDEX(条幅4分の1!$D$11:$D$310,819-COUNTA(半紙!$B$11:$B$310)-COUNTA(条幅!$B$11:$B$310)),"")))=0,"",IF(819&lt;=COUNTA(半紙!$B$11:$B$310),INDEX(半紙!$D$11:$D$310,819),IF(819&lt;=COUNTA(半紙!$B$11:$B$310)+COUNTA(条幅!$B$11:$B$310),INDEX(条幅!$D$11:$D$310,819-COUNTA(半紙!$B$11:$B$310)),IF(819&lt;=COUNTA(半紙!$B$11:$B$310)+COUNTA(条幅!$B$11:$B$310)+COUNTA(条幅4分の1!$B$11:$B$310),INDEX(条幅4分の1!$D$11:$D$310,819-COUNTA(半紙!$B$11:$B$310)-COUNTA(条幅!$B$11:$B$310)),""))))</f>
        <v/>
      </c>
      <c r="E824" s="38" t="str">
        <f>IF(IF(819&lt;=COUNTA(半紙!$B$11:$B$310),INDEX(半紙!$E$11:$E$310,819),IF(819&lt;=COUNTA(半紙!$B$11:$B$310)+COUNTA(条幅!$B$11:$B$310),INDEX(条幅!$E$11:$E$310,819-COUNTA(半紙!$B$11:$B$310)),IF(819&lt;=COUNTA(半紙!$B$11:$B$310)+COUNTA(条幅!$B$11:$B$310)+COUNTA(条幅4分の1!$B$11:$B$310),INDEX(条幅4分の1!$E$11:$E$310,819-COUNTA(半紙!$B$11:$B$310)-COUNTA(条幅!$B$11:$B$310)),"")))=0,"",IF(819&lt;=COUNTA(半紙!$B$11:$B$310),INDEX(半紙!$E$11:$E$310,819),IF(819&lt;=COUNTA(半紙!$B$11:$B$310)+COUNTA(条幅!$B$11:$B$310),INDEX(条幅!$E$11:$E$310,819-COUNTA(半紙!$B$11:$B$310)),IF(819&lt;=COUNTA(半紙!$B$11:$B$310)+COUNTA(条幅!$B$11:$B$310)+COUNTA(条幅4分の1!$B$11:$B$310),INDEX(条幅4分の1!$E$11:$E$310,819-COUNTA(半紙!$B$11:$B$310)-COUNTA(条幅!$B$11:$B$310)),""))))</f>
        <v/>
      </c>
      <c r="F824" s="38" t="str">
        <f>IF(IF(819&lt;=COUNTA(半紙!$B$11:$B$310),INDEX(半紙!$F$11:$F$310,819),IF(819&lt;=COUNTA(半紙!$B$11:$B$310)+COUNTA(条幅!$B$11:$B$310),INDEX(条幅!$F$11:$F$310,819-COUNTA(半紙!$B$11:$B$310)),IF(819&lt;=COUNTA(半紙!$B$11:$B$310)+COUNTA(条幅!$B$11:$B$310)+COUNTA(条幅4分の1!$B$11:$B$310),INDEX(条幅4分の1!$F$11:$F$310,819-COUNTA(半紙!$B$11:$B$310)-COUNTA(条幅!$B$11:$B$310)),"")))=0,"",IF(819&lt;=COUNTA(半紙!$B$11:$B$310),INDEX(半紙!$F$11:$F$310,819),IF(819&lt;=COUNTA(半紙!$B$11:$B$310)+COUNTA(条幅!$B$11:$B$310),INDEX(条幅!$F$11:$F$310,819-COUNTA(半紙!$B$11:$B$310)),IF(819&lt;=COUNTA(半紙!$B$11:$B$310)+COUNTA(条幅!$B$11:$B$310)+COUNTA(条幅4分の1!$B$11:$B$310),INDEX(条幅4分の1!$F$11:$F$310,819-COUNTA(半紙!$B$11:$B$310)-COUNTA(条幅!$B$11:$B$310)),""))))</f>
        <v/>
      </c>
      <c r="G824" s="38" t="str">
        <f>IF(IF(819&lt;=COUNTA(半紙!$B$11:$B$310),INDEX(半紙!$G$11:$G$310,819),IF(819&lt;=COUNTA(半紙!$B$11:$B$310)+COUNTA(条幅!$B$11:$B$310),INDEX(条幅!$G$11:$G$310,819-COUNTA(半紙!$B$11:$B$310)),IF(819&lt;=COUNTA(半紙!$B$11:$B$310)+COUNTA(条幅!$B$11:$B$310)+COUNTA(条幅4分の1!$B$11:$B$310),INDEX(条幅4分の1!$G$11:$G$310,819-COUNTA(半紙!$B$11:$B$310)-COUNTA(条幅!$B$11:$B$310)),"")))=0,"",IF(819&lt;=COUNTA(半紙!$B$11:$B$310),INDEX(半紙!$G$11:$G$310,819),IF(819&lt;=COUNTA(半紙!$B$11:$B$310)+COUNTA(条幅!$B$11:$B$310),INDEX(条幅!$G$11:$G$310,819-COUNTA(半紙!$B$11:$B$310)),IF(819&lt;=COUNTA(半紙!$B$11:$B$310)+COUNTA(条幅!$B$11:$B$310)+COUNTA(条幅4分の1!$B$11:$B$310),INDEX(条幅4分の1!$G$11:$G$310,819-COUNTA(半紙!$B$11:$B$310)-COUNTA(条幅!$B$11:$B$310)),""))))</f>
        <v/>
      </c>
      <c r="H824" s="38" t="str">
        <f>IF(IF(819&lt;=COUNTA(半紙!$B$11:$B$310),INDEX(半紙!$H$11:$H$310,819),IF(819&lt;=COUNTA(半紙!$B$11:$B$310)+COUNTA(条幅!$B$11:$B$310),INDEX(条幅!$H$11:$H$310,819-COUNTA(半紙!$B$11:$B$310)),IF(819&lt;=COUNTA(半紙!$B$11:$B$310)+COUNTA(条幅!$B$11:$B$310)+COUNTA(条幅4分の1!$B$11:$B$310),INDEX(条幅4分の1!$H$11:$H$310,819-COUNTA(半紙!$B$11:$B$310)-COUNTA(条幅!$B$11:$B$310)),"")))=0,"",IF(819&lt;=COUNTA(半紙!$B$11:$B$310),INDEX(半紙!$H$11:$H$310,819),IF(819&lt;=COUNTA(半紙!$B$11:$B$310)+COUNTA(条幅!$B$11:$B$310),INDEX(条幅!$H$11:$H$310,819-COUNTA(半紙!$B$11:$B$310)),IF(819&lt;=COUNTA(半紙!$B$11:$B$310)+COUNTA(条幅!$B$11:$B$310)+COUNTA(条幅4分の1!$B$11:$B$310),INDEX(条幅4分の1!$H$11:$H$310,819-COUNTA(半紙!$B$11:$B$310)-COUNTA(条幅!$B$11:$B$310)),""))))</f>
        <v/>
      </c>
      <c r="I824" s="38" t="str">
        <f>IF(IF(819&lt;=COUNTA(半紙!$B$11:$B$310),INDEX(半紙!$I$11:$I$310,819),IF(819&lt;=COUNTA(半紙!$B$11:$B$310)+COUNTA(条幅!$B$11:$B$310),INDEX(条幅!$I$11:$I$310,819-COUNTA(半紙!$B$11:$B$310)),IF(819&lt;=COUNTA(半紙!$B$11:$B$310)+COUNTA(条幅!$B$11:$B$310)+COUNTA(条幅4分の1!$B$11:$B$310),INDEX(条幅4分の1!$I$11:$I$310,819-COUNTA(半紙!$B$11:$B$310)-COUNTA(条幅!$B$11:$B$310)),"")))=0,"",IF(819&lt;=COUNTA(半紙!$B$11:$B$310),INDEX(半紙!$I$11:$I$310,819),IF(819&lt;=COUNTA(半紙!$B$11:$B$310)+COUNTA(条幅!$B$11:$B$310),INDEX(条幅!$I$11:$I$310,819-COUNTA(半紙!$B$11:$B$310)),IF(819&lt;=COUNTA(半紙!$B$11:$B$310)+COUNTA(条幅!$B$11:$B$310)+COUNTA(条幅4分の1!$B$11:$B$310),INDEX(条幅4分の1!$I$11:$I$310,819-COUNTA(半紙!$B$11:$B$310)-COUNTA(条幅!$B$11:$B$310)),""))))</f>
        <v/>
      </c>
      <c r="J824" s="38" t="str">
        <f>IF(IF(819&lt;=COUNTA(半紙!$B$11:$B$310),INDEX(半紙!$J$11:$J$310,819),IF(819&lt;=COUNTA(半紙!$B$11:$B$310)+COUNTA(条幅!$B$11:$B$310),INDEX(条幅!$J$11:$J$310,819-COUNTA(半紙!$B$11:$B$310)),IF(819&lt;=COUNTA(半紙!$B$11:$B$310)+COUNTA(条幅!$B$11:$B$310)+COUNTA(条幅4分の1!$B$11:$B$310),INDEX(条幅4分の1!$J$11:$J$310,819-COUNTA(半紙!$B$11:$B$310)-COUNTA(条幅!$B$11:$B$310)),"")))=0,"",IF(819&lt;=COUNTA(半紙!$B$11:$B$310),INDEX(半紙!$J$11:$J$310,819),IF(819&lt;=COUNTA(半紙!$B$11:$B$310)+COUNTA(条幅!$B$11:$B$310),INDEX(条幅!$J$11:$J$310,819-COUNTA(半紙!$B$11:$B$310)),IF(819&lt;=COUNTA(半紙!$B$11:$B$310)+COUNTA(条幅!$B$11:$B$310)+COUNTA(条幅4分の1!$B$11:$B$310),INDEX(条幅4分の1!$J$11:$J$310,819-COUNTA(半紙!$B$11:$B$310)-COUNTA(条幅!$B$11:$B$310)),""))))</f>
        <v/>
      </c>
      <c r="K824" s="38" t="str">
        <f>IF(IF(819&lt;=COUNTA(半紙!$B$11:$B$310),INDEX(半紙!$K$11:$K$310,819),IF(819&lt;=COUNTA(半紙!$B$11:$B$310)+COUNTA(条幅!$B$11:$B$310),INDEX(条幅!$K$11:$K$310,819-COUNTA(半紙!$B$11:$B$310)),IF(819&lt;=COUNTA(半紙!$B$11:$B$310)+COUNTA(条幅!$B$11:$B$310)+COUNTA(条幅4分の1!$B$11:$B$310),INDEX(条幅4分の1!$K$11:$K$310,819-COUNTA(半紙!$B$11:$B$310)-COUNTA(条幅!$B$11:$B$310)),"")))=0,"",IF(819&lt;=COUNTA(半紙!$B$11:$B$310),INDEX(半紙!$K$11:$K$310,819),IF(819&lt;=COUNTA(半紙!$B$11:$B$310)+COUNTA(条幅!$B$11:$B$310),INDEX(条幅!$K$11:$K$310,819-COUNTA(半紙!$B$11:$B$310)),IF(819&lt;=COUNTA(半紙!$B$11:$B$310)+COUNTA(条幅!$B$11:$B$310)+COUNTA(条幅4分の1!$B$11:$B$310),INDEX(条幅4分の1!$K$11:$K$310,819-COUNTA(半紙!$B$11:$B$310)-COUNTA(条幅!$B$11:$B$310)),""))))</f>
        <v/>
      </c>
      <c r="L824" s="48" t="str">
        <f>IF($B824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819))</f>
        <v/>
      </c>
    </row>
    <row r="825" spans="1:12" ht="15" customHeight="1">
      <c r="A825" s="37" t="str">
        <f>IF(820&lt;=COUNTA(半紙!$B$11:$B$310),"半紙",IF(820&lt;=COUNTA(半紙!$B$11:$B$310)+COUNTA(条幅!$B$11:$B$310),"条幅(半切)",IF(820&lt;=COUNTA(半紙!$B$11:$B$310)+COUNTA(条幅!$B$11:$B$310)+COUNTA(条幅4分の1!$B$11:$B$310),"条幅(1/4)","")))</f>
        <v/>
      </c>
      <c r="B825" s="38" t="str">
        <f>IF(IF(820&lt;=COUNTA(半紙!$B$11:$B$310),INDEX(半紙!$B$11:$B$310,820),IF(820&lt;=COUNTA(半紙!$B$11:$B$310)+COUNTA(条幅!$B$11:$B$310),INDEX(条幅!$B$11:$B$310,820-COUNTA(半紙!$B$11:$B$310)),IF(820&lt;=COUNTA(半紙!$B$11:$B$310)+COUNTA(条幅!$B$11:$B$310)+COUNTA(条幅4分の1!$B$11:$B$310),INDEX(条幅4分の1!$B$11:$B$310,820-COUNTA(半紙!$B$11:$B$310)-COUNTA(条幅!$B$11:$B$310)),"")))=0,"",IF(820&lt;=COUNTA(半紙!$B$11:$B$310),INDEX(半紙!$B$11:$B$310,820),IF(820&lt;=COUNTA(半紙!$B$11:$B$310)+COUNTA(条幅!$B$11:$B$310),INDEX(条幅!$B$11:$B$310,820-COUNTA(半紙!$B$11:$B$310)),IF(820&lt;=COUNTA(半紙!$B$11:$B$310)+COUNTA(条幅!$B$11:$B$310)+COUNTA(条幅4分の1!$B$11:$B$310),INDEX(条幅4分の1!$B$11:$B$310,820-COUNTA(半紙!$B$11:$B$310)-COUNTA(条幅!$B$11:$B$310)),""))))</f>
        <v/>
      </c>
      <c r="C825" s="38" t="str">
        <f>IF(IF(820&lt;=COUNTA(半紙!$B$11:$B$310),INDEX(半紙!$C$11:$C$310,820),IF(820&lt;=COUNTA(半紙!$B$11:$B$310)+COUNTA(条幅!$B$11:$B$310),INDEX(条幅!$C$11:$C$310,820-COUNTA(半紙!$B$11:$B$310)),IF(820&lt;=COUNTA(半紙!$B$11:$B$310)+COUNTA(条幅!$B$11:$B$310)+COUNTA(条幅4分の1!$B$11:$B$310),INDEX(条幅4分の1!$C$11:$C$310,820-COUNTA(半紙!$B$11:$B$310)-COUNTA(条幅!$B$11:$B$310)),"")))=0,"",IF(820&lt;=COUNTA(半紙!$B$11:$B$310),INDEX(半紙!$C$11:$C$310,820),IF(820&lt;=COUNTA(半紙!$B$11:$B$310)+COUNTA(条幅!$B$11:$B$310),INDEX(条幅!$C$11:$C$310,820-COUNTA(半紙!$B$11:$B$310)),IF(820&lt;=COUNTA(半紙!$B$11:$B$310)+COUNTA(条幅!$B$11:$B$310)+COUNTA(条幅4分の1!$B$11:$B$310),INDEX(条幅4分の1!$C$11:$C$310,820-COUNTA(半紙!$B$11:$B$310)-COUNTA(条幅!$B$11:$B$310)),""))))</f>
        <v/>
      </c>
      <c r="D825" s="38" t="str">
        <f>IF(IF(820&lt;=COUNTA(半紙!$B$11:$B$310),INDEX(半紙!$D$11:$D$310,820),IF(820&lt;=COUNTA(半紙!$B$11:$B$310)+COUNTA(条幅!$B$11:$B$310),INDEX(条幅!$D$11:$D$310,820-COUNTA(半紙!$B$11:$B$310)),IF(820&lt;=COUNTA(半紙!$B$11:$B$310)+COUNTA(条幅!$B$11:$B$310)+COUNTA(条幅4分の1!$B$11:$B$310),INDEX(条幅4分の1!$D$11:$D$310,820-COUNTA(半紙!$B$11:$B$310)-COUNTA(条幅!$B$11:$B$310)),"")))=0,"",IF(820&lt;=COUNTA(半紙!$B$11:$B$310),INDEX(半紙!$D$11:$D$310,820),IF(820&lt;=COUNTA(半紙!$B$11:$B$310)+COUNTA(条幅!$B$11:$B$310),INDEX(条幅!$D$11:$D$310,820-COUNTA(半紙!$B$11:$B$310)),IF(820&lt;=COUNTA(半紙!$B$11:$B$310)+COUNTA(条幅!$B$11:$B$310)+COUNTA(条幅4分の1!$B$11:$B$310),INDEX(条幅4分の1!$D$11:$D$310,820-COUNTA(半紙!$B$11:$B$310)-COUNTA(条幅!$B$11:$B$310)),""))))</f>
        <v/>
      </c>
      <c r="E825" s="38" t="str">
        <f>IF(IF(820&lt;=COUNTA(半紙!$B$11:$B$310),INDEX(半紙!$E$11:$E$310,820),IF(820&lt;=COUNTA(半紙!$B$11:$B$310)+COUNTA(条幅!$B$11:$B$310),INDEX(条幅!$E$11:$E$310,820-COUNTA(半紙!$B$11:$B$310)),IF(820&lt;=COUNTA(半紙!$B$11:$B$310)+COUNTA(条幅!$B$11:$B$310)+COUNTA(条幅4分の1!$B$11:$B$310),INDEX(条幅4分の1!$E$11:$E$310,820-COUNTA(半紙!$B$11:$B$310)-COUNTA(条幅!$B$11:$B$310)),"")))=0,"",IF(820&lt;=COUNTA(半紙!$B$11:$B$310),INDEX(半紙!$E$11:$E$310,820),IF(820&lt;=COUNTA(半紙!$B$11:$B$310)+COUNTA(条幅!$B$11:$B$310),INDEX(条幅!$E$11:$E$310,820-COUNTA(半紙!$B$11:$B$310)),IF(820&lt;=COUNTA(半紙!$B$11:$B$310)+COUNTA(条幅!$B$11:$B$310)+COUNTA(条幅4分の1!$B$11:$B$310),INDEX(条幅4分の1!$E$11:$E$310,820-COUNTA(半紙!$B$11:$B$310)-COUNTA(条幅!$B$11:$B$310)),""))))</f>
        <v/>
      </c>
      <c r="F825" s="38" t="str">
        <f>IF(IF(820&lt;=COUNTA(半紙!$B$11:$B$310),INDEX(半紙!$F$11:$F$310,820),IF(820&lt;=COUNTA(半紙!$B$11:$B$310)+COUNTA(条幅!$B$11:$B$310),INDEX(条幅!$F$11:$F$310,820-COUNTA(半紙!$B$11:$B$310)),IF(820&lt;=COUNTA(半紙!$B$11:$B$310)+COUNTA(条幅!$B$11:$B$310)+COUNTA(条幅4分の1!$B$11:$B$310),INDEX(条幅4分の1!$F$11:$F$310,820-COUNTA(半紙!$B$11:$B$310)-COUNTA(条幅!$B$11:$B$310)),"")))=0,"",IF(820&lt;=COUNTA(半紙!$B$11:$B$310),INDEX(半紙!$F$11:$F$310,820),IF(820&lt;=COUNTA(半紙!$B$11:$B$310)+COUNTA(条幅!$B$11:$B$310),INDEX(条幅!$F$11:$F$310,820-COUNTA(半紙!$B$11:$B$310)),IF(820&lt;=COUNTA(半紙!$B$11:$B$310)+COUNTA(条幅!$B$11:$B$310)+COUNTA(条幅4分の1!$B$11:$B$310),INDEX(条幅4分の1!$F$11:$F$310,820-COUNTA(半紙!$B$11:$B$310)-COUNTA(条幅!$B$11:$B$310)),""))))</f>
        <v/>
      </c>
      <c r="G825" s="38" t="str">
        <f>IF(IF(820&lt;=COUNTA(半紙!$B$11:$B$310),INDEX(半紙!$G$11:$G$310,820),IF(820&lt;=COUNTA(半紙!$B$11:$B$310)+COUNTA(条幅!$B$11:$B$310),INDEX(条幅!$G$11:$G$310,820-COUNTA(半紙!$B$11:$B$310)),IF(820&lt;=COUNTA(半紙!$B$11:$B$310)+COUNTA(条幅!$B$11:$B$310)+COUNTA(条幅4分の1!$B$11:$B$310),INDEX(条幅4分の1!$G$11:$G$310,820-COUNTA(半紙!$B$11:$B$310)-COUNTA(条幅!$B$11:$B$310)),"")))=0,"",IF(820&lt;=COUNTA(半紙!$B$11:$B$310),INDEX(半紙!$G$11:$G$310,820),IF(820&lt;=COUNTA(半紙!$B$11:$B$310)+COUNTA(条幅!$B$11:$B$310),INDEX(条幅!$G$11:$G$310,820-COUNTA(半紙!$B$11:$B$310)),IF(820&lt;=COUNTA(半紙!$B$11:$B$310)+COUNTA(条幅!$B$11:$B$310)+COUNTA(条幅4分の1!$B$11:$B$310),INDEX(条幅4分の1!$G$11:$G$310,820-COUNTA(半紙!$B$11:$B$310)-COUNTA(条幅!$B$11:$B$310)),""))))</f>
        <v/>
      </c>
      <c r="H825" s="38" t="str">
        <f>IF(IF(820&lt;=COUNTA(半紙!$B$11:$B$310),INDEX(半紙!$H$11:$H$310,820),IF(820&lt;=COUNTA(半紙!$B$11:$B$310)+COUNTA(条幅!$B$11:$B$310),INDEX(条幅!$H$11:$H$310,820-COUNTA(半紙!$B$11:$B$310)),IF(820&lt;=COUNTA(半紙!$B$11:$B$310)+COUNTA(条幅!$B$11:$B$310)+COUNTA(条幅4分の1!$B$11:$B$310),INDEX(条幅4分の1!$H$11:$H$310,820-COUNTA(半紙!$B$11:$B$310)-COUNTA(条幅!$B$11:$B$310)),"")))=0,"",IF(820&lt;=COUNTA(半紙!$B$11:$B$310),INDEX(半紙!$H$11:$H$310,820),IF(820&lt;=COUNTA(半紙!$B$11:$B$310)+COUNTA(条幅!$B$11:$B$310),INDEX(条幅!$H$11:$H$310,820-COUNTA(半紙!$B$11:$B$310)),IF(820&lt;=COUNTA(半紙!$B$11:$B$310)+COUNTA(条幅!$B$11:$B$310)+COUNTA(条幅4分の1!$B$11:$B$310),INDEX(条幅4分の1!$H$11:$H$310,820-COUNTA(半紙!$B$11:$B$310)-COUNTA(条幅!$B$11:$B$310)),""))))</f>
        <v/>
      </c>
      <c r="I825" s="38" t="str">
        <f>IF(IF(820&lt;=COUNTA(半紙!$B$11:$B$310),INDEX(半紙!$I$11:$I$310,820),IF(820&lt;=COUNTA(半紙!$B$11:$B$310)+COUNTA(条幅!$B$11:$B$310),INDEX(条幅!$I$11:$I$310,820-COUNTA(半紙!$B$11:$B$310)),IF(820&lt;=COUNTA(半紙!$B$11:$B$310)+COUNTA(条幅!$B$11:$B$310)+COUNTA(条幅4分の1!$B$11:$B$310),INDEX(条幅4分の1!$I$11:$I$310,820-COUNTA(半紙!$B$11:$B$310)-COUNTA(条幅!$B$11:$B$310)),"")))=0,"",IF(820&lt;=COUNTA(半紙!$B$11:$B$310),INDEX(半紙!$I$11:$I$310,820),IF(820&lt;=COUNTA(半紙!$B$11:$B$310)+COUNTA(条幅!$B$11:$B$310),INDEX(条幅!$I$11:$I$310,820-COUNTA(半紙!$B$11:$B$310)),IF(820&lt;=COUNTA(半紙!$B$11:$B$310)+COUNTA(条幅!$B$11:$B$310)+COUNTA(条幅4分の1!$B$11:$B$310),INDEX(条幅4分の1!$I$11:$I$310,820-COUNTA(半紙!$B$11:$B$310)-COUNTA(条幅!$B$11:$B$310)),""))))</f>
        <v/>
      </c>
      <c r="J825" s="38" t="str">
        <f>IF(IF(820&lt;=COUNTA(半紙!$B$11:$B$310),INDEX(半紙!$J$11:$J$310,820),IF(820&lt;=COUNTA(半紙!$B$11:$B$310)+COUNTA(条幅!$B$11:$B$310),INDEX(条幅!$J$11:$J$310,820-COUNTA(半紙!$B$11:$B$310)),IF(820&lt;=COUNTA(半紙!$B$11:$B$310)+COUNTA(条幅!$B$11:$B$310)+COUNTA(条幅4分の1!$B$11:$B$310),INDEX(条幅4分の1!$J$11:$J$310,820-COUNTA(半紙!$B$11:$B$310)-COUNTA(条幅!$B$11:$B$310)),"")))=0,"",IF(820&lt;=COUNTA(半紙!$B$11:$B$310),INDEX(半紙!$J$11:$J$310,820),IF(820&lt;=COUNTA(半紙!$B$11:$B$310)+COUNTA(条幅!$B$11:$B$310),INDEX(条幅!$J$11:$J$310,820-COUNTA(半紙!$B$11:$B$310)),IF(820&lt;=COUNTA(半紙!$B$11:$B$310)+COUNTA(条幅!$B$11:$B$310)+COUNTA(条幅4分の1!$B$11:$B$310),INDEX(条幅4分の1!$J$11:$J$310,820-COUNTA(半紙!$B$11:$B$310)-COUNTA(条幅!$B$11:$B$310)),""))))</f>
        <v/>
      </c>
      <c r="K825" s="38" t="str">
        <f>IF(IF(820&lt;=COUNTA(半紙!$B$11:$B$310),INDEX(半紙!$K$11:$K$310,820),IF(820&lt;=COUNTA(半紙!$B$11:$B$310)+COUNTA(条幅!$B$11:$B$310),INDEX(条幅!$K$11:$K$310,820-COUNTA(半紙!$B$11:$B$310)),IF(820&lt;=COUNTA(半紙!$B$11:$B$310)+COUNTA(条幅!$B$11:$B$310)+COUNTA(条幅4分の1!$B$11:$B$310),INDEX(条幅4分の1!$K$11:$K$310,820-COUNTA(半紙!$B$11:$B$310)-COUNTA(条幅!$B$11:$B$310)),"")))=0,"",IF(820&lt;=COUNTA(半紙!$B$11:$B$310),INDEX(半紙!$K$11:$K$310,820),IF(820&lt;=COUNTA(半紙!$B$11:$B$310)+COUNTA(条幅!$B$11:$B$310),INDEX(条幅!$K$11:$K$310,820-COUNTA(半紙!$B$11:$B$310)),IF(820&lt;=COUNTA(半紙!$B$11:$B$310)+COUNTA(条幅!$B$11:$B$310)+COUNTA(条幅4分の1!$B$11:$B$310),INDEX(条幅4分の1!$K$11:$K$310,820-COUNTA(半紙!$B$11:$B$310)-COUNTA(条幅!$B$11:$B$310)),""))))</f>
        <v/>
      </c>
      <c r="L825" s="48" t="str">
        <f>IF($B825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820))</f>
        <v/>
      </c>
    </row>
    <row r="826" spans="1:12" ht="15" customHeight="1">
      <c r="A826" s="37" t="str">
        <f>IF(821&lt;=COUNTA(半紙!$B$11:$B$310),"半紙",IF(821&lt;=COUNTA(半紙!$B$11:$B$310)+COUNTA(条幅!$B$11:$B$310),"条幅(半切)",IF(821&lt;=COUNTA(半紙!$B$11:$B$310)+COUNTA(条幅!$B$11:$B$310)+COUNTA(条幅4分の1!$B$11:$B$310),"条幅(1/4)","")))</f>
        <v/>
      </c>
      <c r="B826" s="38" t="str">
        <f>IF(IF(821&lt;=COUNTA(半紙!$B$11:$B$310),INDEX(半紙!$B$11:$B$310,821),IF(821&lt;=COUNTA(半紙!$B$11:$B$310)+COUNTA(条幅!$B$11:$B$310),INDEX(条幅!$B$11:$B$310,821-COUNTA(半紙!$B$11:$B$310)),IF(821&lt;=COUNTA(半紙!$B$11:$B$310)+COUNTA(条幅!$B$11:$B$310)+COUNTA(条幅4分の1!$B$11:$B$310),INDEX(条幅4分の1!$B$11:$B$310,821-COUNTA(半紙!$B$11:$B$310)-COUNTA(条幅!$B$11:$B$310)),"")))=0,"",IF(821&lt;=COUNTA(半紙!$B$11:$B$310),INDEX(半紙!$B$11:$B$310,821),IF(821&lt;=COUNTA(半紙!$B$11:$B$310)+COUNTA(条幅!$B$11:$B$310),INDEX(条幅!$B$11:$B$310,821-COUNTA(半紙!$B$11:$B$310)),IF(821&lt;=COUNTA(半紙!$B$11:$B$310)+COUNTA(条幅!$B$11:$B$310)+COUNTA(条幅4分の1!$B$11:$B$310),INDEX(条幅4分の1!$B$11:$B$310,821-COUNTA(半紙!$B$11:$B$310)-COUNTA(条幅!$B$11:$B$310)),""))))</f>
        <v/>
      </c>
      <c r="C826" s="38" t="str">
        <f>IF(IF(821&lt;=COUNTA(半紙!$B$11:$B$310),INDEX(半紙!$C$11:$C$310,821),IF(821&lt;=COUNTA(半紙!$B$11:$B$310)+COUNTA(条幅!$B$11:$B$310),INDEX(条幅!$C$11:$C$310,821-COUNTA(半紙!$B$11:$B$310)),IF(821&lt;=COUNTA(半紙!$B$11:$B$310)+COUNTA(条幅!$B$11:$B$310)+COUNTA(条幅4分の1!$B$11:$B$310),INDEX(条幅4分の1!$C$11:$C$310,821-COUNTA(半紙!$B$11:$B$310)-COUNTA(条幅!$B$11:$B$310)),"")))=0,"",IF(821&lt;=COUNTA(半紙!$B$11:$B$310),INDEX(半紙!$C$11:$C$310,821),IF(821&lt;=COUNTA(半紙!$B$11:$B$310)+COUNTA(条幅!$B$11:$B$310),INDEX(条幅!$C$11:$C$310,821-COUNTA(半紙!$B$11:$B$310)),IF(821&lt;=COUNTA(半紙!$B$11:$B$310)+COUNTA(条幅!$B$11:$B$310)+COUNTA(条幅4分の1!$B$11:$B$310),INDEX(条幅4分の1!$C$11:$C$310,821-COUNTA(半紙!$B$11:$B$310)-COUNTA(条幅!$B$11:$B$310)),""))))</f>
        <v/>
      </c>
      <c r="D826" s="38" t="str">
        <f>IF(IF(821&lt;=COUNTA(半紙!$B$11:$B$310),INDEX(半紙!$D$11:$D$310,821),IF(821&lt;=COUNTA(半紙!$B$11:$B$310)+COUNTA(条幅!$B$11:$B$310),INDEX(条幅!$D$11:$D$310,821-COUNTA(半紙!$B$11:$B$310)),IF(821&lt;=COUNTA(半紙!$B$11:$B$310)+COUNTA(条幅!$B$11:$B$310)+COUNTA(条幅4分の1!$B$11:$B$310),INDEX(条幅4分の1!$D$11:$D$310,821-COUNTA(半紙!$B$11:$B$310)-COUNTA(条幅!$B$11:$B$310)),"")))=0,"",IF(821&lt;=COUNTA(半紙!$B$11:$B$310),INDEX(半紙!$D$11:$D$310,821),IF(821&lt;=COUNTA(半紙!$B$11:$B$310)+COUNTA(条幅!$B$11:$B$310),INDEX(条幅!$D$11:$D$310,821-COUNTA(半紙!$B$11:$B$310)),IF(821&lt;=COUNTA(半紙!$B$11:$B$310)+COUNTA(条幅!$B$11:$B$310)+COUNTA(条幅4分の1!$B$11:$B$310),INDEX(条幅4分の1!$D$11:$D$310,821-COUNTA(半紙!$B$11:$B$310)-COUNTA(条幅!$B$11:$B$310)),""))))</f>
        <v/>
      </c>
      <c r="E826" s="38" t="str">
        <f>IF(IF(821&lt;=COUNTA(半紙!$B$11:$B$310),INDEX(半紙!$E$11:$E$310,821),IF(821&lt;=COUNTA(半紙!$B$11:$B$310)+COUNTA(条幅!$B$11:$B$310),INDEX(条幅!$E$11:$E$310,821-COUNTA(半紙!$B$11:$B$310)),IF(821&lt;=COUNTA(半紙!$B$11:$B$310)+COUNTA(条幅!$B$11:$B$310)+COUNTA(条幅4分の1!$B$11:$B$310),INDEX(条幅4分の1!$E$11:$E$310,821-COUNTA(半紙!$B$11:$B$310)-COUNTA(条幅!$B$11:$B$310)),"")))=0,"",IF(821&lt;=COUNTA(半紙!$B$11:$B$310),INDEX(半紙!$E$11:$E$310,821),IF(821&lt;=COUNTA(半紙!$B$11:$B$310)+COUNTA(条幅!$B$11:$B$310),INDEX(条幅!$E$11:$E$310,821-COUNTA(半紙!$B$11:$B$310)),IF(821&lt;=COUNTA(半紙!$B$11:$B$310)+COUNTA(条幅!$B$11:$B$310)+COUNTA(条幅4分の1!$B$11:$B$310),INDEX(条幅4分の1!$E$11:$E$310,821-COUNTA(半紙!$B$11:$B$310)-COUNTA(条幅!$B$11:$B$310)),""))))</f>
        <v/>
      </c>
      <c r="F826" s="38" t="str">
        <f>IF(IF(821&lt;=COUNTA(半紙!$B$11:$B$310),INDEX(半紙!$F$11:$F$310,821),IF(821&lt;=COUNTA(半紙!$B$11:$B$310)+COUNTA(条幅!$B$11:$B$310),INDEX(条幅!$F$11:$F$310,821-COUNTA(半紙!$B$11:$B$310)),IF(821&lt;=COUNTA(半紙!$B$11:$B$310)+COUNTA(条幅!$B$11:$B$310)+COUNTA(条幅4分の1!$B$11:$B$310),INDEX(条幅4分の1!$F$11:$F$310,821-COUNTA(半紙!$B$11:$B$310)-COUNTA(条幅!$B$11:$B$310)),"")))=0,"",IF(821&lt;=COUNTA(半紙!$B$11:$B$310),INDEX(半紙!$F$11:$F$310,821),IF(821&lt;=COUNTA(半紙!$B$11:$B$310)+COUNTA(条幅!$B$11:$B$310),INDEX(条幅!$F$11:$F$310,821-COUNTA(半紙!$B$11:$B$310)),IF(821&lt;=COUNTA(半紙!$B$11:$B$310)+COUNTA(条幅!$B$11:$B$310)+COUNTA(条幅4分の1!$B$11:$B$310),INDEX(条幅4分の1!$F$11:$F$310,821-COUNTA(半紙!$B$11:$B$310)-COUNTA(条幅!$B$11:$B$310)),""))))</f>
        <v/>
      </c>
      <c r="G826" s="38" t="str">
        <f>IF(IF(821&lt;=COUNTA(半紙!$B$11:$B$310),INDEX(半紙!$G$11:$G$310,821),IF(821&lt;=COUNTA(半紙!$B$11:$B$310)+COUNTA(条幅!$B$11:$B$310),INDEX(条幅!$G$11:$G$310,821-COUNTA(半紙!$B$11:$B$310)),IF(821&lt;=COUNTA(半紙!$B$11:$B$310)+COUNTA(条幅!$B$11:$B$310)+COUNTA(条幅4分の1!$B$11:$B$310),INDEX(条幅4分の1!$G$11:$G$310,821-COUNTA(半紙!$B$11:$B$310)-COUNTA(条幅!$B$11:$B$310)),"")))=0,"",IF(821&lt;=COUNTA(半紙!$B$11:$B$310),INDEX(半紙!$G$11:$G$310,821),IF(821&lt;=COUNTA(半紙!$B$11:$B$310)+COUNTA(条幅!$B$11:$B$310),INDEX(条幅!$G$11:$G$310,821-COUNTA(半紙!$B$11:$B$310)),IF(821&lt;=COUNTA(半紙!$B$11:$B$310)+COUNTA(条幅!$B$11:$B$310)+COUNTA(条幅4分の1!$B$11:$B$310),INDEX(条幅4分の1!$G$11:$G$310,821-COUNTA(半紙!$B$11:$B$310)-COUNTA(条幅!$B$11:$B$310)),""))))</f>
        <v/>
      </c>
      <c r="H826" s="38" t="str">
        <f>IF(IF(821&lt;=COUNTA(半紙!$B$11:$B$310),INDEX(半紙!$H$11:$H$310,821),IF(821&lt;=COUNTA(半紙!$B$11:$B$310)+COUNTA(条幅!$B$11:$B$310),INDEX(条幅!$H$11:$H$310,821-COUNTA(半紙!$B$11:$B$310)),IF(821&lt;=COUNTA(半紙!$B$11:$B$310)+COUNTA(条幅!$B$11:$B$310)+COUNTA(条幅4分の1!$B$11:$B$310),INDEX(条幅4分の1!$H$11:$H$310,821-COUNTA(半紙!$B$11:$B$310)-COUNTA(条幅!$B$11:$B$310)),"")))=0,"",IF(821&lt;=COUNTA(半紙!$B$11:$B$310),INDEX(半紙!$H$11:$H$310,821),IF(821&lt;=COUNTA(半紙!$B$11:$B$310)+COUNTA(条幅!$B$11:$B$310),INDEX(条幅!$H$11:$H$310,821-COUNTA(半紙!$B$11:$B$310)),IF(821&lt;=COUNTA(半紙!$B$11:$B$310)+COUNTA(条幅!$B$11:$B$310)+COUNTA(条幅4分の1!$B$11:$B$310),INDEX(条幅4分の1!$H$11:$H$310,821-COUNTA(半紙!$B$11:$B$310)-COUNTA(条幅!$B$11:$B$310)),""))))</f>
        <v/>
      </c>
      <c r="I826" s="38" t="str">
        <f>IF(IF(821&lt;=COUNTA(半紙!$B$11:$B$310),INDEX(半紙!$I$11:$I$310,821),IF(821&lt;=COUNTA(半紙!$B$11:$B$310)+COUNTA(条幅!$B$11:$B$310),INDEX(条幅!$I$11:$I$310,821-COUNTA(半紙!$B$11:$B$310)),IF(821&lt;=COUNTA(半紙!$B$11:$B$310)+COUNTA(条幅!$B$11:$B$310)+COUNTA(条幅4分の1!$B$11:$B$310),INDEX(条幅4分の1!$I$11:$I$310,821-COUNTA(半紙!$B$11:$B$310)-COUNTA(条幅!$B$11:$B$310)),"")))=0,"",IF(821&lt;=COUNTA(半紙!$B$11:$B$310),INDEX(半紙!$I$11:$I$310,821),IF(821&lt;=COUNTA(半紙!$B$11:$B$310)+COUNTA(条幅!$B$11:$B$310),INDEX(条幅!$I$11:$I$310,821-COUNTA(半紙!$B$11:$B$310)),IF(821&lt;=COUNTA(半紙!$B$11:$B$310)+COUNTA(条幅!$B$11:$B$310)+COUNTA(条幅4分の1!$B$11:$B$310),INDEX(条幅4分の1!$I$11:$I$310,821-COUNTA(半紙!$B$11:$B$310)-COUNTA(条幅!$B$11:$B$310)),""))))</f>
        <v/>
      </c>
      <c r="J826" s="38" t="str">
        <f>IF(IF(821&lt;=COUNTA(半紙!$B$11:$B$310),INDEX(半紙!$J$11:$J$310,821),IF(821&lt;=COUNTA(半紙!$B$11:$B$310)+COUNTA(条幅!$B$11:$B$310),INDEX(条幅!$J$11:$J$310,821-COUNTA(半紙!$B$11:$B$310)),IF(821&lt;=COUNTA(半紙!$B$11:$B$310)+COUNTA(条幅!$B$11:$B$310)+COUNTA(条幅4分の1!$B$11:$B$310),INDEX(条幅4分の1!$J$11:$J$310,821-COUNTA(半紙!$B$11:$B$310)-COUNTA(条幅!$B$11:$B$310)),"")))=0,"",IF(821&lt;=COUNTA(半紙!$B$11:$B$310),INDEX(半紙!$J$11:$J$310,821),IF(821&lt;=COUNTA(半紙!$B$11:$B$310)+COUNTA(条幅!$B$11:$B$310),INDEX(条幅!$J$11:$J$310,821-COUNTA(半紙!$B$11:$B$310)),IF(821&lt;=COUNTA(半紙!$B$11:$B$310)+COUNTA(条幅!$B$11:$B$310)+COUNTA(条幅4分の1!$B$11:$B$310),INDEX(条幅4分の1!$J$11:$J$310,821-COUNTA(半紙!$B$11:$B$310)-COUNTA(条幅!$B$11:$B$310)),""))))</f>
        <v/>
      </c>
      <c r="K826" s="38" t="str">
        <f>IF(IF(821&lt;=COUNTA(半紙!$B$11:$B$310),INDEX(半紙!$K$11:$K$310,821),IF(821&lt;=COUNTA(半紙!$B$11:$B$310)+COUNTA(条幅!$B$11:$B$310),INDEX(条幅!$K$11:$K$310,821-COUNTA(半紙!$B$11:$B$310)),IF(821&lt;=COUNTA(半紙!$B$11:$B$310)+COUNTA(条幅!$B$11:$B$310)+COUNTA(条幅4分の1!$B$11:$B$310),INDEX(条幅4分の1!$K$11:$K$310,821-COUNTA(半紙!$B$11:$B$310)-COUNTA(条幅!$B$11:$B$310)),"")))=0,"",IF(821&lt;=COUNTA(半紙!$B$11:$B$310),INDEX(半紙!$K$11:$K$310,821),IF(821&lt;=COUNTA(半紙!$B$11:$B$310)+COUNTA(条幅!$B$11:$B$310),INDEX(条幅!$K$11:$K$310,821-COUNTA(半紙!$B$11:$B$310)),IF(821&lt;=COUNTA(半紙!$B$11:$B$310)+COUNTA(条幅!$B$11:$B$310)+COUNTA(条幅4分の1!$B$11:$B$310),INDEX(条幅4分の1!$K$11:$K$310,821-COUNTA(半紙!$B$11:$B$310)-COUNTA(条幅!$B$11:$B$310)),""))))</f>
        <v/>
      </c>
      <c r="L826" s="48" t="str">
        <f>IF($B826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821))</f>
        <v/>
      </c>
    </row>
    <row r="827" spans="1:12" ht="15" customHeight="1">
      <c r="A827" s="37" t="str">
        <f>IF(822&lt;=COUNTA(半紙!$B$11:$B$310),"半紙",IF(822&lt;=COUNTA(半紙!$B$11:$B$310)+COUNTA(条幅!$B$11:$B$310),"条幅(半切)",IF(822&lt;=COUNTA(半紙!$B$11:$B$310)+COUNTA(条幅!$B$11:$B$310)+COUNTA(条幅4分の1!$B$11:$B$310),"条幅(1/4)","")))</f>
        <v/>
      </c>
      <c r="B827" s="38" t="str">
        <f>IF(IF(822&lt;=COUNTA(半紙!$B$11:$B$310),INDEX(半紙!$B$11:$B$310,822),IF(822&lt;=COUNTA(半紙!$B$11:$B$310)+COUNTA(条幅!$B$11:$B$310),INDEX(条幅!$B$11:$B$310,822-COUNTA(半紙!$B$11:$B$310)),IF(822&lt;=COUNTA(半紙!$B$11:$B$310)+COUNTA(条幅!$B$11:$B$310)+COUNTA(条幅4分の1!$B$11:$B$310),INDEX(条幅4分の1!$B$11:$B$310,822-COUNTA(半紙!$B$11:$B$310)-COUNTA(条幅!$B$11:$B$310)),"")))=0,"",IF(822&lt;=COUNTA(半紙!$B$11:$B$310),INDEX(半紙!$B$11:$B$310,822),IF(822&lt;=COUNTA(半紙!$B$11:$B$310)+COUNTA(条幅!$B$11:$B$310),INDEX(条幅!$B$11:$B$310,822-COUNTA(半紙!$B$11:$B$310)),IF(822&lt;=COUNTA(半紙!$B$11:$B$310)+COUNTA(条幅!$B$11:$B$310)+COUNTA(条幅4分の1!$B$11:$B$310),INDEX(条幅4分の1!$B$11:$B$310,822-COUNTA(半紙!$B$11:$B$310)-COUNTA(条幅!$B$11:$B$310)),""))))</f>
        <v/>
      </c>
      <c r="C827" s="38" t="str">
        <f>IF(IF(822&lt;=COUNTA(半紙!$B$11:$B$310),INDEX(半紙!$C$11:$C$310,822),IF(822&lt;=COUNTA(半紙!$B$11:$B$310)+COUNTA(条幅!$B$11:$B$310),INDEX(条幅!$C$11:$C$310,822-COUNTA(半紙!$B$11:$B$310)),IF(822&lt;=COUNTA(半紙!$B$11:$B$310)+COUNTA(条幅!$B$11:$B$310)+COUNTA(条幅4分の1!$B$11:$B$310),INDEX(条幅4分の1!$C$11:$C$310,822-COUNTA(半紙!$B$11:$B$310)-COUNTA(条幅!$B$11:$B$310)),"")))=0,"",IF(822&lt;=COUNTA(半紙!$B$11:$B$310),INDEX(半紙!$C$11:$C$310,822),IF(822&lt;=COUNTA(半紙!$B$11:$B$310)+COUNTA(条幅!$B$11:$B$310),INDEX(条幅!$C$11:$C$310,822-COUNTA(半紙!$B$11:$B$310)),IF(822&lt;=COUNTA(半紙!$B$11:$B$310)+COUNTA(条幅!$B$11:$B$310)+COUNTA(条幅4分の1!$B$11:$B$310),INDEX(条幅4分の1!$C$11:$C$310,822-COUNTA(半紙!$B$11:$B$310)-COUNTA(条幅!$B$11:$B$310)),""))))</f>
        <v/>
      </c>
      <c r="D827" s="38" t="str">
        <f>IF(IF(822&lt;=COUNTA(半紙!$B$11:$B$310),INDEX(半紙!$D$11:$D$310,822),IF(822&lt;=COUNTA(半紙!$B$11:$B$310)+COUNTA(条幅!$B$11:$B$310),INDEX(条幅!$D$11:$D$310,822-COUNTA(半紙!$B$11:$B$310)),IF(822&lt;=COUNTA(半紙!$B$11:$B$310)+COUNTA(条幅!$B$11:$B$310)+COUNTA(条幅4分の1!$B$11:$B$310),INDEX(条幅4分の1!$D$11:$D$310,822-COUNTA(半紙!$B$11:$B$310)-COUNTA(条幅!$B$11:$B$310)),"")))=0,"",IF(822&lt;=COUNTA(半紙!$B$11:$B$310),INDEX(半紙!$D$11:$D$310,822),IF(822&lt;=COUNTA(半紙!$B$11:$B$310)+COUNTA(条幅!$B$11:$B$310),INDEX(条幅!$D$11:$D$310,822-COUNTA(半紙!$B$11:$B$310)),IF(822&lt;=COUNTA(半紙!$B$11:$B$310)+COUNTA(条幅!$B$11:$B$310)+COUNTA(条幅4分の1!$B$11:$B$310),INDEX(条幅4分の1!$D$11:$D$310,822-COUNTA(半紙!$B$11:$B$310)-COUNTA(条幅!$B$11:$B$310)),""))))</f>
        <v/>
      </c>
      <c r="E827" s="38" t="str">
        <f>IF(IF(822&lt;=COUNTA(半紙!$B$11:$B$310),INDEX(半紙!$E$11:$E$310,822),IF(822&lt;=COUNTA(半紙!$B$11:$B$310)+COUNTA(条幅!$B$11:$B$310),INDEX(条幅!$E$11:$E$310,822-COUNTA(半紙!$B$11:$B$310)),IF(822&lt;=COUNTA(半紙!$B$11:$B$310)+COUNTA(条幅!$B$11:$B$310)+COUNTA(条幅4分の1!$B$11:$B$310),INDEX(条幅4分の1!$E$11:$E$310,822-COUNTA(半紙!$B$11:$B$310)-COUNTA(条幅!$B$11:$B$310)),"")))=0,"",IF(822&lt;=COUNTA(半紙!$B$11:$B$310),INDEX(半紙!$E$11:$E$310,822),IF(822&lt;=COUNTA(半紙!$B$11:$B$310)+COUNTA(条幅!$B$11:$B$310),INDEX(条幅!$E$11:$E$310,822-COUNTA(半紙!$B$11:$B$310)),IF(822&lt;=COUNTA(半紙!$B$11:$B$310)+COUNTA(条幅!$B$11:$B$310)+COUNTA(条幅4分の1!$B$11:$B$310),INDEX(条幅4分の1!$E$11:$E$310,822-COUNTA(半紙!$B$11:$B$310)-COUNTA(条幅!$B$11:$B$310)),""))))</f>
        <v/>
      </c>
      <c r="F827" s="38" t="str">
        <f>IF(IF(822&lt;=COUNTA(半紙!$B$11:$B$310),INDEX(半紙!$F$11:$F$310,822),IF(822&lt;=COUNTA(半紙!$B$11:$B$310)+COUNTA(条幅!$B$11:$B$310),INDEX(条幅!$F$11:$F$310,822-COUNTA(半紙!$B$11:$B$310)),IF(822&lt;=COUNTA(半紙!$B$11:$B$310)+COUNTA(条幅!$B$11:$B$310)+COUNTA(条幅4分の1!$B$11:$B$310),INDEX(条幅4分の1!$F$11:$F$310,822-COUNTA(半紙!$B$11:$B$310)-COUNTA(条幅!$B$11:$B$310)),"")))=0,"",IF(822&lt;=COUNTA(半紙!$B$11:$B$310),INDEX(半紙!$F$11:$F$310,822),IF(822&lt;=COUNTA(半紙!$B$11:$B$310)+COUNTA(条幅!$B$11:$B$310),INDEX(条幅!$F$11:$F$310,822-COUNTA(半紙!$B$11:$B$310)),IF(822&lt;=COUNTA(半紙!$B$11:$B$310)+COUNTA(条幅!$B$11:$B$310)+COUNTA(条幅4分の1!$B$11:$B$310),INDEX(条幅4分の1!$F$11:$F$310,822-COUNTA(半紙!$B$11:$B$310)-COUNTA(条幅!$B$11:$B$310)),""))))</f>
        <v/>
      </c>
      <c r="G827" s="38" t="str">
        <f>IF(IF(822&lt;=COUNTA(半紙!$B$11:$B$310),INDEX(半紙!$G$11:$G$310,822),IF(822&lt;=COUNTA(半紙!$B$11:$B$310)+COUNTA(条幅!$B$11:$B$310),INDEX(条幅!$G$11:$G$310,822-COUNTA(半紙!$B$11:$B$310)),IF(822&lt;=COUNTA(半紙!$B$11:$B$310)+COUNTA(条幅!$B$11:$B$310)+COUNTA(条幅4分の1!$B$11:$B$310),INDEX(条幅4分の1!$G$11:$G$310,822-COUNTA(半紙!$B$11:$B$310)-COUNTA(条幅!$B$11:$B$310)),"")))=0,"",IF(822&lt;=COUNTA(半紙!$B$11:$B$310),INDEX(半紙!$G$11:$G$310,822),IF(822&lt;=COUNTA(半紙!$B$11:$B$310)+COUNTA(条幅!$B$11:$B$310),INDEX(条幅!$G$11:$G$310,822-COUNTA(半紙!$B$11:$B$310)),IF(822&lt;=COUNTA(半紙!$B$11:$B$310)+COUNTA(条幅!$B$11:$B$310)+COUNTA(条幅4分の1!$B$11:$B$310),INDEX(条幅4分の1!$G$11:$G$310,822-COUNTA(半紙!$B$11:$B$310)-COUNTA(条幅!$B$11:$B$310)),""))))</f>
        <v/>
      </c>
      <c r="H827" s="38" t="str">
        <f>IF(IF(822&lt;=COUNTA(半紙!$B$11:$B$310),INDEX(半紙!$H$11:$H$310,822),IF(822&lt;=COUNTA(半紙!$B$11:$B$310)+COUNTA(条幅!$B$11:$B$310),INDEX(条幅!$H$11:$H$310,822-COUNTA(半紙!$B$11:$B$310)),IF(822&lt;=COUNTA(半紙!$B$11:$B$310)+COUNTA(条幅!$B$11:$B$310)+COUNTA(条幅4分の1!$B$11:$B$310),INDEX(条幅4分の1!$H$11:$H$310,822-COUNTA(半紙!$B$11:$B$310)-COUNTA(条幅!$B$11:$B$310)),"")))=0,"",IF(822&lt;=COUNTA(半紙!$B$11:$B$310),INDEX(半紙!$H$11:$H$310,822),IF(822&lt;=COUNTA(半紙!$B$11:$B$310)+COUNTA(条幅!$B$11:$B$310),INDEX(条幅!$H$11:$H$310,822-COUNTA(半紙!$B$11:$B$310)),IF(822&lt;=COUNTA(半紙!$B$11:$B$310)+COUNTA(条幅!$B$11:$B$310)+COUNTA(条幅4分の1!$B$11:$B$310),INDEX(条幅4分の1!$H$11:$H$310,822-COUNTA(半紙!$B$11:$B$310)-COUNTA(条幅!$B$11:$B$310)),""))))</f>
        <v/>
      </c>
      <c r="I827" s="38" t="str">
        <f>IF(IF(822&lt;=COUNTA(半紙!$B$11:$B$310),INDEX(半紙!$I$11:$I$310,822),IF(822&lt;=COUNTA(半紙!$B$11:$B$310)+COUNTA(条幅!$B$11:$B$310),INDEX(条幅!$I$11:$I$310,822-COUNTA(半紙!$B$11:$B$310)),IF(822&lt;=COUNTA(半紙!$B$11:$B$310)+COUNTA(条幅!$B$11:$B$310)+COUNTA(条幅4分の1!$B$11:$B$310),INDEX(条幅4分の1!$I$11:$I$310,822-COUNTA(半紙!$B$11:$B$310)-COUNTA(条幅!$B$11:$B$310)),"")))=0,"",IF(822&lt;=COUNTA(半紙!$B$11:$B$310),INDEX(半紙!$I$11:$I$310,822),IF(822&lt;=COUNTA(半紙!$B$11:$B$310)+COUNTA(条幅!$B$11:$B$310),INDEX(条幅!$I$11:$I$310,822-COUNTA(半紙!$B$11:$B$310)),IF(822&lt;=COUNTA(半紙!$B$11:$B$310)+COUNTA(条幅!$B$11:$B$310)+COUNTA(条幅4分の1!$B$11:$B$310),INDEX(条幅4分の1!$I$11:$I$310,822-COUNTA(半紙!$B$11:$B$310)-COUNTA(条幅!$B$11:$B$310)),""))))</f>
        <v/>
      </c>
      <c r="J827" s="38" t="str">
        <f>IF(IF(822&lt;=COUNTA(半紙!$B$11:$B$310),INDEX(半紙!$J$11:$J$310,822),IF(822&lt;=COUNTA(半紙!$B$11:$B$310)+COUNTA(条幅!$B$11:$B$310),INDEX(条幅!$J$11:$J$310,822-COUNTA(半紙!$B$11:$B$310)),IF(822&lt;=COUNTA(半紙!$B$11:$B$310)+COUNTA(条幅!$B$11:$B$310)+COUNTA(条幅4分の1!$B$11:$B$310),INDEX(条幅4分の1!$J$11:$J$310,822-COUNTA(半紙!$B$11:$B$310)-COUNTA(条幅!$B$11:$B$310)),"")))=0,"",IF(822&lt;=COUNTA(半紙!$B$11:$B$310),INDEX(半紙!$J$11:$J$310,822),IF(822&lt;=COUNTA(半紙!$B$11:$B$310)+COUNTA(条幅!$B$11:$B$310),INDEX(条幅!$J$11:$J$310,822-COUNTA(半紙!$B$11:$B$310)),IF(822&lt;=COUNTA(半紙!$B$11:$B$310)+COUNTA(条幅!$B$11:$B$310)+COUNTA(条幅4分の1!$B$11:$B$310),INDEX(条幅4分の1!$J$11:$J$310,822-COUNTA(半紙!$B$11:$B$310)-COUNTA(条幅!$B$11:$B$310)),""))))</f>
        <v/>
      </c>
      <c r="K827" s="38" t="str">
        <f>IF(IF(822&lt;=COUNTA(半紙!$B$11:$B$310),INDEX(半紙!$K$11:$K$310,822),IF(822&lt;=COUNTA(半紙!$B$11:$B$310)+COUNTA(条幅!$B$11:$B$310),INDEX(条幅!$K$11:$K$310,822-COUNTA(半紙!$B$11:$B$310)),IF(822&lt;=COUNTA(半紙!$B$11:$B$310)+COUNTA(条幅!$B$11:$B$310)+COUNTA(条幅4分の1!$B$11:$B$310),INDEX(条幅4分の1!$K$11:$K$310,822-COUNTA(半紙!$B$11:$B$310)-COUNTA(条幅!$B$11:$B$310)),"")))=0,"",IF(822&lt;=COUNTA(半紙!$B$11:$B$310),INDEX(半紙!$K$11:$K$310,822),IF(822&lt;=COUNTA(半紙!$B$11:$B$310)+COUNTA(条幅!$B$11:$B$310),INDEX(条幅!$K$11:$K$310,822-COUNTA(半紙!$B$11:$B$310)),IF(822&lt;=COUNTA(半紙!$B$11:$B$310)+COUNTA(条幅!$B$11:$B$310)+COUNTA(条幅4分の1!$B$11:$B$310),INDEX(条幅4分の1!$K$11:$K$310,822-COUNTA(半紙!$B$11:$B$310)-COUNTA(条幅!$B$11:$B$310)),""))))</f>
        <v/>
      </c>
      <c r="L827" s="48" t="str">
        <f>IF($B827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822))</f>
        <v/>
      </c>
    </row>
    <row r="828" spans="1:12" ht="15" customHeight="1">
      <c r="A828" s="37" t="str">
        <f>IF(823&lt;=COUNTA(半紙!$B$11:$B$310),"半紙",IF(823&lt;=COUNTA(半紙!$B$11:$B$310)+COUNTA(条幅!$B$11:$B$310),"条幅(半切)",IF(823&lt;=COUNTA(半紙!$B$11:$B$310)+COUNTA(条幅!$B$11:$B$310)+COUNTA(条幅4分の1!$B$11:$B$310),"条幅(1/4)","")))</f>
        <v/>
      </c>
      <c r="B828" s="38" t="str">
        <f>IF(IF(823&lt;=COUNTA(半紙!$B$11:$B$310),INDEX(半紙!$B$11:$B$310,823),IF(823&lt;=COUNTA(半紙!$B$11:$B$310)+COUNTA(条幅!$B$11:$B$310),INDEX(条幅!$B$11:$B$310,823-COUNTA(半紙!$B$11:$B$310)),IF(823&lt;=COUNTA(半紙!$B$11:$B$310)+COUNTA(条幅!$B$11:$B$310)+COUNTA(条幅4分の1!$B$11:$B$310),INDEX(条幅4分の1!$B$11:$B$310,823-COUNTA(半紙!$B$11:$B$310)-COUNTA(条幅!$B$11:$B$310)),"")))=0,"",IF(823&lt;=COUNTA(半紙!$B$11:$B$310),INDEX(半紙!$B$11:$B$310,823),IF(823&lt;=COUNTA(半紙!$B$11:$B$310)+COUNTA(条幅!$B$11:$B$310),INDEX(条幅!$B$11:$B$310,823-COUNTA(半紙!$B$11:$B$310)),IF(823&lt;=COUNTA(半紙!$B$11:$B$310)+COUNTA(条幅!$B$11:$B$310)+COUNTA(条幅4分の1!$B$11:$B$310),INDEX(条幅4分の1!$B$11:$B$310,823-COUNTA(半紙!$B$11:$B$310)-COUNTA(条幅!$B$11:$B$310)),""))))</f>
        <v/>
      </c>
      <c r="C828" s="38" t="str">
        <f>IF(IF(823&lt;=COUNTA(半紙!$B$11:$B$310),INDEX(半紙!$C$11:$C$310,823),IF(823&lt;=COUNTA(半紙!$B$11:$B$310)+COUNTA(条幅!$B$11:$B$310),INDEX(条幅!$C$11:$C$310,823-COUNTA(半紙!$B$11:$B$310)),IF(823&lt;=COUNTA(半紙!$B$11:$B$310)+COUNTA(条幅!$B$11:$B$310)+COUNTA(条幅4分の1!$B$11:$B$310),INDEX(条幅4分の1!$C$11:$C$310,823-COUNTA(半紙!$B$11:$B$310)-COUNTA(条幅!$B$11:$B$310)),"")))=0,"",IF(823&lt;=COUNTA(半紙!$B$11:$B$310),INDEX(半紙!$C$11:$C$310,823),IF(823&lt;=COUNTA(半紙!$B$11:$B$310)+COUNTA(条幅!$B$11:$B$310),INDEX(条幅!$C$11:$C$310,823-COUNTA(半紙!$B$11:$B$310)),IF(823&lt;=COUNTA(半紙!$B$11:$B$310)+COUNTA(条幅!$B$11:$B$310)+COUNTA(条幅4分の1!$B$11:$B$310),INDEX(条幅4分の1!$C$11:$C$310,823-COUNTA(半紙!$B$11:$B$310)-COUNTA(条幅!$B$11:$B$310)),""))))</f>
        <v/>
      </c>
      <c r="D828" s="38" t="str">
        <f>IF(IF(823&lt;=COUNTA(半紙!$B$11:$B$310),INDEX(半紙!$D$11:$D$310,823),IF(823&lt;=COUNTA(半紙!$B$11:$B$310)+COUNTA(条幅!$B$11:$B$310),INDEX(条幅!$D$11:$D$310,823-COUNTA(半紙!$B$11:$B$310)),IF(823&lt;=COUNTA(半紙!$B$11:$B$310)+COUNTA(条幅!$B$11:$B$310)+COUNTA(条幅4分の1!$B$11:$B$310),INDEX(条幅4分の1!$D$11:$D$310,823-COUNTA(半紙!$B$11:$B$310)-COUNTA(条幅!$B$11:$B$310)),"")))=0,"",IF(823&lt;=COUNTA(半紙!$B$11:$B$310),INDEX(半紙!$D$11:$D$310,823),IF(823&lt;=COUNTA(半紙!$B$11:$B$310)+COUNTA(条幅!$B$11:$B$310),INDEX(条幅!$D$11:$D$310,823-COUNTA(半紙!$B$11:$B$310)),IF(823&lt;=COUNTA(半紙!$B$11:$B$310)+COUNTA(条幅!$B$11:$B$310)+COUNTA(条幅4分の1!$B$11:$B$310),INDEX(条幅4分の1!$D$11:$D$310,823-COUNTA(半紙!$B$11:$B$310)-COUNTA(条幅!$B$11:$B$310)),""))))</f>
        <v/>
      </c>
      <c r="E828" s="38" t="str">
        <f>IF(IF(823&lt;=COUNTA(半紙!$B$11:$B$310),INDEX(半紙!$E$11:$E$310,823),IF(823&lt;=COUNTA(半紙!$B$11:$B$310)+COUNTA(条幅!$B$11:$B$310),INDEX(条幅!$E$11:$E$310,823-COUNTA(半紙!$B$11:$B$310)),IF(823&lt;=COUNTA(半紙!$B$11:$B$310)+COUNTA(条幅!$B$11:$B$310)+COUNTA(条幅4分の1!$B$11:$B$310),INDEX(条幅4分の1!$E$11:$E$310,823-COUNTA(半紙!$B$11:$B$310)-COUNTA(条幅!$B$11:$B$310)),"")))=0,"",IF(823&lt;=COUNTA(半紙!$B$11:$B$310),INDEX(半紙!$E$11:$E$310,823),IF(823&lt;=COUNTA(半紙!$B$11:$B$310)+COUNTA(条幅!$B$11:$B$310),INDEX(条幅!$E$11:$E$310,823-COUNTA(半紙!$B$11:$B$310)),IF(823&lt;=COUNTA(半紙!$B$11:$B$310)+COUNTA(条幅!$B$11:$B$310)+COUNTA(条幅4分の1!$B$11:$B$310),INDEX(条幅4分の1!$E$11:$E$310,823-COUNTA(半紙!$B$11:$B$310)-COUNTA(条幅!$B$11:$B$310)),""))))</f>
        <v/>
      </c>
      <c r="F828" s="38" t="str">
        <f>IF(IF(823&lt;=COUNTA(半紙!$B$11:$B$310),INDEX(半紙!$F$11:$F$310,823),IF(823&lt;=COUNTA(半紙!$B$11:$B$310)+COUNTA(条幅!$B$11:$B$310),INDEX(条幅!$F$11:$F$310,823-COUNTA(半紙!$B$11:$B$310)),IF(823&lt;=COUNTA(半紙!$B$11:$B$310)+COUNTA(条幅!$B$11:$B$310)+COUNTA(条幅4分の1!$B$11:$B$310),INDEX(条幅4分の1!$F$11:$F$310,823-COUNTA(半紙!$B$11:$B$310)-COUNTA(条幅!$B$11:$B$310)),"")))=0,"",IF(823&lt;=COUNTA(半紙!$B$11:$B$310),INDEX(半紙!$F$11:$F$310,823),IF(823&lt;=COUNTA(半紙!$B$11:$B$310)+COUNTA(条幅!$B$11:$B$310),INDEX(条幅!$F$11:$F$310,823-COUNTA(半紙!$B$11:$B$310)),IF(823&lt;=COUNTA(半紙!$B$11:$B$310)+COUNTA(条幅!$B$11:$B$310)+COUNTA(条幅4分の1!$B$11:$B$310),INDEX(条幅4分の1!$F$11:$F$310,823-COUNTA(半紙!$B$11:$B$310)-COUNTA(条幅!$B$11:$B$310)),""))))</f>
        <v/>
      </c>
      <c r="G828" s="38" t="str">
        <f>IF(IF(823&lt;=COUNTA(半紙!$B$11:$B$310),INDEX(半紙!$G$11:$G$310,823),IF(823&lt;=COUNTA(半紙!$B$11:$B$310)+COUNTA(条幅!$B$11:$B$310),INDEX(条幅!$G$11:$G$310,823-COUNTA(半紙!$B$11:$B$310)),IF(823&lt;=COUNTA(半紙!$B$11:$B$310)+COUNTA(条幅!$B$11:$B$310)+COUNTA(条幅4分の1!$B$11:$B$310),INDEX(条幅4分の1!$G$11:$G$310,823-COUNTA(半紙!$B$11:$B$310)-COUNTA(条幅!$B$11:$B$310)),"")))=0,"",IF(823&lt;=COUNTA(半紙!$B$11:$B$310),INDEX(半紙!$G$11:$G$310,823),IF(823&lt;=COUNTA(半紙!$B$11:$B$310)+COUNTA(条幅!$B$11:$B$310),INDEX(条幅!$G$11:$G$310,823-COUNTA(半紙!$B$11:$B$310)),IF(823&lt;=COUNTA(半紙!$B$11:$B$310)+COUNTA(条幅!$B$11:$B$310)+COUNTA(条幅4分の1!$B$11:$B$310),INDEX(条幅4分の1!$G$11:$G$310,823-COUNTA(半紙!$B$11:$B$310)-COUNTA(条幅!$B$11:$B$310)),""))))</f>
        <v/>
      </c>
      <c r="H828" s="38" t="str">
        <f>IF(IF(823&lt;=COUNTA(半紙!$B$11:$B$310),INDEX(半紙!$H$11:$H$310,823),IF(823&lt;=COUNTA(半紙!$B$11:$B$310)+COUNTA(条幅!$B$11:$B$310),INDEX(条幅!$H$11:$H$310,823-COUNTA(半紙!$B$11:$B$310)),IF(823&lt;=COUNTA(半紙!$B$11:$B$310)+COUNTA(条幅!$B$11:$B$310)+COUNTA(条幅4分の1!$B$11:$B$310),INDEX(条幅4分の1!$H$11:$H$310,823-COUNTA(半紙!$B$11:$B$310)-COUNTA(条幅!$B$11:$B$310)),"")))=0,"",IF(823&lt;=COUNTA(半紙!$B$11:$B$310),INDEX(半紙!$H$11:$H$310,823),IF(823&lt;=COUNTA(半紙!$B$11:$B$310)+COUNTA(条幅!$B$11:$B$310),INDEX(条幅!$H$11:$H$310,823-COUNTA(半紙!$B$11:$B$310)),IF(823&lt;=COUNTA(半紙!$B$11:$B$310)+COUNTA(条幅!$B$11:$B$310)+COUNTA(条幅4分の1!$B$11:$B$310),INDEX(条幅4分の1!$H$11:$H$310,823-COUNTA(半紙!$B$11:$B$310)-COUNTA(条幅!$B$11:$B$310)),""))))</f>
        <v/>
      </c>
      <c r="I828" s="38" t="str">
        <f>IF(IF(823&lt;=COUNTA(半紙!$B$11:$B$310),INDEX(半紙!$I$11:$I$310,823),IF(823&lt;=COUNTA(半紙!$B$11:$B$310)+COUNTA(条幅!$B$11:$B$310),INDEX(条幅!$I$11:$I$310,823-COUNTA(半紙!$B$11:$B$310)),IF(823&lt;=COUNTA(半紙!$B$11:$B$310)+COUNTA(条幅!$B$11:$B$310)+COUNTA(条幅4分の1!$B$11:$B$310),INDEX(条幅4分の1!$I$11:$I$310,823-COUNTA(半紙!$B$11:$B$310)-COUNTA(条幅!$B$11:$B$310)),"")))=0,"",IF(823&lt;=COUNTA(半紙!$B$11:$B$310),INDEX(半紙!$I$11:$I$310,823),IF(823&lt;=COUNTA(半紙!$B$11:$B$310)+COUNTA(条幅!$B$11:$B$310),INDEX(条幅!$I$11:$I$310,823-COUNTA(半紙!$B$11:$B$310)),IF(823&lt;=COUNTA(半紙!$B$11:$B$310)+COUNTA(条幅!$B$11:$B$310)+COUNTA(条幅4分の1!$B$11:$B$310),INDEX(条幅4分の1!$I$11:$I$310,823-COUNTA(半紙!$B$11:$B$310)-COUNTA(条幅!$B$11:$B$310)),""))))</f>
        <v/>
      </c>
      <c r="J828" s="38" t="str">
        <f>IF(IF(823&lt;=COUNTA(半紙!$B$11:$B$310),INDEX(半紙!$J$11:$J$310,823),IF(823&lt;=COUNTA(半紙!$B$11:$B$310)+COUNTA(条幅!$B$11:$B$310),INDEX(条幅!$J$11:$J$310,823-COUNTA(半紙!$B$11:$B$310)),IF(823&lt;=COUNTA(半紙!$B$11:$B$310)+COUNTA(条幅!$B$11:$B$310)+COUNTA(条幅4分の1!$B$11:$B$310),INDEX(条幅4分の1!$J$11:$J$310,823-COUNTA(半紙!$B$11:$B$310)-COUNTA(条幅!$B$11:$B$310)),"")))=0,"",IF(823&lt;=COUNTA(半紙!$B$11:$B$310),INDEX(半紙!$J$11:$J$310,823),IF(823&lt;=COUNTA(半紙!$B$11:$B$310)+COUNTA(条幅!$B$11:$B$310),INDEX(条幅!$J$11:$J$310,823-COUNTA(半紙!$B$11:$B$310)),IF(823&lt;=COUNTA(半紙!$B$11:$B$310)+COUNTA(条幅!$B$11:$B$310)+COUNTA(条幅4分の1!$B$11:$B$310),INDEX(条幅4分の1!$J$11:$J$310,823-COUNTA(半紙!$B$11:$B$310)-COUNTA(条幅!$B$11:$B$310)),""))))</f>
        <v/>
      </c>
      <c r="K828" s="38" t="str">
        <f>IF(IF(823&lt;=COUNTA(半紙!$B$11:$B$310),INDEX(半紙!$K$11:$K$310,823),IF(823&lt;=COUNTA(半紙!$B$11:$B$310)+COUNTA(条幅!$B$11:$B$310),INDEX(条幅!$K$11:$K$310,823-COUNTA(半紙!$B$11:$B$310)),IF(823&lt;=COUNTA(半紙!$B$11:$B$310)+COUNTA(条幅!$B$11:$B$310)+COUNTA(条幅4分の1!$B$11:$B$310),INDEX(条幅4分の1!$K$11:$K$310,823-COUNTA(半紙!$B$11:$B$310)-COUNTA(条幅!$B$11:$B$310)),"")))=0,"",IF(823&lt;=COUNTA(半紙!$B$11:$B$310),INDEX(半紙!$K$11:$K$310,823),IF(823&lt;=COUNTA(半紙!$B$11:$B$310)+COUNTA(条幅!$B$11:$B$310),INDEX(条幅!$K$11:$K$310,823-COUNTA(半紙!$B$11:$B$310)),IF(823&lt;=COUNTA(半紙!$B$11:$B$310)+COUNTA(条幅!$B$11:$B$310)+COUNTA(条幅4分の1!$B$11:$B$310),INDEX(条幅4分の1!$K$11:$K$310,823-COUNTA(半紙!$B$11:$B$310)-COUNTA(条幅!$B$11:$B$310)),""))))</f>
        <v/>
      </c>
      <c r="L828" s="48" t="str">
        <f>IF($B828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823))</f>
        <v/>
      </c>
    </row>
    <row r="829" spans="1:12" ht="15" customHeight="1">
      <c r="A829" s="37" t="str">
        <f>IF(824&lt;=COUNTA(半紙!$B$11:$B$310),"半紙",IF(824&lt;=COUNTA(半紙!$B$11:$B$310)+COUNTA(条幅!$B$11:$B$310),"条幅(半切)",IF(824&lt;=COUNTA(半紙!$B$11:$B$310)+COUNTA(条幅!$B$11:$B$310)+COUNTA(条幅4分の1!$B$11:$B$310),"条幅(1/4)","")))</f>
        <v/>
      </c>
      <c r="B829" s="38" t="str">
        <f>IF(IF(824&lt;=COUNTA(半紙!$B$11:$B$310),INDEX(半紙!$B$11:$B$310,824),IF(824&lt;=COUNTA(半紙!$B$11:$B$310)+COUNTA(条幅!$B$11:$B$310),INDEX(条幅!$B$11:$B$310,824-COUNTA(半紙!$B$11:$B$310)),IF(824&lt;=COUNTA(半紙!$B$11:$B$310)+COUNTA(条幅!$B$11:$B$310)+COUNTA(条幅4分の1!$B$11:$B$310),INDEX(条幅4分の1!$B$11:$B$310,824-COUNTA(半紙!$B$11:$B$310)-COUNTA(条幅!$B$11:$B$310)),"")))=0,"",IF(824&lt;=COUNTA(半紙!$B$11:$B$310),INDEX(半紙!$B$11:$B$310,824),IF(824&lt;=COUNTA(半紙!$B$11:$B$310)+COUNTA(条幅!$B$11:$B$310),INDEX(条幅!$B$11:$B$310,824-COUNTA(半紙!$B$11:$B$310)),IF(824&lt;=COUNTA(半紙!$B$11:$B$310)+COUNTA(条幅!$B$11:$B$310)+COUNTA(条幅4分の1!$B$11:$B$310),INDEX(条幅4分の1!$B$11:$B$310,824-COUNTA(半紙!$B$11:$B$310)-COUNTA(条幅!$B$11:$B$310)),""))))</f>
        <v/>
      </c>
      <c r="C829" s="38" t="str">
        <f>IF(IF(824&lt;=COUNTA(半紙!$B$11:$B$310),INDEX(半紙!$C$11:$C$310,824),IF(824&lt;=COUNTA(半紙!$B$11:$B$310)+COUNTA(条幅!$B$11:$B$310),INDEX(条幅!$C$11:$C$310,824-COUNTA(半紙!$B$11:$B$310)),IF(824&lt;=COUNTA(半紙!$B$11:$B$310)+COUNTA(条幅!$B$11:$B$310)+COUNTA(条幅4分の1!$B$11:$B$310),INDEX(条幅4分の1!$C$11:$C$310,824-COUNTA(半紙!$B$11:$B$310)-COUNTA(条幅!$B$11:$B$310)),"")))=0,"",IF(824&lt;=COUNTA(半紙!$B$11:$B$310),INDEX(半紙!$C$11:$C$310,824),IF(824&lt;=COUNTA(半紙!$B$11:$B$310)+COUNTA(条幅!$B$11:$B$310),INDEX(条幅!$C$11:$C$310,824-COUNTA(半紙!$B$11:$B$310)),IF(824&lt;=COUNTA(半紙!$B$11:$B$310)+COUNTA(条幅!$B$11:$B$310)+COUNTA(条幅4分の1!$B$11:$B$310),INDEX(条幅4分の1!$C$11:$C$310,824-COUNTA(半紙!$B$11:$B$310)-COUNTA(条幅!$B$11:$B$310)),""))))</f>
        <v/>
      </c>
      <c r="D829" s="38" t="str">
        <f>IF(IF(824&lt;=COUNTA(半紙!$B$11:$B$310),INDEX(半紙!$D$11:$D$310,824),IF(824&lt;=COUNTA(半紙!$B$11:$B$310)+COUNTA(条幅!$B$11:$B$310),INDEX(条幅!$D$11:$D$310,824-COUNTA(半紙!$B$11:$B$310)),IF(824&lt;=COUNTA(半紙!$B$11:$B$310)+COUNTA(条幅!$B$11:$B$310)+COUNTA(条幅4分の1!$B$11:$B$310),INDEX(条幅4分の1!$D$11:$D$310,824-COUNTA(半紙!$B$11:$B$310)-COUNTA(条幅!$B$11:$B$310)),"")))=0,"",IF(824&lt;=COUNTA(半紙!$B$11:$B$310),INDEX(半紙!$D$11:$D$310,824),IF(824&lt;=COUNTA(半紙!$B$11:$B$310)+COUNTA(条幅!$B$11:$B$310),INDEX(条幅!$D$11:$D$310,824-COUNTA(半紙!$B$11:$B$310)),IF(824&lt;=COUNTA(半紙!$B$11:$B$310)+COUNTA(条幅!$B$11:$B$310)+COUNTA(条幅4分の1!$B$11:$B$310),INDEX(条幅4分の1!$D$11:$D$310,824-COUNTA(半紙!$B$11:$B$310)-COUNTA(条幅!$B$11:$B$310)),""))))</f>
        <v/>
      </c>
      <c r="E829" s="38" t="str">
        <f>IF(IF(824&lt;=COUNTA(半紙!$B$11:$B$310),INDEX(半紙!$E$11:$E$310,824),IF(824&lt;=COUNTA(半紙!$B$11:$B$310)+COUNTA(条幅!$B$11:$B$310),INDEX(条幅!$E$11:$E$310,824-COUNTA(半紙!$B$11:$B$310)),IF(824&lt;=COUNTA(半紙!$B$11:$B$310)+COUNTA(条幅!$B$11:$B$310)+COUNTA(条幅4分の1!$B$11:$B$310),INDEX(条幅4分の1!$E$11:$E$310,824-COUNTA(半紙!$B$11:$B$310)-COUNTA(条幅!$B$11:$B$310)),"")))=0,"",IF(824&lt;=COUNTA(半紙!$B$11:$B$310),INDEX(半紙!$E$11:$E$310,824),IF(824&lt;=COUNTA(半紙!$B$11:$B$310)+COUNTA(条幅!$B$11:$B$310),INDEX(条幅!$E$11:$E$310,824-COUNTA(半紙!$B$11:$B$310)),IF(824&lt;=COUNTA(半紙!$B$11:$B$310)+COUNTA(条幅!$B$11:$B$310)+COUNTA(条幅4分の1!$B$11:$B$310),INDEX(条幅4分の1!$E$11:$E$310,824-COUNTA(半紙!$B$11:$B$310)-COUNTA(条幅!$B$11:$B$310)),""))))</f>
        <v/>
      </c>
      <c r="F829" s="38" t="str">
        <f>IF(IF(824&lt;=COUNTA(半紙!$B$11:$B$310),INDEX(半紙!$F$11:$F$310,824),IF(824&lt;=COUNTA(半紙!$B$11:$B$310)+COUNTA(条幅!$B$11:$B$310),INDEX(条幅!$F$11:$F$310,824-COUNTA(半紙!$B$11:$B$310)),IF(824&lt;=COUNTA(半紙!$B$11:$B$310)+COUNTA(条幅!$B$11:$B$310)+COUNTA(条幅4分の1!$B$11:$B$310),INDEX(条幅4分の1!$F$11:$F$310,824-COUNTA(半紙!$B$11:$B$310)-COUNTA(条幅!$B$11:$B$310)),"")))=0,"",IF(824&lt;=COUNTA(半紙!$B$11:$B$310),INDEX(半紙!$F$11:$F$310,824),IF(824&lt;=COUNTA(半紙!$B$11:$B$310)+COUNTA(条幅!$B$11:$B$310),INDEX(条幅!$F$11:$F$310,824-COUNTA(半紙!$B$11:$B$310)),IF(824&lt;=COUNTA(半紙!$B$11:$B$310)+COUNTA(条幅!$B$11:$B$310)+COUNTA(条幅4分の1!$B$11:$B$310),INDEX(条幅4分の1!$F$11:$F$310,824-COUNTA(半紙!$B$11:$B$310)-COUNTA(条幅!$B$11:$B$310)),""))))</f>
        <v/>
      </c>
      <c r="G829" s="38" t="str">
        <f>IF(IF(824&lt;=COUNTA(半紙!$B$11:$B$310),INDEX(半紙!$G$11:$G$310,824),IF(824&lt;=COUNTA(半紙!$B$11:$B$310)+COUNTA(条幅!$B$11:$B$310),INDEX(条幅!$G$11:$G$310,824-COUNTA(半紙!$B$11:$B$310)),IF(824&lt;=COUNTA(半紙!$B$11:$B$310)+COUNTA(条幅!$B$11:$B$310)+COUNTA(条幅4分の1!$B$11:$B$310),INDEX(条幅4分の1!$G$11:$G$310,824-COUNTA(半紙!$B$11:$B$310)-COUNTA(条幅!$B$11:$B$310)),"")))=0,"",IF(824&lt;=COUNTA(半紙!$B$11:$B$310),INDEX(半紙!$G$11:$G$310,824),IF(824&lt;=COUNTA(半紙!$B$11:$B$310)+COUNTA(条幅!$B$11:$B$310),INDEX(条幅!$G$11:$G$310,824-COUNTA(半紙!$B$11:$B$310)),IF(824&lt;=COUNTA(半紙!$B$11:$B$310)+COUNTA(条幅!$B$11:$B$310)+COUNTA(条幅4分の1!$B$11:$B$310),INDEX(条幅4分の1!$G$11:$G$310,824-COUNTA(半紙!$B$11:$B$310)-COUNTA(条幅!$B$11:$B$310)),""))))</f>
        <v/>
      </c>
      <c r="H829" s="38" t="str">
        <f>IF(IF(824&lt;=COUNTA(半紙!$B$11:$B$310),INDEX(半紙!$H$11:$H$310,824),IF(824&lt;=COUNTA(半紙!$B$11:$B$310)+COUNTA(条幅!$B$11:$B$310),INDEX(条幅!$H$11:$H$310,824-COUNTA(半紙!$B$11:$B$310)),IF(824&lt;=COUNTA(半紙!$B$11:$B$310)+COUNTA(条幅!$B$11:$B$310)+COUNTA(条幅4分の1!$B$11:$B$310),INDEX(条幅4分の1!$H$11:$H$310,824-COUNTA(半紙!$B$11:$B$310)-COUNTA(条幅!$B$11:$B$310)),"")))=0,"",IF(824&lt;=COUNTA(半紙!$B$11:$B$310),INDEX(半紙!$H$11:$H$310,824),IF(824&lt;=COUNTA(半紙!$B$11:$B$310)+COUNTA(条幅!$B$11:$B$310),INDEX(条幅!$H$11:$H$310,824-COUNTA(半紙!$B$11:$B$310)),IF(824&lt;=COUNTA(半紙!$B$11:$B$310)+COUNTA(条幅!$B$11:$B$310)+COUNTA(条幅4分の1!$B$11:$B$310),INDEX(条幅4分の1!$H$11:$H$310,824-COUNTA(半紙!$B$11:$B$310)-COUNTA(条幅!$B$11:$B$310)),""))))</f>
        <v/>
      </c>
      <c r="I829" s="38" t="str">
        <f>IF(IF(824&lt;=COUNTA(半紙!$B$11:$B$310),INDEX(半紙!$I$11:$I$310,824),IF(824&lt;=COUNTA(半紙!$B$11:$B$310)+COUNTA(条幅!$B$11:$B$310),INDEX(条幅!$I$11:$I$310,824-COUNTA(半紙!$B$11:$B$310)),IF(824&lt;=COUNTA(半紙!$B$11:$B$310)+COUNTA(条幅!$B$11:$B$310)+COUNTA(条幅4分の1!$B$11:$B$310),INDEX(条幅4分の1!$I$11:$I$310,824-COUNTA(半紙!$B$11:$B$310)-COUNTA(条幅!$B$11:$B$310)),"")))=0,"",IF(824&lt;=COUNTA(半紙!$B$11:$B$310),INDEX(半紙!$I$11:$I$310,824),IF(824&lt;=COUNTA(半紙!$B$11:$B$310)+COUNTA(条幅!$B$11:$B$310),INDEX(条幅!$I$11:$I$310,824-COUNTA(半紙!$B$11:$B$310)),IF(824&lt;=COUNTA(半紙!$B$11:$B$310)+COUNTA(条幅!$B$11:$B$310)+COUNTA(条幅4分の1!$B$11:$B$310),INDEX(条幅4分の1!$I$11:$I$310,824-COUNTA(半紙!$B$11:$B$310)-COUNTA(条幅!$B$11:$B$310)),""))))</f>
        <v/>
      </c>
      <c r="J829" s="38" t="str">
        <f>IF(IF(824&lt;=COUNTA(半紙!$B$11:$B$310),INDEX(半紙!$J$11:$J$310,824),IF(824&lt;=COUNTA(半紙!$B$11:$B$310)+COUNTA(条幅!$B$11:$B$310),INDEX(条幅!$J$11:$J$310,824-COUNTA(半紙!$B$11:$B$310)),IF(824&lt;=COUNTA(半紙!$B$11:$B$310)+COUNTA(条幅!$B$11:$B$310)+COUNTA(条幅4分の1!$B$11:$B$310),INDEX(条幅4分の1!$J$11:$J$310,824-COUNTA(半紙!$B$11:$B$310)-COUNTA(条幅!$B$11:$B$310)),"")))=0,"",IF(824&lt;=COUNTA(半紙!$B$11:$B$310),INDEX(半紙!$J$11:$J$310,824),IF(824&lt;=COUNTA(半紙!$B$11:$B$310)+COUNTA(条幅!$B$11:$B$310),INDEX(条幅!$J$11:$J$310,824-COUNTA(半紙!$B$11:$B$310)),IF(824&lt;=COUNTA(半紙!$B$11:$B$310)+COUNTA(条幅!$B$11:$B$310)+COUNTA(条幅4分の1!$B$11:$B$310),INDEX(条幅4分の1!$J$11:$J$310,824-COUNTA(半紙!$B$11:$B$310)-COUNTA(条幅!$B$11:$B$310)),""))))</f>
        <v/>
      </c>
      <c r="K829" s="38" t="str">
        <f>IF(IF(824&lt;=COUNTA(半紙!$B$11:$B$310),INDEX(半紙!$K$11:$K$310,824),IF(824&lt;=COUNTA(半紙!$B$11:$B$310)+COUNTA(条幅!$B$11:$B$310),INDEX(条幅!$K$11:$K$310,824-COUNTA(半紙!$B$11:$B$310)),IF(824&lt;=COUNTA(半紙!$B$11:$B$310)+COUNTA(条幅!$B$11:$B$310)+COUNTA(条幅4分の1!$B$11:$B$310),INDEX(条幅4分の1!$K$11:$K$310,824-COUNTA(半紙!$B$11:$B$310)-COUNTA(条幅!$B$11:$B$310)),"")))=0,"",IF(824&lt;=COUNTA(半紙!$B$11:$B$310),INDEX(半紙!$K$11:$K$310,824),IF(824&lt;=COUNTA(半紙!$B$11:$B$310)+COUNTA(条幅!$B$11:$B$310),INDEX(条幅!$K$11:$K$310,824-COUNTA(半紙!$B$11:$B$310)),IF(824&lt;=COUNTA(半紙!$B$11:$B$310)+COUNTA(条幅!$B$11:$B$310)+COUNTA(条幅4分の1!$B$11:$B$310),INDEX(条幅4分の1!$K$11:$K$310,824-COUNTA(半紙!$B$11:$B$310)-COUNTA(条幅!$B$11:$B$310)),""))))</f>
        <v/>
      </c>
      <c r="L829" s="48" t="str">
        <f>IF($B829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824))</f>
        <v/>
      </c>
    </row>
    <row r="830" spans="1:12" ht="15" customHeight="1">
      <c r="A830" s="37" t="str">
        <f>IF(825&lt;=COUNTA(半紙!$B$11:$B$310),"半紙",IF(825&lt;=COUNTA(半紙!$B$11:$B$310)+COUNTA(条幅!$B$11:$B$310),"条幅(半切)",IF(825&lt;=COUNTA(半紙!$B$11:$B$310)+COUNTA(条幅!$B$11:$B$310)+COUNTA(条幅4分の1!$B$11:$B$310),"条幅(1/4)","")))</f>
        <v/>
      </c>
      <c r="B830" s="38" t="str">
        <f>IF(IF(825&lt;=COUNTA(半紙!$B$11:$B$310),INDEX(半紙!$B$11:$B$310,825),IF(825&lt;=COUNTA(半紙!$B$11:$B$310)+COUNTA(条幅!$B$11:$B$310),INDEX(条幅!$B$11:$B$310,825-COUNTA(半紙!$B$11:$B$310)),IF(825&lt;=COUNTA(半紙!$B$11:$B$310)+COUNTA(条幅!$B$11:$B$310)+COUNTA(条幅4分の1!$B$11:$B$310),INDEX(条幅4分の1!$B$11:$B$310,825-COUNTA(半紙!$B$11:$B$310)-COUNTA(条幅!$B$11:$B$310)),"")))=0,"",IF(825&lt;=COUNTA(半紙!$B$11:$B$310),INDEX(半紙!$B$11:$B$310,825),IF(825&lt;=COUNTA(半紙!$B$11:$B$310)+COUNTA(条幅!$B$11:$B$310),INDEX(条幅!$B$11:$B$310,825-COUNTA(半紙!$B$11:$B$310)),IF(825&lt;=COUNTA(半紙!$B$11:$B$310)+COUNTA(条幅!$B$11:$B$310)+COUNTA(条幅4分の1!$B$11:$B$310),INDEX(条幅4分の1!$B$11:$B$310,825-COUNTA(半紙!$B$11:$B$310)-COUNTA(条幅!$B$11:$B$310)),""))))</f>
        <v/>
      </c>
      <c r="C830" s="38" t="str">
        <f>IF(IF(825&lt;=COUNTA(半紙!$B$11:$B$310),INDEX(半紙!$C$11:$C$310,825),IF(825&lt;=COUNTA(半紙!$B$11:$B$310)+COUNTA(条幅!$B$11:$B$310),INDEX(条幅!$C$11:$C$310,825-COUNTA(半紙!$B$11:$B$310)),IF(825&lt;=COUNTA(半紙!$B$11:$B$310)+COUNTA(条幅!$B$11:$B$310)+COUNTA(条幅4分の1!$B$11:$B$310),INDEX(条幅4分の1!$C$11:$C$310,825-COUNTA(半紙!$B$11:$B$310)-COUNTA(条幅!$B$11:$B$310)),"")))=0,"",IF(825&lt;=COUNTA(半紙!$B$11:$B$310),INDEX(半紙!$C$11:$C$310,825),IF(825&lt;=COUNTA(半紙!$B$11:$B$310)+COUNTA(条幅!$B$11:$B$310),INDEX(条幅!$C$11:$C$310,825-COUNTA(半紙!$B$11:$B$310)),IF(825&lt;=COUNTA(半紙!$B$11:$B$310)+COUNTA(条幅!$B$11:$B$310)+COUNTA(条幅4分の1!$B$11:$B$310),INDEX(条幅4分の1!$C$11:$C$310,825-COUNTA(半紙!$B$11:$B$310)-COUNTA(条幅!$B$11:$B$310)),""))))</f>
        <v/>
      </c>
      <c r="D830" s="38" t="str">
        <f>IF(IF(825&lt;=COUNTA(半紙!$B$11:$B$310),INDEX(半紙!$D$11:$D$310,825),IF(825&lt;=COUNTA(半紙!$B$11:$B$310)+COUNTA(条幅!$B$11:$B$310),INDEX(条幅!$D$11:$D$310,825-COUNTA(半紙!$B$11:$B$310)),IF(825&lt;=COUNTA(半紙!$B$11:$B$310)+COUNTA(条幅!$B$11:$B$310)+COUNTA(条幅4分の1!$B$11:$B$310),INDEX(条幅4分の1!$D$11:$D$310,825-COUNTA(半紙!$B$11:$B$310)-COUNTA(条幅!$B$11:$B$310)),"")))=0,"",IF(825&lt;=COUNTA(半紙!$B$11:$B$310),INDEX(半紙!$D$11:$D$310,825),IF(825&lt;=COUNTA(半紙!$B$11:$B$310)+COUNTA(条幅!$B$11:$B$310),INDEX(条幅!$D$11:$D$310,825-COUNTA(半紙!$B$11:$B$310)),IF(825&lt;=COUNTA(半紙!$B$11:$B$310)+COUNTA(条幅!$B$11:$B$310)+COUNTA(条幅4分の1!$B$11:$B$310),INDEX(条幅4分の1!$D$11:$D$310,825-COUNTA(半紙!$B$11:$B$310)-COUNTA(条幅!$B$11:$B$310)),""))))</f>
        <v/>
      </c>
      <c r="E830" s="38" t="str">
        <f>IF(IF(825&lt;=COUNTA(半紙!$B$11:$B$310),INDEX(半紙!$E$11:$E$310,825),IF(825&lt;=COUNTA(半紙!$B$11:$B$310)+COUNTA(条幅!$B$11:$B$310),INDEX(条幅!$E$11:$E$310,825-COUNTA(半紙!$B$11:$B$310)),IF(825&lt;=COUNTA(半紙!$B$11:$B$310)+COUNTA(条幅!$B$11:$B$310)+COUNTA(条幅4分の1!$B$11:$B$310),INDEX(条幅4分の1!$E$11:$E$310,825-COUNTA(半紙!$B$11:$B$310)-COUNTA(条幅!$B$11:$B$310)),"")))=0,"",IF(825&lt;=COUNTA(半紙!$B$11:$B$310),INDEX(半紙!$E$11:$E$310,825),IF(825&lt;=COUNTA(半紙!$B$11:$B$310)+COUNTA(条幅!$B$11:$B$310),INDEX(条幅!$E$11:$E$310,825-COUNTA(半紙!$B$11:$B$310)),IF(825&lt;=COUNTA(半紙!$B$11:$B$310)+COUNTA(条幅!$B$11:$B$310)+COUNTA(条幅4分の1!$B$11:$B$310),INDEX(条幅4分の1!$E$11:$E$310,825-COUNTA(半紙!$B$11:$B$310)-COUNTA(条幅!$B$11:$B$310)),""))))</f>
        <v/>
      </c>
      <c r="F830" s="38" t="str">
        <f>IF(IF(825&lt;=COUNTA(半紙!$B$11:$B$310),INDEX(半紙!$F$11:$F$310,825),IF(825&lt;=COUNTA(半紙!$B$11:$B$310)+COUNTA(条幅!$B$11:$B$310),INDEX(条幅!$F$11:$F$310,825-COUNTA(半紙!$B$11:$B$310)),IF(825&lt;=COUNTA(半紙!$B$11:$B$310)+COUNTA(条幅!$B$11:$B$310)+COUNTA(条幅4分の1!$B$11:$B$310),INDEX(条幅4分の1!$F$11:$F$310,825-COUNTA(半紙!$B$11:$B$310)-COUNTA(条幅!$B$11:$B$310)),"")))=0,"",IF(825&lt;=COUNTA(半紙!$B$11:$B$310),INDEX(半紙!$F$11:$F$310,825),IF(825&lt;=COUNTA(半紙!$B$11:$B$310)+COUNTA(条幅!$B$11:$B$310),INDEX(条幅!$F$11:$F$310,825-COUNTA(半紙!$B$11:$B$310)),IF(825&lt;=COUNTA(半紙!$B$11:$B$310)+COUNTA(条幅!$B$11:$B$310)+COUNTA(条幅4分の1!$B$11:$B$310),INDEX(条幅4分の1!$F$11:$F$310,825-COUNTA(半紙!$B$11:$B$310)-COUNTA(条幅!$B$11:$B$310)),""))))</f>
        <v/>
      </c>
      <c r="G830" s="38" t="str">
        <f>IF(IF(825&lt;=COUNTA(半紙!$B$11:$B$310),INDEX(半紙!$G$11:$G$310,825),IF(825&lt;=COUNTA(半紙!$B$11:$B$310)+COUNTA(条幅!$B$11:$B$310),INDEX(条幅!$G$11:$G$310,825-COUNTA(半紙!$B$11:$B$310)),IF(825&lt;=COUNTA(半紙!$B$11:$B$310)+COUNTA(条幅!$B$11:$B$310)+COUNTA(条幅4分の1!$B$11:$B$310),INDEX(条幅4分の1!$G$11:$G$310,825-COUNTA(半紙!$B$11:$B$310)-COUNTA(条幅!$B$11:$B$310)),"")))=0,"",IF(825&lt;=COUNTA(半紙!$B$11:$B$310),INDEX(半紙!$G$11:$G$310,825),IF(825&lt;=COUNTA(半紙!$B$11:$B$310)+COUNTA(条幅!$B$11:$B$310),INDEX(条幅!$G$11:$G$310,825-COUNTA(半紙!$B$11:$B$310)),IF(825&lt;=COUNTA(半紙!$B$11:$B$310)+COUNTA(条幅!$B$11:$B$310)+COUNTA(条幅4分の1!$B$11:$B$310),INDEX(条幅4分の1!$G$11:$G$310,825-COUNTA(半紙!$B$11:$B$310)-COUNTA(条幅!$B$11:$B$310)),""))))</f>
        <v/>
      </c>
      <c r="H830" s="38" t="str">
        <f>IF(IF(825&lt;=COUNTA(半紙!$B$11:$B$310),INDEX(半紙!$H$11:$H$310,825),IF(825&lt;=COUNTA(半紙!$B$11:$B$310)+COUNTA(条幅!$B$11:$B$310),INDEX(条幅!$H$11:$H$310,825-COUNTA(半紙!$B$11:$B$310)),IF(825&lt;=COUNTA(半紙!$B$11:$B$310)+COUNTA(条幅!$B$11:$B$310)+COUNTA(条幅4分の1!$B$11:$B$310),INDEX(条幅4分の1!$H$11:$H$310,825-COUNTA(半紙!$B$11:$B$310)-COUNTA(条幅!$B$11:$B$310)),"")))=0,"",IF(825&lt;=COUNTA(半紙!$B$11:$B$310),INDEX(半紙!$H$11:$H$310,825),IF(825&lt;=COUNTA(半紙!$B$11:$B$310)+COUNTA(条幅!$B$11:$B$310),INDEX(条幅!$H$11:$H$310,825-COUNTA(半紙!$B$11:$B$310)),IF(825&lt;=COUNTA(半紙!$B$11:$B$310)+COUNTA(条幅!$B$11:$B$310)+COUNTA(条幅4分の1!$B$11:$B$310),INDEX(条幅4分の1!$H$11:$H$310,825-COUNTA(半紙!$B$11:$B$310)-COUNTA(条幅!$B$11:$B$310)),""))))</f>
        <v/>
      </c>
      <c r="I830" s="38" t="str">
        <f>IF(IF(825&lt;=COUNTA(半紙!$B$11:$B$310),INDEX(半紙!$I$11:$I$310,825),IF(825&lt;=COUNTA(半紙!$B$11:$B$310)+COUNTA(条幅!$B$11:$B$310),INDEX(条幅!$I$11:$I$310,825-COUNTA(半紙!$B$11:$B$310)),IF(825&lt;=COUNTA(半紙!$B$11:$B$310)+COUNTA(条幅!$B$11:$B$310)+COUNTA(条幅4分の1!$B$11:$B$310),INDEX(条幅4分の1!$I$11:$I$310,825-COUNTA(半紙!$B$11:$B$310)-COUNTA(条幅!$B$11:$B$310)),"")))=0,"",IF(825&lt;=COUNTA(半紙!$B$11:$B$310),INDEX(半紙!$I$11:$I$310,825),IF(825&lt;=COUNTA(半紙!$B$11:$B$310)+COUNTA(条幅!$B$11:$B$310),INDEX(条幅!$I$11:$I$310,825-COUNTA(半紙!$B$11:$B$310)),IF(825&lt;=COUNTA(半紙!$B$11:$B$310)+COUNTA(条幅!$B$11:$B$310)+COUNTA(条幅4分の1!$B$11:$B$310),INDEX(条幅4分の1!$I$11:$I$310,825-COUNTA(半紙!$B$11:$B$310)-COUNTA(条幅!$B$11:$B$310)),""))))</f>
        <v/>
      </c>
      <c r="J830" s="38" t="str">
        <f>IF(IF(825&lt;=COUNTA(半紙!$B$11:$B$310),INDEX(半紙!$J$11:$J$310,825),IF(825&lt;=COUNTA(半紙!$B$11:$B$310)+COUNTA(条幅!$B$11:$B$310),INDEX(条幅!$J$11:$J$310,825-COUNTA(半紙!$B$11:$B$310)),IF(825&lt;=COUNTA(半紙!$B$11:$B$310)+COUNTA(条幅!$B$11:$B$310)+COUNTA(条幅4分の1!$B$11:$B$310),INDEX(条幅4分の1!$J$11:$J$310,825-COUNTA(半紙!$B$11:$B$310)-COUNTA(条幅!$B$11:$B$310)),"")))=0,"",IF(825&lt;=COUNTA(半紙!$B$11:$B$310),INDEX(半紙!$J$11:$J$310,825),IF(825&lt;=COUNTA(半紙!$B$11:$B$310)+COUNTA(条幅!$B$11:$B$310),INDEX(条幅!$J$11:$J$310,825-COUNTA(半紙!$B$11:$B$310)),IF(825&lt;=COUNTA(半紙!$B$11:$B$310)+COUNTA(条幅!$B$11:$B$310)+COUNTA(条幅4分の1!$B$11:$B$310),INDEX(条幅4分の1!$J$11:$J$310,825-COUNTA(半紙!$B$11:$B$310)-COUNTA(条幅!$B$11:$B$310)),""))))</f>
        <v/>
      </c>
      <c r="K830" s="38" t="str">
        <f>IF(IF(825&lt;=COUNTA(半紙!$B$11:$B$310),INDEX(半紙!$K$11:$K$310,825),IF(825&lt;=COUNTA(半紙!$B$11:$B$310)+COUNTA(条幅!$B$11:$B$310),INDEX(条幅!$K$11:$K$310,825-COUNTA(半紙!$B$11:$B$310)),IF(825&lt;=COUNTA(半紙!$B$11:$B$310)+COUNTA(条幅!$B$11:$B$310)+COUNTA(条幅4分の1!$B$11:$B$310),INDEX(条幅4分の1!$K$11:$K$310,825-COUNTA(半紙!$B$11:$B$310)-COUNTA(条幅!$B$11:$B$310)),"")))=0,"",IF(825&lt;=COUNTA(半紙!$B$11:$B$310),INDEX(半紙!$K$11:$K$310,825),IF(825&lt;=COUNTA(半紙!$B$11:$B$310)+COUNTA(条幅!$B$11:$B$310),INDEX(条幅!$K$11:$K$310,825-COUNTA(半紙!$B$11:$B$310)),IF(825&lt;=COUNTA(半紙!$B$11:$B$310)+COUNTA(条幅!$B$11:$B$310)+COUNTA(条幅4分の1!$B$11:$B$310),INDEX(条幅4分の1!$K$11:$K$310,825-COUNTA(半紙!$B$11:$B$310)-COUNTA(条幅!$B$11:$B$310)),""))))</f>
        <v/>
      </c>
      <c r="L830" s="48" t="str">
        <f>IF($B830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825))</f>
        <v/>
      </c>
    </row>
    <row r="831" spans="1:12" ht="15" customHeight="1">
      <c r="A831" s="37" t="str">
        <f>IF(826&lt;=COUNTA(半紙!$B$11:$B$310),"半紙",IF(826&lt;=COUNTA(半紙!$B$11:$B$310)+COUNTA(条幅!$B$11:$B$310),"条幅(半切)",IF(826&lt;=COUNTA(半紙!$B$11:$B$310)+COUNTA(条幅!$B$11:$B$310)+COUNTA(条幅4分の1!$B$11:$B$310),"条幅(1/4)","")))</f>
        <v/>
      </c>
      <c r="B831" s="38" t="str">
        <f>IF(IF(826&lt;=COUNTA(半紙!$B$11:$B$310),INDEX(半紙!$B$11:$B$310,826),IF(826&lt;=COUNTA(半紙!$B$11:$B$310)+COUNTA(条幅!$B$11:$B$310),INDEX(条幅!$B$11:$B$310,826-COUNTA(半紙!$B$11:$B$310)),IF(826&lt;=COUNTA(半紙!$B$11:$B$310)+COUNTA(条幅!$B$11:$B$310)+COUNTA(条幅4分の1!$B$11:$B$310),INDEX(条幅4分の1!$B$11:$B$310,826-COUNTA(半紙!$B$11:$B$310)-COUNTA(条幅!$B$11:$B$310)),"")))=0,"",IF(826&lt;=COUNTA(半紙!$B$11:$B$310),INDEX(半紙!$B$11:$B$310,826),IF(826&lt;=COUNTA(半紙!$B$11:$B$310)+COUNTA(条幅!$B$11:$B$310),INDEX(条幅!$B$11:$B$310,826-COUNTA(半紙!$B$11:$B$310)),IF(826&lt;=COUNTA(半紙!$B$11:$B$310)+COUNTA(条幅!$B$11:$B$310)+COUNTA(条幅4分の1!$B$11:$B$310),INDEX(条幅4分の1!$B$11:$B$310,826-COUNTA(半紙!$B$11:$B$310)-COUNTA(条幅!$B$11:$B$310)),""))))</f>
        <v/>
      </c>
      <c r="C831" s="38" t="str">
        <f>IF(IF(826&lt;=COUNTA(半紙!$B$11:$B$310),INDEX(半紙!$C$11:$C$310,826),IF(826&lt;=COUNTA(半紙!$B$11:$B$310)+COUNTA(条幅!$B$11:$B$310),INDEX(条幅!$C$11:$C$310,826-COUNTA(半紙!$B$11:$B$310)),IF(826&lt;=COUNTA(半紙!$B$11:$B$310)+COUNTA(条幅!$B$11:$B$310)+COUNTA(条幅4分の1!$B$11:$B$310),INDEX(条幅4分の1!$C$11:$C$310,826-COUNTA(半紙!$B$11:$B$310)-COUNTA(条幅!$B$11:$B$310)),"")))=0,"",IF(826&lt;=COUNTA(半紙!$B$11:$B$310),INDEX(半紙!$C$11:$C$310,826),IF(826&lt;=COUNTA(半紙!$B$11:$B$310)+COUNTA(条幅!$B$11:$B$310),INDEX(条幅!$C$11:$C$310,826-COUNTA(半紙!$B$11:$B$310)),IF(826&lt;=COUNTA(半紙!$B$11:$B$310)+COUNTA(条幅!$B$11:$B$310)+COUNTA(条幅4分の1!$B$11:$B$310),INDEX(条幅4分の1!$C$11:$C$310,826-COUNTA(半紙!$B$11:$B$310)-COUNTA(条幅!$B$11:$B$310)),""))))</f>
        <v/>
      </c>
      <c r="D831" s="38" t="str">
        <f>IF(IF(826&lt;=COUNTA(半紙!$B$11:$B$310),INDEX(半紙!$D$11:$D$310,826),IF(826&lt;=COUNTA(半紙!$B$11:$B$310)+COUNTA(条幅!$B$11:$B$310),INDEX(条幅!$D$11:$D$310,826-COUNTA(半紙!$B$11:$B$310)),IF(826&lt;=COUNTA(半紙!$B$11:$B$310)+COUNTA(条幅!$B$11:$B$310)+COUNTA(条幅4分の1!$B$11:$B$310),INDEX(条幅4分の1!$D$11:$D$310,826-COUNTA(半紙!$B$11:$B$310)-COUNTA(条幅!$B$11:$B$310)),"")))=0,"",IF(826&lt;=COUNTA(半紙!$B$11:$B$310),INDEX(半紙!$D$11:$D$310,826),IF(826&lt;=COUNTA(半紙!$B$11:$B$310)+COUNTA(条幅!$B$11:$B$310),INDEX(条幅!$D$11:$D$310,826-COUNTA(半紙!$B$11:$B$310)),IF(826&lt;=COUNTA(半紙!$B$11:$B$310)+COUNTA(条幅!$B$11:$B$310)+COUNTA(条幅4分の1!$B$11:$B$310),INDEX(条幅4分の1!$D$11:$D$310,826-COUNTA(半紙!$B$11:$B$310)-COUNTA(条幅!$B$11:$B$310)),""))))</f>
        <v/>
      </c>
      <c r="E831" s="38" t="str">
        <f>IF(IF(826&lt;=COUNTA(半紙!$B$11:$B$310),INDEX(半紙!$E$11:$E$310,826),IF(826&lt;=COUNTA(半紙!$B$11:$B$310)+COUNTA(条幅!$B$11:$B$310),INDEX(条幅!$E$11:$E$310,826-COUNTA(半紙!$B$11:$B$310)),IF(826&lt;=COUNTA(半紙!$B$11:$B$310)+COUNTA(条幅!$B$11:$B$310)+COUNTA(条幅4分の1!$B$11:$B$310),INDEX(条幅4分の1!$E$11:$E$310,826-COUNTA(半紙!$B$11:$B$310)-COUNTA(条幅!$B$11:$B$310)),"")))=0,"",IF(826&lt;=COUNTA(半紙!$B$11:$B$310),INDEX(半紙!$E$11:$E$310,826),IF(826&lt;=COUNTA(半紙!$B$11:$B$310)+COUNTA(条幅!$B$11:$B$310),INDEX(条幅!$E$11:$E$310,826-COUNTA(半紙!$B$11:$B$310)),IF(826&lt;=COUNTA(半紙!$B$11:$B$310)+COUNTA(条幅!$B$11:$B$310)+COUNTA(条幅4分の1!$B$11:$B$310),INDEX(条幅4分の1!$E$11:$E$310,826-COUNTA(半紙!$B$11:$B$310)-COUNTA(条幅!$B$11:$B$310)),""))))</f>
        <v/>
      </c>
      <c r="F831" s="38" t="str">
        <f>IF(IF(826&lt;=COUNTA(半紙!$B$11:$B$310),INDEX(半紙!$F$11:$F$310,826),IF(826&lt;=COUNTA(半紙!$B$11:$B$310)+COUNTA(条幅!$B$11:$B$310),INDEX(条幅!$F$11:$F$310,826-COUNTA(半紙!$B$11:$B$310)),IF(826&lt;=COUNTA(半紙!$B$11:$B$310)+COUNTA(条幅!$B$11:$B$310)+COUNTA(条幅4分の1!$B$11:$B$310),INDEX(条幅4分の1!$F$11:$F$310,826-COUNTA(半紙!$B$11:$B$310)-COUNTA(条幅!$B$11:$B$310)),"")))=0,"",IF(826&lt;=COUNTA(半紙!$B$11:$B$310),INDEX(半紙!$F$11:$F$310,826),IF(826&lt;=COUNTA(半紙!$B$11:$B$310)+COUNTA(条幅!$B$11:$B$310),INDEX(条幅!$F$11:$F$310,826-COUNTA(半紙!$B$11:$B$310)),IF(826&lt;=COUNTA(半紙!$B$11:$B$310)+COUNTA(条幅!$B$11:$B$310)+COUNTA(条幅4分の1!$B$11:$B$310),INDEX(条幅4分の1!$F$11:$F$310,826-COUNTA(半紙!$B$11:$B$310)-COUNTA(条幅!$B$11:$B$310)),""))))</f>
        <v/>
      </c>
      <c r="G831" s="38" t="str">
        <f>IF(IF(826&lt;=COUNTA(半紙!$B$11:$B$310),INDEX(半紙!$G$11:$G$310,826),IF(826&lt;=COUNTA(半紙!$B$11:$B$310)+COUNTA(条幅!$B$11:$B$310),INDEX(条幅!$G$11:$G$310,826-COUNTA(半紙!$B$11:$B$310)),IF(826&lt;=COUNTA(半紙!$B$11:$B$310)+COUNTA(条幅!$B$11:$B$310)+COUNTA(条幅4分の1!$B$11:$B$310),INDEX(条幅4分の1!$G$11:$G$310,826-COUNTA(半紙!$B$11:$B$310)-COUNTA(条幅!$B$11:$B$310)),"")))=0,"",IF(826&lt;=COUNTA(半紙!$B$11:$B$310),INDEX(半紙!$G$11:$G$310,826),IF(826&lt;=COUNTA(半紙!$B$11:$B$310)+COUNTA(条幅!$B$11:$B$310),INDEX(条幅!$G$11:$G$310,826-COUNTA(半紙!$B$11:$B$310)),IF(826&lt;=COUNTA(半紙!$B$11:$B$310)+COUNTA(条幅!$B$11:$B$310)+COUNTA(条幅4分の1!$B$11:$B$310),INDEX(条幅4分の1!$G$11:$G$310,826-COUNTA(半紙!$B$11:$B$310)-COUNTA(条幅!$B$11:$B$310)),""))))</f>
        <v/>
      </c>
      <c r="H831" s="38" t="str">
        <f>IF(IF(826&lt;=COUNTA(半紙!$B$11:$B$310),INDEX(半紙!$H$11:$H$310,826),IF(826&lt;=COUNTA(半紙!$B$11:$B$310)+COUNTA(条幅!$B$11:$B$310),INDEX(条幅!$H$11:$H$310,826-COUNTA(半紙!$B$11:$B$310)),IF(826&lt;=COUNTA(半紙!$B$11:$B$310)+COUNTA(条幅!$B$11:$B$310)+COUNTA(条幅4分の1!$B$11:$B$310),INDEX(条幅4分の1!$H$11:$H$310,826-COUNTA(半紙!$B$11:$B$310)-COUNTA(条幅!$B$11:$B$310)),"")))=0,"",IF(826&lt;=COUNTA(半紙!$B$11:$B$310),INDEX(半紙!$H$11:$H$310,826),IF(826&lt;=COUNTA(半紙!$B$11:$B$310)+COUNTA(条幅!$B$11:$B$310),INDEX(条幅!$H$11:$H$310,826-COUNTA(半紙!$B$11:$B$310)),IF(826&lt;=COUNTA(半紙!$B$11:$B$310)+COUNTA(条幅!$B$11:$B$310)+COUNTA(条幅4分の1!$B$11:$B$310),INDEX(条幅4分の1!$H$11:$H$310,826-COUNTA(半紙!$B$11:$B$310)-COUNTA(条幅!$B$11:$B$310)),""))))</f>
        <v/>
      </c>
      <c r="I831" s="38" t="str">
        <f>IF(IF(826&lt;=COUNTA(半紙!$B$11:$B$310),INDEX(半紙!$I$11:$I$310,826),IF(826&lt;=COUNTA(半紙!$B$11:$B$310)+COUNTA(条幅!$B$11:$B$310),INDEX(条幅!$I$11:$I$310,826-COUNTA(半紙!$B$11:$B$310)),IF(826&lt;=COUNTA(半紙!$B$11:$B$310)+COUNTA(条幅!$B$11:$B$310)+COUNTA(条幅4分の1!$B$11:$B$310),INDEX(条幅4分の1!$I$11:$I$310,826-COUNTA(半紙!$B$11:$B$310)-COUNTA(条幅!$B$11:$B$310)),"")))=0,"",IF(826&lt;=COUNTA(半紙!$B$11:$B$310),INDEX(半紙!$I$11:$I$310,826),IF(826&lt;=COUNTA(半紙!$B$11:$B$310)+COUNTA(条幅!$B$11:$B$310),INDEX(条幅!$I$11:$I$310,826-COUNTA(半紙!$B$11:$B$310)),IF(826&lt;=COUNTA(半紙!$B$11:$B$310)+COUNTA(条幅!$B$11:$B$310)+COUNTA(条幅4分の1!$B$11:$B$310),INDEX(条幅4分の1!$I$11:$I$310,826-COUNTA(半紙!$B$11:$B$310)-COUNTA(条幅!$B$11:$B$310)),""))))</f>
        <v/>
      </c>
      <c r="J831" s="38" t="str">
        <f>IF(IF(826&lt;=COUNTA(半紙!$B$11:$B$310),INDEX(半紙!$J$11:$J$310,826),IF(826&lt;=COUNTA(半紙!$B$11:$B$310)+COUNTA(条幅!$B$11:$B$310),INDEX(条幅!$J$11:$J$310,826-COUNTA(半紙!$B$11:$B$310)),IF(826&lt;=COUNTA(半紙!$B$11:$B$310)+COUNTA(条幅!$B$11:$B$310)+COUNTA(条幅4分の1!$B$11:$B$310),INDEX(条幅4分の1!$J$11:$J$310,826-COUNTA(半紙!$B$11:$B$310)-COUNTA(条幅!$B$11:$B$310)),"")))=0,"",IF(826&lt;=COUNTA(半紙!$B$11:$B$310),INDEX(半紙!$J$11:$J$310,826),IF(826&lt;=COUNTA(半紙!$B$11:$B$310)+COUNTA(条幅!$B$11:$B$310),INDEX(条幅!$J$11:$J$310,826-COUNTA(半紙!$B$11:$B$310)),IF(826&lt;=COUNTA(半紙!$B$11:$B$310)+COUNTA(条幅!$B$11:$B$310)+COUNTA(条幅4分の1!$B$11:$B$310),INDEX(条幅4分の1!$J$11:$J$310,826-COUNTA(半紙!$B$11:$B$310)-COUNTA(条幅!$B$11:$B$310)),""))))</f>
        <v/>
      </c>
      <c r="K831" s="38" t="str">
        <f>IF(IF(826&lt;=COUNTA(半紙!$B$11:$B$310),INDEX(半紙!$K$11:$K$310,826),IF(826&lt;=COUNTA(半紙!$B$11:$B$310)+COUNTA(条幅!$B$11:$B$310),INDEX(条幅!$K$11:$K$310,826-COUNTA(半紙!$B$11:$B$310)),IF(826&lt;=COUNTA(半紙!$B$11:$B$310)+COUNTA(条幅!$B$11:$B$310)+COUNTA(条幅4分の1!$B$11:$B$310),INDEX(条幅4分の1!$K$11:$K$310,826-COUNTA(半紙!$B$11:$B$310)-COUNTA(条幅!$B$11:$B$310)),"")))=0,"",IF(826&lt;=COUNTA(半紙!$B$11:$B$310),INDEX(半紙!$K$11:$K$310,826),IF(826&lt;=COUNTA(半紙!$B$11:$B$310)+COUNTA(条幅!$B$11:$B$310),INDEX(条幅!$K$11:$K$310,826-COUNTA(半紙!$B$11:$B$310)),IF(826&lt;=COUNTA(半紙!$B$11:$B$310)+COUNTA(条幅!$B$11:$B$310)+COUNTA(条幅4分の1!$B$11:$B$310),INDEX(条幅4分の1!$K$11:$K$310,826-COUNTA(半紙!$B$11:$B$310)-COUNTA(条幅!$B$11:$B$310)),""))))</f>
        <v/>
      </c>
      <c r="L831" s="48" t="str">
        <f>IF($B831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826))</f>
        <v/>
      </c>
    </row>
    <row r="832" spans="1:12" ht="15" customHeight="1">
      <c r="A832" s="37" t="str">
        <f>IF(827&lt;=COUNTA(半紙!$B$11:$B$310),"半紙",IF(827&lt;=COUNTA(半紙!$B$11:$B$310)+COUNTA(条幅!$B$11:$B$310),"条幅(半切)",IF(827&lt;=COUNTA(半紙!$B$11:$B$310)+COUNTA(条幅!$B$11:$B$310)+COUNTA(条幅4分の1!$B$11:$B$310),"条幅(1/4)","")))</f>
        <v/>
      </c>
      <c r="B832" s="38" t="str">
        <f>IF(IF(827&lt;=COUNTA(半紙!$B$11:$B$310),INDEX(半紙!$B$11:$B$310,827),IF(827&lt;=COUNTA(半紙!$B$11:$B$310)+COUNTA(条幅!$B$11:$B$310),INDEX(条幅!$B$11:$B$310,827-COUNTA(半紙!$B$11:$B$310)),IF(827&lt;=COUNTA(半紙!$B$11:$B$310)+COUNTA(条幅!$B$11:$B$310)+COUNTA(条幅4分の1!$B$11:$B$310),INDEX(条幅4分の1!$B$11:$B$310,827-COUNTA(半紙!$B$11:$B$310)-COUNTA(条幅!$B$11:$B$310)),"")))=0,"",IF(827&lt;=COUNTA(半紙!$B$11:$B$310),INDEX(半紙!$B$11:$B$310,827),IF(827&lt;=COUNTA(半紙!$B$11:$B$310)+COUNTA(条幅!$B$11:$B$310),INDEX(条幅!$B$11:$B$310,827-COUNTA(半紙!$B$11:$B$310)),IF(827&lt;=COUNTA(半紙!$B$11:$B$310)+COUNTA(条幅!$B$11:$B$310)+COUNTA(条幅4分の1!$B$11:$B$310),INDEX(条幅4分の1!$B$11:$B$310,827-COUNTA(半紙!$B$11:$B$310)-COUNTA(条幅!$B$11:$B$310)),""))))</f>
        <v/>
      </c>
      <c r="C832" s="38" t="str">
        <f>IF(IF(827&lt;=COUNTA(半紙!$B$11:$B$310),INDEX(半紙!$C$11:$C$310,827),IF(827&lt;=COUNTA(半紙!$B$11:$B$310)+COUNTA(条幅!$B$11:$B$310),INDEX(条幅!$C$11:$C$310,827-COUNTA(半紙!$B$11:$B$310)),IF(827&lt;=COUNTA(半紙!$B$11:$B$310)+COUNTA(条幅!$B$11:$B$310)+COUNTA(条幅4分の1!$B$11:$B$310),INDEX(条幅4分の1!$C$11:$C$310,827-COUNTA(半紙!$B$11:$B$310)-COUNTA(条幅!$B$11:$B$310)),"")))=0,"",IF(827&lt;=COUNTA(半紙!$B$11:$B$310),INDEX(半紙!$C$11:$C$310,827),IF(827&lt;=COUNTA(半紙!$B$11:$B$310)+COUNTA(条幅!$B$11:$B$310),INDEX(条幅!$C$11:$C$310,827-COUNTA(半紙!$B$11:$B$310)),IF(827&lt;=COUNTA(半紙!$B$11:$B$310)+COUNTA(条幅!$B$11:$B$310)+COUNTA(条幅4分の1!$B$11:$B$310),INDEX(条幅4分の1!$C$11:$C$310,827-COUNTA(半紙!$B$11:$B$310)-COUNTA(条幅!$B$11:$B$310)),""))))</f>
        <v/>
      </c>
      <c r="D832" s="38" t="str">
        <f>IF(IF(827&lt;=COUNTA(半紙!$B$11:$B$310),INDEX(半紙!$D$11:$D$310,827),IF(827&lt;=COUNTA(半紙!$B$11:$B$310)+COUNTA(条幅!$B$11:$B$310),INDEX(条幅!$D$11:$D$310,827-COUNTA(半紙!$B$11:$B$310)),IF(827&lt;=COUNTA(半紙!$B$11:$B$310)+COUNTA(条幅!$B$11:$B$310)+COUNTA(条幅4分の1!$B$11:$B$310),INDEX(条幅4分の1!$D$11:$D$310,827-COUNTA(半紙!$B$11:$B$310)-COUNTA(条幅!$B$11:$B$310)),"")))=0,"",IF(827&lt;=COUNTA(半紙!$B$11:$B$310),INDEX(半紙!$D$11:$D$310,827),IF(827&lt;=COUNTA(半紙!$B$11:$B$310)+COUNTA(条幅!$B$11:$B$310),INDEX(条幅!$D$11:$D$310,827-COUNTA(半紙!$B$11:$B$310)),IF(827&lt;=COUNTA(半紙!$B$11:$B$310)+COUNTA(条幅!$B$11:$B$310)+COUNTA(条幅4分の1!$B$11:$B$310),INDEX(条幅4分の1!$D$11:$D$310,827-COUNTA(半紙!$B$11:$B$310)-COUNTA(条幅!$B$11:$B$310)),""))))</f>
        <v/>
      </c>
      <c r="E832" s="38" t="str">
        <f>IF(IF(827&lt;=COUNTA(半紙!$B$11:$B$310),INDEX(半紙!$E$11:$E$310,827),IF(827&lt;=COUNTA(半紙!$B$11:$B$310)+COUNTA(条幅!$B$11:$B$310),INDEX(条幅!$E$11:$E$310,827-COUNTA(半紙!$B$11:$B$310)),IF(827&lt;=COUNTA(半紙!$B$11:$B$310)+COUNTA(条幅!$B$11:$B$310)+COUNTA(条幅4分の1!$B$11:$B$310),INDEX(条幅4分の1!$E$11:$E$310,827-COUNTA(半紙!$B$11:$B$310)-COUNTA(条幅!$B$11:$B$310)),"")))=0,"",IF(827&lt;=COUNTA(半紙!$B$11:$B$310),INDEX(半紙!$E$11:$E$310,827),IF(827&lt;=COUNTA(半紙!$B$11:$B$310)+COUNTA(条幅!$B$11:$B$310),INDEX(条幅!$E$11:$E$310,827-COUNTA(半紙!$B$11:$B$310)),IF(827&lt;=COUNTA(半紙!$B$11:$B$310)+COUNTA(条幅!$B$11:$B$310)+COUNTA(条幅4分の1!$B$11:$B$310),INDEX(条幅4分の1!$E$11:$E$310,827-COUNTA(半紙!$B$11:$B$310)-COUNTA(条幅!$B$11:$B$310)),""))))</f>
        <v/>
      </c>
      <c r="F832" s="38" t="str">
        <f>IF(IF(827&lt;=COUNTA(半紙!$B$11:$B$310),INDEX(半紙!$F$11:$F$310,827),IF(827&lt;=COUNTA(半紙!$B$11:$B$310)+COUNTA(条幅!$B$11:$B$310),INDEX(条幅!$F$11:$F$310,827-COUNTA(半紙!$B$11:$B$310)),IF(827&lt;=COUNTA(半紙!$B$11:$B$310)+COUNTA(条幅!$B$11:$B$310)+COUNTA(条幅4分の1!$B$11:$B$310),INDEX(条幅4分の1!$F$11:$F$310,827-COUNTA(半紙!$B$11:$B$310)-COUNTA(条幅!$B$11:$B$310)),"")))=0,"",IF(827&lt;=COUNTA(半紙!$B$11:$B$310),INDEX(半紙!$F$11:$F$310,827),IF(827&lt;=COUNTA(半紙!$B$11:$B$310)+COUNTA(条幅!$B$11:$B$310),INDEX(条幅!$F$11:$F$310,827-COUNTA(半紙!$B$11:$B$310)),IF(827&lt;=COUNTA(半紙!$B$11:$B$310)+COUNTA(条幅!$B$11:$B$310)+COUNTA(条幅4分の1!$B$11:$B$310),INDEX(条幅4分の1!$F$11:$F$310,827-COUNTA(半紙!$B$11:$B$310)-COUNTA(条幅!$B$11:$B$310)),""))))</f>
        <v/>
      </c>
      <c r="G832" s="38" t="str">
        <f>IF(IF(827&lt;=COUNTA(半紙!$B$11:$B$310),INDEX(半紙!$G$11:$G$310,827),IF(827&lt;=COUNTA(半紙!$B$11:$B$310)+COUNTA(条幅!$B$11:$B$310),INDEX(条幅!$G$11:$G$310,827-COUNTA(半紙!$B$11:$B$310)),IF(827&lt;=COUNTA(半紙!$B$11:$B$310)+COUNTA(条幅!$B$11:$B$310)+COUNTA(条幅4分の1!$B$11:$B$310),INDEX(条幅4分の1!$G$11:$G$310,827-COUNTA(半紙!$B$11:$B$310)-COUNTA(条幅!$B$11:$B$310)),"")))=0,"",IF(827&lt;=COUNTA(半紙!$B$11:$B$310),INDEX(半紙!$G$11:$G$310,827),IF(827&lt;=COUNTA(半紙!$B$11:$B$310)+COUNTA(条幅!$B$11:$B$310),INDEX(条幅!$G$11:$G$310,827-COUNTA(半紙!$B$11:$B$310)),IF(827&lt;=COUNTA(半紙!$B$11:$B$310)+COUNTA(条幅!$B$11:$B$310)+COUNTA(条幅4分の1!$B$11:$B$310),INDEX(条幅4分の1!$G$11:$G$310,827-COUNTA(半紙!$B$11:$B$310)-COUNTA(条幅!$B$11:$B$310)),""))))</f>
        <v/>
      </c>
      <c r="H832" s="38" t="str">
        <f>IF(IF(827&lt;=COUNTA(半紙!$B$11:$B$310),INDEX(半紙!$H$11:$H$310,827),IF(827&lt;=COUNTA(半紙!$B$11:$B$310)+COUNTA(条幅!$B$11:$B$310),INDEX(条幅!$H$11:$H$310,827-COUNTA(半紙!$B$11:$B$310)),IF(827&lt;=COUNTA(半紙!$B$11:$B$310)+COUNTA(条幅!$B$11:$B$310)+COUNTA(条幅4分の1!$B$11:$B$310),INDEX(条幅4分の1!$H$11:$H$310,827-COUNTA(半紙!$B$11:$B$310)-COUNTA(条幅!$B$11:$B$310)),"")))=0,"",IF(827&lt;=COUNTA(半紙!$B$11:$B$310),INDEX(半紙!$H$11:$H$310,827),IF(827&lt;=COUNTA(半紙!$B$11:$B$310)+COUNTA(条幅!$B$11:$B$310),INDEX(条幅!$H$11:$H$310,827-COUNTA(半紙!$B$11:$B$310)),IF(827&lt;=COUNTA(半紙!$B$11:$B$310)+COUNTA(条幅!$B$11:$B$310)+COUNTA(条幅4分の1!$B$11:$B$310),INDEX(条幅4分の1!$H$11:$H$310,827-COUNTA(半紙!$B$11:$B$310)-COUNTA(条幅!$B$11:$B$310)),""))))</f>
        <v/>
      </c>
      <c r="I832" s="38" t="str">
        <f>IF(IF(827&lt;=COUNTA(半紙!$B$11:$B$310),INDEX(半紙!$I$11:$I$310,827),IF(827&lt;=COUNTA(半紙!$B$11:$B$310)+COUNTA(条幅!$B$11:$B$310),INDEX(条幅!$I$11:$I$310,827-COUNTA(半紙!$B$11:$B$310)),IF(827&lt;=COUNTA(半紙!$B$11:$B$310)+COUNTA(条幅!$B$11:$B$310)+COUNTA(条幅4分の1!$B$11:$B$310),INDEX(条幅4分の1!$I$11:$I$310,827-COUNTA(半紙!$B$11:$B$310)-COUNTA(条幅!$B$11:$B$310)),"")))=0,"",IF(827&lt;=COUNTA(半紙!$B$11:$B$310),INDEX(半紙!$I$11:$I$310,827),IF(827&lt;=COUNTA(半紙!$B$11:$B$310)+COUNTA(条幅!$B$11:$B$310),INDEX(条幅!$I$11:$I$310,827-COUNTA(半紙!$B$11:$B$310)),IF(827&lt;=COUNTA(半紙!$B$11:$B$310)+COUNTA(条幅!$B$11:$B$310)+COUNTA(条幅4分の1!$B$11:$B$310),INDEX(条幅4分の1!$I$11:$I$310,827-COUNTA(半紙!$B$11:$B$310)-COUNTA(条幅!$B$11:$B$310)),""))))</f>
        <v/>
      </c>
      <c r="J832" s="38" t="str">
        <f>IF(IF(827&lt;=COUNTA(半紙!$B$11:$B$310),INDEX(半紙!$J$11:$J$310,827),IF(827&lt;=COUNTA(半紙!$B$11:$B$310)+COUNTA(条幅!$B$11:$B$310),INDEX(条幅!$J$11:$J$310,827-COUNTA(半紙!$B$11:$B$310)),IF(827&lt;=COUNTA(半紙!$B$11:$B$310)+COUNTA(条幅!$B$11:$B$310)+COUNTA(条幅4分の1!$B$11:$B$310),INDEX(条幅4分の1!$J$11:$J$310,827-COUNTA(半紙!$B$11:$B$310)-COUNTA(条幅!$B$11:$B$310)),"")))=0,"",IF(827&lt;=COUNTA(半紙!$B$11:$B$310),INDEX(半紙!$J$11:$J$310,827),IF(827&lt;=COUNTA(半紙!$B$11:$B$310)+COUNTA(条幅!$B$11:$B$310),INDEX(条幅!$J$11:$J$310,827-COUNTA(半紙!$B$11:$B$310)),IF(827&lt;=COUNTA(半紙!$B$11:$B$310)+COUNTA(条幅!$B$11:$B$310)+COUNTA(条幅4分の1!$B$11:$B$310),INDEX(条幅4分の1!$J$11:$J$310,827-COUNTA(半紙!$B$11:$B$310)-COUNTA(条幅!$B$11:$B$310)),""))))</f>
        <v/>
      </c>
      <c r="K832" s="38" t="str">
        <f>IF(IF(827&lt;=COUNTA(半紙!$B$11:$B$310),INDEX(半紙!$K$11:$K$310,827),IF(827&lt;=COUNTA(半紙!$B$11:$B$310)+COUNTA(条幅!$B$11:$B$310),INDEX(条幅!$K$11:$K$310,827-COUNTA(半紙!$B$11:$B$310)),IF(827&lt;=COUNTA(半紙!$B$11:$B$310)+COUNTA(条幅!$B$11:$B$310)+COUNTA(条幅4分の1!$B$11:$B$310),INDEX(条幅4分の1!$K$11:$K$310,827-COUNTA(半紙!$B$11:$B$310)-COUNTA(条幅!$B$11:$B$310)),"")))=0,"",IF(827&lt;=COUNTA(半紙!$B$11:$B$310),INDEX(半紙!$K$11:$K$310,827),IF(827&lt;=COUNTA(半紙!$B$11:$B$310)+COUNTA(条幅!$B$11:$B$310),INDEX(条幅!$K$11:$K$310,827-COUNTA(半紙!$B$11:$B$310)),IF(827&lt;=COUNTA(半紙!$B$11:$B$310)+COUNTA(条幅!$B$11:$B$310)+COUNTA(条幅4分の1!$B$11:$B$310),INDEX(条幅4分の1!$K$11:$K$310,827-COUNTA(半紙!$B$11:$B$310)-COUNTA(条幅!$B$11:$B$310)),""))))</f>
        <v/>
      </c>
      <c r="L832" s="48" t="str">
        <f>IF($B832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827))</f>
        <v/>
      </c>
    </row>
    <row r="833" spans="1:12" ht="15" customHeight="1">
      <c r="A833" s="37" t="str">
        <f>IF(828&lt;=COUNTA(半紙!$B$11:$B$310),"半紙",IF(828&lt;=COUNTA(半紙!$B$11:$B$310)+COUNTA(条幅!$B$11:$B$310),"条幅(半切)",IF(828&lt;=COUNTA(半紙!$B$11:$B$310)+COUNTA(条幅!$B$11:$B$310)+COUNTA(条幅4分の1!$B$11:$B$310),"条幅(1/4)","")))</f>
        <v/>
      </c>
      <c r="B833" s="38" t="str">
        <f>IF(IF(828&lt;=COUNTA(半紙!$B$11:$B$310),INDEX(半紙!$B$11:$B$310,828),IF(828&lt;=COUNTA(半紙!$B$11:$B$310)+COUNTA(条幅!$B$11:$B$310),INDEX(条幅!$B$11:$B$310,828-COUNTA(半紙!$B$11:$B$310)),IF(828&lt;=COUNTA(半紙!$B$11:$B$310)+COUNTA(条幅!$B$11:$B$310)+COUNTA(条幅4分の1!$B$11:$B$310),INDEX(条幅4分の1!$B$11:$B$310,828-COUNTA(半紙!$B$11:$B$310)-COUNTA(条幅!$B$11:$B$310)),"")))=0,"",IF(828&lt;=COUNTA(半紙!$B$11:$B$310),INDEX(半紙!$B$11:$B$310,828),IF(828&lt;=COUNTA(半紙!$B$11:$B$310)+COUNTA(条幅!$B$11:$B$310),INDEX(条幅!$B$11:$B$310,828-COUNTA(半紙!$B$11:$B$310)),IF(828&lt;=COUNTA(半紙!$B$11:$B$310)+COUNTA(条幅!$B$11:$B$310)+COUNTA(条幅4分の1!$B$11:$B$310),INDEX(条幅4分の1!$B$11:$B$310,828-COUNTA(半紙!$B$11:$B$310)-COUNTA(条幅!$B$11:$B$310)),""))))</f>
        <v/>
      </c>
      <c r="C833" s="38" t="str">
        <f>IF(IF(828&lt;=COUNTA(半紙!$B$11:$B$310),INDEX(半紙!$C$11:$C$310,828),IF(828&lt;=COUNTA(半紙!$B$11:$B$310)+COUNTA(条幅!$B$11:$B$310),INDEX(条幅!$C$11:$C$310,828-COUNTA(半紙!$B$11:$B$310)),IF(828&lt;=COUNTA(半紙!$B$11:$B$310)+COUNTA(条幅!$B$11:$B$310)+COUNTA(条幅4分の1!$B$11:$B$310),INDEX(条幅4分の1!$C$11:$C$310,828-COUNTA(半紙!$B$11:$B$310)-COUNTA(条幅!$B$11:$B$310)),"")))=0,"",IF(828&lt;=COUNTA(半紙!$B$11:$B$310),INDEX(半紙!$C$11:$C$310,828),IF(828&lt;=COUNTA(半紙!$B$11:$B$310)+COUNTA(条幅!$B$11:$B$310),INDEX(条幅!$C$11:$C$310,828-COUNTA(半紙!$B$11:$B$310)),IF(828&lt;=COUNTA(半紙!$B$11:$B$310)+COUNTA(条幅!$B$11:$B$310)+COUNTA(条幅4分の1!$B$11:$B$310),INDEX(条幅4分の1!$C$11:$C$310,828-COUNTA(半紙!$B$11:$B$310)-COUNTA(条幅!$B$11:$B$310)),""))))</f>
        <v/>
      </c>
      <c r="D833" s="38" t="str">
        <f>IF(IF(828&lt;=COUNTA(半紙!$B$11:$B$310),INDEX(半紙!$D$11:$D$310,828),IF(828&lt;=COUNTA(半紙!$B$11:$B$310)+COUNTA(条幅!$B$11:$B$310),INDEX(条幅!$D$11:$D$310,828-COUNTA(半紙!$B$11:$B$310)),IF(828&lt;=COUNTA(半紙!$B$11:$B$310)+COUNTA(条幅!$B$11:$B$310)+COUNTA(条幅4分の1!$B$11:$B$310),INDEX(条幅4分の1!$D$11:$D$310,828-COUNTA(半紙!$B$11:$B$310)-COUNTA(条幅!$B$11:$B$310)),"")))=0,"",IF(828&lt;=COUNTA(半紙!$B$11:$B$310),INDEX(半紙!$D$11:$D$310,828),IF(828&lt;=COUNTA(半紙!$B$11:$B$310)+COUNTA(条幅!$B$11:$B$310),INDEX(条幅!$D$11:$D$310,828-COUNTA(半紙!$B$11:$B$310)),IF(828&lt;=COUNTA(半紙!$B$11:$B$310)+COUNTA(条幅!$B$11:$B$310)+COUNTA(条幅4分の1!$B$11:$B$310),INDEX(条幅4分の1!$D$11:$D$310,828-COUNTA(半紙!$B$11:$B$310)-COUNTA(条幅!$B$11:$B$310)),""))))</f>
        <v/>
      </c>
      <c r="E833" s="38" t="str">
        <f>IF(IF(828&lt;=COUNTA(半紙!$B$11:$B$310),INDEX(半紙!$E$11:$E$310,828),IF(828&lt;=COUNTA(半紙!$B$11:$B$310)+COUNTA(条幅!$B$11:$B$310),INDEX(条幅!$E$11:$E$310,828-COUNTA(半紙!$B$11:$B$310)),IF(828&lt;=COUNTA(半紙!$B$11:$B$310)+COUNTA(条幅!$B$11:$B$310)+COUNTA(条幅4分の1!$B$11:$B$310),INDEX(条幅4分の1!$E$11:$E$310,828-COUNTA(半紙!$B$11:$B$310)-COUNTA(条幅!$B$11:$B$310)),"")))=0,"",IF(828&lt;=COUNTA(半紙!$B$11:$B$310),INDEX(半紙!$E$11:$E$310,828),IF(828&lt;=COUNTA(半紙!$B$11:$B$310)+COUNTA(条幅!$B$11:$B$310),INDEX(条幅!$E$11:$E$310,828-COUNTA(半紙!$B$11:$B$310)),IF(828&lt;=COUNTA(半紙!$B$11:$B$310)+COUNTA(条幅!$B$11:$B$310)+COUNTA(条幅4分の1!$B$11:$B$310),INDEX(条幅4分の1!$E$11:$E$310,828-COUNTA(半紙!$B$11:$B$310)-COUNTA(条幅!$B$11:$B$310)),""))))</f>
        <v/>
      </c>
      <c r="F833" s="38" t="str">
        <f>IF(IF(828&lt;=COUNTA(半紙!$B$11:$B$310),INDEX(半紙!$F$11:$F$310,828),IF(828&lt;=COUNTA(半紙!$B$11:$B$310)+COUNTA(条幅!$B$11:$B$310),INDEX(条幅!$F$11:$F$310,828-COUNTA(半紙!$B$11:$B$310)),IF(828&lt;=COUNTA(半紙!$B$11:$B$310)+COUNTA(条幅!$B$11:$B$310)+COUNTA(条幅4分の1!$B$11:$B$310),INDEX(条幅4分の1!$F$11:$F$310,828-COUNTA(半紙!$B$11:$B$310)-COUNTA(条幅!$B$11:$B$310)),"")))=0,"",IF(828&lt;=COUNTA(半紙!$B$11:$B$310),INDEX(半紙!$F$11:$F$310,828),IF(828&lt;=COUNTA(半紙!$B$11:$B$310)+COUNTA(条幅!$B$11:$B$310),INDEX(条幅!$F$11:$F$310,828-COUNTA(半紙!$B$11:$B$310)),IF(828&lt;=COUNTA(半紙!$B$11:$B$310)+COUNTA(条幅!$B$11:$B$310)+COUNTA(条幅4分の1!$B$11:$B$310),INDEX(条幅4分の1!$F$11:$F$310,828-COUNTA(半紙!$B$11:$B$310)-COUNTA(条幅!$B$11:$B$310)),""))))</f>
        <v/>
      </c>
      <c r="G833" s="38" t="str">
        <f>IF(IF(828&lt;=COUNTA(半紙!$B$11:$B$310),INDEX(半紙!$G$11:$G$310,828),IF(828&lt;=COUNTA(半紙!$B$11:$B$310)+COUNTA(条幅!$B$11:$B$310),INDEX(条幅!$G$11:$G$310,828-COUNTA(半紙!$B$11:$B$310)),IF(828&lt;=COUNTA(半紙!$B$11:$B$310)+COUNTA(条幅!$B$11:$B$310)+COUNTA(条幅4分の1!$B$11:$B$310),INDEX(条幅4分の1!$G$11:$G$310,828-COUNTA(半紙!$B$11:$B$310)-COUNTA(条幅!$B$11:$B$310)),"")))=0,"",IF(828&lt;=COUNTA(半紙!$B$11:$B$310),INDEX(半紙!$G$11:$G$310,828),IF(828&lt;=COUNTA(半紙!$B$11:$B$310)+COUNTA(条幅!$B$11:$B$310),INDEX(条幅!$G$11:$G$310,828-COUNTA(半紙!$B$11:$B$310)),IF(828&lt;=COUNTA(半紙!$B$11:$B$310)+COUNTA(条幅!$B$11:$B$310)+COUNTA(条幅4分の1!$B$11:$B$310),INDEX(条幅4分の1!$G$11:$G$310,828-COUNTA(半紙!$B$11:$B$310)-COUNTA(条幅!$B$11:$B$310)),""))))</f>
        <v/>
      </c>
      <c r="H833" s="38" t="str">
        <f>IF(IF(828&lt;=COUNTA(半紙!$B$11:$B$310),INDEX(半紙!$H$11:$H$310,828),IF(828&lt;=COUNTA(半紙!$B$11:$B$310)+COUNTA(条幅!$B$11:$B$310),INDEX(条幅!$H$11:$H$310,828-COUNTA(半紙!$B$11:$B$310)),IF(828&lt;=COUNTA(半紙!$B$11:$B$310)+COUNTA(条幅!$B$11:$B$310)+COUNTA(条幅4分の1!$B$11:$B$310),INDEX(条幅4分の1!$H$11:$H$310,828-COUNTA(半紙!$B$11:$B$310)-COUNTA(条幅!$B$11:$B$310)),"")))=0,"",IF(828&lt;=COUNTA(半紙!$B$11:$B$310),INDEX(半紙!$H$11:$H$310,828),IF(828&lt;=COUNTA(半紙!$B$11:$B$310)+COUNTA(条幅!$B$11:$B$310),INDEX(条幅!$H$11:$H$310,828-COUNTA(半紙!$B$11:$B$310)),IF(828&lt;=COUNTA(半紙!$B$11:$B$310)+COUNTA(条幅!$B$11:$B$310)+COUNTA(条幅4分の1!$B$11:$B$310),INDEX(条幅4分の1!$H$11:$H$310,828-COUNTA(半紙!$B$11:$B$310)-COUNTA(条幅!$B$11:$B$310)),""))))</f>
        <v/>
      </c>
      <c r="I833" s="38" t="str">
        <f>IF(IF(828&lt;=COUNTA(半紙!$B$11:$B$310),INDEX(半紙!$I$11:$I$310,828),IF(828&lt;=COUNTA(半紙!$B$11:$B$310)+COUNTA(条幅!$B$11:$B$310),INDEX(条幅!$I$11:$I$310,828-COUNTA(半紙!$B$11:$B$310)),IF(828&lt;=COUNTA(半紙!$B$11:$B$310)+COUNTA(条幅!$B$11:$B$310)+COUNTA(条幅4分の1!$B$11:$B$310),INDEX(条幅4分の1!$I$11:$I$310,828-COUNTA(半紙!$B$11:$B$310)-COUNTA(条幅!$B$11:$B$310)),"")))=0,"",IF(828&lt;=COUNTA(半紙!$B$11:$B$310),INDEX(半紙!$I$11:$I$310,828),IF(828&lt;=COUNTA(半紙!$B$11:$B$310)+COUNTA(条幅!$B$11:$B$310),INDEX(条幅!$I$11:$I$310,828-COUNTA(半紙!$B$11:$B$310)),IF(828&lt;=COUNTA(半紙!$B$11:$B$310)+COUNTA(条幅!$B$11:$B$310)+COUNTA(条幅4分の1!$B$11:$B$310),INDEX(条幅4分の1!$I$11:$I$310,828-COUNTA(半紙!$B$11:$B$310)-COUNTA(条幅!$B$11:$B$310)),""))))</f>
        <v/>
      </c>
      <c r="J833" s="38" t="str">
        <f>IF(IF(828&lt;=COUNTA(半紙!$B$11:$B$310),INDEX(半紙!$J$11:$J$310,828),IF(828&lt;=COUNTA(半紙!$B$11:$B$310)+COUNTA(条幅!$B$11:$B$310),INDEX(条幅!$J$11:$J$310,828-COUNTA(半紙!$B$11:$B$310)),IF(828&lt;=COUNTA(半紙!$B$11:$B$310)+COUNTA(条幅!$B$11:$B$310)+COUNTA(条幅4分の1!$B$11:$B$310),INDEX(条幅4分の1!$J$11:$J$310,828-COUNTA(半紙!$B$11:$B$310)-COUNTA(条幅!$B$11:$B$310)),"")))=0,"",IF(828&lt;=COUNTA(半紙!$B$11:$B$310),INDEX(半紙!$J$11:$J$310,828),IF(828&lt;=COUNTA(半紙!$B$11:$B$310)+COUNTA(条幅!$B$11:$B$310),INDEX(条幅!$J$11:$J$310,828-COUNTA(半紙!$B$11:$B$310)),IF(828&lt;=COUNTA(半紙!$B$11:$B$310)+COUNTA(条幅!$B$11:$B$310)+COUNTA(条幅4分の1!$B$11:$B$310),INDEX(条幅4分の1!$J$11:$J$310,828-COUNTA(半紙!$B$11:$B$310)-COUNTA(条幅!$B$11:$B$310)),""))))</f>
        <v/>
      </c>
      <c r="K833" s="38" t="str">
        <f>IF(IF(828&lt;=COUNTA(半紙!$B$11:$B$310),INDEX(半紙!$K$11:$K$310,828),IF(828&lt;=COUNTA(半紙!$B$11:$B$310)+COUNTA(条幅!$B$11:$B$310),INDEX(条幅!$K$11:$K$310,828-COUNTA(半紙!$B$11:$B$310)),IF(828&lt;=COUNTA(半紙!$B$11:$B$310)+COUNTA(条幅!$B$11:$B$310)+COUNTA(条幅4分の1!$B$11:$B$310),INDEX(条幅4分の1!$K$11:$K$310,828-COUNTA(半紙!$B$11:$B$310)-COUNTA(条幅!$B$11:$B$310)),"")))=0,"",IF(828&lt;=COUNTA(半紙!$B$11:$B$310),INDEX(半紙!$K$11:$K$310,828),IF(828&lt;=COUNTA(半紙!$B$11:$B$310)+COUNTA(条幅!$B$11:$B$310),INDEX(条幅!$K$11:$K$310,828-COUNTA(半紙!$B$11:$B$310)),IF(828&lt;=COUNTA(半紙!$B$11:$B$310)+COUNTA(条幅!$B$11:$B$310)+COUNTA(条幅4分の1!$B$11:$B$310),INDEX(条幅4分の1!$K$11:$K$310,828-COUNTA(半紙!$B$11:$B$310)-COUNTA(条幅!$B$11:$B$310)),""))))</f>
        <v/>
      </c>
      <c r="L833" s="48" t="str">
        <f>IF($B833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828))</f>
        <v/>
      </c>
    </row>
    <row r="834" spans="1:12" ht="15" customHeight="1">
      <c r="A834" s="37" t="str">
        <f>IF(829&lt;=COUNTA(半紙!$B$11:$B$310),"半紙",IF(829&lt;=COUNTA(半紙!$B$11:$B$310)+COUNTA(条幅!$B$11:$B$310),"条幅(半切)",IF(829&lt;=COUNTA(半紙!$B$11:$B$310)+COUNTA(条幅!$B$11:$B$310)+COUNTA(条幅4分の1!$B$11:$B$310),"条幅(1/4)","")))</f>
        <v/>
      </c>
      <c r="B834" s="38" t="str">
        <f>IF(IF(829&lt;=COUNTA(半紙!$B$11:$B$310),INDEX(半紙!$B$11:$B$310,829),IF(829&lt;=COUNTA(半紙!$B$11:$B$310)+COUNTA(条幅!$B$11:$B$310),INDEX(条幅!$B$11:$B$310,829-COUNTA(半紙!$B$11:$B$310)),IF(829&lt;=COUNTA(半紙!$B$11:$B$310)+COUNTA(条幅!$B$11:$B$310)+COUNTA(条幅4分の1!$B$11:$B$310),INDEX(条幅4分の1!$B$11:$B$310,829-COUNTA(半紙!$B$11:$B$310)-COUNTA(条幅!$B$11:$B$310)),"")))=0,"",IF(829&lt;=COUNTA(半紙!$B$11:$B$310),INDEX(半紙!$B$11:$B$310,829),IF(829&lt;=COUNTA(半紙!$B$11:$B$310)+COUNTA(条幅!$B$11:$B$310),INDEX(条幅!$B$11:$B$310,829-COUNTA(半紙!$B$11:$B$310)),IF(829&lt;=COUNTA(半紙!$B$11:$B$310)+COUNTA(条幅!$B$11:$B$310)+COUNTA(条幅4分の1!$B$11:$B$310),INDEX(条幅4分の1!$B$11:$B$310,829-COUNTA(半紙!$B$11:$B$310)-COUNTA(条幅!$B$11:$B$310)),""))))</f>
        <v/>
      </c>
      <c r="C834" s="38" t="str">
        <f>IF(IF(829&lt;=COUNTA(半紙!$B$11:$B$310),INDEX(半紙!$C$11:$C$310,829),IF(829&lt;=COUNTA(半紙!$B$11:$B$310)+COUNTA(条幅!$B$11:$B$310),INDEX(条幅!$C$11:$C$310,829-COUNTA(半紙!$B$11:$B$310)),IF(829&lt;=COUNTA(半紙!$B$11:$B$310)+COUNTA(条幅!$B$11:$B$310)+COUNTA(条幅4分の1!$B$11:$B$310),INDEX(条幅4分の1!$C$11:$C$310,829-COUNTA(半紙!$B$11:$B$310)-COUNTA(条幅!$B$11:$B$310)),"")))=0,"",IF(829&lt;=COUNTA(半紙!$B$11:$B$310),INDEX(半紙!$C$11:$C$310,829),IF(829&lt;=COUNTA(半紙!$B$11:$B$310)+COUNTA(条幅!$B$11:$B$310),INDEX(条幅!$C$11:$C$310,829-COUNTA(半紙!$B$11:$B$310)),IF(829&lt;=COUNTA(半紙!$B$11:$B$310)+COUNTA(条幅!$B$11:$B$310)+COUNTA(条幅4分の1!$B$11:$B$310),INDEX(条幅4分の1!$C$11:$C$310,829-COUNTA(半紙!$B$11:$B$310)-COUNTA(条幅!$B$11:$B$310)),""))))</f>
        <v/>
      </c>
      <c r="D834" s="38" t="str">
        <f>IF(IF(829&lt;=COUNTA(半紙!$B$11:$B$310),INDEX(半紙!$D$11:$D$310,829),IF(829&lt;=COUNTA(半紙!$B$11:$B$310)+COUNTA(条幅!$B$11:$B$310),INDEX(条幅!$D$11:$D$310,829-COUNTA(半紙!$B$11:$B$310)),IF(829&lt;=COUNTA(半紙!$B$11:$B$310)+COUNTA(条幅!$B$11:$B$310)+COUNTA(条幅4分の1!$B$11:$B$310),INDEX(条幅4分の1!$D$11:$D$310,829-COUNTA(半紙!$B$11:$B$310)-COUNTA(条幅!$B$11:$B$310)),"")))=0,"",IF(829&lt;=COUNTA(半紙!$B$11:$B$310),INDEX(半紙!$D$11:$D$310,829),IF(829&lt;=COUNTA(半紙!$B$11:$B$310)+COUNTA(条幅!$B$11:$B$310),INDEX(条幅!$D$11:$D$310,829-COUNTA(半紙!$B$11:$B$310)),IF(829&lt;=COUNTA(半紙!$B$11:$B$310)+COUNTA(条幅!$B$11:$B$310)+COUNTA(条幅4分の1!$B$11:$B$310),INDEX(条幅4分の1!$D$11:$D$310,829-COUNTA(半紙!$B$11:$B$310)-COUNTA(条幅!$B$11:$B$310)),""))))</f>
        <v/>
      </c>
      <c r="E834" s="38" t="str">
        <f>IF(IF(829&lt;=COUNTA(半紙!$B$11:$B$310),INDEX(半紙!$E$11:$E$310,829),IF(829&lt;=COUNTA(半紙!$B$11:$B$310)+COUNTA(条幅!$B$11:$B$310),INDEX(条幅!$E$11:$E$310,829-COUNTA(半紙!$B$11:$B$310)),IF(829&lt;=COUNTA(半紙!$B$11:$B$310)+COUNTA(条幅!$B$11:$B$310)+COUNTA(条幅4分の1!$B$11:$B$310),INDEX(条幅4分の1!$E$11:$E$310,829-COUNTA(半紙!$B$11:$B$310)-COUNTA(条幅!$B$11:$B$310)),"")))=0,"",IF(829&lt;=COUNTA(半紙!$B$11:$B$310),INDEX(半紙!$E$11:$E$310,829),IF(829&lt;=COUNTA(半紙!$B$11:$B$310)+COUNTA(条幅!$B$11:$B$310),INDEX(条幅!$E$11:$E$310,829-COUNTA(半紙!$B$11:$B$310)),IF(829&lt;=COUNTA(半紙!$B$11:$B$310)+COUNTA(条幅!$B$11:$B$310)+COUNTA(条幅4分の1!$B$11:$B$310),INDEX(条幅4分の1!$E$11:$E$310,829-COUNTA(半紙!$B$11:$B$310)-COUNTA(条幅!$B$11:$B$310)),""))))</f>
        <v/>
      </c>
      <c r="F834" s="38" t="str">
        <f>IF(IF(829&lt;=COUNTA(半紙!$B$11:$B$310),INDEX(半紙!$F$11:$F$310,829),IF(829&lt;=COUNTA(半紙!$B$11:$B$310)+COUNTA(条幅!$B$11:$B$310),INDEX(条幅!$F$11:$F$310,829-COUNTA(半紙!$B$11:$B$310)),IF(829&lt;=COUNTA(半紙!$B$11:$B$310)+COUNTA(条幅!$B$11:$B$310)+COUNTA(条幅4分の1!$B$11:$B$310),INDEX(条幅4分の1!$F$11:$F$310,829-COUNTA(半紙!$B$11:$B$310)-COUNTA(条幅!$B$11:$B$310)),"")))=0,"",IF(829&lt;=COUNTA(半紙!$B$11:$B$310),INDEX(半紙!$F$11:$F$310,829),IF(829&lt;=COUNTA(半紙!$B$11:$B$310)+COUNTA(条幅!$B$11:$B$310),INDEX(条幅!$F$11:$F$310,829-COUNTA(半紙!$B$11:$B$310)),IF(829&lt;=COUNTA(半紙!$B$11:$B$310)+COUNTA(条幅!$B$11:$B$310)+COUNTA(条幅4分の1!$B$11:$B$310),INDEX(条幅4分の1!$F$11:$F$310,829-COUNTA(半紙!$B$11:$B$310)-COUNTA(条幅!$B$11:$B$310)),""))))</f>
        <v/>
      </c>
      <c r="G834" s="38" t="str">
        <f>IF(IF(829&lt;=COUNTA(半紙!$B$11:$B$310),INDEX(半紙!$G$11:$G$310,829),IF(829&lt;=COUNTA(半紙!$B$11:$B$310)+COUNTA(条幅!$B$11:$B$310),INDEX(条幅!$G$11:$G$310,829-COUNTA(半紙!$B$11:$B$310)),IF(829&lt;=COUNTA(半紙!$B$11:$B$310)+COUNTA(条幅!$B$11:$B$310)+COUNTA(条幅4分の1!$B$11:$B$310),INDEX(条幅4分の1!$G$11:$G$310,829-COUNTA(半紙!$B$11:$B$310)-COUNTA(条幅!$B$11:$B$310)),"")))=0,"",IF(829&lt;=COUNTA(半紙!$B$11:$B$310),INDEX(半紙!$G$11:$G$310,829),IF(829&lt;=COUNTA(半紙!$B$11:$B$310)+COUNTA(条幅!$B$11:$B$310),INDEX(条幅!$G$11:$G$310,829-COUNTA(半紙!$B$11:$B$310)),IF(829&lt;=COUNTA(半紙!$B$11:$B$310)+COUNTA(条幅!$B$11:$B$310)+COUNTA(条幅4分の1!$B$11:$B$310),INDEX(条幅4分の1!$G$11:$G$310,829-COUNTA(半紙!$B$11:$B$310)-COUNTA(条幅!$B$11:$B$310)),""))))</f>
        <v/>
      </c>
      <c r="H834" s="38" t="str">
        <f>IF(IF(829&lt;=COUNTA(半紙!$B$11:$B$310),INDEX(半紙!$H$11:$H$310,829),IF(829&lt;=COUNTA(半紙!$B$11:$B$310)+COUNTA(条幅!$B$11:$B$310),INDEX(条幅!$H$11:$H$310,829-COUNTA(半紙!$B$11:$B$310)),IF(829&lt;=COUNTA(半紙!$B$11:$B$310)+COUNTA(条幅!$B$11:$B$310)+COUNTA(条幅4分の1!$B$11:$B$310),INDEX(条幅4分の1!$H$11:$H$310,829-COUNTA(半紙!$B$11:$B$310)-COUNTA(条幅!$B$11:$B$310)),"")))=0,"",IF(829&lt;=COUNTA(半紙!$B$11:$B$310),INDEX(半紙!$H$11:$H$310,829),IF(829&lt;=COUNTA(半紙!$B$11:$B$310)+COUNTA(条幅!$B$11:$B$310),INDEX(条幅!$H$11:$H$310,829-COUNTA(半紙!$B$11:$B$310)),IF(829&lt;=COUNTA(半紙!$B$11:$B$310)+COUNTA(条幅!$B$11:$B$310)+COUNTA(条幅4分の1!$B$11:$B$310),INDEX(条幅4分の1!$H$11:$H$310,829-COUNTA(半紙!$B$11:$B$310)-COUNTA(条幅!$B$11:$B$310)),""))))</f>
        <v/>
      </c>
      <c r="I834" s="38" t="str">
        <f>IF(IF(829&lt;=COUNTA(半紙!$B$11:$B$310),INDEX(半紙!$I$11:$I$310,829),IF(829&lt;=COUNTA(半紙!$B$11:$B$310)+COUNTA(条幅!$B$11:$B$310),INDEX(条幅!$I$11:$I$310,829-COUNTA(半紙!$B$11:$B$310)),IF(829&lt;=COUNTA(半紙!$B$11:$B$310)+COUNTA(条幅!$B$11:$B$310)+COUNTA(条幅4分の1!$B$11:$B$310),INDEX(条幅4分の1!$I$11:$I$310,829-COUNTA(半紙!$B$11:$B$310)-COUNTA(条幅!$B$11:$B$310)),"")))=0,"",IF(829&lt;=COUNTA(半紙!$B$11:$B$310),INDEX(半紙!$I$11:$I$310,829),IF(829&lt;=COUNTA(半紙!$B$11:$B$310)+COUNTA(条幅!$B$11:$B$310),INDEX(条幅!$I$11:$I$310,829-COUNTA(半紙!$B$11:$B$310)),IF(829&lt;=COUNTA(半紙!$B$11:$B$310)+COUNTA(条幅!$B$11:$B$310)+COUNTA(条幅4分の1!$B$11:$B$310),INDEX(条幅4分の1!$I$11:$I$310,829-COUNTA(半紙!$B$11:$B$310)-COUNTA(条幅!$B$11:$B$310)),""))))</f>
        <v/>
      </c>
      <c r="J834" s="38" t="str">
        <f>IF(IF(829&lt;=COUNTA(半紙!$B$11:$B$310),INDEX(半紙!$J$11:$J$310,829),IF(829&lt;=COUNTA(半紙!$B$11:$B$310)+COUNTA(条幅!$B$11:$B$310),INDEX(条幅!$J$11:$J$310,829-COUNTA(半紙!$B$11:$B$310)),IF(829&lt;=COUNTA(半紙!$B$11:$B$310)+COUNTA(条幅!$B$11:$B$310)+COUNTA(条幅4分の1!$B$11:$B$310),INDEX(条幅4分の1!$J$11:$J$310,829-COUNTA(半紙!$B$11:$B$310)-COUNTA(条幅!$B$11:$B$310)),"")))=0,"",IF(829&lt;=COUNTA(半紙!$B$11:$B$310),INDEX(半紙!$J$11:$J$310,829),IF(829&lt;=COUNTA(半紙!$B$11:$B$310)+COUNTA(条幅!$B$11:$B$310),INDEX(条幅!$J$11:$J$310,829-COUNTA(半紙!$B$11:$B$310)),IF(829&lt;=COUNTA(半紙!$B$11:$B$310)+COUNTA(条幅!$B$11:$B$310)+COUNTA(条幅4分の1!$B$11:$B$310),INDEX(条幅4分の1!$J$11:$J$310,829-COUNTA(半紙!$B$11:$B$310)-COUNTA(条幅!$B$11:$B$310)),""))))</f>
        <v/>
      </c>
      <c r="K834" s="38" t="str">
        <f>IF(IF(829&lt;=COUNTA(半紙!$B$11:$B$310),INDEX(半紙!$K$11:$K$310,829),IF(829&lt;=COUNTA(半紙!$B$11:$B$310)+COUNTA(条幅!$B$11:$B$310),INDEX(条幅!$K$11:$K$310,829-COUNTA(半紙!$B$11:$B$310)),IF(829&lt;=COUNTA(半紙!$B$11:$B$310)+COUNTA(条幅!$B$11:$B$310)+COUNTA(条幅4分の1!$B$11:$B$310),INDEX(条幅4分の1!$K$11:$K$310,829-COUNTA(半紙!$B$11:$B$310)-COUNTA(条幅!$B$11:$B$310)),"")))=0,"",IF(829&lt;=COUNTA(半紙!$B$11:$B$310),INDEX(半紙!$K$11:$K$310,829),IF(829&lt;=COUNTA(半紙!$B$11:$B$310)+COUNTA(条幅!$B$11:$B$310),INDEX(条幅!$K$11:$K$310,829-COUNTA(半紙!$B$11:$B$310)),IF(829&lt;=COUNTA(半紙!$B$11:$B$310)+COUNTA(条幅!$B$11:$B$310)+COUNTA(条幅4分の1!$B$11:$B$310),INDEX(条幅4分の1!$K$11:$K$310,829-COUNTA(半紙!$B$11:$B$310)-COUNTA(条幅!$B$11:$B$310)),""))))</f>
        <v/>
      </c>
      <c r="L834" s="48" t="str">
        <f>IF($B834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829))</f>
        <v/>
      </c>
    </row>
    <row r="835" spans="1:12" ht="15" customHeight="1">
      <c r="A835" s="37" t="str">
        <f>IF(830&lt;=COUNTA(半紙!$B$11:$B$310),"半紙",IF(830&lt;=COUNTA(半紙!$B$11:$B$310)+COUNTA(条幅!$B$11:$B$310),"条幅(半切)",IF(830&lt;=COUNTA(半紙!$B$11:$B$310)+COUNTA(条幅!$B$11:$B$310)+COUNTA(条幅4分の1!$B$11:$B$310),"条幅(1/4)","")))</f>
        <v/>
      </c>
      <c r="B835" s="38" t="str">
        <f>IF(IF(830&lt;=COUNTA(半紙!$B$11:$B$310),INDEX(半紙!$B$11:$B$310,830),IF(830&lt;=COUNTA(半紙!$B$11:$B$310)+COUNTA(条幅!$B$11:$B$310),INDEX(条幅!$B$11:$B$310,830-COUNTA(半紙!$B$11:$B$310)),IF(830&lt;=COUNTA(半紙!$B$11:$B$310)+COUNTA(条幅!$B$11:$B$310)+COUNTA(条幅4分の1!$B$11:$B$310),INDEX(条幅4分の1!$B$11:$B$310,830-COUNTA(半紙!$B$11:$B$310)-COUNTA(条幅!$B$11:$B$310)),"")))=0,"",IF(830&lt;=COUNTA(半紙!$B$11:$B$310),INDEX(半紙!$B$11:$B$310,830),IF(830&lt;=COUNTA(半紙!$B$11:$B$310)+COUNTA(条幅!$B$11:$B$310),INDEX(条幅!$B$11:$B$310,830-COUNTA(半紙!$B$11:$B$310)),IF(830&lt;=COUNTA(半紙!$B$11:$B$310)+COUNTA(条幅!$B$11:$B$310)+COUNTA(条幅4分の1!$B$11:$B$310),INDEX(条幅4分の1!$B$11:$B$310,830-COUNTA(半紙!$B$11:$B$310)-COUNTA(条幅!$B$11:$B$310)),""))))</f>
        <v/>
      </c>
      <c r="C835" s="38" t="str">
        <f>IF(IF(830&lt;=COUNTA(半紙!$B$11:$B$310),INDEX(半紙!$C$11:$C$310,830),IF(830&lt;=COUNTA(半紙!$B$11:$B$310)+COUNTA(条幅!$B$11:$B$310),INDEX(条幅!$C$11:$C$310,830-COUNTA(半紙!$B$11:$B$310)),IF(830&lt;=COUNTA(半紙!$B$11:$B$310)+COUNTA(条幅!$B$11:$B$310)+COUNTA(条幅4分の1!$B$11:$B$310),INDEX(条幅4分の1!$C$11:$C$310,830-COUNTA(半紙!$B$11:$B$310)-COUNTA(条幅!$B$11:$B$310)),"")))=0,"",IF(830&lt;=COUNTA(半紙!$B$11:$B$310),INDEX(半紙!$C$11:$C$310,830),IF(830&lt;=COUNTA(半紙!$B$11:$B$310)+COUNTA(条幅!$B$11:$B$310),INDEX(条幅!$C$11:$C$310,830-COUNTA(半紙!$B$11:$B$310)),IF(830&lt;=COUNTA(半紙!$B$11:$B$310)+COUNTA(条幅!$B$11:$B$310)+COUNTA(条幅4分の1!$B$11:$B$310),INDEX(条幅4分の1!$C$11:$C$310,830-COUNTA(半紙!$B$11:$B$310)-COUNTA(条幅!$B$11:$B$310)),""))))</f>
        <v/>
      </c>
      <c r="D835" s="38" t="str">
        <f>IF(IF(830&lt;=COUNTA(半紙!$B$11:$B$310),INDEX(半紙!$D$11:$D$310,830),IF(830&lt;=COUNTA(半紙!$B$11:$B$310)+COUNTA(条幅!$B$11:$B$310),INDEX(条幅!$D$11:$D$310,830-COUNTA(半紙!$B$11:$B$310)),IF(830&lt;=COUNTA(半紙!$B$11:$B$310)+COUNTA(条幅!$B$11:$B$310)+COUNTA(条幅4分の1!$B$11:$B$310),INDEX(条幅4分の1!$D$11:$D$310,830-COUNTA(半紙!$B$11:$B$310)-COUNTA(条幅!$B$11:$B$310)),"")))=0,"",IF(830&lt;=COUNTA(半紙!$B$11:$B$310),INDEX(半紙!$D$11:$D$310,830),IF(830&lt;=COUNTA(半紙!$B$11:$B$310)+COUNTA(条幅!$B$11:$B$310),INDEX(条幅!$D$11:$D$310,830-COUNTA(半紙!$B$11:$B$310)),IF(830&lt;=COUNTA(半紙!$B$11:$B$310)+COUNTA(条幅!$B$11:$B$310)+COUNTA(条幅4分の1!$B$11:$B$310),INDEX(条幅4分の1!$D$11:$D$310,830-COUNTA(半紙!$B$11:$B$310)-COUNTA(条幅!$B$11:$B$310)),""))))</f>
        <v/>
      </c>
      <c r="E835" s="38" t="str">
        <f>IF(IF(830&lt;=COUNTA(半紙!$B$11:$B$310),INDEX(半紙!$E$11:$E$310,830),IF(830&lt;=COUNTA(半紙!$B$11:$B$310)+COUNTA(条幅!$B$11:$B$310),INDEX(条幅!$E$11:$E$310,830-COUNTA(半紙!$B$11:$B$310)),IF(830&lt;=COUNTA(半紙!$B$11:$B$310)+COUNTA(条幅!$B$11:$B$310)+COUNTA(条幅4分の1!$B$11:$B$310),INDEX(条幅4分の1!$E$11:$E$310,830-COUNTA(半紙!$B$11:$B$310)-COUNTA(条幅!$B$11:$B$310)),"")))=0,"",IF(830&lt;=COUNTA(半紙!$B$11:$B$310),INDEX(半紙!$E$11:$E$310,830),IF(830&lt;=COUNTA(半紙!$B$11:$B$310)+COUNTA(条幅!$B$11:$B$310),INDEX(条幅!$E$11:$E$310,830-COUNTA(半紙!$B$11:$B$310)),IF(830&lt;=COUNTA(半紙!$B$11:$B$310)+COUNTA(条幅!$B$11:$B$310)+COUNTA(条幅4分の1!$B$11:$B$310),INDEX(条幅4分の1!$E$11:$E$310,830-COUNTA(半紙!$B$11:$B$310)-COUNTA(条幅!$B$11:$B$310)),""))))</f>
        <v/>
      </c>
      <c r="F835" s="38" t="str">
        <f>IF(IF(830&lt;=COUNTA(半紙!$B$11:$B$310),INDEX(半紙!$F$11:$F$310,830),IF(830&lt;=COUNTA(半紙!$B$11:$B$310)+COUNTA(条幅!$B$11:$B$310),INDEX(条幅!$F$11:$F$310,830-COUNTA(半紙!$B$11:$B$310)),IF(830&lt;=COUNTA(半紙!$B$11:$B$310)+COUNTA(条幅!$B$11:$B$310)+COUNTA(条幅4分の1!$B$11:$B$310),INDEX(条幅4分の1!$F$11:$F$310,830-COUNTA(半紙!$B$11:$B$310)-COUNTA(条幅!$B$11:$B$310)),"")))=0,"",IF(830&lt;=COUNTA(半紙!$B$11:$B$310),INDEX(半紙!$F$11:$F$310,830),IF(830&lt;=COUNTA(半紙!$B$11:$B$310)+COUNTA(条幅!$B$11:$B$310),INDEX(条幅!$F$11:$F$310,830-COUNTA(半紙!$B$11:$B$310)),IF(830&lt;=COUNTA(半紙!$B$11:$B$310)+COUNTA(条幅!$B$11:$B$310)+COUNTA(条幅4分の1!$B$11:$B$310),INDEX(条幅4分の1!$F$11:$F$310,830-COUNTA(半紙!$B$11:$B$310)-COUNTA(条幅!$B$11:$B$310)),""))))</f>
        <v/>
      </c>
      <c r="G835" s="38" t="str">
        <f>IF(IF(830&lt;=COUNTA(半紙!$B$11:$B$310),INDEX(半紙!$G$11:$G$310,830),IF(830&lt;=COUNTA(半紙!$B$11:$B$310)+COUNTA(条幅!$B$11:$B$310),INDEX(条幅!$G$11:$G$310,830-COUNTA(半紙!$B$11:$B$310)),IF(830&lt;=COUNTA(半紙!$B$11:$B$310)+COUNTA(条幅!$B$11:$B$310)+COUNTA(条幅4分の1!$B$11:$B$310),INDEX(条幅4分の1!$G$11:$G$310,830-COUNTA(半紙!$B$11:$B$310)-COUNTA(条幅!$B$11:$B$310)),"")))=0,"",IF(830&lt;=COUNTA(半紙!$B$11:$B$310),INDEX(半紙!$G$11:$G$310,830),IF(830&lt;=COUNTA(半紙!$B$11:$B$310)+COUNTA(条幅!$B$11:$B$310),INDEX(条幅!$G$11:$G$310,830-COUNTA(半紙!$B$11:$B$310)),IF(830&lt;=COUNTA(半紙!$B$11:$B$310)+COUNTA(条幅!$B$11:$B$310)+COUNTA(条幅4分の1!$B$11:$B$310),INDEX(条幅4分の1!$G$11:$G$310,830-COUNTA(半紙!$B$11:$B$310)-COUNTA(条幅!$B$11:$B$310)),""))))</f>
        <v/>
      </c>
      <c r="H835" s="38" t="str">
        <f>IF(IF(830&lt;=COUNTA(半紙!$B$11:$B$310),INDEX(半紙!$H$11:$H$310,830),IF(830&lt;=COUNTA(半紙!$B$11:$B$310)+COUNTA(条幅!$B$11:$B$310),INDEX(条幅!$H$11:$H$310,830-COUNTA(半紙!$B$11:$B$310)),IF(830&lt;=COUNTA(半紙!$B$11:$B$310)+COUNTA(条幅!$B$11:$B$310)+COUNTA(条幅4分の1!$B$11:$B$310),INDEX(条幅4分の1!$H$11:$H$310,830-COUNTA(半紙!$B$11:$B$310)-COUNTA(条幅!$B$11:$B$310)),"")))=0,"",IF(830&lt;=COUNTA(半紙!$B$11:$B$310),INDEX(半紙!$H$11:$H$310,830),IF(830&lt;=COUNTA(半紙!$B$11:$B$310)+COUNTA(条幅!$B$11:$B$310),INDEX(条幅!$H$11:$H$310,830-COUNTA(半紙!$B$11:$B$310)),IF(830&lt;=COUNTA(半紙!$B$11:$B$310)+COUNTA(条幅!$B$11:$B$310)+COUNTA(条幅4分の1!$B$11:$B$310),INDEX(条幅4分の1!$H$11:$H$310,830-COUNTA(半紙!$B$11:$B$310)-COUNTA(条幅!$B$11:$B$310)),""))))</f>
        <v/>
      </c>
      <c r="I835" s="38" t="str">
        <f>IF(IF(830&lt;=COUNTA(半紙!$B$11:$B$310),INDEX(半紙!$I$11:$I$310,830),IF(830&lt;=COUNTA(半紙!$B$11:$B$310)+COUNTA(条幅!$B$11:$B$310),INDEX(条幅!$I$11:$I$310,830-COUNTA(半紙!$B$11:$B$310)),IF(830&lt;=COUNTA(半紙!$B$11:$B$310)+COUNTA(条幅!$B$11:$B$310)+COUNTA(条幅4分の1!$B$11:$B$310),INDEX(条幅4分の1!$I$11:$I$310,830-COUNTA(半紙!$B$11:$B$310)-COUNTA(条幅!$B$11:$B$310)),"")))=0,"",IF(830&lt;=COUNTA(半紙!$B$11:$B$310),INDEX(半紙!$I$11:$I$310,830),IF(830&lt;=COUNTA(半紙!$B$11:$B$310)+COUNTA(条幅!$B$11:$B$310),INDEX(条幅!$I$11:$I$310,830-COUNTA(半紙!$B$11:$B$310)),IF(830&lt;=COUNTA(半紙!$B$11:$B$310)+COUNTA(条幅!$B$11:$B$310)+COUNTA(条幅4分の1!$B$11:$B$310),INDEX(条幅4分の1!$I$11:$I$310,830-COUNTA(半紙!$B$11:$B$310)-COUNTA(条幅!$B$11:$B$310)),""))))</f>
        <v/>
      </c>
      <c r="J835" s="38" t="str">
        <f>IF(IF(830&lt;=COUNTA(半紙!$B$11:$B$310),INDEX(半紙!$J$11:$J$310,830),IF(830&lt;=COUNTA(半紙!$B$11:$B$310)+COUNTA(条幅!$B$11:$B$310),INDEX(条幅!$J$11:$J$310,830-COUNTA(半紙!$B$11:$B$310)),IF(830&lt;=COUNTA(半紙!$B$11:$B$310)+COUNTA(条幅!$B$11:$B$310)+COUNTA(条幅4分の1!$B$11:$B$310),INDEX(条幅4分の1!$J$11:$J$310,830-COUNTA(半紙!$B$11:$B$310)-COUNTA(条幅!$B$11:$B$310)),"")))=0,"",IF(830&lt;=COUNTA(半紙!$B$11:$B$310),INDEX(半紙!$J$11:$J$310,830),IF(830&lt;=COUNTA(半紙!$B$11:$B$310)+COUNTA(条幅!$B$11:$B$310),INDEX(条幅!$J$11:$J$310,830-COUNTA(半紙!$B$11:$B$310)),IF(830&lt;=COUNTA(半紙!$B$11:$B$310)+COUNTA(条幅!$B$11:$B$310)+COUNTA(条幅4分の1!$B$11:$B$310),INDEX(条幅4分の1!$J$11:$J$310,830-COUNTA(半紙!$B$11:$B$310)-COUNTA(条幅!$B$11:$B$310)),""))))</f>
        <v/>
      </c>
      <c r="K835" s="38" t="str">
        <f>IF(IF(830&lt;=COUNTA(半紙!$B$11:$B$310),INDEX(半紙!$K$11:$K$310,830),IF(830&lt;=COUNTA(半紙!$B$11:$B$310)+COUNTA(条幅!$B$11:$B$310),INDEX(条幅!$K$11:$K$310,830-COUNTA(半紙!$B$11:$B$310)),IF(830&lt;=COUNTA(半紙!$B$11:$B$310)+COUNTA(条幅!$B$11:$B$310)+COUNTA(条幅4分の1!$B$11:$B$310),INDEX(条幅4分の1!$K$11:$K$310,830-COUNTA(半紙!$B$11:$B$310)-COUNTA(条幅!$B$11:$B$310)),"")))=0,"",IF(830&lt;=COUNTA(半紙!$B$11:$B$310),INDEX(半紙!$K$11:$K$310,830),IF(830&lt;=COUNTA(半紙!$B$11:$B$310)+COUNTA(条幅!$B$11:$B$310),INDEX(条幅!$K$11:$K$310,830-COUNTA(半紙!$B$11:$B$310)),IF(830&lt;=COUNTA(半紙!$B$11:$B$310)+COUNTA(条幅!$B$11:$B$310)+COUNTA(条幅4分の1!$B$11:$B$310),INDEX(条幅4分の1!$K$11:$K$310,830-COUNTA(半紙!$B$11:$B$310)-COUNTA(条幅!$B$11:$B$310)),""))))</f>
        <v/>
      </c>
      <c r="L835" s="48" t="str">
        <f>IF($B835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830))</f>
        <v/>
      </c>
    </row>
    <row r="836" spans="1:12" ht="15" customHeight="1">
      <c r="A836" s="37" t="str">
        <f>IF(831&lt;=COUNTA(半紙!$B$11:$B$310),"半紙",IF(831&lt;=COUNTA(半紙!$B$11:$B$310)+COUNTA(条幅!$B$11:$B$310),"条幅(半切)",IF(831&lt;=COUNTA(半紙!$B$11:$B$310)+COUNTA(条幅!$B$11:$B$310)+COUNTA(条幅4分の1!$B$11:$B$310),"条幅(1/4)","")))</f>
        <v/>
      </c>
      <c r="B836" s="38" t="str">
        <f>IF(IF(831&lt;=COUNTA(半紙!$B$11:$B$310),INDEX(半紙!$B$11:$B$310,831),IF(831&lt;=COUNTA(半紙!$B$11:$B$310)+COUNTA(条幅!$B$11:$B$310),INDEX(条幅!$B$11:$B$310,831-COUNTA(半紙!$B$11:$B$310)),IF(831&lt;=COUNTA(半紙!$B$11:$B$310)+COUNTA(条幅!$B$11:$B$310)+COUNTA(条幅4分の1!$B$11:$B$310),INDEX(条幅4分の1!$B$11:$B$310,831-COUNTA(半紙!$B$11:$B$310)-COUNTA(条幅!$B$11:$B$310)),"")))=0,"",IF(831&lt;=COUNTA(半紙!$B$11:$B$310),INDEX(半紙!$B$11:$B$310,831),IF(831&lt;=COUNTA(半紙!$B$11:$B$310)+COUNTA(条幅!$B$11:$B$310),INDEX(条幅!$B$11:$B$310,831-COUNTA(半紙!$B$11:$B$310)),IF(831&lt;=COUNTA(半紙!$B$11:$B$310)+COUNTA(条幅!$B$11:$B$310)+COUNTA(条幅4分の1!$B$11:$B$310),INDEX(条幅4分の1!$B$11:$B$310,831-COUNTA(半紙!$B$11:$B$310)-COUNTA(条幅!$B$11:$B$310)),""))))</f>
        <v/>
      </c>
      <c r="C836" s="38" t="str">
        <f>IF(IF(831&lt;=COUNTA(半紙!$B$11:$B$310),INDEX(半紙!$C$11:$C$310,831),IF(831&lt;=COUNTA(半紙!$B$11:$B$310)+COUNTA(条幅!$B$11:$B$310),INDEX(条幅!$C$11:$C$310,831-COUNTA(半紙!$B$11:$B$310)),IF(831&lt;=COUNTA(半紙!$B$11:$B$310)+COUNTA(条幅!$B$11:$B$310)+COUNTA(条幅4分の1!$B$11:$B$310),INDEX(条幅4分の1!$C$11:$C$310,831-COUNTA(半紙!$B$11:$B$310)-COUNTA(条幅!$B$11:$B$310)),"")))=0,"",IF(831&lt;=COUNTA(半紙!$B$11:$B$310),INDEX(半紙!$C$11:$C$310,831),IF(831&lt;=COUNTA(半紙!$B$11:$B$310)+COUNTA(条幅!$B$11:$B$310),INDEX(条幅!$C$11:$C$310,831-COUNTA(半紙!$B$11:$B$310)),IF(831&lt;=COUNTA(半紙!$B$11:$B$310)+COUNTA(条幅!$B$11:$B$310)+COUNTA(条幅4分の1!$B$11:$B$310),INDEX(条幅4分の1!$C$11:$C$310,831-COUNTA(半紙!$B$11:$B$310)-COUNTA(条幅!$B$11:$B$310)),""))))</f>
        <v/>
      </c>
      <c r="D836" s="38" t="str">
        <f>IF(IF(831&lt;=COUNTA(半紙!$B$11:$B$310),INDEX(半紙!$D$11:$D$310,831),IF(831&lt;=COUNTA(半紙!$B$11:$B$310)+COUNTA(条幅!$B$11:$B$310),INDEX(条幅!$D$11:$D$310,831-COUNTA(半紙!$B$11:$B$310)),IF(831&lt;=COUNTA(半紙!$B$11:$B$310)+COUNTA(条幅!$B$11:$B$310)+COUNTA(条幅4分の1!$B$11:$B$310),INDEX(条幅4分の1!$D$11:$D$310,831-COUNTA(半紙!$B$11:$B$310)-COUNTA(条幅!$B$11:$B$310)),"")))=0,"",IF(831&lt;=COUNTA(半紙!$B$11:$B$310),INDEX(半紙!$D$11:$D$310,831),IF(831&lt;=COUNTA(半紙!$B$11:$B$310)+COUNTA(条幅!$B$11:$B$310),INDEX(条幅!$D$11:$D$310,831-COUNTA(半紙!$B$11:$B$310)),IF(831&lt;=COUNTA(半紙!$B$11:$B$310)+COUNTA(条幅!$B$11:$B$310)+COUNTA(条幅4分の1!$B$11:$B$310),INDEX(条幅4分の1!$D$11:$D$310,831-COUNTA(半紙!$B$11:$B$310)-COUNTA(条幅!$B$11:$B$310)),""))))</f>
        <v/>
      </c>
      <c r="E836" s="38" t="str">
        <f>IF(IF(831&lt;=COUNTA(半紙!$B$11:$B$310),INDEX(半紙!$E$11:$E$310,831),IF(831&lt;=COUNTA(半紙!$B$11:$B$310)+COUNTA(条幅!$B$11:$B$310),INDEX(条幅!$E$11:$E$310,831-COUNTA(半紙!$B$11:$B$310)),IF(831&lt;=COUNTA(半紙!$B$11:$B$310)+COUNTA(条幅!$B$11:$B$310)+COUNTA(条幅4分の1!$B$11:$B$310),INDEX(条幅4分の1!$E$11:$E$310,831-COUNTA(半紙!$B$11:$B$310)-COUNTA(条幅!$B$11:$B$310)),"")))=0,"",IF(831&lt;=COUNTA(半紙!$B$11:$B$310),INDEX(半紙!$E$11:$E$310,831),IF(831&lt;=COUNTA(半紙!$B$11:$B$310)+COUNTA(条幅!$B$11:$B$310),INDEX(条幅!$E$11:$E$310,831-COUNTA(半紙!$B$11:$B$310)),IF(831&lt;=COUNTA(半紙!$B$11:$B$310)+COUNTA(条幅!$B$11:$B$310)+COUNTA(条幅4分の1!$B$11:$B$310),INDEX(条幅4分の1!$E$11:$E$310,831-COUNTA(半紙!$B$11:$B$310)-COUNTA(条幅!$B$11:$B$310)),""))))</f>
        <v/>
      </c>
      <c r="F836" s="38" t="str">
        <f>IF(IF(831&lt;=COUNTA(半紙!$B$11:$B$310),INDEX(半紙!$F$11:$F$310,831),IF(831&lt;=COUNTA(半紙!$B$11:$B$310)+COUNTA(条幅!$B$11:$B$310),INDEX(条幅!$F$11:$F$310,831-COUNTA(半紙!$B$11:$B$310)),IF(831&lt;=COUNTA(半紙!$B$11:$B$310)+COUNTA(条幅!$B$11:$B$310)+COUNTA(条幅4分の1!$B$11:$B$310),INDEX(条幅4分の1!$F$11:$F$310,831-COUNTA(半紙!$B$11:$B$310)-COUNTA(条幅!$B$11:$B$310)),"")))=0,"",IF(831&lt;=COUNTA(半紙!$B$11:$B$310),INDEX(半紙!$F$11:$F$310,831),IF(831&lt;=COUNTA(半紙!$B$11:$B$310)+COUNTA(条幅!$B$11:$B$310),INDEX(条幅!$F$11:$F$310,831-COUNTA(半紙!$B$11:$B$310)),IF(831&lt;=COUNTA(半紙!$B$11:$B$310)+COUNTA(条幅!$B$11:$B$310)+COUNTA(条幅4分の1!$B$11:$B$310),INDEX(条幅4分の1!$F$11:$F$310,831-COUNTA(半紙!$B$11:$B$310)-COUNTA(条幅!$B$11:$B$310)),""))))</f>
        <v/>
      </c>
      <c r="G836" s="38" t="str">
        <f>IF(IF(831&lt;=COUNTA(半紙!$B$11:$B$310),INDEX(半紙!$G$11:$G$310,831),IF(831&lt;=COUNTA(半紙!$B$11:$B$310)+COUNTA(条幅!$B$11:$B$310),INDEX(条幅!$G$11:$G$310,831-COUNTA(半紙!$B$11:$B$310)),IF(831&lt;=COUNTA(半紙!$B$11:$B$310)+COUNTA(条幅!$B$11:$B$310)+COUNTA(条幅4分の1!$B$11:$B$310),INDEX(条幅4分の1!$G$11:$G$310,831-COUNTA(半紙!$B$11:$B$310)-COUNTA(条幅!$B$11:$B$310)),"")))=0,"",IF(831&lt;=COUNTA(半紙!$B$11:$B$310),INDEX(半紙!$G$11:$G$310,831),IF(831&lt;=COUNTA(半紙!$B$11:$B$310)+COUNTA(条幅!$B$11:$B$310),INDEX(条幅!$G$11:$G$310,831-COUNTA(半紙!$B$11:$B$310)),IF(831&lt;=COUNTA(半紙!$B$11:$B$310)+COUNTA(条幅!$B$11:$B$310)+COUNTA(条幅4分の1!$B$11:$B$310),INDEX(条幅4分の1!$G$11:$G$310,831-COUNTA(半紙!$B$11:$B$310)-COUNTA(条幅!$B$11:$B$310)),""))))</f>
        <v/>
      </c>
      <c r="H836" s="38" t="str">
        <f>IF(IF(831&lt;=COUNTA(半紙!$B$11:$B$310),INDEX(半紙!$H$11:$H$310,831),IF(831&lt;=COUNTA(半紙!$B$11:$B$310)+COUNTA(条幅!$B$11:$B$310),INDEX(条幅!$H$11:$H$310,831-COUNTA(半紙!$B$11:$B$310)),IF(831&lt;=COUNTA(半紙!$B$11:$B$310)+COUNTA(条幅!$B$11:$B$310)+COUNTA(条幅4分の1!$B$11:$B$310),INDEX(条幅4分の1!$H$11:$H$310,831-COUNTA(半紙!$B$11:$B$310)-COUNTA(条幅!$B$11:$B$310)),"")))=0,"",IF(831&lt;=COUNTA(半紙!$B$11:$B$310),INDEX(半紙!$H$11:$H$310,831),IF(831&lt;=COUNTA(半紙!$B$11:$B$310)+COUNTA(条幅!$B$11:$B$310),INDEX(条幅!$H$11:$H$310,831-COUNTA(半紙!$B$11:$B$310)),IF(831&lt;=COUNTA(半紙!$B$11:$B$310)+COUNTA(条幅!$B$11:$B$310)+COUNTA(条幅4分の1!$B$11:$B$310),INDEX(条幅4分の1!$H$11:$H$310,831-COUNTA(半紙!$B$11:$B$310)-COUNTA(条幅!$B$11:$B$310)),""))))</f>
        <v/>
      </c>
      <c r="I836" s="38" t="str">
        <f>IF(IF(831&lt;=COUNTA(半紙!$B$11:$B$310),INDEX(半紙!$I$11:$I$310,831),IF(831&lt;=COUNTA(半紙!$B$11:$B$310)+COUNTA(条幅!$B$11:$B$310),INDEX(条幅!$I$11:$I$310,831-COUNTA(半紙!$B$11:$B$310)),IF(831&lt;=COUNTA(半紙!$B$11:$B$310)+COUNTA(条幅!$B$11:$B$310)+COUNTA(条幅4分の1!$B$11:$B$310),INDEX(条幅4分の1!$I$11:$I$310,831-COUNTA(半紙!$B$11:$B$310)-COUNTA(条幅!$B$11:$B$310)),"")))=0,"",IF(831&lt;=COUNTA(半紙!$B$11:$B$310),INDEX(半紙!$I$11:$I$310,831),IF(831&lt;=COUNTA(半紙!$B$11:$B$310)+COUNTA(条幅!$B$11:$B$310),INDEX(条幅!$I$11:$I$310,831-COUNTA(半紙!$B$11:$B$310)),IF(831&lt;=COUNTA(半紙!$B$11:$B$310)+COUNTA(条幅!$B$11:$B$310)+COUNTA(条幅4分の1!$B$11:$B$310),INDEX(条幅4分の1!$I$11:$I$310,831-COUNTA(半紙!$B$11:$B$310)-COUNTA(条幅!$B$11:$B$310)),""))))</f>
        <v/>
      </c>
      <c r="J836" s="38" t="str">
        <f>IF(IF(831&lt;=COUNTA(半紙!$B$11:$B$310),INDEX(半紙!$J$11:$J$310,831),IF(831&lt;=COUNTA(半紙!$B$11:$B$310)+COUNTA(条幅!$B$11:$B$310),INDEX(条幅!$J$11:$J$310,831-COUNTA(半紙!$B$11:$B$310)),IF(831&lt;=COUNTA(半紙!$B$11:$B$310)+COUNTA(条幅!$B$11:$B$310)+COUNTA(条幅4分の1!$B$11:$B$310),INDEX(条幅4分の1!$J$11:$J$310,831-COUNTA(半紙!$B$11:$B$310)-COUNTA(条幅!$B$11:$B$310)),"")))=0,"",IF(831&lt;=COUNTA(半紙!$B$11:$B$310),INDEX(半紙!$J$11:$J$310,831),IF(831&lt;=COUNTA(半紙!$B$11:$B$310)+COUNTA(条幅!$B$11:$B$310),INDEX(条幅!$J$11:$J$310,831-COUNTA(半紙!$B$11:$B$310)),IF(831&lt;=COUNTA(半紙!$B$11:$B$310)+COUNTA(条幅!$B$11:$B$310)+COUNTA(条幅4分の1!$B$11:$B$310),INDEX(条幅4分の1!$J$11:$J$310,831-COUNTA(半紙!$B$11:$B$310)-COUNTA(条幅!$B$11:$B$310)),""))))</f>
        <v/>
      </c>
      <c r="K836" s="38" t="str">
        <f>IF(IF(831&lt;=COUNTA(半紙!$B$11:$B$310),INDEX(半紙!$K$11:$K$310,831),IF(831&lt;=COUNTA(半紙!$B$11:$B$310)+COUNTA(条幅!$B$11:$B$310),INDEX(条幅!$K$11:$K$310,831-COUNTA(半紙!$B$11:$B$310)),IF(831&lt;=COUNTA(半紙!$B$11:$B$310)+COUNTA(条幅!$B$11:$B$310)+COUNTA(条幅4分の1!$B$11:$B$310),INDEX(条幅4分の1!$K$11:$K$310,831-COUNTA(半紙!$B$11:$B$310)-COUNTA(条幅!$B$11:$B$310)),"")))=0,"",IF(831&lt;=COUNTA(半紙!$B$11:$B$310),INDEX(半紙!$K$11:$K$310,831),IF(831&lt;=COUNTA(半紙!$B$11:$B$310)+COUNTA(条幅!$B$11:$B$310),INDEX(条幅!$K$11:$K$310,831-COUNTA(半紙!$B$11:$B$310)),IF(831&lt;=COUNTA(半紙!$B$11:$B$310)+COUNTA(条幅!$B$11:$B$310)+COUNTA(条幅4分の1!$B$11:$B$310),INDEX(条幅4分の1!$K$11:$K$310,831-COUNTA(半紙!$B$11:$B$310)-COUNTA(条幅!$B$11:$B$310)),""))))</f>
        <v/>
      </c>
      <c r="L836" s="48" t="str">
        <f>IF($B836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831))</f>
        <v/>
      </c>
    </row>
    <row r="837" spans="1:12" ht="15" customHeight="1">
      <c r="A837" s="37" t="str">
        <f>IF(832&lt;=COUNTA(半紙!$B$11:$B$310),"半紙",IF(832&lt;=COUNTA(半紙!$B$11:$B$310)+COUNTA(条幅!$B$11:$B$310),"条幅(半切)",IF(832&lt;=COUNTA(半紙!$B$11:$B$310)+COUNTA(条幅!$B$11:$B$310)+COUNTA(条幅4分の1!$B$11:$B$310),"条幅(1/4)","")))</f>
        <v/>
      </c>
      <c r="B837" s="38" t="str">
        <f>IF(IF(832&lt;=COUNTA(半紙!$B$11:$B$310),INDEX(半紙!$B$11:$B$310,832),IF(832&lt;=COUNTA(半紙!$B$11:$B$310)+COUNTA(条幅!$B$11:$B$310),INDEX(条幅!$B$11:$B$310,832-COUNTA(半紙!$B$11:$B$310)),IF(832&lt;=COUNTA(半紙!$B$11:$B$310)+COUNTA(条幅!$B$11:$B$310)+COUNTA(条幅4分の1!$B$11:$B$310),INDEX(条幅4分の1!$B$11:$B$310,832-COUNTA(半紙!$B$11:$B$310)-COUNTA(条幅!$B$11:$B$310)),"")))=0,"",IF(832&lt;=COUNTA(半紙!$B$11:$B$310),INDEX(半紙!$B$11:$B$310,832),IF(832&lt;=COUNTA(半紙!$B$11:$B$310)+COUNTA(条幅!$B$11:$B$310),INDEX(条幅!$B$11:$B$310,832-COUNTA(半紙!$B$11:$B$310)),IF(832&lt;=COUNTA(半紙!$B$11:$B$310)+COUNTA(条幅!$B$11:$B$310)+COUNTA(条幅4分の1!$B$11:$B$310),INDEX(条幅4分の1!$B$11:$B$310,832-COUNTA(半紙!$B$11:$B$310)-COUNTA(条幅!$B$11:$B$310)),""))))</f>
        <v/>
      </c>
      <c r="C837" s="38" t="str">
        <f>IF(IF(832&lt;=COUNTA(半紙!$B$11:$B$310),INDEX(半紙!$C$11:$C$310,832),IF(832&lt;=COUNTA(半紙!$B$11:$B$310)+COUNTA(条幅!$B$11:$B$310),INDEX(条幅!$C$11:$C$310,832-COUNTA(半紙!$B$11:$B$310)),IF(832&lt;=COUNTA(半紙!$B$11:$B$310)+COUNTA(条幅!$B$11:$B$310)+COUNTA(条幅4分の1!$B$11:$B$310),INDEX(条幅4分の1!$C$11:$C$310,832-COUNTA(半紙!$B$11:$B$310)-COUNTA(条幅!$B$11:$B$310)),"")))=0,"",IF(832&lt;=COUNTA(半紙!$B$11:$B$310),INDEX(半紙!$C$11:$C$310,832),IF(832&lt;=COUNTA(半紙!$B$11:$B$310)+COUNTA(条幅!$B$11:$B$310),INDEX(条幅!$C$11:$C$310,832-COUNTA(半紙!$B$11:$B$310)),IF(832&lt;=COUNTA(半紙!$B$11:$B$310)+COUNTA(条幅!$B$11:$B$310)+COUNTA(条幅4分の1!$B$11:$B$310),INDEX(条幅4分の1!$C$11:$C$310,832-COUNTA(半紙!$B$11:$B$310)-COUNTA(条幅!$B$11:$B$310)),""))))</f>
        <v/>
      </c>
      <c r="D837" s="38" t="str">
        <f>IF(IF(832&lt;=COUNTA(半紙!$B$11:$B$310),INDEX(半紙!$D$11:$D$310,832),IF(832&lt;=COUNTA(半紙!$B$11:$B$310)+COUNTA(条幅!$B$11:$B$310),INDEX(条幅!$D$11:$D$310,832-COUNTA(半紙!$B$11:$B$310)),IF(832&lt;=COUNTA(半紙!$B$11:$B$310)+COUNTA(条幅!$B$11:$B$310)+COUNTA(条幅4分の1!$B$11:$B$310),INDEX(条幅4分の1!$D$11:$D$310,832-COUNTA(半紙!$B$11:$B$310)-COUNTA(条幅!$B$11:$B$310)),"")))=0,"",IF(832&lt;=COUNTA(半紙!$B$11:$B$310),INDEX(半紙!$D$11:$D$310,832),IF(832&lt;=COUNTA(半紙!$B$11:$B$310)+COUNTA(条幅!$B$11:$B$310),INDEX(条幅!$D$11:$D$310,832-COUNTA(半紙!$B$11:$B$310)),IF(832&lt;=COUNTA(半紙!$B$11:$B$310)+COUNTA(条幅!$B$11:$B$310)+COUNTA(条幅4分の1!$B$11:$B$310),INDEX(条幅4分の1!$D$11:$D$310,832-COUNTA(半紙!$B$11:$B$310)-COUNTA(条幅!$B$11:$B$310)),""))))</f>
        <v/>
      </c>
      <c r="E837" s="38" t="str">
        <f>IF(IF(832&lt;=COUNTA(半紙!$B$11:$B$310),INDEX(半紙!$E$11:$E$310,832),IF(832&lt;=COUNTA(半紙!$B$11:$B$310)+COUNTA(条幅!$B$11:$B$310),INDEX(条幅!$E$11:$E$310,832-COUNTA(半紙!$B$11:$B$310)),IF(832&lt;=COUNTA(半紙!$B$11:$B$310)+COUNTA(条幅!$B$11:$B$310)+COUNTA(条幅4分の1!$B$11:$B$310),INDEX(条幅4分の1!$E$11:$E$310,832-COUNTA(半紙!$B$11:$B$310)-COUNTA(条幅!$B$11:$B$310)),"")))=0,"",IF(832&lt;=COUNTA(半紙!$B$11:$B$310),INDEX(半紙!$E$11:$E$310,832),IF(832&lt;=COUNTA(半紙!$B$11:$B$310)+COUNTA(条幅!$B$11:$B$310),INDEX(条幅!$E$11:$E$310,832-COUNTA(半紙!$B$11:$B$310)),IF(832&lt;=COUNTA(半紙!$B$11:$B$310)+COUNTA(条幅!$B$11:$B$310)+COUNTA(条幅4分の1!$B$11:$B$310),INDEX(条幅4分の1!$E$11:$E$310,832-COUNTA(半紙!$B$11:$B$310)-COUNTA(条幅!$B$11:$B$310)),""))))</f>
        <v/>
      </c>
      <c r="F837" s="38" t="str">
        <f>IF(IF(832&lt;=COUNTA(半紙!$B$11:$B$310),INDEX(半紙!$F$11:$F$310,832),IF(832&lt;=COUNTA(半紙!$B$11:$B$310)+COUNTA(条幅!$B$11:$B$310),INDEX(条幅!$F$11:$F$310,832-COUNTA(半紙!$B$11:$B$310)),IF(832&lt;=COUNTA(半紙!$B$11:$B$310)+COUNTA(条幅!$B$11:$B$310)+COUNTA(条幅4分の1!$B$11:$B$310),INDEX(条幅4分の1!$F$11:$F$310,832-COUNTA(半紙!$B$11:$B$310)-COUNTA(条幅!$B$11:$B$310)),"")))=0,"",IF(832&lt;=COUNTA(半紙!$B$11:$B$310),INDEX(半紙!$F$11:$F$310,832),IF(832&lt;=COUNTA(半紙!$B$11:$B$310)+COUNTA(条幅!$B$11:$B$310),INDEX(条幅!$F$11:$F$310,832-COUNTA(半紙!$B$11:$B$310)),IF(832&lt;=COUNTA(半紙!$B$11:$B$310)+COUNTA(条幅!$B$11:$B$310)+COUNTA(条幅4分の1!$B$11:$B$310),INDEX(条幅4分の1!$F$11:$F$310,832-COUNTA(半紙!$B$11:$B$310)-COUNTA(条幅!$B$11:$B$310)),""))))</f>
        <v/>
      </c>
      <c r="G837" s="38" t="str">
        <f>IF(IF(832&lt;=COUNTA(半紙!$B$11:$B$310),INDEX(半紙!$G$11:$G$310,832),IF(832&lt;=COUNTA(半紙!$B$11:$B$310)+COUNTA(条幅!$B$11:$B$310),INDEX(条幅!$G$11:$G$310,832-COUNTA(半紙!$B$11:$B$310)),IF(832&lt;=COUNTA(半紙!$B$11:$B$310)+COUNTA(条幅!$B$11:$B$310)+COUNTA(条幅4分の1!$B$11:$B$310),INDEX(条幅4分の1!$G$11:$G$310,832-COUNTA(半紙!$B$11:$B$310)-COUNTA(条幅!$B$11:$B$310)),"")))=0,"",IF(832&lt;=COUNTA(半紙!$B$11:$B$310),INDEX(半紙!$G$11:$G$310,832),IF(832&lt;=COUNTA(半紙!$B$11:$B$310)+COUNTA(条幅!$B$11:$B$310),INDEX(条幅!$G$11:$G$310,832-COUNTA(半紙!$B$11:$B$310)),IF(832&lt;=COUNTA(半紙!$B$11:$B$310)+COUNTA(条幅!$B$11:$B$310)+COUNTA(条幅4分の1!$B$11:$B$310),INDEX(条幅4分の1!$G$11:$G$310,832-COUNTA(半紙!$B$11:$B$310)-COUNTA(条幅!$B$11:$B$310)),""))))</f>
        <v/>
      </c>
      <c r="H837" s="38" t="str">
        <f>IF(IF(832&lt;=COUNTA(半紙!$B$11:$B$310),INDEX(半紙!$H$11:$H$310,832),IF(832&lt;=COUNTA(半紙!$B$11:$B$310)+COUNTA(条幅!$B$11:$B$310),INDEX(条幅!$H$11:$H$310,832-COUNTA(半紙!$B$11:$B$310)),IF(832&lt;=COUNTA(半紙!$B$11:$B$310)+COUNTA(条幅!$B$11:$B$310)+COUNTA(条幅4分の1!$B$11:$B$310),INDEX(条幅4分の1!$H$11:$H$310,832-COUNTA(半紙!$B$11:$B$310)-COUNTA(条幅!$B$11:$B$310)),"")))=0,"",IF(832&lt;=COUNTA(半紙!$B$11:$B$310),INDEX(半紙!$H$11:$H$310,832),IF(832&lt;=COUNTA(半紙!$B$11:$B$310)+COUNTA(条幅!$B$11:$B$310),INDEX(条幅!$H$11:$H$310,832-COUNTA(半紙!$B$11:$B$310)),IF(832&lt;=COUNTA(半紙!$B$11:$B$310)+COUNTA(条幅!$B$11:$B$310)+COUNTA(条幅4分の1!$B$11:$B$310),INDEX(条幅4分の1!$H$11:$H$310,832-COUNTA(半紙!$B$11:$B$310)-COUNTA(条幅!$B$11:$B$310)),""))))</f>
        <v/>
      </c>
      <c r="I837" s="38" t="str">
        <f>IF(IF(832&lt;=COUNTA(半紙!$B$11:$B$310),INDEX(半紙!$I$11:$I$310,832),IF(832&lt;=COUNTA(半紙!$B$11:$B$310)+COUNTA(条幅!$B$11:$B$310),INDEX(条幅!$I$11:$I$310,832-COUNTA(半紙!$B$11:$B$310)),IF(832&lt;=COUNTA(半紙!$B$11:$B$310)+COUNTA(条幅!$B$11:$B$310)+COUNTA(条幅4分の1!$B$11:$B$310),INDEX(条幅4分の1!$I$11:$I$310,832-COUNTA(半紙!$B$11:$B$310)-COUNTA(条幅!$B$11:$B$310)),"")))=0,"",IF(832&lt;=COUNTA(半紙!$B$11:$B$310),INDEX(半紙!$I$11:$I$310,832),IF(832&lt;=COUNTA(半紙!$B$11:$B$310)+COUNTA(条幅!$B$11:$B$310),INDEX(条幅!$I$11:$I$310,832-COUNTA(半紙!$B$11:$B$310)),IF(832&lt;=COUNTA(半紙!$B$11:$B$310)+COUNTA(条幅!$B$11:$B$310)+COUNTA(条幅4分の1!$B$11:$B$310),INDEX(条幅4分の1!$I$11:$I$310,832-COUNTA(半紙!$B$11:$B$310)-COUNTA(条幅!$B$11:$B$310)),""))))</f>
        <v/>
      </c>
      <c r="J837" s="38" t="str">
        <f>IF(IF(832&lt;=COUNTA(半紙!$B$11:$B$310),INDEX(半紙!$J$11:$J$310,832),IF(832&lt;=COUNTA(半紙!$B$11:$B$310)+COUNTA(条幅!$B$11:$B$310),INDEX(条幅!$J$11:$J$310,832-COUNTA(半紙!$B$11:$B$310)),IF(832&lt;=COUNTA(半紙!$B$11:$B$310)+COUNTA(条幅!$B$11:$B$310)+COUNTA(条幅4分の1!$B$11:$B$310),INDEX(条幅4分の1!$J$11:$J$310,832-COUNTA(半紙!$B$11:$B$310)-COUNTA(条幅!$B$11:$B$310)),"")))=0,"",IF(832&lt;=COUNTA(半紙!$B$11:$B$310),INDEX(半紙!$J$11:$J$310,832),IF(832&lt;=COUNTA(半紙!$B$11:$B$310)+COUNTA(条幅!$B$11:$B$310),INDEX(条幅!$J$11:$J$310,832-COUNTA(半紙!$B$11:$B$310)),IF(832&lt;=COUNTA(半紙!$B$11:$B$310)+COUNTA(条幅!$B$11:$B$310)+COUNTA(条幅4分の1!$B$11:$B$310),INDEX(条幅4分の1!$J$11:$J$310,832-COUNTA(半紙!$B$11:$B$310)-COUNTA(条幅!$B$11:$B$310)),""))))</f>
        <v/>
      </c>
      <c r="K837" s="38" t="str">
        <f>IF(IF(832&lt;=COUNTA(半紙!$B$11:$B$310),INDEX(半紙!$K$11:$K$310,832),IF(832&lt;=COUNTA(半紙!$B$11:$B$310)+COUNTA(条幅!$B$11:$B$310),INDEX(条幅!$K$11:$K$310,832-COUNTA(半紙!$B$11:$B$310)),IF(832&lt;=COUNTA(半紙!$B$11:$B$310)+COUNTA(条幅!$B$11:$B$310)+COUNTA(条幅4分の1!$B$11:$B$310),INDEX(条幅4分の1!$K$11:$K$310,832-COUNTA(半紙!$B$11:$B$310)-COUNTA(条幅!$B$11:$B$310)),"")))=0,"",IF(832&lt;=COUNTA(半紙!$B$11:$B$310),INDEX(半紙!$K$11:$K$310,832),IF(832&lt;=COUNTA(半紙!$B$11:$B$310)+COUNTA(条幅!$B$11:$B$310),INDEX(条幅!$K$11:$K$310,832-COUNTA(半紙!$B$11:$B$310)),IF(832&lt;=COUNTA(半紙!$B$11:$B$310)+COUNTA(条幅!$B$11:$B$310)+COUNTA(条幅4分の1!$B$11:$B$310),INDEX(条幅4分の1!$K$11:$K$310,832-COUNTA(半紙!$B$11:$B$310)-COUNTA(条幅!$B$11:$B$310)),""))))</f>
        <v/>
      </c>
      <c r="L837" s="48" t="str">
        <f>IF($B837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832))</f>
        <v/>
      </c>
    </row>
    <row r="838" spans="1:12" ht="15" customHeight="1">
      <c r="A838" s="37" t="str">
        <f>IF(833&lt;=COUNTA(半紙!$B$11:$B$310),"半紙",IF(833&lt;=COUNTA(半紙!$B$11:$B$310)+COUNTA(条幅!$B$11:$B$310),"条幅(半切)",IF(833&lt;=COUNTA(半紙!$B$11:$B$310)+COUNTA(条幅!$B$11:$B$310)+COUNTA(条幅4分の1!$B$11:$B$310),"条幅(1/4)","")))</f>
        <v/>
      </c>
      <c r="B838" s="38" t="str">
        <f>IF(IF(833&lt;=COUNTA(半紙!$B$11:$B$310),INDEX(半紙!$B$11:$B$310,833),IF(833&lt;=COUNTA(半紙!$B$11:$B$310)+COUNTA(条幅!$B$11:$B$310),INDEX(条幅!$B$11:$B$310,833-COUNTA(半紙!$B$11:$B$310)),IF(833&lt;=COUNTA(半紙!$B$11:$B$310)+COUNTA(条幅!$B$11:$B$310)+COUNTA(条幅4分の1!$B$11:$B$310),INDEX(条幅4分の1!$B$11:$B$310,833-COUNTA(半紙!$B$11:$B$310)-COUNTA(条幅!$B$11:$B$310)),"")))=0,"",IF(833&lt;=COUNTA(半紙!$B$11:$B$310),INDEX(半紙!$B$11:$B$310,833),IF(833&lt;=COUNTA(半紙!$B$11:$B$310)+COUNTA(条幅!$B$11:$B$310),INDEX(条幅!$B$11:$B$310,833-COUNTA(半紙!$B$11:$B$310)),IF(833&lt;=COUNTA(半紙!$B$11:$B$310)+COUNTA(条幅!$B$11:$B$310)+COUNTA(条幅4分の1!$B$11:$B$310),INDEX(条幅4分の1!$B$11:$B$310,833-COUNTA(半紙!$B$11:$B$310)-COUNTA(条幅!$B$11:$B$310)),""))))</f>
        <v/>
      </c>
      <c r="C838" s="38" t="str">
        <f>IF(IF(833&lt;=COUNTA(半紙!$B$11:$B$310),INDEX(半紙!$C$11:$C$310,833),IF(833&lt;=COUNTA(半紙!$B$11:$B$310)+COUNTA(条幅!$B$11:$B$310),INDEX(条幅!$C$11:$C$310,833-COUNTA(半紙!$B$11:$B$310)),IF(833&lt;=COUNTA(半紙!$B$11:$B$310)+COUNTA(条幅!$B$11:$B$310)+COUNTA(条幅4分の1!$B$11:$B$310),INDEX(条幅4分の1!$C$11:$C$310,833-COUNTA(半紙!$B$11:$B$310)-COUNTA(条幅!$B$11:$B$310)),"")))=0,"",IF(833&lt;=COUNTA(半紙!$B$11:$B$310),INDEX(半紙!$C$11:$C$310,833),IF(833&lt;=COUNTA(半紙!$B$11:$B$310)+COUNTA(条幅!$B$11:$B$310),INDEX(条幅!$C$11:$C$310,833-COUNTA(半紙!$B$11:$B$310)),IF(833&lt;=COUNTA(半紙!$B$11:$B$310)+COUNTA(条幅!$B$11:$B$310)+COUNTA(条幅4分の1!$B$11:$B$310),INDEX(条幅4分の1!$C$11:$C$310,833-COUNTA(半紙!$B$11:$B$310)-COUNTA(条幅!$B$11:$B$310)),""))))</f>
        <v/>
      </c>
      <c r="D838" s="38" t="str">
        <f>IF(IF(833&lt;=COUNTA(半紙!$B$11:$B$310),INDEX(半紙!$D$11:$D$310,833),IF(833&lt;=COUNTA(半紙!$B$11:$B$310)+COUNTA(条幅!$B$11:$B$310),INDEX(条幅!$D$11:$D$310,833-COUNTA(半紙!$B$11:$B$310)),IF(833&lt;=COUNTA(半紙!$B$11:$B$310)+COUNTA(条幅!$B$11:$B$310)+COUNTA(条幅4分の1!$B$11:$B$310),INDEX(条幅4分の1!$D$11:$D$310,833-COUNTA(半紙!$B$11:$B$310)-COUNTA(条幅!$B$11:$B$310)),"")))=0,"",IF(833&lt;=COUNTA(半紙!$B$11:$B$310),INDEX(半紙!$D$11:$D$310,833),IF(833&lt;=COUNTA(半紙!$B$11:$B$310)+COUNTA(条幅!$B$11:$B$310),INDEX(条幅!$D$11:$D$310,833-COUNTA(半紙!$B$11:$B$310)),IF(833&lt;=COUNTA(半紙!$B$11:$B$310)+COUNTA(条幅!$B$11:$B$310)+COUNTA(条幅4分の1!$B$11:$B$310),INDEX(条幅4分の1!$D$11:$D$310,833-COUNTA(半紙!$B$11:$B$310)-COUNTA(条幅!$B$11:$B$310)),""))))</f>
        <v/>
      </c>
      <c r="E838" s="38" t="str">
        <f>IF(IF(833&lt;=COUNTA(半紙!$B$11:$B$310),INDEX(半紙!$E$11:$E$310,833),IF(833&lt;=COUNTA(半紙!$B$11:$B$310)+COUNTA(条幅!$B$11:$B$310),INDEX(条幅!$E$11:$E$310,833-COUNTA(半紙!$B$11:$B$310)),IF(833&lt;=COUNTA(半紙!$B$11:$B$310)+COUNTA(条幅!$B$11:$B$310)+COUNTA(条幅4分の1!$B$11:$B$310),INDEX(条幅4分の1!$E$11:$E$310,833-COUNTA(半紙!$B$11:$B$310)-COUNTA(条幅!$B$11:$B$310)),"")))=0,"",IF(833&lt;=COUNTA(半紙!$B$11:$B$310),INDEX(半紙!$E$11:$E$310,833),IF(833&lt;=COUNTA(半紙!$B$11:$B$310)+COUNTA(条幅!$B$11:$B$310),INDEX(条幅!$E$11:$E$310,833-COUNTA(半紙!$B$11:$B$310)),IF(833&lt;=COUNTA(半紙!$B$11:$B$310)+COUNTA(条幅!$B$11:$B$310)+COUNTA(条幅4分の1!$B$11:$B$310),INDEX(条幅4分の1!$E$11:$E$310,833-COUNTA(半紙!$B$11:$B$310)-COUNTA(条幅!$B$11:$B$310)),""))))</f>
        <v/>
      </c>
      <c r="F838" s="38" t="str">
        <f>IF(IF(833&lt;=COUNTA(半紙!$B$11:$B$310),INDEX(半紙!$F$11:$F$310,833),IF(833&lt;=COUNTA(半紙!$B$11:$B$310)+COUNTA(条幅!$B$11:$B$310),INDEX(条幅!$F$11:$F$310,833-COUNTA(半紙!$B$11:$B$310)),IF(833&lt;=COUNTA(半紙!$B$11:$B$310)+COUNTA(条幅!$B$11:$B$310)+COUNTA(条幅4分の1!$B$11:$B$310),INDEX(条幅4分の1!$F$11:$F$310,833-COUNTA(半紙!$B$11:$B$310)-COUNTA(条幅!$B$11:$B$310)),"")))=0,"",IF(833&lt;=COUNTA(半紙!$B$11:$B$310),INDEX(半紙!$F$11:$F$310,833),IF(833&lt;=COUNTA(半紙!$B$11:$B$310)+COUNTA(条幅!$B$11:$B$310),INDEX(条幅!$F$11:$F$310,833-COUNTA(半紙!$B$11:$B$310)),IF(833&lt;=COUNTA(半紙!$B$11:$B$310)+COUNTA(条幅!$B$11:$B$310)+COUNTA(条幅4分の1!$B$11:$B$310),INDEX(条幅4分の1!$F$11:$F$310,833-COUNTA(半紙!$B$11:$B$310)-COUNTA(条幅!$B$11:$B$310)),""))))</f>
        <v/>
      </c>
      <c r="G838" s="38" t="str">
        <f>IF(IF(833&lt;=COUNTA(半紙!$B$11:$B$310),INDEX(半紙!$G$11:$G$310,833),IF(833&lt;=COUNTA(半紙!$B$11:$B$310)+COUNTA(条幅!$B$11:$B$310),INDEX(条幅!$G$11:$G$310,833-COUNTA(半紙!$B$11:$B$310)),IF(833&lt;=COUNTA(半紙!$B$11:$B$310)+COUNTA(条幅!$B$11:$B$310)+COUNTA(条幅4分の1!$B$11:$B$310),INDEX(条幅4分の1!$G$11:$G$310,833-COUNTA(半紙!$B$11:$B$310)-COUNTA(条幅!$B$11:$B$310)),"")))=0,"",IF(833&lt;=COUNTA(半紙!$B$11:$B$310),INDEX(半紙!$G$11:$G$310,833),IF(833&lt;=COUNTA(半紙!$B$11:$B$310)+COUNTA(条幅!$B$11:$B$310),INDEX(条幅!$G$11:$G$310,833-COUNTA(半紙!$B$11:$B$310)),IF(833&lt;=COUNTA(半紙!$B$11:$B$310)+COUNTA(条幅!$B$11:$B$310)+COUNTA(条幅4分の1!$B$11:$B$310),INDEX(条幅4分の1!$G$11:$G$310,833-COUNTA(半紙!$B$11:$B$310)-COUNTA(条幅!$B$11:$B$310)),""))))</f>
        <v/>
      </c>
      <c r="H838" s="38" t="str">
        <f>IF(IF(833&lt;=COUNTA(半紙!$B$11:$B$310),INDEX(半紙!$H$11:$H$310,833),IF(833&lt;=COUNTA(半紙!$B$11:$B$310)+COUNTA(条幅!$B$11:$B$310),INDEX(条幅!$H$11:$H$310,833-COUNTA(半紙!$B$11:$B$310)),IF(833&lt;=COUNTA(半紙!$B$11:$B$310)+COUNTA(条幅!$B$11:$B$310)+COUNTA(条幅4分の1!$B$11:$B$310),INDEX(条幅4分の1!$H$11:$H$310,833-COUNTA(半紙!$B$11:$B$310)-COUNTA(条幅!$B$11:$B$310)),"")))=0,"",IF(833&lt;=COUNTA(半紙!$B$11:$B$310),INDEX(半紙!$H$11:$H$310,833),IF(833&lt;=COUNTA(半紙!$B$11:$B$310)+COUNTA(条幅!$B$11:$B$310),INDEX(条幅!$H$11:$H$310,833-COUNTA(半紙!$B$11:$B$310)),IF(833&lt;=COUNTA(半紙!$B$11:$B$310)+COUNTA(条幅!$B$11:$B$310)+COUNTA(条幅4分の1!$B$11:$B$310),INDEX(条幅4分の1!$H$11:$H$310,833-COUNTA(半紙!$B$11:$B$310)-COUNTA(条幅!$B$11:$B$310)),""))))</f>
        <v/>
      </c>
      <c r="I838" s="38" t="str">
        <f>IF(IF(833&lt;=COUNTA(半紙!$B$11:$B$310),INDEX(半紙!$I$11:$I$310,833),IF(833&lt;=COUNTA(半紙!$B$11:$B$310)+COUNTA(条幅!$B$11:$B$310),INDEX(条幅!$I$11:$I$310,833-COUNTA(半紙!$B$11:$B$310)),IF(833&lt;=COUNTA(半紙!$B$11:$B$310)+COUNTA(条幅!$B$11:$B$310)+COUNTA(条幅4分の1!$B$11:$B$310),INDEX(条幅4分の1!$I$11:$I$310,833-COUNTA(半紙!$B$11:$B$310)-COUNTA(条幅!$B$11:$B$310)),"")))=0,"",IF(833&lt;=COUNTA(半紙!$B$11:$B$310),INDEX(半紙!$I$11:$I$310,833),IF(833&lt;=COUNTA(半紙!$B$11:$B$310)+COUNTA(条幅!$B$11:$B$310),INDEX(条幅!$I$11:$I$310,833-COUNTA(半紙!$B$11:$B$310)),IF(833&lt;=COUNTA(半紙!$B$11:$B$310)+COUNTA(条幅!$B$11:$B$310)+COUNTA(条幅4分の1!$B$11:$B$310),INDEX(条幅4分の1!$I$11:$I$310,833-COUNTA(半紙!$B$11:$B$310)-COUNTA(条幅!$B$11:$B$310)),""))))</f>
        <v/>
      </c>
      <c r="J838" s="38" t="str">
        <f>IF(IF(833&lt;=COUNTA(半紙!$B$11:$B$310),INDEX(半紙!$J$11:$J$310,833),IF(833&lt;=COUNTA(半紙!$B$11:$B$310)+COUNTA(条幅!$B$11:$B$310),INDEX(条幅!$J$11:$J$310,833-COUNTA(半紙!$B$11:$B$310)),IF(833&lt;=COUNTA(半紙!$B$11:$B$310)+COUNTA(条幅!$B$11:$B$310)+COUNTA(条幅4分の1!$B$11:$B$310),INDEX(条幅4分の1!$J$11:$J$310,833-COUNTA(半紙!$B$11:$B$310)-COUNTA(条幅!$B$11:$B$310)),"")))=0,"",IF(833&lt;=COUNTA(半紙!$B$11:$B$310),INDEX(半紙!$J$11:$J$310,833),IF(833&lt;=COUNTA(半紙!$B$11:$B$310)+COUNTA(条幅!$B$11:$B$310),INDEX(条幅!$J$11:$J$310,833-COUNTA(半紙!$B$11:$B$310)),IF(833&lt;=COUNTA(半紙!$B$11:$B$310)+COUNTA(条幅!$B$11:$B$310)+COUNTA(条幅4分の1!$B$11:$B$310),INDEX(条幅4分の1!$J$11:$J$310,833-COUNTA(半紙!$B$11:$B$310)-COUNTA(条幅!$B$11:$B$310)),""))))</f>
        <v/>
      </c>
      <c r="K838" s="38" t="str">
        <f>IF(IF(833&lt;=COUNTA(半紙!$B$11:$B$310),INDEX(半紙!$K$11:$K$310,833),IF(833&lt;=COUNTA(半紙!$B$11:$B$310)+COUNTA(条幅!$B$11:$B$310),INDEX(条幅!$K$11:$K$310,833-COUNTA(半紙!$B$11:$B$310)),IF(833&lt;=COUNTA(半紙!$B$11:$B$310)+COUNTA(条幅!$B$11:$B$310)+COUNTA(条幅4分の1!$B$11:$B$310),INDEX(条幅4分の1!$K$11:$K$310,833-COUNTA(半紙!$B$11:$B$310)-COUNTA(条幅!$B$11:$B$310)),"")))=0,"",IF(833&lt;=COUNTA(半紙!$B$11:$B$310),INDEX(半紙!$K$11:$K$310,833),IF(833&lt;=COUNTA(半紙!$B$11:$B$310)+COUNTA(条幅!$B$11:$B$310),INDEX(条幅!$K$11:$K$310,833-COUNTA(半紙!$B$11:$B$310)),IF(833&lt;=COUNTA(半紙!$B$11:$B$310)+COUNTA(条幅!$B$11:$B$310)+COUNTA(条幅4分の1!$B$11:$B$310),INDEX(条幅4分の1!$K$11:$K$310,833-COUNTA(半紙!$B$11:$B$310)-COUNTA(条幅!$B$11:$B$310)),""))))</f>
        <v/>
      </c>
      <c r="L838" s="48" t="str">
        <f>IF($B838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833))</f>
        <v/>
      </c>
    </row>
    <row r="839" spans="1:12" ht="15" customHeight="1">
      <c r="A839" s="37" t="str">
        <f>IF(834&lt;=COUNTA(半紙!$B$11:$B$310),"半紙",IF(834&lt;=COUNTA(半紙!$B$11:$B$310)+COUNTA(条幅!$B$11:$B$310),"条幅(半切)",IF(834&lt;=COUNTA(半紙!$B$11:$B$310)+COUNTA(条幅!$B$11:$B$310)+COUNTA(条幅4分の1!$B$11:$B$310),"条幅(1/4)","")))</f>
        <v/>
      </c>
      <c r="B839" s="38" t="str">
        <f>IF(IF(834&lt;=COUNTA(半紙!$B$11:$B$310),INDEX(半紙!$B$11:$B$310,834),IF(834&lt;=COUNTA(半紙!$B$11:$B$310)+COUNTA(条幅!$B$11:$B$310),INDEX(条幅!$B$11:$B$310,834-COUNTA(半紙!$B$11:$B$310)),IF(834&lt;=COUNTA(半紙!$B$11:$B$310)+COUNTA(条幅!$B$11:$B$310)+COUNTA(条幅4分の1!$B$11:$B$310),INDEX(条幅4分の1!$B$11:$B$310,834-COUNTA(半紙!$B$11:$B$310)-COUNTA(条幅!$B$11:$B$310)),"")))=0,"",IF(834&lt;=COUNTA(半紙!$B$11:$B$310),INDEX(半紙!$B$11:$B$310,834),IF(834&lt;=COUNTA(半紙!$B$11:$B$310)+COUNTA(条幅!$B$11:$B$310),INDEX(条幅!$B$11:$B$310,834-COUNTA(半紙!$B$11:$B$310)),IF(834&lt;=COUNTA(半紙!$B$11:$B$310)+COUNTA(条幅!$B$11:$B$310)+COUNTA(条幅4分の1!$B$11:$B$310),INDEX(条幅4分の1!$B$11:$B$310,834-COUNTA(半紙!$B$11:$B$310)-COUNTA(条幅!$B$11:$B$310)),""))))</f>
        <v/>
      </c>
      <c r="C839" s="38" t="str">
        <f>IF(IF(834&lt;=COUNTA(半紙!$B$11:$B$310),INDEX(半紙!$C$11:$C$310,834),IF(834&lt;=COUNTA(半紙!$B$11:$B$310)+COUNTA(条幅!$B$11:$B$310),INDEX(条幅!$C$11:$C$310,834-COUNTA(半紙!$B$11:$B$310)),IF(834&lt;=COUNTA(半紙!$B$11:$B$310)+COUNTA(条幅!$B$11:$B$310)+COUNTA(条幅4分の1!$B$11:$B$310),INDEX(条幅4分の1!$C$11:$C$310,834-COUNTA(半紙!$B$11:$B$310)-COUNTA(条幅!$B$11:$B$310)),"")))=0,"",IF(834&lt;=COUNTA(半紙!$B$11:$B$310),INDEX(半紙!$C$11:$C$310,834),IF(834&lt;=COUNTA(半紙!$B$11:$B$310)+COUNTA(条幅!$B$11:$B$310),INDEX(条幅!$C$11:$C$310,834-COUNTA(半紙!$B$11:$B$310)),IF(834&lt;=COUNTA(半紙!$B$11:$B$310)+COUNTA(条幅!$B$11:$B$310)+COUNTA(条幅4分の1!$B$11:$B$310),INDEX(条幅4分の1!$C$11:$C$310,834-COUNTA(半紙!$B$11:$B$310)-COUNTA(条幅!$B$11:$B$310)),""))))</f>
        <v/>
      </c>
      <c r="D839" s="38" t="str">
        <f>IF(IF(834&lt;=COUNTA(半紙!$B$11:$B$310),INDEX(半紙!$D$11:$D$310,834),IF(834&lt;=COUNTA(半紙!$B$11:$B$310)+COUNTA(条幅!$B$11:$B$310),INDEX(条幅!$D$11:$D$310,834-COUNTA(半紙!$B$11:$B$310)),IF(834&lt;=COUNTA(半紙!$B$11:$B$310)+COUNTA(条幅!$B$11:$B$310)+COUNTA(条幅4分の1!$B$11:$B$310),INDEX(条幅4分の1!$D$11:$D$310,834-COUNTA(半紙!$B$11:$B$310)-COUNTA(条幅!$B$11:$B$310)),"")))=0,"",IF(834&lt;=COUNTA(半紙!$B$11:$B$310),INDEX(半紙!$D$11:$D$310,834),IF(834&lt;=COUNTA(半紙!$B$11:$B$310)+COUNTA(条幅!$B$11:$B$310),INDEX(条幅!$D$11:$D$310,834-COUNTA(半紙!$B$11:$B$310)),IF(834&lt;=COUNTA(半紙!$B$11:$B$310)+COUNTA(条幅!$B$11:$B$310)+COUNTA(条幅4分の1!$B$11:$B$310),INDEX(条幅4分の1!$D$11:$D$310,834-COUNTA(半紙!$B$11:$B$310)-COUNTA(条幅!$B$11:$B$310)),""))))</f>
        <v/>
      </c>
      <c r="E839" s="38" t="str">
        <f>IF(IF(834&lt;=COUNTA(半紙!$B$11:$B$310),INDEX(半紙!$E$11:$E$310,834),IF(834&lt;=COUNTA(半紙!$B$11:$B$310)+COUNTA(条幅!$B$11:$B$310),INDEX(条幅!$E$11:$E$310,834-COUNTA(半紙!$B$11:$B$310)),IF(834&lt;=COUNTA(半紙!$B$11:$B$310)+COUNTA(条幅!$B$11:$B$310)+COUNTA(条幅4分の1!$B$11:$B$310),INDEX(条幅4分の1!$E$11:$E$310,834-COUNTA(半紙!$B$11:$B$310)-COUNTA(条幅!$B$11:$B$310)),"")))=0,"",IF(834&lt;=COUNTA(半紙!$B$11:$B$310),INDEX(半紙!$E$11:$E$310,834),IF(834&lt;=COUNTA(半紙!$B$11:$B$310)+COUNTA(条幅!$B$11:$B$310),INDEX(条幅!$E$11:$E$310,834-COUNTA(半紙!$B$11:$B$310)),IF(834&lt;=COUNTA(半紙!$B$11:$B$310)+COUNTA(条幅!$B$11:$B$310)+COUNTA(条幅4分の1!$B$11:$B$310),INDEX(条幅4分の1!$E$11:$E$310,834-COUNTA(半紙!$B$11:$B$310)-COUNTA(条幅!$B$11:$B$310)),""))))</f>
        <v/>
      </c>
      <c r="F839" s="38" t="str">
        <f>IF(IF(834&lt;=COUNTA(半紙!$B$11:$B$310),INDEX(半紙!$F$11:$F$310,834),IF(834&lt;=COUNTA(半紙!$B$11:$B$310)+COUNTA(条幅!$B$11:$B$310),INDEX(条幅!$F$11:$F$310,834-COUNTA(半紙!$B$11:$B$310)),IF(834&lt;=COUNTA(半紙!$B$11:$B$310)+COUNTA(条幅!$B$11:$B$310)+COUNTA(条幅4分の1!$B$11:$B$310),INDEX(条幅4分の1!$F$11:$F$310,834-COUNTA(半紙!$B$11:$B$310)-COUNTA(条幅!$B$11:$B$310)),"")))=0,"",IF(834&lt;=COUNTA(半紙!$B$11:$B$310),INDEX(半紙!$F$11:$F$310,834),IF(834&lt;=COUNTA(半紙!$B$11:$B$310)+COUNTA(条幅!$B$11:$B$310),INDEX(条幅!$F$11:$F$310,834-COUNTA(半紙!$B$11:$B$310)),IF(834&lt;=COUNTA(半紙!$B$11:$B$310)+COUNTA(条幅!$B$11:$B$310)+COUNTA(条幅4分の1!$B$11:$B$310),INDEX(条幅4分の1!$F$11:$F$310,834-COUNTA(半紙!$B$11:$B$310)-COUNTA(条幅!$B$11:$B$310)),""))))</f>
        <v/>
      </c>
      <c r="G839" s="38" t="str">
        <f>IF(IF(834&lt;=COUNTA(半紙!$B$11:$B$310),INDEX(半紙!$G$11:$G$310,834),IF(834&lt;=COUNTA(半紙!$B$11:$B$310)+COUNTA(条幅!$B$11:$B$310),INDEX(条幅!$G$11:$G$310,834-COUNTA(半紙!$B$11:$B$310)),IF(834&lt;=COUNTA(半紙!$B$11:$B$310)+COUNTA(条幅!$B$11:$B$310)+COUNTA(条幅4分の1!$B$11:$B$310),INDEX(条幅4分の1!$G$11:$G$310,834-COUNTA(半紙!$B$11:$B$310)-COUNTA(条幅!$B$11:$B$310)),"")))=0,"",IF(834&lt;=COUNTA(半紙!$B$11:$B$310),INDEX(半紙!$G$11:$G$310,834),IF(834&lt;=COUNTA(半紙!$B$11:$B$310)+COUNTA(条幅!$B$11:$B$310),INDEX(条幅!$G$11:$G$310,834-COUNTA(半紙!$B$11:$B$310)),IF(834&lt;=COUNTA(半紙!$B$11:$B$310)+COUNTA(条幅!$B$11:$B$310)+COUNTA(条幅4分の1!$B$11:$B$310),INDEX(条幅4分の1!$G$11:$G$310,834-COUNTA(半紙!$B$11:$B$310)-COUNTA(条幅!$B$11:$B$310)),""))))</f>
        <v/>
      </c>
      <c r="H839" s="38" t="str">
        <f>IF(IF(834&lt;=COUNTA(半紙!$B$11:$B$310),INDEX(半紙!$H$11:$H$310,834),IF(834&lt;=COUNTA(半紙!$B$11:$B$310)+COUNTA(条幅!$B$11:$B$310),INDEX(条幅!$H$11:$H$310,834-COUNTA(半紙!$B$11:$B$310)),IF(834&lt;=COUNTA(半紙!$B$11:$B$310)+COUNTA(条幅!$B$11:$B$310)+COUNTA(条幅4分の1!$B$11:$B$310),INDEX(条幅4分の1!$H$11:$H$310,834-COUNTA(半紙!$B$11:$B$310)-COUNTA(条幅!$B$11:$B$310)),"")))=0,"",IF(834&lt;=COUNTA(半紙!$B$11:$B$310),INDEX(半紙!$H$11:$H$310,834),IF(834&lt;=COUNTA(半紙!$B$11:$B$310)+COUNTA(条幅!$B$11:$B$310),INDEX(条幅!$H$11:$H$310,834-COUNTA(半紙!$B$11:$B$310)),IF(834&lt;=COUNTA(半紙!$B$11:$B$310)+COUNTA(条幅!$B$11:$B$310)+COUNTA(条幅4分の1!$B$11:$B$310),INDEX(条幅4分の1!$H$11:$H$310,834-COUNTA(半紙!$B$11:$B$310)-COUNTA(条幅!$B$11:$B$310)),""))))</f>
        <v/>
      </c>
      <c r="I839" s="38" t="str">
        <f>IF(IF(834&lt;=COUNTA(半紙!$B$11:$B$310),INDEX(半紙!$I$11:$I$310,834),IF(834&lt;=COUNTA(半紙!$B$11:$B$310)+COUNTA(条幅!$B$11:$B$310),INDEX(条幅!$I$11:$I$310,834-COUNTA(半紙!$B$11:$B$310)),IF(834&lt;=COUNTA(半紙!$B$11:$B$310)+COUNTA(条幅!$B$11:$B$310)+COUNTA(条幅4分の1!$B$11:$B$310),INDEX(条幅4分の1!$I$11:$I$310,834-COUNTA(半紙!$B$11:$B$310)-COUNTA(条幅!$B$11:$B$310)),"")))=0,"",IF(834&lt;=COUNTA(半紙!$B$11:$B$310),INDEX(半紙!$I$11:$I$310,834),IF(834&lt;=COUNTA(半紙!$B$11:$B$310)+COUNTA(条幅!$B$11:$B$310),INDEX(条幅!$I$11:$I$310,834-COUNTA(半紙!$B$11:$B$310)),IF(834&lt;=COUNTA(半紙!$B$11:$B$310)+COUNTA(条幅!$B$11:$B$310)+COUNTA(条幅4分の1!$B$11:$B$310),INDEX(条幅4分の1!$I$11:$I$310,834-COUNTA(半紙!$B$11:$B$310)-COUNTA(条幅!$B$11:$B$310)),""))))</f>
        <v/>
      </c>
      <c r="J839" s="38" t="str">
        <f>IF(IF(834&lt;=COUNTA(半紙!$B$11:$B$310),INDEX(半紙!$J$11:$J$310,834),IF(834&lt;=COUNTA(半紙!$B$11:$B$310)+COUNTA(条幅!$B$11:$B$310),INDEX(条幅!$J$11:$J$310,834-COUNTA(半紙!$B$11:$B$310)),IF(834&lt;=COUNTA(半紙!$B$11:$B$310)+COUNTA(条幅!$B$11:$B$310)+COUNTA(条幅4分の1!$B$11:$B$310),INDEX(条幅4分の1!$J$11:$J$310,834-COUNTA(半紙!$B$11:$B$310)-COUNTA(条幅!$B$11:$B$310)),"")))=0,"",IF(834&lt;=COUNTA(半紙!$B$11:$B$310),INDEX(半紙!$J$11:$J$310,834),IF(834&lt;=COUNTA(半紙!$B$11:$B$310)+COUNTA(条幅!$B$11:$B$310),INDEX(条幅!$J$11:$J$310,834-COUNTA(半紙!$B$11:$B$310)),IF(834&lt;=COUNTA(半紙!$B$11:$B$310)+COUNTA(条幅!$B$11:$B$310)+COUNTA(条幅4分の1!$B$11:$B$310),INDEX(条幅4分の1!$J$11:$J$310,834-COUNTA(半紙!$B$11:$B$310)-COUNTA(条幅!$B$11:$B$310)),""))))</f>
        <v/>
      </c>
      <c r="K839" s="38" t="str">
        <f>IF(IF(834&lt;=COUNTA(半紙!$B$11:$B$310),INDEX(半紙!$K$11:$K$310,834),IF(834&lt;=COUNTA(半紙!$B$11:$B$310)+COUNTA(条幅!$B$11:$B$310),INDEX(条幅!$K$11:$K$310,834-COUNTA(半紙!$B$11:$B$310)),IF(834&lt;=COUNTA(半紙!$B$11:$B$310)+COUNTA(条幅!$B$11:$B$310)+COUNTA(条幅4分の1!$B$11:$B$310),INDEX(条幅4分の1!$K$11:$K$310,834-COUNTA(半紙!$B$11:$B$310)-COUNTA(条幅!$B$11:$B$310)),"")))=0,"",IF(834&lt;=COUNTA(半紙!$B$11:$B$310),INDEX(半紙!$K$11:$K$310,834),IF(834&lt;=COUNTA(半紙!$B$11:$B$310)+COUNTA(条幅!$B$11:$B$310),INDEX(条幅!$K$11:$K$310,834-COUNTA(半紙!$B$11:$B$310)),IF(834&lt;=COUNTA(半紙!$B$11:$B$310)+COUNTA(条幅!$B$11:$B$310)+COUNTA(条幅4分の1!$B$11:$B$310),INDEX(条幅4分の1!$K$11:$K$310,834-COUNTA(半紙!$B$11:$B$310)-COUNTA(条幅!$B$11:$B$310)),""))))</f>
        <v/>
      </c>
      <c r="L839" s="48" t="str">
        <f>IF($B839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834))</f>
        <v/>
      </c>
    </row>
    <row r="840" spans="1:12" ht="15" customHeight="1">
      <c r="A840" s="37" t="str">
        <f>IF(835&lt;=COUNTA(半紙!$B$11:$B$310),"半紙",IF(835&lt;=COUNTA(半紙!$B$11:$B$310)+COUNTA(条幅!$B$11:$B$310),"条幅(半切)",IF(835&lt;=COUNTA(半紙!$B$11:$B$310)+COUNTA(条幅!$B$11:$B$310)+COUNTA(条幅4分の1!$B$11:$B$310),"条幅(1/4)","")))</f>
        <v/>
      </c>
      <c r="B840" s="38" t="str">
        <f>IF(IF(835&lt;=COUNTA(半紙!$B$11:$B$310),INDEX(半紙!$B$11:$B$310,835),IF(835&lt;=COUNTA(半紙!$B$11:$B$310)+COUNTA(条幅!$B$11:$B$310),INDEX(条幅!$B$11:$B$310,835-COUNTA(半紙!$B$11:$B$310)),IF(835&lt;=COUNTA(半紙!$B$11:$B$310)+COUNTA(条幅!$B$11:$B$310)+COUNTA(条幅4分の1!$B$11:$B$310),INDEX(条幅4分の1!$B$11:$B$310,835-COUNTA(半紙!$B$11:$B$310)-COUNTA(条幅!$B$11:$B$310)),"")))=0,"",IF(835&lt;=COUNTA(半紙!$B$11:$B$310),INDEX(半紙!$B$11:$B$310,835),IF(835&lt;=COUNTA(半紙!$B$11:$B$310)+COUNTA(条幅!$B$11:$B$310),INDEX(条幅!$B$11:$B$310,835-COUNTA(半紙!$B$11:$B$310)),IF(835&lt;=COUNTA(半紙!$B$11:$B$310)+COUNTA(条幅!$B$11:$B$310)+COUNTA(条幅4分の1!$B$11:$B$310),INDEX(条幅4分の1!$B$11:$B$310,835-COUNTA(半紙!$B$11:$B$310)-COUNTA(条幅!$B$11:$B$310)),""))))</f>
        <v/>
      </c>
      <c r="C840" s="38" t="str">
        <f>IF(IF(835&lt;=COUNTA(半紙!$B$11:$B$310),INDEX(半紙!$C$11:$C$310,835),IF(835&lt;=COUNTA(半紙!$B$11:$B$310)+COUNTA(条幅!$B$11:$B$310),INDEX(条幅!$C$11:$C$310,835-COUNTA(半紙!$B$11:$B$310)),IF(835&lt;=COUNTA(半紙!$B$11:$B$310)+COUNTA(条幅!$B$11:$B$310)+COUNTA(条幅4分の1!$B$11:$B$310),INDEX(条幅4分の1!$C$11:$C$310,835-COUNTA(半紙!$B$11:$B$310)-COUNTA(条幅!$B$11:$B$310)),"")))=0,"",IF(835&lt;=COUNTA(半紙!$B$11:$B$310),INDEX(半紙!$C$11:$C$310,835),IF(835&lt;=COUNTA(半紙!$B$11:$B$310)+COUNTA(条幅!$B$11:$B$310),INDEX(条幅!$C$11:$C$310,835-COUNTA(半紙!$B$11:$B$310)),IF(835&lt;=COUNTA(半紙!$B$11:$B$310)+COUNTA(条幅!$B$11:$B$310)+COUNTA(条幅4分の1!$B$11:$B$310),INDEX(条幅4分の1!$C$11:$C$310,835-COUNTA(半紙!$B$11:$B$310)-COUNTA(条幅!$B$11:$B$310)),""))))</f>
        <v/>
      </c>
      <c r="D840" s="38" t="str">
        <f>IF(IF(835&lt;=COUNTA(半紙!$B$11:$B$310),INDEX(半紙!$D$11:$D$310,835),IF(835&lt;=COUNTA(半紙!$B$11:$B$310)+COUNTA(条幅!$B$11:$B$310),INDEX(条幅!$D$11:$D$310,835-COUNTA(半紙!$B$11:$B$310)),IF(835&lt;=COUNTA(半紙!$B$11:$B$310)+COUNTA(条幅!$B$11:$B$310)+COUNTA(条幅4分の1!$B$11:$B$310),INDEX(条幅4分の1!$D$11:$D$310,835-COUNTA(半紙!$B$11:$B$310)-COUNTA(条幅!$B$11:$B$310)),"")))=0,"",IF(835&lt;=COUNTA(半紙!$B$11:$B$310),INDEX(半紙!$D$11:$D$310,835),IF(835&lt;=COUNTA(半紙!$B$11:$B$310)+COUNTA(条幅!$B$11:$B$310),INDEX(条幅!$D$11:$D$310,835-COUNTA(半紙!$B$11:$B$310)),IF(835&lt;=COUNTA(半紙!$B$11:$B$310)+COUNTA(条幅!$B$11:$B$310)+COUNTA(条幅4分の1!$B$11:$B$310),INDEX(条幅4分の1!$D$11:$D$310,835-COUNTA(半紙!$B$11:$B$310)-COUNTA(条幅!$B$11:$B$310)),""))))</f>
        <v/>
      </c>
      <c r="E840" s="38" t="str">
        <f>IF(IF(835&lt;=COUNTA(半紙!$B$11:$B$310),INDEX(半紙!$E$11:$E$310,835),IF(835&lt;=COUNTA(半紙!$B$11:$B$310)+COUNTA(条幅!$B$11:$B$310),INDEX(条幅!$E$11:$E$310,835-COUNTA(半紙!$B$11:$B$310)),IF(835&lt;=COUNTA(半紙!$B$11:$B$310)+COUNTA(条幅!$B$11:$B$310)+COUNTA(条幅4分の1!$B$11:$B$310),INDEX(条幅4分の1!$E$11:$E$310,835-COUNTA(半紙!$B$11:$B$310)-COUNTA(条幅!$B$11:$B$310)),"")))=0,"",IF(835&lt;=COUNTA(半紙!$B$11:$B$310),INDEX(半紙!$E$11:$E$310,835),IF(835&lt;=COUNTA(半紙!$B$11:$B$310)+COUNTA(条幅!$B$11:$B$310),INDEX(条幅!$E$11:$E$310,835-COUNTA(半紙!$B$11:$B$310)),IF(835&lt;=COUNTA(半紙!$B$11:$B$310)+COUNTA(条幅!$B$11:$B$310)+COUNTA(条幅4分の1!$B$11:$B$310),INDEX(条幅4分の1!$E$11:$E$310,835-COUNTA(半紙!$B$11:$B$310)-COUNTA(条幅!$B$11:$B$310)),""))))</f>
        <v/>
      </c>
      <c r="F840" s="38" t="str">
        <f>IF(IF(835&lt;=COUNTA(半紙!$B$11:$B$310),INDEX(半紙!$F$11:$F$310,835),IF(835&lt;=COUNTA(半紙!$B$11:$B$310)+COUNTA(条幅!$B$11:$B$310),INDEX(条幅!$F$11:$F$310,835-COUNTA(半紙!$B$11:$B$310)),IF(835&lt;=COUNTA(半紙!$B$11:$B$310)+COUNTA(条幅!$B$11:$B$310)+COUNTA(条幅4分の1!$B$11:$B$310),INDEX(条幅4分の1!$F$11:$F$310,835-COUNTA(半紙!$B$11:$B$310)-COUNTA(条幅!$B$11:$B$310)),"")))=0,"",IF(835&lt;=COUNTA(半紙!$B$11:$B$310),INDEX(半紙!$F$11:$F$310,835),IF(835&lt;=COUNTA(半紙!$B$11:$B$310)+COUNTA(条幅!$B$11:$B$310),INDEX(条幅!$F$11:$F$310,835-COUNTA(半紙!$B$11:$B$310)),IF(835&lt;=COUNTA(半紙!$B$11:$B$310)+COUNTA(条幅!$B$11:$B$310)+COUNTA(条幅4分の1!$B$11:$B$310),INDEX(条幅4分の1!$F$11:$F$310,835-COUNTA(半紙!$B$11:$B$310)-COUNTA(条幅!$B$11:$B$310)),""))))</f>
        <v/>
      </c>
      <c r="G840" s="38" t="str">
        <f>IF(IF(835&lt;=COUNTA(半紙!$B$11:$B$310),INDEX(半紙!$G$11:$G$310,835),IF(835&lt;=COUNTA(半紙!$B$11:$B$310)+COUNTA(条幅!$B$11:$B$310),INDEX(条幅!$G$11:$G$310,835-COUNTA(半紙!$B$11:$B$310)),IF(835&lt;=COUNTA(半紙!$B$11:$B$310)+COUNTA(条幅!$B$11:$B$310)+COUNTA(条幅4分の1!$B$11:$B$310),INDEX(条幅4分の1!$G$11:$G$310,835-COUNTA(半紙!$B$11:$B$310)-COUNTA(条幅!$B$11:$B$310)),"")))=0,"",IF(835&lt;=COUNTA(半紙!$B$11:$B$310),INDEX(半紙!$G$11:$G$310,835),IF(835&lt;=COUNTA(半紙!$B$11:$B$310)+COUNTA(条幅!$B$11:$B$310),INDEX(条幅!$G$11:$G$310,835-COUNTA(半紙!$B$11:$B$310)),IF(835&lt;=COUNTA(半紙!$B$11:$B$310)+COUNTA(条幅!$B$11:$B$310)+COUNTA(条幅4分の1!$B$11:$B$310),INDEX(条幅4分の1!$G$11:$G$310,835-COUNTA(半紙!$B$11:$B$310)-COUNTA(条幅!$B$11:$B$310)),""))))</f>
        <v/>
      </c>
      <c r="H840" s="38" t="str">
        <f>IF(IF(835&lt;=COUNTA(半紙!$B$11:$B$310),INDEX(半紙!$H$11:$H$310,835),IF(835&lt;=COUNTA(半紙!$B$11:$B$310)+COUNTA(条幅!$B$11:$B$310),INDEX(条幅!$H$11:$H$310,835-COUNTA(半紙!$B$11:$B$310)),IF(835&lt;=COUNTA(半紙!$B$11:$B$310)+COUNTA(条幅!$B$11:$B$310)+COUNTA(条幅4分の1!$B$11:$B$310),INDEX(条幅4分の1!$H$11:$H$310,835-COUNTA(半紙!$B$11:$B$310)-COUNTA(条幅!$B$11:$B$310)),"")))=0,"",IF(835&lt;=COUNTA(半紙!$B$11:$B$310),INDEX(半紙!$H$11:$H$310,835),IF(835&lt;=COUNTA(半紙!$B$11:$B$310)+COUNTA(条幅!$B$11:$B$310),INDEX(条幅!$H$11:$H$310,835-COUNTA(半紙!$B$11:$B$310)),IF(835&lt;=COUNTA(半紙!$B$11:$B$310)+COUNTA(条幅!$B$11:$B$310)+COUNTA(条幅4分の1!$B$11:$B$310),INDEX(条幅4分の1!$H$11:$H$310,835-COUNTA(半紙!$B$11:$B$310)-COUNTA(条幅!$B$11:$B$310)),""))))</f>
        <v/>
      </c>
      <c r="I840" s="38" t="str">
        <f>IF(IF(835&lt;=COUNTA(半紙!$B$11:$B$310),INDEX(半紙!$I$11:$I$310,835),IF(835&lt;=COUNTA(半紙!$B$11:$B$310)+COUNTA(条幅!$B$11:$B$310),INDEX(条幅!$I$11:$I$310,835-COUNTA(半紙!$B$11:$B$310)),IF(835&lt;=COUNTA(半紙!$B$11:$B$310)+COUNTA(条幅!$B$11:$B$310)+COUNTA(条幅4分の1!$B$11:$B$310),INDEX(条幅4分の1!$I$11:$I$310,835-COUNTA(半紙!$B$11:$B$310)-COUNTA(条幅!$B$11:$B$310)),"")))=0,"",IF(835&lt;=COUNTA(半紙!$B$11:$B$310),INDEX(半紙!$I$11:$I$310,835),IF(835&lt;=COUNTA(半紙!$B$11:$B$310)+COUNTA(条幅!$B$11:$B$310),INDEX(条幅!$I$11:$I$310,835-COUNTA(半紙!$B$11:$B$310)),IF(835&lt;=COUNTA(半紙!$B$11:$B$310)+COUNTA(条幅!$B$11:$B$310)+COUNTA(条幅4分の1!$B$11:$B$310),INDEX(条幅4分の1!$I$11:$I$310,835-COUNTA(半紙!$B$11:$B$310)-COUNTA(条幅!$B$11:$B$310)),""))))</f>
        <v/>
      </c>
      <c r="J840" s="38" t="str">
        <f>IF(IF(835&lt;=COUNTA(半紙!$B$11:$B$310),INDEX(半紙!$J$11:$J$310,835),IF(835&lt;=COUNTA(半紙!$B$11:$B$310)+COUNTA(条幅!$B$11:$B$310),INDEX(条幅!$J$11:$J$310,835-COUNTA(半紙!$B$11:$B$310)),IF(835&lt;=COUNTA(半紙!$B$11:$B$310)+COUNTA(条幅!$B$11:$B$310)+COUNTA(条幅4分の1!$B$11:$B$310),INDEX(条幅4分の1!$J$11:$J$310,835-COUNTA(半紙!$B$11:$B$310)-COUNTA(条幅!$B$11:$B$310)),"")))=0,"",IF(835&lt;=COUNTA(半紙!$B$11:$B$310),INDEX(半紙!$J$11:$J$310,835),IF(835&lt;=COUNTA(半紙!$B$11:$B$310)+COUNTA(条幅!$B$11:$B$310),INDEX(条幅!$J$11:$J$310,835-COUNTA(半紙!$B$11:$B$310)),IF(835&lt;=COUNTA(半紙!$B$11:$B$310)+COUNTA(条幅!$B$11:$B$310)+COUNTA(条幅4分の1!$B$11:$B$310),INDEX(条幅4分の1!$J$11:$J$310,835-COUNTA(半紙!$B$11:$B$310)-COUNTA(条幅!$B$11:$B$310)),""))))</f>
        <v/>
      </c>
      <c r="K840" s="38" t="str">
        <f>IF(IF(835&lt;=COUNTA(半紙!$B$11:$B$310),INDEX(半紙!$K$11:$K$310,835),IF(835&lt;=COUNTA(半紙!$B$11:$B$310)+COUNTA(条幅!$B$11:$B$310),INDEX(条幅!$K$11:$K$310,835-COUNTA(半紙!$B$11:$B$310)),IF(835&lt;=COUNTA(半紙!$B$11:$B$310)+COUNTA(条幅!$B$11:$B$310)+COUNTA(条幅4分の1!$B$11:$B$310),INDEX(条幅4分の1!$K$11:$K$310,835-COUNTA(半紙!$B$11:$B$310)-COUNTA(条幅!$B$11:$B$310)),"")))=0,"",IF(835&lt;=COUNTA(半紙!$B$11:$B$310),INDEX(半紙!$K$11:$K$310,835),IF(835&lt;=COUNTA(半紙!$B$11:$B$310)+COUNTA(条幅!$B$11:$B$310),INDEX(条幅!$K$11:$K$310,835-COUNTA(半紙!$B$11:$B$310)),IF(835&lt;=COUNTA(半紙!$B$11:$B$310)+COUNTA(条幅!$B$11:$B$310)+COUNTA(条幅4分の1!$B$11:$B$310),INDEX(条幅4分の1!$K$11:$K$310,835-COUNTA(半紙!$B$11:$B$310)-COUNTA(条幅!$B$11:$B$310)),""))))</f>
        <v/>
      </c>
      <c r="L840" s="48" t="str">
        <f>IF($B840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835))</f>
        <v/>
      </c>
    </row>
    <row r="841" spans="1:12" ht="15" customHeight="1">
      <c r="A841" s="37" t="str">
        <f>IF(836&lt;=COUNTA(半紙!$B$11:$B$310),"半紙",IF(836&lt;=COUNTA(半紙!$B$11:$B$310)+COUNTA(条幅!$B$11:$B$310),"条幅(半切)",IF(836&lt;=COUNTA(半紙!$B$11:$B$310)+COUNTA(条幅!$B$11:$B$310)+COUNTA(条幅4分の1!$B$11:$B$310),"条幅(1/4)","")))</f>
        <v/>
      </c>
      <c r="B841" s="38" t="str">
        <f>IF(IF(836&lt;=COUNTA(半紙!$B$11:$B$310),INDEX(半紙!$B$11:$B$310,836),IF(836&lt;=COUNTA(半紙!$B$11:$B$310)+COUNTA(条幅!$B$11:$B$310),INDEX(条幅!$B$11:$B$310,836-COUNTA(半紙!$B$11:$B$310)),IF(836&lt;=COUNTA(半紙!$B$11:$B$310)+COUNTA(条幅!$B$11:$B$310)+COUNTA(条幅4分の1!$B$11:$B$310),INDEX(条幅4分の1!$B$11:$B$310,836-COUNTA(半紙!$B$11:$B$310)-COUNTA(条幅!$B$11:$B$310)),"")))=0,"",IF(836&lt;=COUNTA(半紙!$B$11:$B$310),INDEX(半紙!$B$11:$B$310,836),IF(836&lt;=COUNTA(半紙!$B$11:$B$310)+COUNTA(条幅!$B$11:$B$310),INDEX(条幅!$B$11:$B$310,836-COUNTA(半紙!$B$11:$B$310)),IF(836&lt;=COUNTA(半紙!$B$11:$B$310)+COUNTA(条幅!$B$11:$B$310)+COUNTA(条幅4分の1!$B$11:$B$310),INDEX(条幅4分の1!$B$11:$B$310,836-COUNTA(半紙!$B$11:$B$310)-COUNTA(条幅!$B$11:$B$310)),""))))</f>
        <v/>
      </c>
      <c r="C841" s="38" t="str">
        <f>IF(IF(836&lt;=COUNTA(半紙!$B$11:$B$310),INDEX(半紙!$C$11:$C$310,836),IF(836&lt;=COUNTA(半紙!$B$11:$B$310)+COUNTA(条幅!$B$11:$B$310),INDEX(条幅!$C$11:$C$310,836-COUNTA(半紙!$B$11:$B$310)),IF(836&lt;=COUNTA(半紙!$B$11:$B$310)+COUNTA(条幅!$B$11:$B$310)+COUNTA(条幅4分の1!$B$11:$B$310),INDEX(条幅4分の1!$C$11:$C$310,836-COUNTA(半紙!$B$11:$B$310)-COUNTA(条幅!$B$11:$B$310)),"")))=0,"",IF(836&lt;=COUNTA(半紙!$B$11:$B$310),INDEX(半紙!$C$11:$C$310,836),IF(836&lt;=COUNTA(半紙!$B$11:$B$310)+COUNTA(条幅!$B$11:$B$310),INDEX(条幅!$C$11:$C$310,836-COUNTA(半紙!$B$11:$B$310)),IF(836&lt;=COUNTA(半紙!$B$11:$B$310)+COUNTA(条幅!$B$11:$B$310)+COUNTA(条幅4分の1!$B$11:$B$310),INDEX(条幅4分の1!$C$11:$C$310,836-COUNTA(半紙!$B$11:$B$310)-COUNTA(条幅!$B$11:$B$310)),""))))</f>
        <v/>
      </c>
      <c r="D841" s="38" t="str">
        <f>IF(IF(836&lt;=COUNTA(半紙!$B$11:$B$310),INDEX(半紙!$D$11:$D$310,836),IF(836&lt;=COUNTA(半紙!$B$11:$B$310)+COUNTA(条幅!$B$11:$B$310),INDEX(条幅!$D$11:$D$310,836-COUNTA(半紙!$B$11:$B$310)),IF(836&lt;=COUNTA(半紙!$B$11:$B$310)+COUNTA(条幅!$B$11:$B$310)+COUNTA(条幅4分の1!$B$11:$B$310),INDEX(条幅4分の1!$D$11:$D$310,836-COUNTA(半紙!$B$11:$B$310)-COUNTA(条幅!$B$11:$B$310)),"")))=0,"",IF(836&lt;=COUNTA(半紙!$B$11:$B$310),INDEX(半紙!$D$11:$D$310,836),IF(836&lt;=COUNTA(半紙!$B$11:$B$310)+COUNTA(条幅!$B$11:$B$310),INDEX(条幅!$D$11:$D$310,836-COUNTA(半紙!$B$11:$B$310)),IF(836&lt;=COUNTA(半紙!$B$11:$B$310)+COUNTA(条幅!$B$11:$B$310)+COUNTA(条幅4分の1!$B$11:$B$310),INDEX(条幅4分の1!$D$11:$D$310,836-COUNTA(半紙!$B$11:$B$310)-COUNTA(条幅!$B$11:$B$310)),""))))</f>
        <v/>
      </c>
      <c r="E841" s="38" t="str">
        <f>IF(IF(836&lt;=COUNTA(半紙!$B$11:$B$310),INDEX(半紙!$E$11:$E$310,836),IF(836&lt;=COUNTA(半紙!$B$11:$B$310)+COUNTA(条幅!$B$11:$B$310),INDEX(条幅!$E$11:$E$310,836-COUNTA(半紙!$B$11:$B$310)),IF(836&lt;=COUNTA(半紙!$B$11:$B$310)+COUNTA(条幅!$B$11:$B$310)+COUNTA(条幅4分の1!$B$11:$B$310),INDEX(条幅4分の1!$E$11:$E$310,836-COUNTA(半紙!$B$11:$B$310)-COUNTA(条幅!$B$11:$B$310)),"")))=0,"",IF(836&lt;=COUNTA(半紙!$B$11:$B$310),INDEX(半紙!$E$11:$E$310,836),IF(836&lt;=COUNTA(半紙!$B$11:$B$310)+COUNTA(条幅!$B$11:$B$310),INDEX(条幅!$E$11:$E$310,836-COUNTA(半紙!$B$11:$B$310)),IF(836&lt;=COUNTA(半紙!$B$11:$B$310)+COUNTA(条幅!$B$11:$B$310)+COUNTA(条幅4分の1!$B$11:$B$310),INDEX(条幅4分の1!$E$11:$E$310,836-COUNTA(半紙!$B$11:$B$310)-COUNTA(条幅!$B$11:$B$310)),""))))</f>
        <v/>
      </c>
      <c r="F841" s="38" t="str">
        <f>IF(IF(836&lt;=COUNTA(半紙!$B$11:$B$310),INDEX(半紙!$F$11:$F$310,836),IF(836&lt;=COUNTA(半紙!$B$11:$B$310)+COUNTA(条幅!$B$11:$B$310),INDEX(条幅!$F$11:$F$310,836-COUNTA(半紙!$B$11:$B$310)),IF(836&lt;=COUNTA(半紙!$B$11:$B$310)+COUNTA(条幅!$B$11:$B$310)+COUNTA(条幅4分の1!$B$11:$B$310),INDEX(条幅4分の1!$F$11:$F$310,836-COUNTA(半紙!$B$11:$B$310)-COUNTA(条幅!$B$11:$B$310)),"")))=0,"",IF(836&lt;=COUNTA(半紙!$B$11:$B$310),INDEX(半紙!$F$11:$F$310,836),IF(836&lt;=COUNTA(半紙!$B$11:$B$310)+COUNTA(条幅!$B$11:$B$310),INDEX(条幅!$F$11:$F$310,836-COUNTA(半紙!$B$11:$B$310)),IF(836&lt;=COUNTA(半紙!$B$11:$B$310)+COUNTA(条幅!$B$11:$B$310)+COUNTA(条幅4分の1!$B$11:$B$310),INDEX(条幅4分の1!$F$11:$F$310,836-COUNTA(半紙!$B$11:$B$310)-COUNTA(条幅!$B$11:$B$310)),""))))</f>
        <v/>
      </c>
      <c r="G841" s="38" t="str">
        <f>IF(IF(836&lt;=COUNTA(半紙!$B$11:$B$310),INDEX(半紙!$G$11:$G$310,836),IF(836&lt;=COUNTA(半紙!$B$11:$B$310)+COUNTA(条幅!$B$11:$B$310),INDEX(条幅!$G$11:$G$310,836-COUNTA(半紙!$B$11:$B$310)),IF(836&lt;=COUNTA(半紙!$B$11:$B$310)+COUNTA(条幅!$B$11:$B$310)+COUNTA(条幅4分の1!$B$11:$B$310),INDEX(条幅4分の1!$G$11:$G$310,836-COUNTA(半紙!$B$11:$B$310)-COUNTA(条幅!$B$11:$B$310)),"")))=0,"",IF(836&lt;=COUNTA(半紙!$B$11:$B$310),INDEX(半紙!$G$11:$G$310,836),IF(836&lt;=COUNTA(半紙!$B$11:$B$310)+COUNTA(条幅!$B$11:$B$310),INDEX(条幅!$G$11:$G$310,836-COUNTA(半紙!$B$11:$B$310)),IF(836&lt;=COUNTA(半紙!$B$11:$B$310)+COUNTA(条幅!$B$11:$B$310)+COUNTA(条幅4分の1!$B$11:$B$310),INDEX(条幅4分の1!$G$11:$G$310,836-COUNTA(半紙!$B$11:$B$310)-COUNTA(条幅!$B$11:$B$310)),""))))</f>
        <v/>
      </c>
      <c r="H841" s="38" t="str">
        <f>IF(IF(836&lt;=COUNTA(半紙!$B$11:$B$310),INDEX(半紙!$H$11:$H$310,836),IF(836&lt;=COUNTA(半紙!$B$11:$B$310)+COUNTA(条幅!$B$11:$B$310),INDEX(条幅!$H$11:$H$310,836-COUNTA(半紙!$B$11:$B$310)),IF(836&lt;=COUNTA(半紙!$B$11:$B$310)+COUNTA(条幅!$B$11:$B$310)+COUNTA(条幅4分の1!$B$11:$B$310),INDEX(条幅4分の1!$H$11:$H$310,836-COUNTA(半紙!$B$11:$B$310)-COUNTA(条幅!$B$11:$B$310)),"")))=0,"",IF(836&lt;=COUNTA(半紙!$B$11:$B$310),INDEX(半紙!$H$11:$H$310,836),IF(836&lt;=COUNTA(半紙!$B$11:$B$310)+COUNTA(条幅!$B$11:$B$310),INDEX(条幅!$H$11:$H$310,836-COUNTA(半紙!$B$11:$B$310)),IF(836&lt;=COUNTA(半紙!$B$11:$B$310)+COUNTA(条幅!$B$11:$B$310)+COUNTA(条幅4分の1!$B$11:$B$310),INDEX(条幅4分の1!$H$11:$H$310,836-COUNTA(半紙!$B$11:$B$310)-COUNTA(条幅!$B$11:$B$310)),""))))</f>
        <v/>
      </c>
      <c r="I841" s="38" t="str">
        <f>IF(IF(836&lt;=COUNTA(半紙!$B$11:$B$310),INDEX(半紙!$I$11:$I$310,836),IF(836&lt;=COUNTA(半紙!$B$11:$B$310)+COUNTA(条幅!$B$11:$B$310),INDEX(条幅!$I$11:$I$310,836-COUNTA(半紙!$B$11:$B$310)),IF(836&lt;=COUNTA(半紙!$B$11:$B$310)+COUNTA(条幅!$B$11:$B$310)+COUNTA(条幅4分の1!$B$11:$B$310),INDEX(条幅4分の1!$I$11:$I$310,836-COUNTA(半紙!$B$11:$B$310)-COUNTA(条幅!$B$11:$B$310)),"")))=0,"",IF(836&lt;=COUNTA(半紙!$B$11:$B$310),INDEX(半紙!$I$11:$I$310,836),IF(836&lt;=COUNTA(半紙!$B$11:$B$310)+COUNTA(条幅!$B$11:$B$310),INDEX(条幅!$I$11:$I$310,836-COUNTA(半紙!$B$11:$B$310)),IF(836&lt;=COUNTA(半紙!$B$11:$B$310)+COUNTA(条幅!$B$11:$B$310)+COUNTA(条幅4分の1!$B$11:$B$310),INDEX(条幅4分の1!$I$11:$I$310,836-COUNTA(半紙!$B$11:$B$310)-COUNTA(条幅!$B$11:$B$310)),""))))</f>
        <v/>
      </c>
      <c r="J841" s="38" t="str">
        <f>IF(IF(836&lt;=COUNTA(半紙!$B$11:$B$310),INDEX(半紙!$J$11:$J$310,836),IF(836&lt;=COUNTA(半紙!$B$11:$B$310)+COUNTA(条幅!$B$11:$B$310),INDEX(条幅!$J$11:$J$310,836-COUNTA(半紙!$B$11:$B$310)),IF(836&lt;=COUNTA(半紙!$B$11:$B$310)+COUNTA(条幅!$B$11:$B$310)+COUNTA(条幅4分の1!$B$11:$B$310),INDEX(条幅4分の1!$J$11:$J$310,836-COUNTA(半紙!$B$11:$B$310)-COUNTA(条幅!$B$11:$B$310)),"")))=0,"",IF(836&lt;=COUNTA(半紙!$B$11:$B$310),INDEX(半紙!$J$11:$J$310,836),IF(836&lt;=COUNTA(半紙!$B$11:$B$310)+COUNTA(条幅!$B$11:$B$310),INDEX(条幅!$J$11:$J$310,836-COUNTA(半紙!$B$11:$B$310)),IF(836&lt;=COUNTA(半紙!$B$11:$B$310)+COUNTA(条幅!$B$11:$B$310)+COUNTA(条幅4分の1!$B$11:$B$310),INDEX(条幅4分の1!$J$11:$J$310,836-COUNTA(半紙!$B$11:$B$310)-COUNTA(条幅!$B$11:$B$310)),""))))</f>
        <v/>
      </c>
      <c r="K841" s="38" t="str">
        <f>IF(IF(836&lt;=COUNTA(半紙!$B$11:$B$310),INDEX(半紙!$K$11:$K$310,836),IF(836&lt;=COUNTA(半紙!$B$11:$B$310)+COUNTA(条幅!$B$11:$B$310),INDEX(条幅!$K$11:$K$310,836-COUNTA(半紙!$B$11:$B$310)),IF(836&lt;=COUNTA(半紙!$B$11:$B$310)+COUNTA(条幅!$B$11:$B$310)+COUNTA(条幅4分の1!$B$11:$B$310),INDEX(条幅4分の1!$K$11:$K$310,836-COUNTA(半紙!$B$11:$B$310)-COUNTA(条幅!$B$11:$B$310)),"")))=0,"",IF(836&lt;=COUNTA(半紙!$B$11:$B$310),INDEX(半紙!$K$11:$K$310,836),IF(836&lt;=COUNTA(半紙!$B$11:$B$310)+COUNTA(条幅!$B$11:$B$310),INDEX(条幅!$K$11:$K$310,836-COUNTA(半紙!$B$11:$B$310)),IF(836&lt;=COUNTA(半紙!$B$11:$B$310)+COUNTA(条幅!$B$11:$B$310)+COUNTA(条幅4分の1!$B$11:$B$310),INDEX(条幅4分の1!$K$11:$K$310,836-COUNTA(半紙!$B$11:$B$310)-COUNTA(条幅!$B$11:$B$310)),""))))</f>
        <v/>
      </c>
      <c r="L841" s="48" t="str">
        <f>IF($B841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836))</f>
        <v/>
      </c>
    </row>
    <row r="842" spans="1:12" ht="15" customHeight="1">
      <c r="A842" s="37" t="str">
        <f>IF(837&lt;=COUNTA(半紙!$B$11:$B$310),"半紙",IF(837&lt;=COUNTA(半紙!$B$11:$B$310)+COUNTA(条幅!$B$11:$B$310),"条幅(半切)",IF(837&lt;=COUNTA(半紙!$B$11:$B$310)+COUNTA(条幅!$B$11:$B$310)+COUNTA(条幅4分の1!$B$11:$B$310),"条幅(1/4)","")))</f>
        <v/>
      </c>
      <c r="B842" s="38" t="str">
        <f>IF(IF(837&lt;=COUNTA(半紙!$B$11:$B$310),INDEX(半紙!$B$11:$B$310,837),IF(837&lt;=COUNTA(半紙!$B$11:$B$310)+COUNTA(条幅!$B$11:$B$310),INDEX(条幅!$B$11:$B$310,837-COUNTA(半紙!$B$11:$B$310)),IF(837&lt;=COUNTA(半紙!$B$11:$B$310)+COUNTA(条幅!$B$11:$B$310)+COUNTA(条幅4分の1!$B$11:$B$310),INDEX(条幅4分の1!$B$11:$B$310,837-COUNTA(半紙!$B$11:$B$310)-COUNTA(条幅!$B$11:$B$310)),"")))=0,"",IF(837&lt;=COUNTA(半紙!$B$11:$B$310),INDEX(半紙!$B$11:$B$310,837),IF(837&lt;=COUNTA(半紙!$B$11:$B$310)+COUNTA(条幅!$B$11:$B$310),INDEX(条幅!$B$11:$B$310,837-COUNTA(半紙!$B$11:$B$310)),IF(837&lt;=COUNTA(半紙!$B$11:$B$310)+COUNTA(条幅!$B$11:$B$310)+COUNTA(条幅4分の1!$B$11:$B$310),INDEX(条幅4分の1!$B$11:$B$310,837-COUNTA(半紙!$B$11:$B$310)-COUNTA(条幅!$B$11:$B$310)),""))))</f>
        <v/>
      </c>
      <c r="C842" s="38" t="str">
        <f>IF(IF(837&lt;=COUNTA(半紙!$B$11:$B$310),INDEX(半紙!$C$11:$C$310,837),IF(837&lt;=COUNTA(半紙!$B$11:$B$310)+COUNTA(条幅!$B$11:$B$310),INDEX(条幅!$C$11:$C$310,837-COUNTA(半紙!$B$11:$B$310)),IF(837&lt;=COUNTA(半紙!$B$11:$B$310)+COUNTA(条幅!$B$11:$B$310)+COUNTA(条幅4分の1!$B$11:$B$310),INDEX(条幅4分の1!$C$11:$C$310,837-COUNTA(半紙!$B$11:$B$310)-COUNTA(条幅!$B$11:$B$310)),"")))=0,"",IF(837&lt;=COUNTA(半紙!$B$11:$B$310),INDEX(半紙!$C$11:$C$310,837),IF(837&lt;=COUNTA(半紙!$B$11:$B$310)+COUNTA(条幅!$B$11:$B$310),INDEX(条幅!$C$11:$C$310,837-COUNTA(半紙!$B$11:$B$310)),IF(837&lt;=COUNTA(半紙!$B$11:$B$310)+COUNTA(条幅!$B$11:$B$310)+COUNTA(条幅4分の1!$B$11:$B$310),INDEX(条幅4分の1!$C$11:$C$310,837-COUNTA(半紙!$B$11:$B$310)-COUNTA(条幅!$B$11:$B$310)),""))))</f>
        <v/>
      </c>
      <c r="D842" s="38" t="str">
        <f>IF(IF(837&lt;=COUNTA(半紙!$B$11:$B$310),INDEX(半紙!$D$11:$D$310,837),IF(837&lt;=COUNTA(半紙!$B$11:$B$310)+COUNTA(条幅!$B$11:$B$310),INDEX(条幅!$D$11:$D$310,837-COUNTA(半紙!$B$11:$B$310)),IF(837&lt;=COUNTA(半紙!$B$11:$B$310)+COUNTA(条幅!$B$11:$B$310)+COUNTA(条幅4分の1!$B$11:$B$310),INDEX(条幅4分の1!$D$11:$D$310,837-COUNTA(半紙!$B$11:$B$310)-COUNTA(条幅!$B$11:$B$310)),"")))=0,"",IF(837&lt;=COUNTA(半紙!$B$11:$B$310),INDEX(半紙!$D$11:$D$310,837),IF(837&lt;=COUNTA(半紙!$B$11:$B$310)+COUNTA(条幅!$B$11:$B$310),INDEX(条幅!$D$11:$D$310,837-COUNTA(半紙!$B$11:$B$310)),IF(837&lt;=COUNTA(半紙!$B$11:$B$310)+COUNTA(条幅!$B$11:$B$310)+COUNTA(条幅4分の1!$B$11:$B$310),INDEX(条幅4分の1!$D$11:$D$310,837-COUNTA(半紙!$B$11:$B$310)-COUNTA(条幅!$B$11:$B$310)),""))))</f>
        <v/>
      </c>
      <c r="E842" s="38" t="str">
        <f>IF(IF(837&lt;=COUNTA(半紙!$B$11:$B$310),INDEX(半紙!$E$11:$E$310,837),IF(837&lt;=COUNTA(半紙!$B$11:$B$310)+COUNTA(条幅!$B$11:$B$310),INDEX(条幅!$E$11:$E$310,837-COUNTA(半紙!$B$11:$B$310)),IF(837&lt;=COUNTA(半紙!$B$11:$B$310)+COUNTA(条幅!$B$11:$B$310)+COUNTA(条幅4分の1!$B$11:$B$310),INDEX(条幅4分の1!$E$11:$E$310,837-COUNTA(半紙!$B$11:$B$310)-COUNTA(条幅!$B$11:$B$310)),"")))=0,"",IF(837&lt;=COUNTA(半紙!$B$11:$B$310),INDEX(半紙!$E$11:$E$310,837),IF(837&lt;=COUNTA(半紙!$B$11:$B$310)+COUNTA(条幅!$B$11:$B$310),INDEX(条幅!$E$11:$E$310,837-COUNTA(半紙!$B$11:$B$310)),IF(837&lt;=COUNTA(半紙!$B$11:$B$310)+COUNTA(条幅!$B$11:$B$310)+COUNTA(条幅4分の1!$B$11:$B$310),INDEX(条幅4分の1!$E$11:$E$310,837-COUNTA(半紙!$B$11:$B$310)-COUNTA(条幅!$B$11:$B$310)),""))))</f>
        <v/>
      </c>
      <c r="F842" s="38" t="str">
        <f>IF(IF(837&lt;=COUNTA(半紙!$B$11:$B$310),INDEX(半紙!$F$11:$F$310,837),IF(837&lt;=COUNTA(半紙!$B$11:$B$310)+COUNTA(条幅!$B$11:$B$310),INDEX(条幅!$F$11:$F$310,837-COUNTA(半紙!$B$11:$B$310)),IF(837&lt;=COUNTA(半紙!$B$11:$B$310)+COUNTA(条幅!$B$11:$B$310)+COUNTA(条幅4分の1!$B$11:$B$310),INDEX(条幅4分の1!$F$11:$F$310,837-COUNTA(半紙!$B$11:$B$310)-COUNTA(条幅!$B$11:$B$310)),"")))=0,"",IF(837&lt;=COUNTA(半紙!$B$11:$B$310),INDEX(半紙!$F$11:$F$310,837),IF(837&lt;=COUNTA(半紙!$B$11:$B$310)+COUNTA(条幅!$B$11:$B$310),INDEX(条幅!$F$11:$F$310,837-COUNTA(半紙!$B$11:$B$310)),IF(837&lt;=COUNTA(半紙!$B$11:$B$310)+COUNTA(条幅!$B$11:$B$310)+COUNTA(条幅4分の1!$B$11:$B$310),INDEX(条幅4分の1!$F$11:$F$310,837-COUNTA(半紙!$B$11:$B$310)-COUNTA(条幅!$B$11:$B$310)),""))))</f>
        <v/>
      </c>
      <c r="G842" s="38" t="str">
        <f>IF(IF(837&lt;=COUNTA(半紙!$B$11:$B$310),INDEX(半紙!$G$11:$G$310,837),IF(837&lt;=COUNTA(半紙!$B$11:$B$310)+COUNTA(条幅!$B$11:$B$310),INDEX(条幅!$G$11:$G$310,837-COUNTA(半紙!$B$11:$B$310)),IF(837&lt;=COUNTA(半紙!$B$11:$B$310)+COUNTA(条幅!$B$11:$B$310)+COUNTA(条幅4分の1!$B$11:$B$310),INDEX(条幅4分の1!$G$11:$G$310,837-COUNTA(半紙!$B$11:$B$310)-COUNTA(条幅!$B$11:$B$310)),"")))=0,"",IF(837&lt;=COUNTA(半紙!$B$11:$B$310),INDEX(半紙!$G$11:$G$310,837),IF(837&lt;=COUNTA(半紙!$B$11:$B$310)+COUNTA(条幅!$B$11:$B$310),INDEX(条幅!$G$11:$G$310,837-COUNTA(半紙!$B$11:$B$310)),IF(837&lt;=COUNTA(半紙!$B$11:$B$310)+COUNTA(条幅!$B$11:$B$310)+COUNTA(条幅4分の1!$B$11:$B$310),INDEX(条幅4分の1!$G$11:$G$310,837-COUNTA(半紙!$B$11:$B$310)-COUNTA(条幅!$B$11:$B$310)),""))))</f>
        <v/>
      </c>
      <c r="H842" s="38" t="str">
        <f>IF(IF(837&lt;=COUNTA(半紙!$B$11:$B$310),INDEX(半紙!$H$11:$H$310,837),IF(837&lt;=COUNTA(半紙!$B$11:$B$310)+COUNTA(条幅!$B$11:$B$310),INDEX(条幅!$H$11:$H$310,837-COUNTA(半紙!$B$11:$B$310)),IF(837&lt;=COUNTA(半紙!$B$11:$B$310)+COUNTA(条幅!$B$11:$B$310)+COUNTA(条幅4分の1!$B$11:$B$310),INDEX(条幅4分の1!$H$11:$H$310,837-COUNTA(半紙!$B$11:$B$310)-COUNTA(条幅!$B$11:$B$310)),"")))=0,"",IF(837&lt;=COUNTA(半紙!$B$11:$B$310),INDEX(半紙!$H$11:$H$310,837),IF(837&lt;=COUNTA(半紙!$B$11:$B$310)+COUNTA(条幅!$B$11:$B$310),INDEX(条幅!$H$11:$H$310,837-COUNTA(半紙!$B$11:$B$310)),IF(837&lt;=COUNTA(半紙!$B$11:$B$310)+COUNTA(条幅!$B$11:$B$310)+COUNTA(条幅4分の1!$B$11:$B$310),INDEX(条幅4分の1!$H$11:$H$310,837-COUNTA(半紙!$B$11:$B$310)-COUNTA(条幅!$B$11:$B$310)),""))))</f>
        <v/>
      </c>
      <c r="I842" s="38" t="str">
        <f>IF(IF(837&lt;=COUNTA(半紙!$B$11:$B$310),INDEX(半紙!$I$11:$I$310,837),IF(837&lt;=COUNTA(半紙!$B$11:$B$310)+COUNTA(条幅!$B$11:$B$310),INDEX(条幅!$I$11:$I$310,837-COUNTA(半紙!$B$11:$B$310)),IF(837&lt;=COUNTA(半紙!$B$11:$B$310)+COUNTA(条幅!$B$11:$B$310)+COUNTA(条幅4分の1!$B$11:$B$310),INDEX(条幅4分の1!$I$11:$I$310,837-COUNTA(半紙!$B$11:$B$310)-COUNTA(条幅!$B$11:$B$310)),"")))=0,"",IF(837&lt;=COUNTA(半紙!$B$11:$B$310),INDEX(半紙!$I$11:$I$310,837),IF(837&lt;=COUNTA(半紙!$B$11:$B$310)+COUNTA(条幅!$B$11:$B$310),INDEX(条幅!$I$11:$I$310,837-COUNTA(半紙!$B$11:$B$310)),IF(837&lt;=COUNTA(半紙!$B$11:$B$310)+COUNTA(条幅!$B$11:$B$310)+COUNTA(条幅4分の1!$B$11:$B$310),INDEX(条幅4分の1!$I$11:$I$310,837-COUNTA(半紙!$B$11:$B$310)-COUNTA(条幅!$B$11:$B$310)),""))))</f>
        <v/>
      </c>
      <c r="J842" s="38" t="str">
        <f>IF(IF(837&lt;=COUNTA(半紙!$B$11:$B$310),INDEX(半紙!$J$11:$J$310,837),IF(837&lt;=COUNTA(半紙!$B$11:$B$310)+COUNTA(条幅!$B$11:$B$310),INDEX(条幅!$J$11:$J$310,837-COUNTA(半紙!$B$11:$B$310)),IF(837&lt;=COUNTA(半紙!$B$11:$B$310)+COUNTA(条幅!$B$11:$B$310)+COUNTA(条幅4分の1!$B$11:$B$310),INDEX(条幅4分の1!$J$11:$J$310,837-COUNTA(半紙!$B$11:$B$310)-COUNTA(条幅!$B$11:$B$310)),"")))=0,"",IF(837&lt;=COUNTA(半紙!$B$11:$B$310),INDEX(半紙!$J$11:$J$310,837),IF(837&lt;=COUNTA(半紙!$B$11:$B$310)+COUNTA(条幅!$B$11:$B$310),INDEX(条幅!$J$11:$J$310,837-COUNTA(半紙!$B$11:$B$310)),IF(837&lt;=COUNTA(半紙!$B$11:$B$310)+COUNTA(条幅!$B$11:$B$310)+COUNTA(条幅4分の1!$B$11:$B$310),INDEX(条幅4分の1!$J$11:$J$310,837-COUNTA(半紙!$B$11:$B$310)-COUNTA(条幅!$B$11:$B$310)),""))))</f>
        <v/>
      </c>
      <c r="K842" s="38" t="str">
        <f>IF(IF(837&lt;=COUNTA(半紙!$B$11:$B$310),INDEX(半紙!$K$11:$K$310,837),IF(837&lt;=COUNTA(半紙!$B$11:$B$310)+COUNTA(条幅!$B$11:$B$310),INDEX(条幅!$K$11:$K$310,837-COUNTA(半紙!$B$11:$B$310)),IF(837&lt;=COUNTA(半紙!$B$11:$B$310)+COUNTA(条幅!$B$11:$B$310)+COUNTA(条幅4分の1!$B$11:$B$310),INDEX(条幅4分の1!$K$11:$K$310,837-COUNTA(半紙!$B$11:$B$310)-COUNTA(条幅!$B$11:$B$310)),"")))=0,"",IF(837&lt;=COUNTA(半紙!$B$11:$B$310),INDEX(半紙!$K$11:$K$310,837),IF(837&lt;=COUNTA(半紙!$B$11:$B$310)+COUNTA(条幅!$B$11:$B$310),INDEX(条幅!$K$11:$K$310,837-COUNTA(半紙!$B$11:$B$310)),IF(837&lt;=COUNTA(半紙!$B$11:$B$310)+COUNTA(条幅!$B$11:$B$310)+COUNTA(条幅4分の1!$B$11:$B$310),INDEX(条幅4分の1!$K$11:$K$310,837-COUNTA(半紙!$B$11:$B$310)-COUNTA(条幅!$B$11:$B$310)),""))))</f>
        <v/>
      </c>
      <c r="L842" s="48" t="str">
        <f>IF($B842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837))</f>
        <v/>
      </c>
    </row>
    <row r="843" spans="1:12" ht="15" customHeight="1">
      <c r="A843" s="37" t="str">
        <f>IF(838&lt;=COUNTA(半紙!$B$11:$B$310),"半紙",IF(838&lt;=COUNTA(半紙!$B$11:$B$310)+COUNTA(条幅!$B$11:$B$310),"条幅(半切)",IF(838&lt;=COUNTA(半紙!$B$11:$B$310)+COUNTA(条幅!$B$11:$B$310)+COUNTA(条幅4分の1!$B$11:$B$310),"条幅(1/4)","")))</f>
        <v/>
      </c>
      <c r="B843" s="38" t="str">
        <f>IF(IF(838&lt;=COUNTA(半紙!$B$11:$B$310),INDEX(半紙!$B$11:$B$310,838),IF(838&lt;=COUNTA(半紙!$B$11:$B$310)+COUNTA(条幅!$B$11:$B$310),INDEX(条幅!$B$11:$B$310,838-COUNTA(半紙!$B$11:$B$310)),IF(838&lt;=COUNTA(半紙!$B$11:$B$310)+COUNTA(条幅!$B$11:$B$310)+COUNTA(条幅4分の1!$B$11:$B$310),INDEX(条幅4分の1!$B$11:$B$310,838-COUNTA(半紙!$B$11:$B$310)-COUNTA(条幅!$B$11:$B$310)),"")))=0,"",IF(838&lt;=COUNTA(半紙!$B$11:$B$310),INDEX(半紙!$B$11:$B$310,838),IF(838&lt;=COUNTA(半紙!$B$11:$B$310)+COUNTA(条幅!$B$11:$B$310),INDEX(条幅!$B$11:$B$310,838-COUNTA(半紙!$B$11:$B$310)),IF(838&lt;=COUNTA(半紙!$B$11:$B$310)+COUNTA(条幅!$B$11:$B$310)+COUNTA(条幅4分の1!$B$11:$B$310),INDEX(条幅4分の1!$B$11:$B$310,838-COUNTA(半紙!$B$11:$B$310)-COUNTA(条幅!$B$11:$B$310)),""))))</f>
        <v/>
      </c>
      <c r="C843" s="38" t="str">
        <f>IF(IF(838&lt;=COUNTA(半紙!$B$11:$B$310),INDEX(半紙!$C$11:$C$310,838),IF(838&lt;=COUNTA(半紙!$B$11:$B$310)+COUNTA(条幅!$B$11:$B$310),INDEX(条幅!$C$11:$C$310,838-COUNTA(半紙!$B$11:$B$310)),IF(838&lt;=COUNTA(半紙!$B$11:$B$310)+COUNTA(条幅!$B$11:$B$310)+COUNTA(条幅4分の1!$B$11:$B$310),INDEX(条幅4分の1!$C$11:$C$310,838-COUNTA(半紙!$B$11:$B$310)-COUNTA(条幅!$B$11:$B$310)),"")))=0,"",IF(838&lt;=COUNTA(半紙!$B$11:$B$310),INDEX(半紙!$C$11:$C$310,838),IF(838&lt;=COUNTA(半紙!$B$11:$B$310)+COUNTA(条幅!$B$11:$B$310),INDEX(条幅!$C$11:$C$310,838-COUNTA(半紙!$B$11:$B$310)),IF(838&lt;=COUNTA(半紙!$B$11:$B$310)+COUNTA(条幅!$B$11:$B$310)+COUNTA(条幅4分の1!$B$11:$B$310),INDEX(条幅4分の1!$C$11:$C$310,838-COUNTA(半紙!$B$11:$B$310)-COUNTA(条幅!$B$11:$B$310)),""))))</f>
        <v/>
      </c>
      <c r="D843" s="38" t="str">
        <f>IF(IF(838&lt;=COUNTA(半紙!$B$11:$B$310),INDEX(半紙!$D$11:$D$310,838),IF(838&lt;=COUNTA(半紙!$B$11:$B$310)+COUNTA(条幅!$B$11:$B$310),INDEX(条幅!$D$11:$D$310,838-COUNTA(半紙!$B$11:$B$310)),IF(838&lt;=COUNTA(半紙!$B$11:$B$310)+COUNTA(条幅!$B$11:$B$310)+COUNTA(条幅4分の1!$B$11:$B$310),INDEX(条幅4分の1!$D$11:$D$310,838-COUNTA(半紙!$B$11:$B$310)-COUNTA(条幅!$B$11:$B$310)),"")))=0,"",IF(838&lt;=COUNTA(半紙!$B$11:$B$310),INDEX(半紙!$D$11:$D$310,838),IF(838&lt;=COUNTA(半紙!$B$11:$B$310)+COUNTA(条幅!$B$11:$B$310),INDEX(条幅!$D$11:$D$310,838-COUNTA(半紙!$B$11:$B$310)),IF(838&lt;=COUNTA(半紙!$B$11:$B$310)+COUNTA(条幅!$B$11:$B$310)+COUNTA(条幅4分の1!$B$11:$B$310),INDEX(条幅4分の1!$D$11:$D$310,838-COUNTA(半紙!$B$11:$B$310)-COUNTA(条幅!$B$11:$B$310)),""))))</f>
        <v/>
      </c>
      <c r="E843" s="38" t="str">
        <f>IF(IF(838&lt;=COUNTA(半紙!$B$11:$B$310),INDEX(半紙!$E$11:$E$310,838),IF(838&lt;=COUNTA(半紙!$B$11:$B$310)+COUNTA(条幅!$B$11:$B$310),INDEX(条幅!$E$11:$E$310,838-COUNTA(半紙!$B$11:$B$310)),IF(838&lt;=COUNTA(半紙!$B$11:$B$310)+COUNTA(条幅!$B$11:$B$310)+COUNTA(条幅4分の1!$B$11:$B$310),INDEX(条幅4分の1!$E$11:$E$310,838-COUNTA(半紙!$B$11:$B$310)-COUNTA(条幅!$B$11:$B$310)),"")))=0,"",IF(838&lt;=COUNTA(半紙!$B$11:$B$310),INDEX(半紙!$E$11:$E$310,838),IF(838&lt;=COUNTA(半紙!$B$11:$B$310)+COUNTA(条幅!$B$11:$B$310),INDEX(条幅!$E$11:$E$310,838-COUNTA(半紙!$B$11:$B$310)),IF(838&lt;=COUNTA(半紙!$B$11:$B$310)+COUNTA(条幅!$B$11:$B$310)+COUNTA(条幅4分の1!$B$11:$B$310),INDEX(条幅4分の1!$E$11:$E$310,838-COUNTA(半紙!$B$11:$B$310)-COUNTA(条幅!$B$11:$B$310)),""))))</f>
        <v/>
      </c>
      <c r="F843" s="38" t="str">
        <f>IF(IF(838&lt;=COUNTA(半紙!$B$11:$B$310),INDEX(半紙!$F$11:$F$310,838),IF(838&lt;=COUNTA(半紙!$B$11:$B$310)+COUNTA(条幅!$B$11:$B$310),INDEX(条幅!$F$11:$F$310,838-COUNTA(半紙!$B$11:$B$310)),IF(838&lt;=COUNTA(半紙!$B$11:$B$310)+COUNTA(条幅!$B$11:$B$310)+COUNTA(条幅4分の1!$B$11:$B$310),INDEX(条幅4分の1!$F$11:$F$310,838-COUNTA(半紙!$B$11:$B$310)-COUNTA(条幅!$B$11:$B$310)),"")))=0,"",IF(838&lt;=COUNTA(半紙!$B$11:$B$310),INDEX(半紙!$F$11:$F$310,838),IF(838&lt;=COUNTA(半紙!$B$11:$B$310)+COUNTA(条幅!$B$11:$B$310),INDEX(条幅!$F$11:$F$310,838-COUNTA(半紙!$B$11:$B$310)),IF(838&lt;=COUNTA(半紙!$B$11:$B$310)+COUNTA(条幅!$B$11:$B$310)+COUNTA(条幅4分の1!$B$11:$B$310),INDEX(条幅4分の1!$F$11:$F$310,838-COUNTA(半紙!$B$11:$B$310)-COUNTA(条幅!$B$11:$B$310)),""))))</f>
        <v/>
      </c>
      <c r="G843" s="38" t="str">
        <f>IF(IF(838&lt;=COUNTA(半紙!$B$11:$B$310),INDEX(半紙!$G$11:$G$310,838),IF(838&lt;=COUNTA(半紙!$B$11:$B$310)+COUNTA(条幅!$B$11:$B$310),INDEX(条幅!$G$11:$G$310,838-COUNTA(半紙!$B$11:$B$310)),IF(838&lt;=COUNTA(半紙!$B$11:$B$310)+COUNTA(条幅!$B$11:$B$310)+COUNTA(条幅4分の1!$B$11:$B$310),INDEX(条幅4分の1!$G$11:$G$310,838-COUNTA(半紙!$B$11:$B$310)-COUNTA(条幅!$B$11:$B$310)),"")))=0,"",IF(838&lt;=COUNTA(半紙!$B$11:$B$310),INDEX(半紙!$G$11:$G$310,838),IF(838&lt;=COUNTA(半紙!$B$11:$B$310)+COUNTA(条幅!$B$11:$B$310),INDEX(条幅!$G$11:$G$310,838-COUNTA(半紙!$B$11:$B$310)),IF(838&lt;=COUNTA(半紙!$B$11:$B$310)+COUNTA(条幅!$B$11:$B$310)+COUNTA(条幅4分の1!$B$11:$B$310),INDEX(条幅4分の1!$G$11:$G$310,838-COUNTA(半紙!$B$11:$B$310)-COUNTA(条幅!$B$11:$B$310)),""))))</f>
        <v/>
      </c>
      <c r="H843" s="38" t="str">
        <f>IF(IF(838&lt;=COUNTA(半紙!$B$11:$B$310),INDEX(半紙!$H$11:$H$310,838),IF(838&lt;=COUNTA(半紙!$B$11:$B$310)+COUNTA(条幅!$B$11:$B$310),INDEX(条幅!$H$11:$H$310,838-COUNTA(半紙!$B$11:$B$310)),IF(838&lt;=COUNTA(半紙!$B$11:$B$310)+COUNTA(条幅!$B$11:$B$310)+COUNTA(条幅4分の1!$B$11:$B$310),INDEX(条幅4分の1!$H$11:$H$310,838-COUNTA(半紙!$B$11:$B$310)-COUNTA(条幅!$B$11:$B$310)),"")))=0,"",IF(838&lt;=COUNTA(半紙!$B$11:$B$310),INDEX(半紙!$H$11:$H$310,838),IF(838&lt;=COUNTA(半紙!$B$11:$B$310)+COUNTA(条幅!$B$11:$B$310),INDEX(条幅!$H$11:$H$310,838-COUNTA(半紙!$B$11:$B$310)),IF(838&lt;=COUNTA(半紙!$B$11:$B$310)+COUNTA(条幅!$B$11:$B$310)+COUNTA(条幅4分の1!$B$11:$B$310),INDEX(条幅4分の1!$H$11:$H$310,838-COUNTA(半紙!$B$11:$B$310)-COUNTA(条幅!$B$11:$B$310)),""))))</f>
        <v/>
      </c>
      <c r="I843" s="38" t="str">
        <f>IF(IF(838&lt;=COUNTA(半紙!$B$11:$B$310),INDEX(半紙!$I$11:$I$310,838),IF(838&lt;=COUNTA(半紙!$B$11:$B$310)+COUNTA(条幅!$B$11:$B$310),INDEX(条幅!$I$11:$I$310,838-COUNTA(半紙!$B$11:$B$310)),IF(838&lt;=COUNTA(半紙!$B$11:$B$310)+COUNTA(条幅!$B$11:$B$310)+COUNTA(条幅4分の1!$B$11:$B$310),INDEX(条幅4分の1!$I$11:$I$310,838-COUNTA(半紙!$B$11:$B$310)-COUNTA(条幅!$B$11:$B$310)),"")))=0,"",IF(838&lt;=COUNTA(半紙!$B$11:$B$310),INDEX(半紙!$I$11:$I$310,838),IF(838&lt;=COUNTA(半紙!$B$11:$B$310)+COUNTA(条幅!$B$11:$B$310),INDEX(条幅!$I$11:$I$310,838-COUNTA(半紙!$B$11:$B$310)),IF(838&lt;=COUNTA(半紙!$B$11:$B$310)+COUNTA(条幅!$B$11:$B$310)+COUNTA(条幅4分の1!$B$11:$B$310),INDEX(条幅4分の1!$I$11:$I$310,838-COUNTA(半紙!$B$11:$B$310)-COUNTA(条幅!$B$11:$B$310)),""))))</f>
        <v/>
      </c>
      <c r="J843" s="38" t="str">
        <f>IF(IF(838&lt;=COUNTA(半紙!$B$11:$B$310),INDEX(半紙!$J$11:$J$310,838),IF(838&lt;=COUNTA(半紙!$B$11:$B$310)+COUNTA(条幅!$B$11:$B$310),INDEX(条幅!$J$11:$J$310,838-COUNTA(半紙!$B$11:$B$310)),IF(838&lt;=COUNTA(半紙!$B$11:$B$310)+COUNTA(条幅!$B$11:$B$310)+COUNTA(条幅4分の1!$B$11:$B$310),INDEX(条幅4分の1!$J$11:$J$310,838-COUNTA(半紙!$B$11:$B$310)-COUNTA(条幅!$B$11:$B$310)),"")))=0,"",IF(838&lt;=COUNTA(半紙!$B$11:$B$310),INDEX(半紙!$J$11:$J$310,838),IF(838&lt;=COUNTA(半紙!$B$11:$B$310)+COUNTA(条幅!$B$11:$B$310),INDEX(条幅!$J$11:$J$310,838-COUNTA(半紙!$B$11:$B$310)),IF(838&lt;=COUNTA(半紙!$B$11:$B$310)+COUNTA(条幅!$B$11:$B$310)+COUNTA(条幅4分の1!$B$11:$B$310),INDEX(条幅4分の1!$J$11:$J$310,838-COUNTA(半紙!$B$11:$B$310)-COUNTA(条幅!$B$11:$B$310)),""))))</f>
        <v/>
      </c>
      <c r="K843" s="38" t="str">
        <f>IF(IF(838&lt;=COUNTA(半紙!$B$11:$B$310),INDEX(半紙!$K$11:$K$310,838),IF(838&lt;=COUNTA(半紙!$B$11:$B$310)+COUNTA(条幅!$B$11:$B$310),INDEX(条幅!$K$11:$K$310,838-COUNTA(半紙!$B$11:$B$310)),IF(838&lt;=COUNTA(半紙!$B$11:$B$310)+COUNTA(条幅!$B$11:$B$310)+COUNTA(条幅4分の1!$B$11:$B$310),INDEX(条幅4分の1!$K$11:$K$310,838-COUNTA(半紙!$B$11:$B$310)-COUNTA(条幅!$B$11:$B$310)),"")))=0,"",IF(838&lt;=COUNTA(半紙!$B$11:$B$310),INDEX(半紙!$K$11:$K$310,838),IF(838&lt;=COUNTA(半紙!$B$11:$B$310)+COUNTA(条幅!$B$11:$B$310),INDEX(条幅!$K$11:$K$310,838-COUNTA(半紙!$B$11:$B$310)),IF(838&lt;=COUNTA(半紙!$B$11:$B$310)+COUNTA(条幅!$B$11:$B$310)+COUNTA(条幅4分の1!$B$11:$B$310),INDEX(条幅4分の1!$K$11:$K$310,838-COUNTA(半紙!$B$11:$B$310)-COUNTA(条幅!$B$11:$B$310)),""))))</f>
        <v/>
      </c>
      <c r="L843" s="48" t="str">
        <f>IF($B843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838))</f>
        <v/>
      </c>
    </row>
    <row r="844" spans="1:12" ht="15" customHeight="1">
      <c r="A844" s="37" t="str">
        <f>IF(839&lt;=COUNTA(半紙!$B$11:$B$310),"半紙",IF(839&lt;=COUNTA(半紙!$B$11:$B$310)+COUNTA(条幅!$B$11:$B$310),"条幅(半切)",IF(839&lt;=COUNTA(半紙!$B$11:$B$310)+COUNTA(条幅!$B$11:$B$310)+COUNTA(条幅4分の1!$B$11:$B$310),"条幅(1/4)","")))</f>
        <v/>
      </c>
      <c r="B844" s="38" t="str">
        <f>IF(IF(839&lt;=COUNTA(半紙!$B$11:$B$310),INDEX(半紙!$B$11:$B$310,839),IF(839&lt;=COUNTA(半紙!$B$11:$B$310)+COUNTA(条幅!$B$11:$B$310),INDEX(条幅!$B$11:$B$310,839-COUNTA(半紙!$B$11:$B$310)),IF(839&lt;=COUNTA(半紙!$B$11:$B$310)+COUNTA(条幅!$B$11:$B$310)+COUNTA(条幅4分の1!$B$11:$B$310),INDEX(条幅4分の1!$B$11:$B$310,839-COUNTA(半紙!$B$11:$B$310)-COUNTA(条幅!$B$11:$B$310)),"")))=0,"",IF(839&lt;=COUNTA(半紙!$B$11:$B$310),INDEX(半紙!$B$11:$B$310,839),IF(839&lt;=COUNTA(半紙!$B$11:$B$310)+COUNTA(条幅!$B$11:$B$310),INDEX(条幅!$B$11:$B$310,839-COUNTA(半紙!$B$11:$B$310)),IF(839&lt;=COUNTA(半紙!$B$11:$B$310)+COUNTA(条幅!$B$11:$B$310)+COUNTA(条幅4分の1!$B$11:$B$310),INDEX(条幅4分の1!$B$11:$B$310,839-COUNTA(半紙!$B$11:$B$310)-COUNTA(条幅!$B$11:$B$310)),""))))</f>
        <v/>
      </c>
      <c r="C844" s="38" t="str">
        <f>IF(IF(839&lt;=COUNTA(半紙!$B$11:$B$310),INDEX(半紙!$C$11:$C$310,839),IF(839&lt;=COUNTA(半紙!$B$11:$B$310)+COUNTA(条幅!$B$11:$B$310),INDEX(条幅!$C$11:$C$310,839-COUNTA(半紙!$B$11:$B$310)),IF(839&lt;=COUNTA(半紙!$B$11:$B$310)+COUNTA(条幅!$B$11:$B$310)+COUNTA(条幅4分の1!$B$11:$B$310),INDEX(条幅4分の1!$C$11:$C$310,839-COUNTA(半紙!$B$11:$B$310)-COUNTA(条幅!$B$11:$B$310)),"")))=0,"",IF(839&lt;=COUNTA(半紙!$B$11:$B$310),INDEX(半紙!$C$11:$C$310,839),IF(839&lt;=COUNTA(半紙!$B$11:$B$310)+COUNTA(条幅!$B$11:$B$310),INDEX(条幅!$C$11:$C$310,839-COUNTA(半紙!$B$11:$B$310)),IF(839&lt;=COUNTA(半紙!$B$11:$B$310)+COUNTA(条幅!$B$11:$B$310)+COUNTA(条幅4分の1!$B$11:$B$310),INDEX(条幅4分の1!$C$11:$C$310,839-COUNTA(半紙!$B$11:$B$310)-COUNTA(条幅!$B$11:$B$310)),""))))</f>
        <v/>
      </c>
      <c r="D844" s="38" t="str">
        <f>IF(IF(839&lt;=COUNTA(半紙!$B$11:$B$310),INDEX(半紙!$D$11:$D$310,839),IF(839&lt;=COUNTA(半紙!$B$11:$B$310)+COUNTA(条幅!$B$11:$B$310),INDEX(条幅!$D$11:$D$310,839-COUNTA(半紙!$B$11:$B$310)),IF(839&lt;=COUNTA(半紙!$B$11:$B$310)+COUNTA(条幅!$B$11:$B$310)+COUNTA(条幅4分の1!$B$11:$B$310),INDEX(条幅4分の1!$D$11:$D$310,839-COUNTA(半紙!$B$11:$B$310)-COUNTA(条幅!$B$11:$B$310)),"")))=0,"",IF(839&lt;=COUNTA(半紙!$B$11:$B$310),INDEX(半紙!$D$11:$D$310,839),IF(839&lt;=COUNTA(半紙!$B$11:$B$310)+COUNTA(条幅!$B$11:$B$310),INDEX(条幅!$D$11:$D$310,839-COUNTA(半紙!$B$11:$B$310)),IF(839&lt;=COUNTA(半紙!$B$11:$B$310)+COUNTA(条幅!$B$11:$B$310)+COUNTA(条幅4分の1!$B$11:$B$310),INDEX(条幅4分の1!$D$11:$D$310,839-COUNTA(半紙!$B$11:$B$310)-COUNTA(条幅!$B$11:$B$310)),""))))</f>
        <v/>
      </c>
      <c r="E844" s="38" t="str">
        <f>IF(IF(839&lt;=COUNTA(半紙!$B$11:$B$310),INDEX(半紙!$E$11:$E$310,839),IF(839&lt;=COUNTA(半紙!$B$11:$B$310)+COUNTA(条幅!$B$11:$B$310),INDEX(条幅!$E$11:$E$310,839-COUNTA(半紙!$B$11:$B$310)),IF(839&lt;=COUNTA(半紙!$B$11:$B$310)+COUNTA(条幅!$B$11:$B$310)+COUNTA(条幅4分の1!$B$11:$B$310),INDEX(条幅4分の1!$E$11:$E$310,839-COUNTA(半紙!$B$11:$B$310)-COUNTA(条幅!$B$11:$B$310)),"")))=0,"",IF(839&lt;=COUNTA(半紙!$B$11:$B$310),INDEX(半紙!$E$11:$E$310,839),IF(839&lt;=COUNTA(半紙!$B$11:$B$310)+COUNTA(条幅!$B$11:$B$310),INDEX(条幅!$E$11:$E$310,839-COUNTA(半紙!$B$11:$B$310)),IF(839&lt;=COUNTA(半紙!$B$11:$B$310)+COUNTA(条幅!$B$11:$B$310)+COUNTA(条幅4分の1!$B$11:$B$310),INDEX(条幅4分の1!$E$11:$E$310,839-COUNTA(半紙!$B$11:$B$310)-COUNTA(条幅!$B$11:$B$310)),""))))</f>
        <v/>
      </c>
      <c r="F844" s="38" t="str">
        <f>IF(IF(839&lt;=COUNTA(半紙!$B$11:$B$310),INDEX(半紙!$F$11:$F$310,839),IF(839&lt;=COUNTA(半紙!$B$11:$B$310)+COUNTA(条幅!$B$11:$B$310),INDEX(条幅!$F$11:$F$310,839-COUNTA(半紙!$B$11:$B$310)),IF(839&lt;=COUNTA(半紙!$B$11:$B$310)+COUNTA(条幅!$B$11:$B$310)+COUNTA(条幅4分の1!$B$11:$B$310),INDEX(条幅4分の1!$F$11:$F$310,839-COUNTA(半紙!$B$11:$B$310)-COUNTA(条幅!$B$11:$B$310)),"")))=0,"",IF(839&lt;=COUNTA(半紙!$B$11:$B$310),INDEX(半紙!$F$11:$F$310,839),IF(839&lt;=COUNTA(半紙!$B$11:$B$310)+COUNTA(条幅!$B$11:$B$310),INDEX(条幅!$F$11:$F$310,839-COUNTA(半紙!$B$11:$B$310)),IF(839&lt;=COUNTA(半紙!$B$11:$B$310)+COUNTA(条幅!$B$11:$B$310)+COUNTA(条幅4分の1!$B$11:$B$310),INDEX(条幅4分の1!$F$11:$F$310,839-COUNTA(半紙!$B$11:$B$310)-COUNTA(条幅!$B$11:$B$310)),""))))</f>
        <v/>
      </c>
      <c r="G844" s="38" t="str">
        <f>IF(IF(839&lt;=COUNTA(半紙!$B$11:$B$310),INDEX(半紙!$G$11:$G$310,839),IF(839&lt;=COUNTA(半紙!$B$11:$B$310)+COUNTA(条幅!$B$11:$B$310),INDEX(条幅!$G$11:$G$310,839-COUNTA(半紙!$B$11:$B$310)),IF(839&lt;=COUNTA(半紙!$B$11:$B$310)+COUNTA(条幅!$B$11:$B$310)+COUNTA(条幅4分の1!$B$11:$B$310),INDEX(条幅4分の1!$G$11:$G$310,839-COUNTA(半紙!$B$11:$B$310)-COUNTA(条幅!$B$11:$B$310)),"")))=0,"",IF(839&lt;=COUNTA(半紙!$B$11:$B$310),INDEX(半紙!$G$11:$G$310,839),IF(839&lt;=COUNTA(半紙!$B$11:$B$310)+COUNTA(条幅!$B$11:$B$310),INDEX(条幅!$G$11:$G$310,839-COUNTA(半紙!$B$11:$B$310)),IF(839&lt;=COUNTA(半紙!$B$11:$B$310)+COUNTA(条幅!$B$11:$B$310)+COUNTA(条幅4分の1!$B$11:$B$310),INDEX(条幅4分の1!$G$11:$G$310,839-COUNTA(半紙!$B$11:$B$310)-COUNTA(条幅!$B$11:$B$310)),""))))</f>
        <v/>
      </c>
      <c r="H844" s="38" t="str">
        <f>IF(IF(839&lt;=COUNTA(半紙!$B$11:$B$310),INDEX(半紙!$H$11:$H$310,839),IF(839&lt;=COUNTA(半紙!$B$11:$B$310)+COUNTA(条幅!$B$11:$B$310),INDEX(条幅!$H$11:$H$310,839-COUNTA(半紙!$B$11:$B$310)),IF(839&lt;=COUNTA(半紙!$B$11:$B$310)+COUNTA(条幅!$B$11:$B$310)+COUNTA(条幅4分の1!$B$11:$B$310),INDEX(条幅4分の1!$H$11:$H$310,839-COUNTA(半紙!$B$11:$B$310)-COUNTA(条幅!$B$11:$B$310)),"")))=0,"",IF(839&lt;=COUNTA(半紙!$B$11:$B$310),INDEX(半紙!$H$11:$H$310,839),IF(839&lt;=COUNTA(半紙!$B$11:$B$310)+COUNTA(条幅!$B$11:$B$310),INDEX(条幅!$H$11:$H$310,839-COUNTA(半紙!$B$11:$B$310)),IF(839&lt;=COUNTA(半紙!$B$11:$B$310)+COUNTA(条幅!$B$11:$B$310)+COUNTA(条幅4分の1!$B$11:$B$310),INDEX(条幅4分の1!$H$11:$H$310,839-COUNTA(半紙!$B$11:$B$310)-COUNTA(条幅!$B$11:$B$310)),""))))</f>
        <v/>
      </c>
      <c r="I844" s="38" t="str">
        <f>IF(IF(839&lt;=COUNTA(半紙!$B$11:$B$310),INDEX(半紙!$I$11:$I$310,839),IF(839&lt;=COUNTA(半紙!$B$11:$B$310)+COUNTA(条幅!$B$11:$B$310),INDEX(条幅!$I$11:$I$310,839-COUNTA(半紙!$B$11:$B$310)),IF(839&lt;=COUNTA(半紙!$B$11:$B$310)+COUNTA(条幅!$B$11:$B$310)+COUNTA(条幅4分の1!$B$11:$B$310),INDEX(条幅4分の1!$I$11:$I$310,839-COUNTA(半紙!$B$11:$B$310)-COUNTA(条幅!$B$11:$B$310)),"")))=0,"",IF(839&lt;=COUNTA(半紙!$B$11:$B$310),INDEX(半紙!$I$11:$I$310,839),IF(839&lt;=COUNTA(半紙!$B$11:$B$310)+COUNTA(条幅!$B$11:$B$310),INDEX(条幅!$I$11:$I$310,839-COUNTA(半紙!$B$11:$B$310)),IF(839&lt;=COUNTA(半紙!$B$11:$B$310)+COUNTA(条幅!$B$11:$B$310)+COUNTA(条幅4分の1!$B$11:$B$310),INDEX(条幅4分の1!$I$11:$I$310,839-COUNTA(半紙!$B$11:$B$310)-COUNTA(条幅!$B$11:$B$310)),""))))</f>
        <v/>
      </c>
      <c r="J844" s="38" t="str">
        <f>IF(IF(839&lt;=COUNTA(半紙!$B$11:$B$310),INDEX(半紙!$J$11:$J$310,839),IF(839&lt;=COUNTA(半紙!$B$11:$B$310)+COUNTA(条幅!$B$11:$B$310),INDEX(条幅!$J$11:$J$310,839-COUNTA(半紙!$B$11:$B$310)),IF(839&lt;=COUNTA(半紙!$B$11:$B$310)+COUNTA(条幅!$B$11:$B$310)+COUNTA(条幅4分の1!$B$11:$B$310),INDEX(条幅4分の1!$J$11:$J$310,839-COUNTA(半紙!$B$11:$B$310)-COUNTA(条幅!$B$11:$B$310)),"")))=0,"",IF(839&lt;=COUNTA(半紙!$B$11:$B$310),INDEX(半紙!$J$11:$J$310,839),IF(839&lt;=COUNTA(半紙!$B$11:$B$310)+COUNTA(条幅!$B$11:$B$310),INDEX(条幅!$J$11:$J$310,839-COUNTA(半紙!$B$11:$B$310)),IF(839&lt;=COUNTA(半紙!$B$11:$B$310)+COUNTA(条幅!$B$11:$B$310)+COUNTA(条幅4分の1!$B$11:$B$310),INDEX(条幅4分の1!$J$11:$J$310,839-COUNTA(半紙!$B$11:$B$310)-COUNTA(条幅!$B$11:$B$310)),""))))</f>
        <v/>
      </c>
      <c r="K844" s="38" t="str">
        <f>IF(IF(839&lt;=COUNTA(半紙!$B$11:$B$310),INDEX(半紙!$K$11:$K$310,839),IF(839&lt;=COUNTA(半紙!$B$11:$B$310)+COUNTA(条幅!$B$11:$B$310),INDEX(条幅!$K$11:$K$310,839-COUNTA(半紙!$B$11:$B$310)),IF(839&lt;=COUNTA(半紙!$B$11:$B$310)+COUNTA(条幅!$B$11:$B$310)+COUNTA(条幅4分の1!$B$11:$B$310),INDEX(条幅4分の1!$K$11:$K$310,839-COUNTA(半紙!$B$11:$B$310)-COUNTA(条幅!$B$11:$B$310)),"")))=0,"",IF(839&lt;=COUNTA(半紙!$B$11:$B$310),INDEX(半紙!$K$11:$K$310,839),IF(839&lt;=COUNTA(半紙!$B$11:$B$310)+COUNTA(条幅!$B$11:$B$310),INDEX(条幅!$K$11:$K$310,839-COUNTA(半紙!$B$11:$B$310)),IF(839&lt;=COUNTA(半紙!$B$11:$B$310)+COUNTA(条幅!$B$11:$B$310)+COUNTA(条幅4分の1!$B$11:$B$310),INDEX(条幅4分の1!$K$11:$K$310,839-COUNTA(半紙!$B$11:$B$310)-COUNTA(条幅!$B$11:$B$310)),""))))</f>
        <v/>
      </c>
      <c r="L844" s="48" t="str">
        <f>IF($B844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839))</f>
        <v/>
      </c>
    </row>
    <row r="845" spans="1:12" ht="15" customHeight="1">
      <c r="A845" s="37" t="str">
        <f>IF(840&lt;=COUNTA(半紙!$B$11:$B$310),"半紙",IF(840&lt;=COUNTA(半紙!$B$11:$B$310)+COUNTA(条幅!$B$11:$B$310),"条幅(半切)",IF(840&lt;=COUNTA(半紙!$B$11:$B$310)+COUNTA(条幅!$B$11:$B$310)+COUNTA(条幅4分の1!$B$11:$B$310),"条幅(1/4)","")))</f>
        <v/>
      </c>
      <c r="B845" s="38" t="str">
        <f>IF(IF(840&lt;=COUNTA(半紙!$B$11:$B$310),INDEX(半紙!$B$11:$B$310,840),IF(840&lt;=COUNTA(半紙!$B$11:$B$310)+COUNTA(条幅!$B$11:$B$310),INDEX(条幅!$B$11:$B$310,840-COUNTA(半紙!$B$11:$B$310)),IF(840&lt;=COUNTA(半紙!$B$11:$B$310)+COUNTA(条幅!$B$11:$B$310)+COUNTA(条幅4分の1!$B$11:$B$310),INDEX(条幅4分の1!$B$11:$B$310,840-COUNTA(半紙!$B$11:$B$310)-COUNTA(条幅!$B$11:$B$310)),"")))=0,"",IF(840&lt;=COUNTA(半紙!$B$11:$B$310),INDEX(半紙!$B$11:$B$310,840),IF(840&lt;=COUNTA(半紙!$B$11:$B$310)+COUNTA(条幅!$B$11:$B$310),INDEX(条幅!$B$11:$B$310,840-COUNTA(半紙!$B$11:$B$310)),IF(840&lt;=COUNTA(半紙!$B$11:$B$310)+COUNTA(条幅!$B$11:$B$310)+COUNTA(条幅4分の1!$B$11:$B$310),INDEX(条幅4分の1!$B$11:$B$310,840-COUNTA(半紙!$B$11:$B$310)-COUNTA(条幅!$B$11:$B$310)),""))))</f>
        <v/>
      </c>
      <c r="C845" s="38" t="str">
        <f>IF(IF(840&lt;=COUNTA(半紙!$B$11:$B$310),INDEX(半紙!$C$11:$C$310,840),IF(840&lt;=COUNTA(半紙!$B$11:$B$310)+COUNTA(条幅!$B$11:$B$310),INDEX(条幅!$C$11:$C$310,840-COUNTA(半紙!$B$11:$B$310)),IF(840&lt;=COUNTA(半紙!$B$11:$B$310)+COUNTA(条幅!$B$11:$B$310)+COUNTA(条幅4分の1!$B$11:$B$310),INDEX(条幅4分の1!$C$11:$C$310,840-COUNTA(半紙!$B$11:$B$310)-COUNTA(条幅!$B$11:$B$310)),"")))=0,"",IF(840&lt;=COUNTA(半紙!$B$11:$B$310),INDEX(半紙!$C$11:$C$310,840),IF(840&lt;=COUNTA(半紙!$B$11:$B$310)+COUNTA(条幅!$B$11:$B$310),INDEX(条幅!$C$11:$C$310,840-COUNTA(半紙!$B$11:$B$310)),IF(840&lt;=COUNTA(半紙!$B$11:$B$310)+COUNTA(条幅!$B$11:$B$310)+COUNTA(条幅4分の1!$B$11:$B$310),INDEX(条幅4分の1!$C$11:$C$310,840-COUNTA(半紙!$B$11:$B$310)-COUNTA(条幅!$B$11:$B$310)),""))))</f>
        <v/>
      </c>
      <c r="D845" s="38" t="str">
        <f>IF(IF(840&lt;=COUNTA(半紙!$B$11:$B$310),INDEX(半紙!$D$11:$D$310,840),IF(840&lt;=COUNTA(半紙!$B$11:$B$310)+COUNTA(条幅!$B$11:$B$310),INDEX(条幅!$D$11:$D$310,840-COUNTA(半紙!$B$11:$B$310)),IF(840&lt;=COUNTA(半紙!$B$11:$B$310)+COUNTA(条幅!$B$11:$B$310)+COUNTA(条幅4分の1!$B$11:$B$310),INDEX(条幅4分の1!$D$11:$D$310,840-COUNTA(半紙!$B$11:$B$310)-COUNTA(条幅!$B$11:$B$310)),"")))=0,"",IF(840&lt;=COUNTA(半紙!$B$11:$B$310),INDEX(半紙!$D$11:$D$310,840),IF(840&lt;=COUNTA(半紙!$B$11:$B$310)+COUNTA(条幅!$B$11:$B$310),INDEX(条幅!$D$11:$D$310,840-COUNTA(半紙!$B$11:$B$310)),IF(840&lt;=COUNTA(半紙!$B$11:$B$310)+COUNTA(条幅!$B$11:$B$310)+COUNTA(条幅4分の1!$B$11:$B$310),INDEX(条幅4分の1!$D$11:$D$310,840-COUNTA(半紙!$B$11:$B$310)-COUNTA(条幅!$B$11:$B$310)),""))))</f>
        <v/>
      </c>
      <c r="E845" s="38" t="str">
        <f>IF(IF(840&lt;=COUNTA(半紙!$B$11:$B$310),INDEX(半紙!$E$11:$E$310,840),IF(840&lt;=COUNTA(半紙!$B$11:$B$310)+COUNTA(条幅!$B$11:$B$310),INDEX(条幅!$E$11:$E$310,840-COUNTA(半紙!$B$11:$B$310)),IF(840&lt;=COUNTA(半紙!$B$11:$B$310)+COUNTA(条幅!$B$11:$B$310)+COUNTA(条幅4分の1!$B$11:$B$310),INDEX(条幅4分の1!$E$11:$E$310,840-COUNTA(半紙!$B$11:$B$310)-COUNTA(条幅!$B$11:$B$310)),"")))=0,"",IF(840&lt;=COUNTA(半紙!$B$11:$B$310),INDEX(半紙!$E$11:$E$310,840),IF(840&lt;=COUNTA(半紙!$B$11:$B$310)+COUNTA(条幅!$B$11:$B$310),INDEX(条幅!$E$11:$E$310,840-COUNTA(半紙!$B$11:$B$310)),IF(840&lt;=COUNTA(半紙!$B$11:$B$310)+COUNTA(条幅!$B$11:$B$310)+COUNTA(条幅4分の1!$B$11:$B$310),INDEX(条幅4分の1!$E$11:$E$310,840-COUNTA(半紙!$B$11:$B$310)-COUNTA(条幅!$B$11:$B$310)),""))))</f>
        <v/>
      </c>
      <c r="F845" s="38" t="str">
        <f>IF(IF(840&lt;=COUNTA(半紙!$B$11:$B$310),INDEX(半紙!$F$11:$F$310,840),IF(840&lt;=COUNTA(半紙!$B$11:$B$310)+COUNTA(条幅!$B$11:$B$310),INDEX(条幅!$F$11:$F$310,840-COUNTA(半紙!$B$11:$B$310)),IF(840&lt;=COUNTA(半紙!$B$11:$B$310)+COUNTA(条幅!$B$11:$B$310)+COUNTA(条幅4分の1!$B$11:$B$310),INDEX(条幅4分の1!$F$11:$F$310,840-COUNTA(半紙!$B$11:$B$310)-COUNTA(条幅!$B$11:$B$310)),"")))=0,"",IF(840&lt;=COUNTA(半紙!$B$11:$B$310),INDEX(半紙!$F$11:$F$310,840),IF(840&lt;=COUNTA(半紙!$B$11:$B$310)+COUNTA(条幅!$B$11:$B$310),INDEX(条幅!$F$11:$F$310,840-COUNTA(半紙!$B$11:$B$310)),IF(840&lt;=COUNTA(半紙!$B$11:$B$310)+COUNTA(条幅!$B$11:$B$310)+COUNTA(条幅4分の1!$B$11:$B$310),INDEX(条幅4分の1!$F$11:$F$310,840-COUNTA(半紙!$B$11:$B$310)-COUNTA(条幅!$B$11:$B$310)),""))))</f>
        <v/>
      </c>
      <c r="G845" s="38" t="str">
        <f>IF(IF(840&lt;=COUNTA(半紙!$B$11:$B$310),INDEX(半紙!$G$11:$G$310,840),IF(840&lt;=COUNTA(半紙!$B$11:$B$310)+COUNTA(条幅!$B$11:$B$310),INDEX(条幅!$G$11:$G$310,840-COUNTA(半紙!$B$11:$B$310)),IF(840&lt;=COUNTA(半紙!$B$11:$B$310)+COUNTA(条幅!$B$11:$B$310)+COUNTA(条幅4分の1!$B$11:$B$310),INDEX(条幅4分の1!$G$11:$G$310,840-COUNTA(半紙!$B$11:$B$310)-COUNTA(条幅!$B$11:$B$310)),"")))=0,"",IF(840&lt;=COUNTA(半紙!$B$11:$B$310),INDEX(半紙!$G$11:$G$310,840),IF(840&lt;=COUNTA(半紙!$B$11:$B$310)+COUNTA(条幅!$B$11:$B$310),INDEX(条幅!$G$11:$G$310,840-COUNTA(半紙!$B$11:$B$310)),IF(840&lt;=COUNTA(半紙!$B$11:$B$310)+COUNTA(条幅!$B$11:$B$310)+COUNTA(条幅4分の1!$B$11:$B$310),INDEX(条幅4分の1!$G$11:$G$310,840-COUNTA(半紙!$B$11:$B$310)-COUNTA(条幅!$B$11:$B$310)),""))))</f>
        <v/>
      </c>
      <c r="H845" s="38" t="str">
        <f>IF(IF(840&lt;=COUNTA(半紙!$B$11:$B$310),INDEX(半紙!$H$11:$H$310,840),IF(840&lt;=COUNTA(半紙!$B$11:$B$310)+COUNTA(条幅!$B$11:$B$310),INDEX(条幅!$H$11:$H$310,840-COUNTA(半紙!$B$11:$B$310)),IF(840&lt;=COUNTA(半紙!$B$11:$B$310)+COUNTA(条幅!$B$11:$B$310)+COUNTA(条幅4分の1!$B$11:$B$310),INDEX(条幅4分の1!$H$11:$H$310,840-COUNTA(半紙!$B$11:$B$310)-COUNTA(条幅!$B$11:$B$310)),"")))=0,"",IF(840&lt;=COUNTA(半紙!$B$11:$B$310),INDEX(半紙!$H$11:$H$310,840),IF(840&lt;=COUNTA(半紙!$B$11:$B$310)+COUNTA(条幅!$B$11:$B$310),INDEX(条幅!$H$11:$H$310,840-COUNTA(半紙!$B$11:$B$310)),IF(840&lt;=COUNTA(半紙!$B$11:$B$310)+COUNTA(条幅!$B$11:$B$310)+COUNTA(条幅4分の1!$B$11:$B$310),INDEX(条幅4分の1!$H$11:$H$310,840-COUNTA(半紙!$B$11:$B$310)-COUNTA(条幅!$B$11:$B$310)),""))))</f>
        <v/>
      </c>
      <c r="I845" s="38" t="str">
        <f>IF(IF(840&lt;=COUNTA(半紙!$B$11:$B$310),INDEX(半紙!$I$11:$I$310,840),IF(840&lt;=COUNTA(半紙!$B$11:$B$310)+COUNTA(条幅!$B$11:$B$310),INDEX(条幅!$I$11:$I$310,840-COUNTA(半紙!$B$11:$B$310)),IF(840&lt;=COUNTA(半紙!$B$11:$B$310)+COUNTA(条幅!$B$11:$B$310)+COUNTA(条幅4分の1!$B$11:$B$310),INDEX(条幅4分の1!$I$11:$I$310,840-COUNTA(半紙!$B$11:$B$310)-COUNTA(条幅!$B$11:$B$310)),"")))=0,"",IF(840&lt;=COUNTA(半紙!$B$11:$B$310),INDEX(半紙!$I$11:$I$310,840),IF(840&lt;=COUNTA(半紙!$B$11:$B$310)+COUNTA(条幅!$B$11:$B$310),INDEX(条幅!$I$11:$I$310,840-COUNTA(半紙!$B$11:$B$310)),IF(840&lt;=COUNTA(半紙!$B$11:$B$310)+COUNTA(条幅!$B$11:$B$310)+COUNTA(条幅4分の1!$B$11:$B$310),INDEX(条幅4分の1!$I$11:$I$310,840-COUNTA(半紙!$B$11:$B$310)-COUNTA(条幅!$B$11:$B$310)),""))))</f>
        <v/>
      </c>
      <c r="J845" s="38" t="str">
        <f>IF(IF(840&lt;=COUNTA(半紙!$B$11:$B$310),INDEX(半紙!$J$11:$J$310,840),IF(840&lt;=COUNTA(半紙!$B$11:$B$310)+COUNTA(条幅!$B$11:$B$310),INDEX(条幅!$J$11:$J$310,840-COUNTA(半紙!$B$11:$B$310)),IF(840&lt;=COUNTA(半紙!$B$11:$B$310)+COUNTA(条幅!$B$11:$B$310)+COUNTA(条幅4分の1!$B$11:$B$310),INDEX(条幅4分の1!$J$11:$J$310,840-COUNTA(半紙!$B$11:$B$310)-COUNTA(条幅!$B$11:$B$310)),"")))=0,"",IF(840&lt;=COUNTA(半紙!$B$11:$B$310),INDEX(半紙!$J$11:$J$310,840),IF(840&lt;=COUNTA(半紙!$B$11:$B$310)+COUNTA(条幅!$B$11:$B$310),INDEX(条幅!$J$11:$J$310,840-COUNTA(半紙!$B$11:$B$310)),IF(840&lt;=COUNTA(半紙!$B$11:$B$310)+COUNTA(条幅!$B$11:$B$310)+COUNTA(条幅4分の1!$B$11:$B$310),INDEX(条幅4分の1!$J$11:$J$310,840-COUNTA(半紙!$B$11:$B$310)-COUNTA(条幅!$B$11:$B$310)),""))))</f>
        <v/>
      </c>
      <c r="K845" s="38" t="str">
        <f>IF(IF(840&lt;=COUNTA(半紙!$B$11:$B$310),INDEX(半紙!$K$11:$K$310,840),IF(840&lt;=COUNTA(半紙!$B$11:$B$310)+COUNTA(条幅!$B$11:$B$310),INDEX(条幅!$K$11:$K$310,840-COUNTA(半紙!$B$11:$B$310)),IF(840&lt;=COUNTA(半紙!$B$11:$B$310)+COUNTA(条幅!$B$11:$B$310)+COUNTA(条幅4分の1!$B$11:$B$310),INDEX(条幅4分の1!$K$11:$K$310,840-COUNTA(半紙!$B$11:$B$310)-COUNTA(条幅!$B$11:$B$310)),"")))=0,"",IF(840&lt;=COUNTA(半紙!$B$11:$B$310),INDEX(半紙!$K$11:$K$310,840),IF(840&lt;=COUNTA(半紙!$B$11:$B$310)+COUNTA(条幅!$B$11:$B$310),INDEX(条幅!$K$11:$K$310,840-COUNTA(半紙!$B$11:$B$310)),IF(840&lt;=COUNTA(半紙!$B$11:$B$310)+COUNTA(条幅!$B$11:$B$310)+COUNTA(条幅4分の1!$B$11:$B$310),INDEX(条幅4分の1!$K$11:$K$310,840-COUNTA(半紙!$B$11:$B$310)-COUNTA(条幅!$B$11:$B$310)),""))))</f>
        <v/>
      </c>
      <c r="L845" s="48" t="str">
        <f>IF($B845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840))</f>
        <v/>
      </c>
    </row>
    <row r="846" spans="1:12" ht="15" customHeight="1">
      <c r="A846" s="37" t="str">
        <f>IF(841&lt;=COUNTA(半紙!$B$11:$B$310),"半紙",IF(841&lt;=COUNTA(半紙!$B$11:$B$310)+COUNTA(条幅!$B$11:$B$310),"条幅(半切)",IF(841&lt;=COUNTA(半紙!$B$11:$B$310)+COUNTA(条幅!$B$11:$B$310)+COUNTA(条幅4分の1!$B$11:$B$310),"条幅(1/4)","")))</f>
        <v/>
      </c>
      <c r="B846" s="38" t="str">
        <f>IF(IF(841&lt;=COUNTA(半紙!$B$11:$B$310),INDEX(半紙!$B$11:$B$310,841),IF(841&lt;=COUNTA(半紙!$B$11:$B$310)+COUNTA(条幅!$B$11:$B$310),INDEX(条幅!$B$11:$B$310,841-COUNTA(半紙!$B$11:$B$310)),IF(841&lt;=COUNTA(半紙!$B$11:$B$310)+COUNTA(条幅!$B$11:$B$310)+COUNTA(条幅4分の1!$B$11:$B$310),INDEX(条幅4分の1!$B$11:$B$310,841-COUNTA(半紙!$B$11:$B$310)-COUNTA(条幅!$B$11:$B$310)),"")))=0,"",IF(841&lt;=COUNTA(半紙!$B$11:$B$310),INDEX(半紙!$B$11:$B$310,841),IF(841&lt;=COUNTA(半紙!$B$11:$B$310)+COUNTA(条幅!$B$11:$B$310),INDEX(条幅!$B$11:$B$310,841-COUNTA(半紙!$B$11:$B$310)),IF(841&lt;=COUNTA(半紙!$B$11:$B$310)+COUNTA(条幅!$B$11:$B$310)+COUNTA(条幅4分の1!$B$11:$B$310),INDEX(条幅4分の1!$B$11:$B$310,841-COUNTA(半紙!$B$11:$B$310)-COUNTA(条幅!$B$11:$B$310)),""))))</f>
        <v/>
      </c>
      <c r="C846" s="38" t="str">
        <f>IF(IF(841&lt;=COUNTA(半紙!$B$11:$B$310),INDEX(半紙!$C$11:$C$310,841),IF(841&lt;=COUNTA(半紙!$B$11:$B$310)+COUNTA(条幅!$B$11:$B$310),INDEX(条幅!$C$11:$C$310,841-COUNTA(半紙!$B$11:$B$310)),IF(841&lt;=COUNTA(半紙!$B$11:$B$310)+COUNTA(条幅!$B$11:$B$310)+COUNTA(条幅4分の1!$B$11:$B$310),INDEX(条幅4分の1!$C$11:$C$310,841-COUNTA(半紙!$B$11:$B$310)-COUNTA(条幅!$B$11:$B$310)),"")))=0,"",IF(841&lt;=COUNTA(半紙!$B$11:$B$310),INDEX(半紙!$C$11:$C$310,841),IF(841&lt;=COUNTA(半紙!$B$11:$B$310)+COUNTA(条幅!$B$11:$B$310),INDEX(条幅!$C$11:$C$310,841-COUNTA(半紙!$B$11:$B$310)),IF(841&lt;=COUNTA(半紙!$B$11:$B$310)+COUNTA(条幅!$B$11:$B$310)+COUNTA(条幅4分の1!$B$11:$B$310),INDEX(条幅4分の1!$C$11:$C$310,841-COUNTA(半紙!$B$11:$B$310)-COUNTA(条幅!$B$11:$B$310)),""))))</f>
        <v/>
      </c>
      <c r="D846" s="38" t="str">
        <f>IF(IF(841&lt;=COUNTA(半紙!$B$11:$B$310),INDEX(半紙!$D$11:$D$310,841),IF(841&lt;=COUNTA(半紙!$B$11:$B$310)+COUNTA(条幅!$B$11:$B$310),INDEX(条幅!$D$11:$D$310,841-COUNTA(半紙!$B$11:$B$310)),IF(841&lt;=COUNTA(半紙!$B$11:$B$310)+COUNTA(条幅!$B$11:$B$310)+COUNTA(条幅4分の1!$B$11:$B$310),INDEX(条幅4分の1!$D$11:$D$310,841-COUNTA(半紙!$B$11:$B$310)-COUNTA(条幅!$B$11:$B$310)),"")))=0,"",IF(841&lt;=COUNTA(半紙!$B$11:$B$310),INDEX(半紙!$D$11:$D$310,841),IF(841&lt;=COUNTA(半紙!$B$11:$B$310)+COUNTA(条幅!$B$11:$B$310),INDEX(条幅!$D$11:$D$310,841-COUNTA(半紙!$B$11:$B$310)),IF(841&lt;=COUNTA(半紙!$B$11:$B$310)+COUNTA(条幅!$B$11:$B$310)+COUNTA(条幅4分の1!$B$11:$B$310),INDEX(条幅4分の1!$D$11:$D$310,841-COUNTA(半紙!$B$11:$B$310)-COUNTA(条幅!$B$11:$B$310)),""))))</f>
        <v/>
      </c>
      <c r="E846" s="38" t="str">
        <f>IF(IF(841&lt;=COUNTA(半紙!$B$11:$B$310),INDEX(半紙!$E$11:$E$310,841),IF(841&lt;=COUNTA(半紙!$B$11:$B$310)+COUNTA(条幅!$B$11:$B$310),INDEX(条幅!$E$11:$E$310,841-COUNTA(半紙!$B$11:$B$310)),IF(841&lt;=COUNTA(半紙!$B$11:$B$310)+COUNTA(条幅!$B$11:$B$310)+COUNTA(条幅4分の1!$B$11:$B$310),INDEX(条幅4分の1!$E$11:$E$310,841-COUNTA(半紙!$B$11:$B$310)-COUNTA(条幅!$B$11:$B$310)),"")))=0,"",IF(841&lt;=COUNTA(半紙!$B$11:$B$310),INDEX(半紙!$E$11:$E$310,841),IF(841&lt;=COUNTA(半紙!$B$11:$B$310)+COUNTA(条幅!$B$11:$B$310),INDEX(条幅!$E$11:$E$310,841-COUNTA(半紙!$B$11:$B$310)),IF(841&lt;=COUNTA(半紙!$B$11:$B$310)+COUNTA(条幅!$B$11:$B$310)+COUNTA(条幅4分の1!$B$11:$B$310),INDEX(条幅4分の1!$E$11:$E$310,841-COUNTA(半紙!$B$11:$B$310)-COUNTA(条幅!$B$11:$B$310)),""))))</f>
        <v/>
      </c>
      <c r="F846" s="38" t="str">
        <f>IF(IF(841&lt;=COUNTA(半紙!$B$11:$B$310),INDEX(半紙!$F$11:$F$310,841),IF(841&lt;=COUNTA(半紙!$B$11:$B$310)+COUNTA(条幅!$B$11:$B$310),INDEX(条幅!$F$11:$F$310,841-COUNTA(半紙!$B$11:$B$310)),IF(841&lt;=COUNTA(半紙!$B$11:$B$310)+COUNTA(条幅!$B$11:$B$310)+COUNTA(条幅4分の1!$B$11:$B$310),INDEX(条幅4分の1!$F$11:$F$310,841-COUNTA(半紙!$B$11:$B$310)-COUNTA(条幅!$B$11:$B$310)),"")))=0,"",IF(841&lt;=COUNTA(半紙!$B$11:$B$310),INDEX(半紙!$F$11:$F$310,841),IF(841&lt;=COUNTA(半紙!$B$11:$B$310)+COUNTA(条幅!$B$11:$B$310),INDEX(条幅!$F$11:$F$310,841-COUNTA(半紙!$B$11:$B$310)),IF(841&lt;=COUNTA(半紙!$B$11:$B$310)+COUNTA(条幅!$B$11:$B$310)+COUNTA(条幅4分の1!$B$11:$B$310),INDEX(条幅4分の1!$F$11:$F$310,841-COUNTA(半紙!$B$11:$B$310)-COUNTA(条幅!$B$11:$B$310)),""))))</f>
        <v/>
      </c>
      <c r="G846" s="38" t="str">
        <f>IF(IF(841&lt;=COUNTA(半紙!$B$11:$B$310),INDEX(半紙!$G$11:$G$310,841),IF(841&lt;=COUNTA(半紙!$B$11:$B$310)+COUNTA(条幅!$B$11:$B$310),INDEX(条幅!$G$11:$G$310,841-COUNTA(半紙!$B$11:$B$310)),IF(841&lt;=COUNTA(半紙!$B$11:$B$310)+COUNTA(条幅!$B$11:$B$310)+COUNTA(条幅4分の1!$B$11:$B$310),INDEX(条幅4分の1!$G$11:$G$310,841-COUNTA(半紙!$B$11:$B$310)-COUNTA(条幅!$B$11:$B$310)),"")))=0,"",IF(841&lt;=COUNTA(半紙!$B$11:$B$310),INDEX(半紙!$G$11:$G$310,841),IF(841&lt;=COUNTA(半紙!$B$11:$B$310)+COUNTA(条幅!$B$11:$B$310),INDEX(条幅!$G$11:$G$310,841-COUNTA(半紙!$B$11:$B$310)),IF(841&lt;=COUNTA(半紙!$B$11:$B$310)+COUNTA(条幅!$B$11:$B$310)+COUNTA(条幅4分の1!$B$11:$B$310),INDEX(条幅4分の1!$G$11:$G$310,841-COUNTA(半紙!$B$11:$B$310)-COUNTA(条幅!$B$11:$B$310)),""))))</f>
        <v/>
      </c>
      <c r="H846" s="38" t="str">
        <f>IF(IF(841&lt;=COUNTA(半紙!$B$11:$B$310),INDEX(半紙!$H$11:$H$310,841),IF(841&lt;=COUNTA(半紙!$B$11:$B$310)+COUNTA(条幅!$B$11:$B$310),INDEX(条幅!$H$11:$H$310,841-COUNTA(半紙!$B$11:$B$310)),IF(841&lt;=COUNTA(半紙!$B$11:$B$310)+COUNTA(条幅!$B$11:$B$310)+COUNTA(条幅4分の1!$B$11:$B$310),INDEX(条幅4分の1!$H$11:$H$310,841-COUNTA(半紙!$B$11:$B$310)-COUNTA(条幅!$B$11:$B$310)),"")))=0,"",IF(841&lt;=COUNTA(半紙!$B$11:$B$310),INDEX(半紙!$H$11:$H$310,841),IF(841&lt;=COUNTA(半紙!$B$11:$B$310)+COUNTA(条幅!$B$11:$B$310),INDEX(条幅!$H$11:$H$310,841-COUNTA(半紙!$B$11:$B$310)),IF(841&lt;=COUNTA(半紙!$B$11:$B$310)+COUNTA(条幅!$B$11:$B$310)+COUNTA(条幅4分の1!$B$11:$B$310),INDEX(条幅4分の1!$H$11:$H$310,841-COUNTA(半紙!$B$11:$B$310)-COUNTA(条幅!$B$11:$B$310)),""))))</f>
        <v/>
      </c>
      <c r="I846" s="38" t="str">
        <f>IF(IF(841&lt;=COUNTA(半紙!$B$11:$B$310),INDEX(半紙!$I$11:$I$310,841),IF(841&lt;=COUNTA(半紙!$B$11:$B$310)+COUNTA(条幅!$B$11:$B$310),INDEX(条幅!$I$11:$I$310,841-COUNTA(半紙!$B$11:$B$310)),IF(841&lt;=COUNTA(半紙!$B$11:$B$310)+COUNTA(条幅!$B$11:$B$310)+COUNTA(条幅4分の1!$B$11:$B$310),INDEX(条幅4分の1!$I$11:$I$310,841-COUNTA(半紙!$B$11:$B$310)-COUNTA(条幅!$B$11:$B$310)),"")))=0,"",IF(841&lt;=COUNTA(半紙!$B$11:$B$310),INDEX(半紙!$I$11:$I$310,841),IF(841&lt;=COUNTA(半紙!$B$11:$B$310)+COUNTA(条幅!$B$11:$B$310),INDEX(条幅!$I$11:$I$310,841-COUNTA(半紙!$B$11:$B$310)),IF(841&lt;=COUNTA(半紙!$B$11:$B$310)+COUNTA(条幅!$B$11:$B$310)+COUNTA(条幅4分の1!$B$11:$B$310),INDEX(条幅4分の1!$I$11:$I$310,841-COUNTA(半紙!$B$11:$B$310)-COUNTA(条幅!$B$11:$B$310)),""))))</f>
        <v/>
      </c>
      <c r="J846" s="38" t="str">
        <f>IF(IF(841&lt;=COUNTA(半紙!$B$11:$B$310),INDEX(半紙!$J$11:$J$310,841),IF(841&lt;=COUNTA(半紙!$B$11:$B$310)+COUNTA(条幅!$B$11:$B$310),INDEX(条幅!$J$11:$J$310,841-COUNTA(半紙!$B$11:$B$310)),IF(841&lt;=COUNTA(半紙!$B$11:$B$310)+COUNTA(条幅!$B$11:$B$310)+COUNTA(条幅4分の1!$B$11:$B$310),INDEX(条幅4分の1!$J$11:$J$310,841-COUNTA(半紙!$B$11:$B$310)-COUNTA(条幅!$B$11:$B$310)),"")))=0,"",IF(841&lt;=COUNTA(半紙!$B$11:$B$310),INDEX(半紙!$J$11:$J$310,841),IF(841&lt;=COUNTA(半紙!$B$11:$B$310)+COUNTA(条幅!$B$11:$B$310),INDEX(条幅!$J$11:$J$310,841-COUNTA(半紙!$B$11:$B$310)),IF(841&lt;=COUNTA(半紙!$B$11:$B$310)+COUNTA(条幅!$B$11:$B$310)+COUNTA(条幅4分の1!$B$11:$B$310),INDEX(条幅4分の1!$J$11:$J$310,841-COUNTA(半紙!$B$11:$B$310)-COUNTA(条幅!$B$11:$B$310)),""))))</f>
        <v/>
      </c>
      <c r="K846" s="38" t="str">
        <f>IF(IF(841&lt;=COUNTA(半紙!$B$11:$B$310),INDEX(半紙!$K$11:$K$310,841),IF(841&lt;=COUNTA(半紙!$B$11:$B$310)+COUNTA(条幅!$B$11:$B$310),INDEX(条幅!$K$11:$K$310,841-COUNTA(半紙!$B$11:$B$310)),IF(841&lt;=COUNTA(半紙!$B$11:$B$310)+COUNTA(条幅!$B$11:$B$310)+COUNTA(条幅4分の1!$B$11:$B$310),INDEX(条幅4分の1!$K$11:$K$310,841-COUNTA(半紙!$B$11:$B$310)-COUNTA(条幅!$B$11:$B$310)),"")))=0,"",IF(841&lt;=COUNTA(半紙!$B$11:$B$310),INDEX(半紙!$K$11:$K$310,841),IF(841&lt;=COUNTA(半紙!$B$11:$B$310)+COUNTA(条幅!$B$11:$B$310),INDEX(条幅!$K$11:$K$310,841-COUNTA(半紙!$B$11:$B$310)),IF(841&lt;=COUNTA(半紙!$B$11:$B$310)+COUNTA(条幅!$B$11:$B$310)+COUNTA(条幅4分の1!$B$11:$B$310),INDEX(条幅4分の1!$K$11:$K$310,841-COUNTA(半紙!$B$11:$B$310)-COUNTA(条幅!$B$11:$B$310)),""))))</f>
        <v/>
      </c>
      <c r="L846" s="48" t="str">
        <f>IF($B846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841))</f>
        <v/>
      </c>
    </row>
    <row r="847" spans="1:12" ht="15" customHeight="1">
      <c r="A847" s="37" t="str">
        <f>IF(842&lt;=COUNTA(半紙!$B$11:$B$310),"半紙",IF(842&lt;=COUNTA(半紙!$B$11:$B$310)+COUNTA(条幅!$B$11:$B$310),"条幅(半切)",IF(842&lt;=COUNTA(半紙!$B$11:$B$310)+COUNTA(条幅!$B$11:$B$310)+COUNTA(条幅4分の1!$B$11:$B$310),"条幅(1/4)","")))</f>
        <v/>
      </c>
      <c r="B847" s="38" t="str">
        <f>IF(IF(842&lt;=COUNTA(半紙!$B$11:$B$310),INDEX(半紙!$B$11:$B$310,842),IF(842&lt;=COUNTA(半紙!$B$11:$B$310)+COUNTA(条幅!$B$11:$B$310),INDEX(条幅!$B$11:$B$310,842-COUNTA(半紙!$B$11:$B$310)),IF(842&lt;=COUNTA(半紙!$B$11:$B$310)+COUNTA(条幅!$B$11:$B$310)+COUNTA(条幅4分の1!$B$11:$B$310),INDEX(条幅4分の1!$B$11:$B$310,842-COUNTA(半紙!$B$11:$B$310)-COUNTA(条幅!$B$11:$B$310)),"")))=0,"",IF(842&lt;=COUNTA(半紙!$B$11:$B$310),INDEX(半紙!$B$11:$B$310,842),IF(842&lt;=COUNTA(半紙!$B$11:$B$310)+COUNTA(条幅!$B$11:$B$310),INDEX(条幅!$B$11:$B$310,842-COUNTA(半紙!$B$11:$B$310)),IF(842&lt;=COUNTA(半紙!$B$11:$B$310)+COUNTA(条幅!$B$11:$B$310)+COUNTA(条幅4分の1!$B$11:$B$310),INDEX(条幅4分の1!$B$11:$B$310,842-COUNTA(半紙!$B$11:$B$310)-COUNTA(条幅!$B$11:$B$310)),""))))</f>
        <v/>
      </c>
      <c r="C847" s="38" t="str">
        <f>IF(IF(842&lt;=COUNTA(半紙!$B$11:$B$310),INDEX(半紙!$C$11:$C$310,842),IF(842&lt;=COUNTA(半紙!$B$11:$B$310)+COUNTA(条幅!$B$11:$B$310),INDEX(条幅!$C$11:$C$310,842-COUNTA(半紙!$B$11:$B$310)),IF(842&lt;=COUNTA(半紙!$B$11:$B$310)+COUNTA(条幅!$B$11:$B$310)+COUNTA(条幅4分の1!$B$11:$B$310),INDEX(条幅4分の1!$C$11:$C$310,842-COUNTA(半紙!$B$11:$B$310)-COUNTA(条幅!$B$11:$B$310)),"")))=0,"",IF(842&lt;=COUNTA(半紙!$B$11:$B$310),INDEX(半紙!$C$11:$C$310,842),IF(842&lt;=COUNTA(半紙!$B$11:$B$310)+COUNTA(条幅!$B$11:$B$310),INDEX(条幅!$C$11:$C$310,842-COUNTA(半紙!$B$11:$B$310)),IF(842&lt;=COUNTA(半紙!$B$11:$B$310)+COUNTA(条幅!$B$11:$B$310)+COUNTA(条幅4分の1!$B$11:$B$310),INDEX(条幅4分の1!$C$11:$C$310,842-COUNTA(半紙!$B$11:$B$310)-COUNTA(条幅!$B$11:$B$310)),""))))</f>
        <v/>
      </c>
      <c r="D847" s="38" t="str">
        <f>IF(IF(842&lt;=COUNTA(半紙!$B$11:$B$310),INDEX(半紙!$D$11:$D$310,842),IF(842&lt;=COUNTA(半紙!$B$11:$B$310)+COUNTA(条幅!$B$11:$B$310),INDEX(条幅!$D$11:$D$310,842-COUNTA(半紙!$B$11:$B$310)),IF(842&lt;=COUNTA(半紙!$B$11:$B$310)+COUNTA(条幅!$B$11:$B$310)+COUNTA(条幅4分の1!$B$11:$B$310),INDEX(条幅4分の1!$D$11:$D$310,842-COUNTA(半紙!$B$11:$B$310)-COUNTA(条幅!$B$11:$B$310)),"")))=0,"",IF(842&lt;=COUNTA(半紙!$B$11:$B$310),INDEX(半紙!$D$11:$D$310,842),IF(842&lt;=COUNTA(半紙!$B$11:$B$310)+COUNTA(条幅!$B$11:$B$310),INDEX(条幅!$D$11:$D$310,842-COUNTA(半紙!$B$11:$B$310)),IF(842&lt;=COUNTA(半紙!$B$11:$B$310)+COUNTA(条幅!$B$11:$B$310)+COUNTA(条幅4分の1!$B$11:$B$310),INDEX(条幅4分の1!$D$11:$D$310,842-COUNTA(半紙!$B$11:$B$310)-COUNTA(条幅!$B$11:$B$310)),""))))</f>
        <v/>
      </c>
      <c r="E847" s="38" t="str">
        <f>IF(IF(842&lt;=COUNTA(半紙!$B$11:$B$310),INDEX(半紙!$E$11:$E$310,842),IF(842&lt;=COUNTA(半紙!$B$11:$B$310)+COUNTA(条幅!$B$11:$B$310),INDEX(条幅!$E$11:$E$310,842-COUNTA(半紙!$B$11:$B$310)),IF(842&lt;=COUNTA(半紙!$B$11:$B$310)+COUNTA(条幅!$B$11:$B$310)+COUNTA(条幅4分の1!$B$11:$B$310),INDEX(条幅4分の1!$E$11:$E$310,842-COUNTA(半紙!$B$11:$B$310)-COUNTA(条幅!$B$11:$B$310)),"")))=0,"",IF(842&lt;=COUNTA(半紙!$B$11:$B$310),INDEX(半紙!$E$11:$E$310,842),IF(842&lt;=COUNTA(半紙!$B$11:$B$310)+COUNTA(条幅!$B$11:$B$310),INDEX(条幅!$E$11:$E$310,842-COUNTA(半紙!$B$11:$B$310)),IF(842&lt;=COUNTA(半紙!$B$11:$B$310)+COUNTA(条幅!$B$11:$B$310)+COUNTA(条幅4分の1!$B$11:$B$310),INDEX(条幅4分の1!$E$11:$E$310,842-COUNTA(半紙!$B$11:$B$310)-COUNTA(条幅!$B$11:$B$310)),""))))</f>
        <v/>
      </c>
      <c r="F847" s="38" t="str">
        <f>IF(IF(842&lt;=COUNTA(半紙!$B$11:$B$310),INDEX(半紙!$F$11:$F$310,842),IF(842&lt;=COUNTA(半紙!$B$11:$B$310)+COUNTA(条幅!$B$11:$B$310),INDEX(条幅!$F$11:$F$310,842-COUNTA(半紙!$B$11:$B$310)),IF(842&lt;=COUNTA(半紙!$B$11:$B$310)+COUNTA(条幅!$B$11:$B$310)+COUNTA(条幅4分の1!$B$11:$B$310),INDEX(条幅4分の1!$F$11:$F$310,842-COUNTA(半紙!$B$11:$B$310)-COUNTA(条幅!$B$11:$B$310)),"")))=0,"",IF(842&lt;=COUNTA(半紙!$B$11:$B$310),INDEX(半紙!$F$11:$F$310,842),IF(842&lt;=COUNTA(半紙!$B$11:$B$310)+COUNTA(条幅!$B$11:$B$310),INDEX(条幅!$F$11:$F$310,842-COUNTA(半紙!$B$11:$B$310)),IF(842&lt;=COUNTA(半紙!$B$11:$B$310)+COUNTA(条幅!$B$11:$B$310)+COUNTA(条幅4分の1!$B$11:$B$310),INDEX(条幅4分の1!$F$11:$F$310,842-COUNTA(半紙!$B$11:$B$310)-COUNTA(条幅!$B$11:$B$310)),""))))</f>
        <v/>
      </c>
      <c r="G847" s="38" t="str">
        <f>IF(IF(842&lt;=COUNTA(半紙!$B$11:$B$310),INDEX(半紙!$G$11:$G$310,842),IF(842&lt;=COUNTA(半紙!$B$11:$B$310)+COUNTA(条幅!$B$11:$B$310),INDEX(条幅!$G$11:$G$310,842-COUNTA(半紙!$B$11:$B$310)),IF(842&lt;=COUNTA(半紙!$B$11:$B$310)+COUNTA(条幅!$B$11:$B$310)+COUNTA(条幅4分の1!$B$11:$B$310),INDEX(条幅4分の1!$G$11:$G$310,842-COUNTA(半紙!$B$11:$B$310)-COUNTA(条幅!$B$11:$B$310)),"")))=0,"",IF(842&lt;=COUNTA(半紙!$B$11:$B$310),INDEX(半紙!$G$11:$G$310,842),IF(842&lt;=COUNTA(半紙!$B$11:$B$310)+COUNTA(条幅!$B$11:$B$310),INDEX(条幅!$G$11:$G$310,842-COUNTA(半紙!$B$11:$B$310)),IF(842&lt;=COUNTA(半紙!$B$11:$B$310)+COUNTA(条幅!$B$11:$B$310)+COUNTA(条幅4分の1!$B$11:$B$310),INDEX(条幅4分の1!$G$11:$G$310,842-COUNTA(半紙!$B$11:$B$310)-COUNTA(条幅!$B$11:$B$310)),""))))</f>
        <v/>
      </c>
      <c r="H847" s="38" t="str">
        <f>IF(IF(842&lt;=COUNTA(半紙!$B$11:$B$310),INDEX(半紙!$H$11:$H$310,842),IF(842&lt;=COUNTA(半紙!$B$11:$B$310)+COUNTA(条幅!$B$11:$B$310),INDEX(条幅!$H$11:$H$310,842-COUNTA(半紙!$B$11:$B$310)),IF(842&lt;=COUNTA(半紙!$B$11:$B$310)+COUNTA(条幅!$B$11:$B$310)+COUNTA(条幅4分の1!$B$11:$B$310),INDEX(条幅4分の1!$H$11:$H$310,842-COUNTA(半紙!$B$11:$B$310)-COUNTA(条幅!$B$11:$B$310)),"")))=0,"",IF(842&lt;=COUNTA(半紙!$B$11:$B$310),INDEX(半紙!$H$11:$H$310,842),IF(842&lt;=COUNTA(半紙!$B$11:$B$310)+COUNTA(条幅!$B$11:$B$310),INDEX(条幅!$H$11:$H$310,842-COUNTA(半紙!$B$11:$B$310)),IF(842&lt;=COUNTA(半紙!$B$11:$B$310)+COUNTA(条幅!$B$11:$B$310)+COUNTA(条幅4分の1!$B$11:$B$310),INDEX(条幅4分の1!$H$11:$H$310,842-COUNTA(半紙!$B$11:$B$310)-COUNTA(条幅!$B$11:$B$310)),""))))</f>
        <v/>
      </c>
      <c r="I847" s="38" t="str">
        <f>IF(IF(842&lt;=COUNTA(半紙!$B$11:$B$310),INDEX(半紙!$I$11:$I$310,842),IF(842&lt;=COUNTA(半紙!$B$11:$B$310)+COUNTA(条幅!$B$11:$B$310),INDEX(条幅!$I$11:$I$310,842-COUNTA(半紙!$B$11:$B$310)),IF(842&lt;=COUNTA(半紙!$B$11:$B$310)+COUNTA(条幅!$B$11:$B$310)+COUNTA(条幅4分の1!$B$11:$B$310),INDEX(条幅4分の1!$I$11:$I$310,842-COUNTA(半紙!$B$11:$B$310)-COUNTA(条幅!$B$11:$B$310)),"")))=0,"",IF(842&lt;=COUNTA(半紙!$B$11:$B$310),INDEX(半紙!$I$11:$I$310,842),IF(842&lt;=COUNTA(半紙!$B$11:$B$310)+COUNTA(条幅!$B$11:$B$310),INDEX(条幅!$I$11:$I$310,842-COUNTA(半紙!$B$11:$B$310)),IF(842&lt;=COUNTA(半紙!$B$11:$B$310)+COUNTA(条幅!$B$11:$B$310)+COUNTA(条幅4分の1!$B$11:$B$310),INDEX(条幅4分の1!$I$11:$I$310,842-COUNTA(半紙!$B$11:$B$310)-COUNTA(条幅!$B$11:$B$310)),""))))</f>
        <v/>
      </c>
      <c r="J847" s="38" t="str">
        <f>IF(IF(842&lt;=COUNTA(半紙!$B$11:$B$310),INDEX(半紙!$J$11:$J$310,842),IF(842&lt;=COUNTA(半紙!$B$11:$B$310)+COUNTA(条幅!$B$11:$B$310),INDEX(条幅!$J$11:$J$310,842-COUNTA(半紙!$B$11:$B$310)),IF(842&lt;=COUNTA(半紙!$B$11:$B$310)+COUNTA(条幅!$B$11:$B$310)+COUNTA(条幅4分の1!$B$11:$B$310),INDEX(条幅4分の1!$J$11:$J$310,842-COUNTA(半紙!$B$11:$B$310)-COUNTA(条幅!$B$11:$B$310)),"")))=0,"",IF(842&lt;=COUNTA(半紙!$B$11:$B$310),INDEX(半紙!$J$11:$J$310,842),IF(842&lt;=COUNTA(半紙!$B$11:$B$310)+COUNTA(条幅!$B$11:$B$310),INDEX(条幅!$J$11:$J$310,842-COUNTA(半紙!$B$11:$B$310)),IF(842&lt;=COUNTA(半紙!$B$11:$B$310)+COUNTA(条幅!$B$11:$B$310)+COUNTA(条幅4分の1!$B$11:$B$310),INDEX(条幅4分の1!$J$11:$J$310,842-COUNTA(半紙!$B$11:$B$310)-COUNTA(条幅!$B$11:$B$310)),""))))</f>
        <v/>
      </c>
      <c r="K847" s="38" t="str">
        <f>IF(IF(842&lt;=COUNTA(半紙!$B$11:$B$310),INDEX(半紙!$K$11:$K$310,842),IF(842&lt;=COUNTA(半紙!$B$11:$B$310)+COUNTA(条幅!$B$11:$B$310),INDEX(条幅!$K$11:$K$310,842-COUNTA(半紙!$B$11:$B$310)),IF(842&lt;=COUNTA(半紙!$B$11:$B$310)+COUNTA(条幅!$B$11:$B$310)+COUNTA(条幅4分の1!$B$11:$B$310),INDEX(条幅4分の1!$K$11:$K$310,842-COUNTA(半紙!$B$11:$B$310)-COUNTA(条幅!$B$11:$B$310)),"")))=0,"",IF(842&lt;=COUNTA(半紙!$B$11:$B$310),INDEX(半紙!$K$11:$K$310,842),IF(842&lt;=COUNTA(半紙!$B$11:$B$310)+COUNTA(条幅!$B$11:$B$310),INDEX(条幅!$K$11:$K$310,842-COUNTA(半紙!$B$11:$B$310)),IF(842&lt;=COUNTA(半紙!$B$11:$B$310)+COUNTA(条幅!$B$11:$B$310)+COUNTA(条幅4分の1!$B$11:$B$310),INDEX(条幅4分の1!$K$11:$K$310,842-COUNTA(半紙!$B$11:$B$310)-COUNTA(条幅!$B$11:$B$310)),""))))</f>
        <v/>
      </c>
      <c r="L847" s="48" t="str">
        <f>IF($B847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842))</f>
        <v/>
      </c>
    </row>
    <row r="848" spans="1:12" ht="15" customHeight="1">
      <c r="A848" s="37" t="str">
        <f>IF(843&lt;=COUNTA(半紙!$B$11:$B$310),"半紙",IF(843&lt;=COUNTA(半紙!$B$11:$B$310)+COUNTA(条幅!$B$11:$B$310),"条幅(半切)",IF(843&lt;=COUNTA(半紙!$B$11:$B$310)+COUNTA(条幅!$B$11:$B$310)+COUNTA(条幅4分の1!$B$11:$B$310),"条幅(1/4)","")))</f>
        <v/>
      </c>
      <c r="B848" s="38" t="str">
        <f>IF(IF(843&lt;=COUNTA(半紙!$B$11:$B$310),INDEX(半紙!$B$11:$B$310,843),IF(843&lt;=COUNTA(半紙!$B$11:$B$310)+COUNTA(条幅!$B$11:$B$310),INDEX(条幅!$B$11:$B$310,843-COUNTA(半紙!$B$11:$B$310)),IF(843&lt;=COUNTA(半紙!$B$11:$B$310)+COUNTA(条幅!$B$11:$B$310)+COUNTA(条幅4分の1!$B$11:$B$310),INDEX(条幅4分の1!$B$11:$B$310,843-COUNTA(半紙!$B$11:$B$310)-COUNTA(条幅!$B$11:$B$310)),"")))=0,"",IF(843&lt;=COUNTA(半紙!$B$11:$B$310),INDEX(半紙!$B$11:$B$310,843),IF(843&lt;=COUNTA(半紙!$B$11:$B$310)+COUNTA(条幅!$B$11:$B$310),INDEX(条幅!$B$11:$B$310,843-COUNTA(半紙!$B$11:$B$310)),IF(843&lt;=COUNTA(半紙!$B$11:$B$310)+COUNTA(条幅!$B$11:$B$310)+COUNTA(条幅4分の1!$B$11:$B$310),INDEX(条幅4分の1!$B$11:$B$310,843-COUNTA(半紙!$B$11:$B$310)-COUNTA(条幅!$B$11:$B$310)),""))))</f>
        <v/>
      </c>
      <c r="C848" s="38" t="str">
        <f>IF(IF(843&lt;=COUNTA(半紙!$B$11:$B$310),INDEX(半紙!$C$11:$C$310,843),IF(843&lt;=COUNTA(半紙!$B$11:$B$310)+COUNTA(条幅!$B$11:$B$310),INDEX(条幅!$C$11:$C$310,843-COUNTA(半紙!$B$11:$B$310)),IF(843&lt;=COUNTA(半紙!$B$11:$B$310)+COUNTA(条幅!$B$11:$B$310)+COUNTA(条幅4分の1!$B$11:$B$310),INDEX(条幅4分の1!$C$11:$C$310,843-COUNTA(半紙!$B$11:$B$310)-COUNTA(条幅!$B$11:$B$310)),"")))=0,"",IF(843&lt;=COUNTA(半紙!$B$11:$B$310),INDEX(半紙!$C$11:$C$310,843),IF(843&lt;=COUNTA(半紙!$B$11:$B$310)+COUNTA(条幅!$B$11:$B$310),INDEX(条幅!$C$11:$C$310,843-COUNTA(半紙!$B$11:$B$310)),IF(843&lt;=COUNTA(半紙!$B$11:$B$310)+COUNTA(条幅!$B$11:$B$310)+COUNTA(条幅4分の1!$B$11:$B$310),INDEX(条幅4分の1!$C$11:$C$310,843-COUNTA(半紙!$B$11:$B$310)-COUNTA(条幅!$B$11:$B$310)),""))))</f>
        <v/>
      </c>
      <c r="D848" s="38" t="str">
        <f>IF(IF(843&lt;=COUNTA(半紙!$B$11:$B$310),INDEX(半紙!$D$11:$D$310,843),IF(843&lt;=COUNTA(半紙!$B$11:$B$310)+COUNTA(条幅!$B$11:$B$310),INDEX(条幅!$D$11:$D$310,843-COUNTA(半紙!$B$11:$B$310)),IF(843&lt;=COUNTA(半紙!$B$11:$B$310)+COUNTA(条幅!$B$11:$B$310)+COUNTA(条幅4分の1!$B$11:$B$310),INDEX(条幅4分の1!$D$11:$D$310,843-COUNTA(半紙!$B$11:$B$310)-COUNTA(条幅!$B$11:$B$310)),"")))=0,"",IF(843&lt;=COUNTA(半紙!$B$11:$B$310),INDEX(半紙!$D$11:$D$310,843),IF(843&lt;=COUNTA(半紙!$B$11:$B$310)+COUNTA(条幅!$B$11:$B$310),INDEX(条幅!$D$11:$D$310,843-COUNTA(半紙!$B$11:$B$310)),IF(843&lt;=COUNTA(半紙!$B$11:$B$310)+COUNTA(条幅!$B$11:$B$310)+COUNTA(条幅4分の1!$B$11:$B$310),INDEX(条幅4分の1!$D$11:$D$310,843-COUNTA(半紙!$B$11:$B$310)-COUNTA(条幅!$B$11:$B$310)),""))))</f>
        <v/>
      </c>
      <c r="E848" s="38" t="str">
        <f>IF(IF(843&lt;=COUNTA(半紙!$B$11:$B$310),INDEX(半紙!$E$11:$E$310,843),IF(843&lt;=COUNTA(半紙!$B$11:$B$310)+COUNTA(条幅!$B$11:$B$310),INDEX(条幅!$E$11:$E$310,843-COUNTA(半紙!$B$11:$B$310)),IF(843&lt;=COUNTA(半紙!$B$11:$B$310)+COUNTA(条幅!$B$11:$B$310)+COUNTA(条幅4分の1!$B$11:$B$310),INDEX(条幅4分の1!$E$11:$E$310,843-COUNTA(半紙!$B$11:$B$310)-COUNTA(条幅!$B$11:$B$310)),"")))=0,"",IF(843&lt;=COUNTA(半紙!$B$11:$B$310),INDEX(半紙!$E$11:$E$310,843),IF(843&lt;=COUNTA(半紙!$B$11:$B$310)+COUNTA(条幅!$B$11:$B$310),INDEX(条幅!$E$11:$E$310,843-COUNTA(半紙!$B$11:$B$310)),IF(843&lt;=COUNTA(半紙!$B$11:$B$310)+COUNTA(条幅!$B$11:$B$310)+COUNTA(条幅4分の1!$B$11:$B$310),INDEX(条幅4分の1!$E$11:$E$310,843-COUNTA(半紙!$B$11:$B$310)-COUNTA(条幅!$B$11:$B$310)),""))))</f>
        <v/>
      </c>
      <c r="F848" s="38" t="str">
        <f>IF(IF(843&lt;=COUNTA(半紙!$B$11:$B$310),INDEX(半紙!$F$11:$F$310,843),IF(843&lt;=COUNTA(半紙!$B$11:$B$310)+COUNTA(条幅!$B$11:$B$310),INDEX(条幅!$F$11:$F$310,843-COUNTA(半紙!$B$11:$B$310)),IF(843&lt;=COUNTA(半紙!$B$11:$B$310)+COUNTA(条幅!$B$11:$B$310)+COUNTA(条幅4分の1!$B$11:$B$310),INDEX(条幅4分の1!$F$11:$F$310,843-COUNTA(半紙!$B$11:$B$310)-COUNTA(条幅!$B$11:$B$310)),"")))=0,"",IF(843&lt;=COUNTA(半紙!$B$11:$B$310),INDEX(半紙!$F$11:$F$310,843),IF(843&lt;=COUNTA(半紙!$B$11:$B$310)+COUNTA(条幅!$B$11:$B$310),INDEX(条幅!$F$11:$F$310,843-COUNTA(半紙!$B$11:$B$310)),IF(843&lt;=COUNTA(半紙!$B$11:$B$310)+COUNTA(条幅!$B$11:$B$310)+COUNTA(条幅4分の1!$B$11:$B$310),INDEX(条幅4分の1!$F$11:$F$310,843-COUNTA(半紙!$B$11:$B$310)-COUNTA(条幅!$B$11:$B$310)),""))))</f>
        <v/>
      </c>
      <c r="G848" s="38" t="str">
        <f>IF(IF(843&lt;=COUNTA(半紙!$B$11:$B$310),INDEX(半紙!$G$11:$G$310,843),IF(843&lt;=COUNTA(半紙!$B$11:$B$310)+COUNTA(条幅!$B$11:$B$310),INDEX(条幅!$G$11:$G$310,843-COUNTA(半紙!$B$11:$B$310)),IF(843&lt;=COUNTA(半紙!$B$11:$B$310)+COUNTA(条幅!$B$11:$B$310)+COUNTA(条幅4分の1!$B$11:$B$310),INDEX(条幅4分の1!$G$11:$G$310,843-COUNTA(半紙!$B$11:$B$310)-COUNTA(条幅!$B$11:$B$310)),"")))=0,"",IF(843&lt;=COUNTA(半紙!$B$11:$B$310),INDEX(半紙!$G$11:$G$310,843),IF(843&lt;=COUNTA(半紙!$B$11:$B$310)+COUNTA(条幅!$B$11:$B$310),INDEX(条幅!$G$11:$G$310,843-COUNTA(半紙!$B$11:$B$310)),IF(843&lt;=COUNTA(半紙!$B$11:$B$310)+COUNTA(条幅!$B$11:$B$310)+COUNTA(条幅4分の1!$B$11:$B$310),INDEX(条幅4分の1!$G$11:$G$310,843-COUNTA(半紙!$B$11:$B$310)-COUNTA(条幅!$B$11:$B$310)),""))))</f>
        <v/>
      </c>
      <c r="H848" s="38" t="str">
        <f>IF(IF(843&lt;=COUNTA(半紙!$B$11:$B$310),INDEX(半紙!$H$11:$H$310,843),IF(843&lt;=COUNTA(半紙!$B$11:$B$310)+COUNTA(条幅!$B$11:$B$310),INDEX(条幅!$H$11:$H$310,843-COUNTA(半紙!$B$11:$B$310)),IF(843&lt;=COUNTA(半紙!$B$11:$B$310)+COUNTA(条幅!$B$11:$B$310)+COUNTA(条幅4分の1!$B$11:$B$310),INDEX(条幅4分の1!$H$11:$H$310,843-COUNTA(半紙!$B$11:$B$310)-COUNTA(条幅!$B$11:$B$310)),"")))=0,"",IF(843&lt;=COUNTA(半紙!$B$11:$B$310),INDEX(半紙!$H$11:$H$310,843),IF(843&lt;=COUNTA(半紙!$B$11:$B$310)+COUNTA(条幅!$B$11:$B$310),INDEX(条幅!$H$11:$H$310,843-COUNTA(半紙!$B$11:$B$310)),IF(843&lt;=COUNTA(半紙!$B$11:$B$310)+COUNTA(条幅!$B$11:$B$310)+COUNTA(条幅4分の1!$B$11:$B$310),INDEX(条幅4分の1!$H$11:$H$310,843-COUNTA(半紙!$B$11:$B$310)-COUNTA(条幅!$B$11:$B$310)),""))))</f>
        <v/>
      </c>
      <c r="I848" s="38" t="str">
        <f>IF(IF(843&lt;=COUNTA(半紙!$B$11:$B$310),INDEX(半紙!$I$11:$I$310,843),IF(843&lt;=COUNTA(半紙!$B$11:$B$310)+COUNTA(条幅!$B$11:$B$310),INDEX(条幅!$I$11:$I$310,843-COUNTA(半紙!$B$11:$B$310)),IF(843&lt;=COUNTA(半紙!$B$11:$B$310)+COUNTA(条幅!$B$11:$B$310)+COUNTA(条幅4分の1!$B$11:$B$310),INDEX(条幅4分の1!$I$11:$I$310,843-COUNTA(半紙!$B$11:$B$310)-COUNTA(条幅!$B$11:$B$310)),"")))=0,"",IF(843&lt;=COUNTA(半紙!$B$11:$B$310),INDEX(半紙!$I$11:$I$310,843),IF(843&lt;=COUNTA(半紙!$B$11:$B$310)+COUNTA(条幅!$B$11:$B$310),INDEX(条幅!$I$11:$I$310,843-COUNTA(半紙!$B$11:$B$310)),IF(843&lt;=COUNTA(半紙!$B$11:$B$310)+COUNTA(条幅!$B$11:$B$310)+COUNTA(条幅4分の1!$B$11:$B$310),INDEX(条幅4分の1!$I$11:$I$310,843-COUNTA(半紙!$B$11:$B$310)-COUNTA(条幅!$B$11:$B$310)),""))))</f>
        <v/>
      </c>
      <c r="J848" s="38" t="str">
        <f>IF(IF(843&lt;=COUNTA(半紙!$B$11:$B$310),INDEX(半紙!$J$11:$J$310,843),IF(843&lt;=COUNTA(半紙!$B$11:$B$310)+COUNTA(条幅!$B$11:$B$310),INDEX(条幅!$J$11:$J$310,843-COUNTA(半紙!$B$11:$B$310)),IF(843&lt;=COUNTA(半紙!$B$11:$B$310)+COUNTA(条幅!$B$11:$B$310)+COUNTA(条幅4分の1!$B$11:$B$310),INDEX(条幅4分の1!$J$11:$J$310,843-COUNTA(半紙!$B$11:$B$310)-COUNTA(条幅!$B$11:$B$310)),"")))=0,"",IF(843&lt;=COUNTA(半紙!$B$11:$B$310),INDEX(半紙!$J$11:$J$310,843),IF(843&lt;=COUNTA(半紙!$B$11:$B$310)+COUNTA(条幅!$B$11:$B$310),INDEX(条幅!$J$11:$J$310,843-COUNTA(半紙!$B$11:$B$310)),IF(843&lt;=COUNTA(半紙!$B$11:$B$310)+COUNTA(条幅!$B$11:$B$310)+COUNTA(条幅4分の1!$B$11:$B$310),INDEX(条幅4分の1!$J$11:$J$310,843-COUNTA(半紙!$B$11:$B$310)-COUNTA(条幅!$B$11:$B$310)),""))))</f>
        <v/>
      </c>
      <c r="K848" s="38" t="str">
        <f>IF(IF(843&lt;=COUNTA(半紙!$B$11:$B$310),INDEX(半紙!$K$11:$K$310,843),IF(843&lt;=COUNTA(半紙!$B$11:$B$310)+COUNTA(条幅!$B$11:$B$310),INDEX(条幅!$K$11:$K$310,843-COUNTA(半紙!$B$11:$B$310)),IF(843&lt;=COUNTA(半紙!$B$11:$B$310)+COUNTA(条幅!$B$11:$B$310)+COUNTA(条幅4分の1!$B$11:$B$310),INDEX(条幅4分の1!$K$11:$K$310,843-COUNTA(半紙!$B$11:$B$310)-COUNTA(条幅!$B$11:$B$310)),"")))=0,"",IF(843&lt;=COUNTA(半紙!$B$11:$B$310),INDEX(半紙!$K$11:$K$310,843),IF(843&lt;=COUNTA(半紙!$B$11:$B$310)+COUNTA(条幅!$B$11:$B$310),INDEX(条幅!$K$11:$K$310,843-COUNTA(半紙!$B$11:$B$310)),IF(843&lt;=COUNTA(半紙!$B$11:$B$310)+COUNTA(条幅!$B$11:$B$310)+COUNTA(条幅4分の1!$B$11:$B$310),INDEX(条幅4分の1!$K$11:$K$310,843-COUNTA(半紙!$B$11:$B$310)-COUNTA(条幅!$B$11:$B$310)),""))))</f>
        <v/>
      </c>
      <c r="L848" s="48" t="str">
        <f>IF($B848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843))</f>
        <v/>
      </c>
    </row>
    <row r="849" spans="1:12" ht="15" customHeight="1">
      <c r="A849" s="37" t="str">
        <f>IF(844&lt;=COUNTA(半紙!$B$11:$B$310),"半紙",IF(844&lt;=COUNTA(半紙!$B$11:$B$310)+COUNTA(条幅!$B$11:$B$310),"条幅(半切)",IF(844&lt;=COUNTA(半紙!$B$11:$B$310)+COUNTA(条幅!$B$11:$B$310)+COUNTA(条幅4分の1!$B$11:$B$310),"条幅(1/4)","")))</f>
        <v/>
      </c>
      <c r="B849" s="38" t="str">
        <f>IF(IF(844&lt;=COUNTA(半紙!$B$11:$B$310),INDEX(半紙!$B$11:$B$310,844),IF(844&lt;=COUNTA(半紙!$B$11:$B$310)+COUNTA(条幅!$B$11:$B$310),INDEX(条幅!$B$11:$B$310,844-COUNTA(半紙!$B$11:$B$310)),IF(844&lt;=COUNTA(半紙!$B$11:$B$310)+COUNTA(条幅!$B$11:$B$310)+COUNTA(条幅4分の1!$B$11:$B$310),INDEX(条幅4分の1!$B$11:$B$310,844-COUNTA(半紙!$B$11:$B$310)-COUNTA(条幅!$B$11:$B$310)),"")))=0,"",IF(844&lt;=COUNTA(半紙!$B$11:$B$310),INDEX(半紙!$B$11:$B$310,844),IF(844&lt;=COUNTA(半紙!$B$11:$B$310)+COUNTA(条幅!$B$11:$B$310),INDEX(条幅!$B$11:$B$310,844-COUNTA(半紙!$B$11:$B$310)),IF(844&lt;=COUNTA(半紙!$B$11:$B$310)+COUNTA(条幅!$B$11:$B$310)+COUNTA(条幅4分の1!$B$11:$B$310),INDEX(条幅4分の1!$B$11:$B$310,844-COUNTA(半紙!$B$11:$B$310)-COUNTA(条幅!$B$11:$B$310)),""))))</f>
        <v/>
      </c>
      <c r="C849" s="38" t="str">
        <f>IF(IF(844&lt;=COUNTA(半紙!$B$11:$B$310),INDEX(半紙!$C$11:$C$310,844),IF(844&lt;=COUNTA(半紙!$B$11:$B$310)+COUNTA(条幅!$B$11:$B$310),INDEX(条幅!$C$11:$C$310,844-COUNTA(半紙!$B$11:$B$310)),IF(844&lt;=COUNTA(半紙!$B$11:$B$310)+COUNTA(条幅!$B$11:$B$310)+COUNTA(条幅4分の1!$B$11:$B$310),INDEX(条幅4分の1!$C$11:$C$310,844-COUNTA(半紙!$B$11:$B$310)-COUNTA(条幅!$B$11:$B$310)),"")))=0,"",IF(844&lt;=COUNTA(半紙!$B$11:$B$310),INDEX(半紙!$C$11:$C$310,844),IF(844&lt;=COUNTA(半紙!$B$11:$B$310)+COUNTA(条幅!$B$11:$B$310),INDEX(条幅!$C$11:$C$310,844-COUNTA(半紙!$B$11:$B$310)),IF(844&lt;=COUNTA(半紙!$B$11:$B$310)+COUNTA(条幅!$B$11:$B$310)+COUNTA(条幅4分の1!$B$11:$B$310),INDEX(条幅4分の1!$C$11:$C$310,844-COUNTA(半紙!$B$11:$B$310)-COUNTA(条幅!$B$11:$B$310)),""))))</f>
        <v/>
      </c>
      <c r="D849" s="38" t="str">
        <f>IF(IF(844&lt;=COUNTA(半紙!$B$11:$B$310),INDEX(半紙!$D$11:$D$310,844),IF(844&lt;=COUNTA(半紙!$B$11:$B$310)+COUNTA(条幅!$B$11:$B$310),INDEX(条幅!$D$11:$D$310,844-COUNTA(半紙!$B$11:$B$310)),IF(844&lt;=COUNTA(半紙!$B$11:$B$310)+COUNTA(条幅!$B$11:$B$310)+COUNTA(条幅4分の1!$B$11:$B$310),INDEX(条幅4分の1!$D$11:$D$310,844-COUNTA(半紙!$B$11:$B$310)-COUNTA(条幅!$B$11:$B$310)),"")))=0,"",IF(844&lt;=COUNTA(半紙!$B$11:$B$310),INDEX(半紙!$D$11:$D$310,844),IF(844&lt;=COUNTA(半紙!$B$11:$B$310)+COUNTA(条幅!$B$11:$B$310),INDEX(条幅!$D$11:$D$310,844-COUNTA(半紙!$B$11:$B$310)),IF(844&lt;=COUNTA(半紙!$B$11:$B$310)+COUNTA(条幅!$B$11:$B$310)+COUNTA(条幅4分の1!$B$11:$B$310),INDEX(条幅4分の1!$D$11:$D$310,844-COUNTA(半紙!$B$11:$B$310)-COUNTA(条幅!$B$11:$B$310)),""))))</f>
        <v/>
      </c>
      <c r="E849" s="38" t="str">
        <f>IF(IF(844&lt;=COUNTA(半紙!$B$11:$B$310),INDEX(半紙!$E$11:$E$310,844),IF(844&lt;=COUNTA(半紙!$B$11:$B$310)+COUNTA(条幅!$B$11:$B$310),INDEX(条幅!$E$11:$E$310,844-COUNTA(半紙!$B$11:$B$310)),IF(844&lt;=COUNTA(半紙!$B$11:$B$310)+COUNTA(条幅!$B$11:$B$310)+COUNTA(条幅4分の1!$B$11:$B$310),INDEX(条幅4分の1!$E$11:$E$310,844-COUNTA(半紙!$B$11:$B$310)-COUNTA(条幅!$B$11:$B$310)),"")))=0,"",IF(844&lt;=COUNTA(半紙!$B$11:$B$310),INDEX(半紙!$E$11:$E$310,844),IF(844&lt;=COUNTA(半紙!$B$11:$B$310)+COUNTA(条幅!$B$11:$B$310),INDEX(条幅!$E$11:$E$310,844-COUNTA(半紙!$B$11:$B$310)),IF(844&lt;=COUNTA(半紙!$B$11:$B$310)+COUNTA(条幅!$B$11:$B$310)+COUNTA(条幅4分の1!$B$11:$B$310),INDEX(条幅4分の1!$E$11:$E$310,844-COUNTA(半紙!$B$11:$B$310)-COUNTA(条幅!$B$11:$B$310)),""))))</f>
        <v/>
      </c>
      <c r="F849" s="38" t="str">
        <f>IF(IF(844&lt;=COUNTA(半紙!$B$11:$B$310),INDEX(半紙!$F$11:$F$310,844),IF(844&lt;=COUNTA(半紙!$B$11:$B$310)+COUNTA(条幅!$B$11:$B$310),INDEX(条幅!$F$11:$F$310,844-COUNTA(半紙!$B$11:$B$310)),IF(844&lt;=COUNTA(半紙!$B$11:$B$310)+COUNTA(条幅!$B$11:$B$310)+COUNTA(条幅4分の1!$B$11:$B$310),INDEX(条幅4分の1!$F$11:$F$310,844-COUNTA(半紙!$B$11:$B$310)-COUNTA(条幅!$B$11:$B$310)),"")))=0,"",IF(844&lt;=COUNTA(半紙!$B$11:$B$310),INDEX(半紙!$F$11:$F$310,844),IF(844&lt;=COUNTA(半紙!$B$11:$B$310)+COUNTA(条幅!$B$11:$B$310),INDEX(条幅!$F$11:$F$310,844-COUNTA(半紙!$B$11:$B$310)),IF(844&lt;=COUNTA(半紙!$B$11:$B$310)+COUNTA(条幅!$B$11:$B$310)+COUNTA(条幅4分の1!$B$11:$B$310),INDEX(条幅4分の1!$F$11:$F$310,844-COUNTA(半紙!$B$11:$B$310)-COUNTA(条幅!$B$11:$B$310)),""))))</f>
        <v/>
      </c>
      <c r="G849" s="38" t="str">
        <f>IF(IF(844&lt;=COUNTA(半紙!$B$11:$B$310),INDEX(半紙!$G$11:$G$310,844),IF(844&lt;=COUNTA(半紙!$B$11:$B$310)+COUNTA(条幅!$B$11:$B$310),INDEX(条幅!$G$11:$G$310,844-COUNTA(半紙!$B$11:$B$310)),IF(844&lt;=COUNTA(半紙!$B$11:$B$310)+COUNTA(条幅!$B$11:$B$310)+COUNTA(条幅4分の1!$B$11:$B$310),INDEX(条幅4分の1!$G$11:$G$310,844-COUNTA(半紙!$B$11:$B$310)-COUNTA(条幅!$B$11:$B$310)),"")))=0,"",IF(844&lt;=COUNTA(半紙!$B$11:$B$310),INDEX(半紙!$G$11:$G$310,844),IF(844&lt;=COUNTA(半紙!$B$11:$B$310)+COUNTA(条幅!$B$11:$B$310),INDEX(条幅!$G$11:$G$310,844-COUNTA(半紙!$B$11:$B$310)),IF(844&lt;=COUNTA(半紙!$B$11:$B$310)+COUNTA(条幅!$B$11:$B$310)+COUNTA(条幅4分の1!$B$11:$B$310),INDEX(条幅4分の1!$G$11:$G$310,844-COUNTA(半紙!$B$11:$B$310)-COUNTA(条幅!$B$11:$B$310)),""))))</f>
        <v/>
      </c>
      <c r="H849" s="38" t="str">
        <f>IF(IF(844&lt;=COUNTA(半紙!$B$11:$B$310),INDEX(半紙!$H$11:$H$310,844),IF(844&lt;=COUNTA(半紙!$B$11:$B$310)+COUNTA(条幅!$B$11:$B$310),INDEX(条幅!$H$11:$H$310,844-COUNTA(半紙!$B$11:$B$310)),IF(844&lt;=COUNTA(半紙!$B$11:$B$310)+COUNTA(条幅!$B$11:$B$310)+COUNTA(条幅4分の1!$B$11:$B$310),INDEX(条幅4分の1!$H$11:$H$310,844-COUNTA(半紙!$B$11:$B$310)-COUNTA(条幅!$B$11:$B$310)),"")))=0,"",IF(844&lt;=COUNTA(半紙!$B$11:$B$310),INDEX(半紙!$H$11:$H$310,844),IF(844&lt;=COUNTA(半紙!$B$11:$B$310)+COUNTA(条幅!$B$11:$B$310),INDEX(条幅!$H$11:$H$310,844-COUNTA(半紙!$B$11:$B$310)),IF(844&lt;=COUNTA(半紙!$B$11:$B$310)+COUNTA(条幅!$B$11:$B$310)+COUNTA(条幅4分の1!$B$11:$B$310),INDEX(条幅4分の1!$H$11:$H$310,844-COUNTA(半紙!$B$11:$B$310)-COUNTA(条幅!$B$11:$B$310)),""))))</f>
        <v/>
      </c>
      <c r="I849" s="38" t="str">
        <f>IF(IF(844&lt;=COUNTA(半紙!$B$11:$B$310),INDEX(半紙!$I$11:$I$310,844),IF(844&lt;=COUNTA(半紙!$B$11:$B$310)+COUNTA(条幅!$B$11:$B$310),INDEX(条幅!$I$11:$I$310,844-COUNTA(半紙!$B$11:$B$310)),IF(844&lt;=COUNTA(半紙!$B$11:$B$310)+COUNTA(条幅!$B$11:$B$310)+COUNTA(条幅4分の1!$B$11:$B$310),INDEX(条幅4分の1!$I$11:$I$310,844-COUNTA(半紙!$B$11:$B$310)-COUNTA(条幅!$B$11:$B$310)),"")))=0,"",IF(844&lt;=COUNTA(半紙!$B$11:$B$310),INDEX(半紙!$I$11:$I$310,844),IF(844&lt;=COUNTA(半紙!$B$11:$B$310)+COUNTA(条幅!$B$11:$B$310),INDEX(条幅!$I$11:$I$310,844-COUNTA(半紙!$B$11:$B$310)),IF(844&lt;=COUNTA(半紙!$B$11:$B$310)+COUNTA(条幅!$B$11:$B$310)+COUNTA(条幅4分の1!$B$11:$B$310),INDEX(条幅4分の1!$I$11:$I$310,844-COUNTA(半紙!$B$11:$B$310)-COUNTA(条幅!$B$11:$B$310)),""))))</f>
        <v/>
      </c>
      <c r="J849" s="38" t="str">
        <f>IF(IF(844&lt;=COUNTA(半紙!$B$11:$B$310),INDEX(半紙!$J$11:$J$310,844),IF(844&lt;=COUNTA(半紙!$B$11:$B$310)+COUNTA(条幅!$B$11:$B$310),INDEX(条幅!$J$11:$J$310,844-COUNTA(半紙!$B$11:$B$310)),IF(844&lt;=COUNTA(半紙!$B$11:$B$310)+COUNTA(条幅!$B$11:$B$310)+COUNTA(条幅4分の1!$B$11:$B$310),INDEX(条幅4分の1!$J$11:$J$310,844-COUNTA(半紙!$B$11:$B$310)-COUNTA(条幅!$B$11:$B$310)),"")))=0,"",IF(844&lt;=COUNTA(半紙!$B$11:$B$310),INDEX(半紙!$J$11:$J$310,844),IF(844&lt;=COUNTA(半紙!$B$11:$B$310)+COUNTA(条幅!$B$11:$B$310),INDEX(条幅!$J$11:$J$310,844-COUNTA(半紙!$B$11:$B$310)),IF(844&lt;=COUNTA(半紙!$B$11:$B$310)+COUNTA(条幅!$B$11:$B$310)+COUNTA(条幅4分の1!$B$11:$B$310),INDEX(条幅4分の1!$J$11:$J$310,844-COUNTA(半紙!$B$11:$B$310)-COUNTA(条幅!$B$11:$B$310)),""))))</f>
        <v/>
      </c>
      <c r="K849" s="38" t="str">
        <f>IF(IF(844&lt;=COUNTA(半紙!$B$11:$B$310),INDEX(半紙!$K$11:$K$310,844),IF(844&lt;=COUNTA(半紙!$B$11:$B$310)+COUNTA(条幅!$B$11:$B$310),INDEX(条幅!$K$11:$K$310,844-COUNTA(半紙!$B$11:$B$310)),IF(844&lt;=COUNTA(半紙!$B$11:$B$310)+COUNTA(条幅!$B$11:$B$310)+COUNTA(条幅4分の1!$B$11:$B$310),INDEX(条幅4分の1!$K$11:$K$310,844-COUNTA(半紙!$B$11:$B$310)-COUNTA(条幅!$B$11:$B$310)),"")))=0,"",IF(844&lt;=COUNTA(半紙!$B$11:$B$310),INDEX(半紙!$K$11:$K$310,844),IF(844&lt;=COUNTA(半紙!$B$11:$B$310)+COUNTA(条幅!$B$11:$B$310),INDEX(条幅!$K$11:$K$310,844-COUNTA(半紙!$B$11:$B$310)),IF(844&lt;=COUNTA(半紙!$B$11:$B$310)+COUNTA(条幅!$B$11:$B$310)+COUNTA(条幅4分の1!$B$11:$B$310),INDEX(条幅4分の1!$K$11:$K$310,844-COUNTA(半紙!$B$11:$B$310)-COUNTA(条幅!$B$11:$B$310)),""))))</f>
        <v/>
      </c>
      <c r="L849" s="48" t="str">
        <f>IF($B849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844))</f>
        <v/>
      </c>
    </row>
    <row r="850" spans="1:12" ht="15" customHeight="1">
      <c r="A850" s="37" t="str">
        <f>IF(845&lt;=COUNTA(半紙!$B$11:$B$310),"半紙",IF(845&lt;=COUNTA(半紙!$B$11:$B$310)+COUNTA(条幅!$B$11:$B$310),"条幅(半切)",IF(845&lt;=COUNTA(半紙!$B$11:$B$310)+COUNTA(条幅!$B$11:$B$310)+COUNTA(条幅4分の1!$B$11:$B$310),"条幅(1/4)","")))</f>
        <v/>
      </c>
      <c r="B850" s="38" t="str">
        <f>IF(IF(845&lt;=COUNTA(半紙!$B$11:$B$310),INDEX(半紙!$B$11:$B$310,845),IF(845&lt;=COUNTA(半紙!$B$11:$B$310)+COUNTA(条幅!$B$11:$B$310),INDEX(条幅!$B$11:$B$310,845-COUNTA(半紙!$B$11:$B$310)),IF(845&lt;=COUNTA(半紙!$B$11:$B$310)+COUNTA(条幅!$B$11:$B$310)+COUNTA(条幅4分の1!$B$11:$B$310),INDEX(条幅4分の1!$B$11:$B$310,845-COUNTA(半紙!$B$11:$B$310)-COUNTA(条幅!$B$11:$B$310)),"")))=0,"",IF(845&lt;=COUNTA(半紙!$B$11:$B$310),INDEX(半紙!$B$11:$B$310,845),IF(845&lt;=COUNTA(半紙!$B$11:$B$310)+COUNTA(条幅!$B$11:$B$310),INDEX(条幅!$B$11:$B$310,845-COUNTA(半紙!$B$11:$B$310)),IF(845&lt;=COUNTA(半紙!$B$11:$B$310)+COUNTA(条幅!$B$11:$B$310)+COUNTA(条幅4分の1!$B$11:$B$310),INDEX(条幅4分の1!$B$11:$B$310,845-COUNTA(半紙!$B$11:$B$310)-COUNTA(条幅!$B$11:$B$310)),""))))</f>
        <v/>
      </c>
      <c r="C850" s="38" t="str">
        <f>IF(IF(845&lt;=COUNTA(半紙!$B$11:$B$310),INDEX(半紙!$C$11:$C$310,845),IF(845&lt;=COUNTA(半紙!$B$11:$B$310)+COUNTA(条幅!$B$11:$B$310),INDEX(条幅!$C$11:$C$310,845-COUNTA(半紙!$B$11:$B$310)),IF(845&lt;=COUNTA(半紙!$B$11:$B$310)+COUNTA(条幅!$B$11:$B$310)+COUNTA(条幅4分の1!$B$11:$B$310),INDEX(条幅4分の1!$C$11:$C$310,845-COUNTA(半紙!$B$11:$B$310)-COUNTA(条幅!$B$11:$B$310)),"")))=0,"",IF(845&lt;=COUNTA(半紙!$B$11:$B$310),INDEX(半紙!$C$11:$C$310,845),IF(845&lt;=COUNTA(半紙!$B$11:$B$310)+COUNTA(条幅!$B$11:$B$310),INDEX(条幅!$C$11:$C$310,845-COUNTA(半紙!$B$11:$B$310)),IF(845&lt;=COUNTA(半紙!$B$11:$B$310)+COUNTA(条幅!$B$11:$B$310)+COUNTA(条幅4分の1!$B$11:$B$310),INDEX(条幅4分の1!$C$11:$C$310,845-COUNTA(半紙!$B$11:$B$310)-COUNTA(条幅!$B$11:$B$310)),""))))</f>
        <v/>
      </c>
      <c r="D850" s="38" t="str">
        <f>IF(IF(845&lt;=COUNTA(半紙!$B$11:$B$310),INDEX(半紙!$D$11:$D$310,845),IF(845&lt;=COUNTA(半紙!$B$11:$B$310)+COUNTA(条幅!$B$11:$B$310),INDEX(条幅!$D$11:$D$310,845-COUNTA(半紙!$B$11:$B$310)),IF(845&lt;=COUNTA(半紙!$B$11:$B$310)+COUNTA(条幅!$B$11:$B$310)+COUNTA(条幅4分の1!$B$11:$B$310),INDEX(条幅4分の1!$D$11:$D$310,845-COUNTA(半紙!$B$11:$B$310)-COUNTA(条幅!$B$11:$B$310)),"")))=0,"",IF(845&lt;=COUNTA(半紙!$B$11:$B$310),INDEX(半紙!$D$11:$D$310,845),IF(845&lt;=COUNTA(半紙!$B$11:$B$310)+COUNTA(条幅!$B$11:$B$310),INDEX(条幅!$D$11:$D$310,845-COUNTA(半紙!$B$11:$B$310)),IF(845&lt;=COUNTA(半紙!$B$11:$B$310)+COUNTA(条幅!$B$11:$B$310)+COUNTA(条幅4分の1!$B$11:$B$310),INDEX(条幅4分の1!$D$11:$D$310,845-COUNTA(半紙!$B$11:$B$310)-COUNTA(条幅!$B$11:$B$310)),""))))</f>
        <v/>
      </c>
      <c r="E850" s="38" t="str">
        <f>IF(IF(845&lt;=COUNTA(半紙!$B$11:$B$310),INDEX(半紙!$E$11:$E$310,845),IF(845&lt;=COUNTA(半紙!$B$11:$B$310)+COUNTA(条幅!$B$11:$B$310),INDEX(条幅!$E$11:$E$310,845-COUNTA(半紙!$B$11:$B$310)),IF(845&lt;=COUNTA(半紙!$B$11:$B$310)+COUNTA(条幅!$B$11:$B$310)+COUNTA(条幅4分の1!$B$11:$B$310),INDEX(条幅4分の1!$E$11:$E$310,845-COUNTA(半紙!$B$11:$B$310)-COUNTA(条幅!$B$11:$B$310)),"")))=0,"",IF(845&lt;=COUNTA(半紙!$B$11:$B$310),INDEX(半紙!$E$11:$E$310,845),IF(845&lt;=COUNTA(半紙!$B$11:$B$310)+COUNTA(条幅!$B$11:$B$310),INDEX(条幅!$E$11:$E$310,845-COUNTA(半紙!$B$11:$B$310)),IF(845&lt;=COUNTA(半紙!$B$11:$B$310)+COUNTA(条幅!$B$11:$B$310)+COUNTA(条幅4分の1!$B$11:$B$310),INDEX(条幅4分の1!$E$11:$E$310,845-COUNTA(半紙!$B$11:$B$310)-COUNTA(条幅!$B$11:$B$310)),""))))</f>
        <v/>
      </c>
      <c r="F850" s="38" t="str">
        <f>IF(IF(845&lt;=COUNTA(半紙!$B$11:$B$310),INDEX(半紙!$F$11:$F$310,845),IF(845&lt;=COUNTA(半紙!$B$11:$B$310)+COUNTA(条幅!$B$11:$B$310),INDEX(条幅!$F$11:$F$310,845-COUNTA(半紙!$B$11:$B$310)),IF(845&lt;=COUNTA(半紙!$B$11:$B$310)+COUNTA(条幅!$B$11:$B$310)+COUNTA(条幅4分の1!$B$11:$B$310),INDEX(条幅4分の1!$F$11:$F$310,845-COUNTA(半紙!$B$11:$B$310)-COUNTA(条幅!$B$11:$B$310)),"")))=0,"",IF(845&lt;=COUNTA(半紙!$B$11:$B$310),INDEX(半紙!$F$11:$F$310,845),IF(845&lt;=COUNTA(半紙!$B$11:$B$310)+COUNTA(条幅!$B$11:$B$310),INDEX(条幅!$F$11:$F$310,845-COUNTA(半紙!$B$11:$B$310)),IF(845&lt;=COUNTA(半紙!$B$11:$B$310)+COUNTA(条幅!$B$11:$B$310)+COUNTA(条幅4分の1!$B$11:$B$310),INDEX(条幅4分の1!$F$11:$F$310,845-COUNTA(半紙!$B$11:$B$310)-COUNTA(条幅!$B$11:$B$310)),""))))</f>
        <v/>
      </c>
      <c r="G850" s="38" t="str">
        <f>IF(IF(845&lt;=COUNTA(半紙!$B$11:$B$310),INDEX(半紙!$G$11:$G$310,845),IF(845&lt;=COUNTA(半紙!$B$11:$B$310)+COUNTA(条幅!$B$11:$B$310),INDEX(条幅!$G$11:$G$310,845-COUNTA(半紙!$B$11:$B$310)),IF(845&lt;=COUNTA(半紙!$B$11:$B$310)+COUNTA(条幅!$B$11:$B$310)+COUNTA(条幅4分の1!$B$11:$B$310),INDEX(条幅4分の1!$G$11:$G$310,845-COUNTA(半紙!$B$11:$B$310)-COUNTA(条幅!$B$11:$B$310)),"")))=0,"",IF(845&lt;=COUNTA(半紙!$B$11:$B$310),INDEX(半紙!$G$11:$G$310,845),IF(845&lt;=COUNTA(半紙!$B$11:$B$310)+COUNTA(条幅!$B$11:$B$310),INDEX(条幅!$G$11:$G$310,845-COUNTA(半紙!$B$11:$B$310)),IF(845&lt;=COUNTA(半紙!$B$11:$B$310)+COUNTA(条幅!$B$11:$B$310)+COUNTA(条幅4分の1!$B$11:$B$310),INDEX(条幅4分の1!$G$11:$G$310,845-COUNTA(半紙!$B$11:$B$310)-COUNTA(条幅!$B$11:$B$310)),""))))</f>
        <v/>
      </c>
      <c r="H850" s="38" t="str">
        <f>IF(IF(845&lt;=COUNTA(半紙!$B$11:$B$310),INDEX(半紙!$H$11:$H$310,845),IF(845&lt;=COUNTA(半紙!$B$11:$B$310)+COUNTA(条幅!$B$11:$B$310),INDEX(条幅!$H$11:$H$310,845-COUNTA(半紙!$B$11:$B$310)),IF(845&lt;=COUNTA(半紙!$B$11:$B$310)+COUNTA(条幅!$B$11:$B$310)+COUNTA(条幅4分の1!$B$11:$B$310),INDEX(条幅4分の1!$H$11:$H$310,845-COUNTA(半紙!$B$11:$B$310)-COUNTA(条幅!$B$11:$B$310)),"")))=0,"",IF(845&lt;=COUNTA(半紙!$B$11:$B$310),INDEX(半紙!$H$11:$H$310,845),IF(845&lt;=COUNTA(半紙!$B$11:$B$310)+COUNTA(条幅!$B$11:$B$310),INDEX(条幅!$H$11:$H$310,845-COUNTA(半紙!$B$11:$B$310)),IF(845&lt;=COUNTA(半紙!$B$11:$B$310)+COUNTA(条幅!$B$11:$B$310)+COUNTA(条幅4分の1!$B$11:$B$310),INDEX(条幅4分の1!$H$11:$H$310,845-COUNTA(半紙!$B$11:$B$310)-COUNTA(条幅!$B$11:$B$310)),""))))</f>
        <v/>
      </c>
      <c r="I850" s="38" t="str">
        <f>IF(IF(845&lt;=COUNTA(半紙!$B$11:$B$310),INDEX(半紙!$I$11:$I$310,845),IF(845&lt;=COUNTA(半紙!$B$11:$B$310)+COUNTA(条幅!$B$11:$B$310),INDEX(条幅!$I$11:$I$310,845-COUNTA(半紙!$B$11:$B$310)),IF(845&lt;=COUNTA(半紙!$B$11:$B$310)+COUNTA(条幅!$B$11:$B$310)+COUNTA(条幅4分の1!$B$11:$B$310),INDEX(条幅4分の1!$I$11:$I$310,845-COUNTA(半紙!$B$11:$B$310)-COUNTA(条幅!$B$11:$B$310)),"")))=0,"",IF(845&lt;=COUNTA(半紙!$B$11:$B$310),INDEX(半紙!$I$11:$I$310,845),IF(845&lt;=COUNTA(半紙!$B$11:$B$310)+COUNTA(条幅!$B$11:$B$310),INDEX(条幅!$I$11:$I$310,845-COUNTA(半紙!$B$11:$B$310)),IF(845&lt;=COUNTA(半紙!$B$11:$B$310)+COUNTA(条幅!$B$11:$B$310)+COUNTA(条幅4分の1!$B$11:$B$310),INDEX(条幅4分の1!$I$11:$I$310,845-COUNTA(半紙!$B$11:$B$310)-COUNTA(条幅!$B$11:$B$310)),""))))</f>
        <v/>
      </c>
      <c r="J850" s="38" t="str">
        <f>IF(IF(845&lt;=COUNTA(半紙!$B$11:$B$310),INDEX(半紙!$J$11:$J$310,845),IF(845&lt;=COUNTA(半紙!$B$11:$B$310)+COUNTA(条幅!$B$11:$B$310),INDEX(条幅!$J$11:$J$310,845-COUNTA(半紙!$B$11:$B$310)),IF(845&lt;=COUNTA(半紙!$B$11:$B$310)+COUNTA(条幅!$B$11:$B$310)+COUNTA(条幅4分の1!$B$11:$B$310),INDEX(条幅4分の1!$J$11:$J$310,845-COUNTA(半紙!$B$11:$B$310)-COUNTA(条幅!$B$11:$B$310)),"")))=0,"",IF(845&lt;=COUNTA(半紙!$B$11:$B$310),INDEX(半紙!$J$11:$J$310,845),IF(845&lt;=COUNTA(半紙!$B$11:$B$310)+COUNTA(条幅!$B$11:$B$310),INDEX(条幅!$J$11:$J$310,845-COUNTA(半紙!$B$11:$B$310)),IF(845&lt;=COUNTA(半紙!$B$11:$B$310)+COUNTA(条幅!$B$11:$B$310)+COUNTA(条幅4分の1!$B$11:$B$310),INDEX(条幅4分の1!$J$11:$J$310,845-COUNTA(半紙!$B$11:$B$310)-COUNTA(条幅!$B$11:$B$310)),""))))</f>
        <v/>
      </c>
      <c r="K850" s="38" t="str">
        <f>IF(IF(845&lt;=COUNTA(半紙!$B$11:$B$310),INDEX(半紙!$K$11:$K$310,845),IF(845&lt;=COUNTA(半紙!$B$11:$B$310)+COUNTA(条幅!$B$11:$B$310),INDEX(条幅!$K$11:$K$310,845-COUNTA(半紙!$B$11:$B$310)),IF(845&lt;=COUNTA(半紙!$B$11:$B$310)+COUNTA(条幅!$B$11:$B$310)+COUNTA(条幅4分の1!$B$11:$B$310),INDEX(条幅4分の1!$K$11:$K$310,845-COUNTA(半紙!$B$11:$B$310)-COUNTA(条幅!$B$11:$B$310)),"")))=0,"",IF(845&lt;=COUNTA(半紙!$B$11:$B$310),INDEX(半紙!$K$11:$K$310,845),IF(845&lt;=COUNTA(半紙!$B$11:$B$310)+COUNTA(条幅!$B$11:$B$310),INDEX(条幅!$K$11:$K$310,845-COUNTA(半紙!$B$11:$B$310)),IF(845&lt;=COUNTA(半紙!$B$11:$B$310)+COUNTA(条幅!$B$11:$B$310)+COUNTA(条幅4分の1!$B$11:$B$310),INDEX(条幅4分の1!$K$11:$K$310,845-COUNTA(半紙!$B$11:$B$310)-COUNTA(条幅!$B$11:$B$310)),""))))</f>
        <v/>
      </c>
      <c r="L850" s="48" t="str">
        <f>IF($B850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845))</f>
        <v/>
      </c>
    </row>
    <row r="851" spans="1:12" ht="15" customHeight="1">
      <c r="A851" s="37" t="str">
        <f>IF(846&lt;=COUNTA(半紙!$B$11:$B$310),"半紙",IF(846&lt;=COUNTA(半紙!$B$11:$B$310)+COUNTA(条幅!$B$11:$B$310),"条幅(半切)",IF(846&lt;=COUNTA(半紙!$B$11:$B$310)+COUNTA(条幅!$B$11:$B$310)+COUNTA(条幅4分の1!$B$11:$B$310),"条幅(1/4)","")))</f>
        <v/>
      </c>
      <c r="B851" s="38" t="str">
        <f>IF(IF(846&lt;=COUNTA(半紙!$B$11:$B$310),INDEX(半紙!$B$11:$B$310,846),IF(846&lt;=COUNTA(半紙!$B$11:$B$310)+COUNTA(条幅!$B$11:$B$310),INDEX(条幅!$B$11:$B$310,846-COUNTA(半紙!$B$11:$B$310)),IF(846&lt;=COUNTA(半紙!$B$11:$B$310)+COUNTA(条幅!$B$11:$B$310)+COUNTA(条幅4分の1!$B$11:$B$310),INDEX(条幅4分の1!$B$11:$B$310,846-COUNTA(半紙!$B$11:$B$310)-COUNTA(条幅!$B$11:$B$310)),"")))=0,"",IF(846&lt;=COUNTA(半紙!$B$11:$B$310),INDEX(半紙!$B$11:$B$310,846),IF(846&lt;=COUNTA(半紙!$B$11:$B$310)+COUNTA(条幅!$B$11:$B$310),INDEX(条幅!$B$11:$B$310,846-COUNTA(半紙!$B$11:$B$310)),IF(846&lt;=COUNTA(半紙!$B$11:$B$310)+COUNTA(条幅!$B$11:$B$310)+COUNTA(条幅4分の1!$B$11:$B$310),INDEX(条幅4分の1!$B$11:$B$310,846-COUNTA(半紙!$B$11:$B$310)-COUNTA(条幅!$B$11:$B$310)),""))))</f>
        <v/>
      </c>
      <c r="C851" s="38" t="str">
        <f>IF(IF(846&lt;=COUNTA(半紙!$B$11:$B$310),INDEX(半紙!$C$11:$C$310,846),IF(846&lt;=COUNTA(半紙!$B$11:$B$310)+COUNTA(条幅!$B$11:$B$310),INDEX(条幅!$C$11:$C$310,846-COUNTA(半紙!$B$11:$B$310)),IF(846&lt;=COUNTA(半紙!$B$11:$B$310)+COUNTA(条幅!$B$11:$B$310)+COUNTA(条幅4分の1!$B$11:$B$310),INDEX(条幅4分の1!$C$11:$C$310,846-COUNTA(半紙!$B$11:$B$310)-COUNTA(条幅!$B$11:$B$310)),"")))=0,"",IF(846&lt;=COUNTA(半紙!$B$11:$B$310),INDEX(半紙!$C$11:$C$310,846),IF(846&lt;=COUNTA(半紙!$B$11:$B$310)+COUNTA(条幅!$B$11:$B$310),INDEX(条幅!$C$11:$C$310,846-COUNTA(半紙!$B$11:$B$310)),IF(846&lt;=COUNTA(半紙!$B$11:$B$310)+COUNTA(条幅!$B$11:$B$310)+COUNTA(条幅4分の1!$B$11:$B$310),INDEX(条幅4分の1!$C$11:$C$310,846-COUNTA(半紙!$B$11:$B$310)-COUNTA(条幅!$B$11:$B$310)),""))))</f>
        <v/>
      </c>
      <c r="D851" s="38" t="str">
        <f>IF(IF(846&lt;=COUNTA(半紙!$B$11:$B$310),INDEX(半紙!$D$11:$D$310,846),IF(846&lt;=COUNTA(半紙!$B$11:$B$310)+COUNTA(条幅!$B$11:$B$310),INDEX(条幅!$D$11:$D$310,846-COUNTA(半紙!$B$11:$B$310)),IF(846&lt;=COUNTA(半紙!$B$11:$B$310)+COUNTA(条幅!$B$11:$B$310)+COUNTA(条幅4分の1!$B$11:$B$310),INDEX(条幅4分の1!$D$11:$D$310,846-COUNTA(半紙!$B$11:$B$310)-COUNTA(条幅!$B$11:$B$310)),"")))=0,"",IF(846&lt;=COUNTA(半紙!$B$11:$B$310),INDEX(半紙!$D$11:$D$310,846),IF(846&lt;=COUNTA(半紙!$B$11:$B$310)+COUNTA(条幅!$B$11:$B$310),INDEX(条幅!$D$11:$D$310,846-COUNTA(半紙!$B$11:$B$310)),IF(846&lt;=COUNTA(半紙!$B$11:$B$310)+COUNTA(条幅!$B$11:$B$310)+COUNTA(条幅4分の1!$B$11:$B$310),INDEX(条幅4分の1!$D$11:$D$310,846-COUNTA(半紙!$B$11:$B$310)-COUNTA(条幅!$B$11:$B$310)),""))))</f>
        <v/>
      </c>
      <c r="E851" s="38" t="str">
        <f>IF(IF(846&lt;=COUNTA(半紙!$B$11:$B$310),INDEX(半紙!$E$11:$E$310,846),IF(846&lt;=COUNTA(半紙!$B$11:$B$310)+COUNTA(条幅!$B$11:$B$310),INDEX(条幅!$E$11:$E$310,846-COUNTA(半紙!$B$11:$B$310)),IF(846&lt;=COUNTA(半紙!$B$11:$B$310)+COUNTA(条幅!$B$11:$B$310)+COUNTA(条幅4分の1!$B$11:$B$310),INDEX(条幅4分の1!$E$11:$E$310,846-COUNTA(半紙!$B$11:$B$310)-COUNTA(条幅!$B$11:$B$310)),"")))=0,"",IF(846&lt;=COUNTA(半紙!$B$11:$B$310),INDEX(半紙!$E$11:$E$310,846),IF(846&lt;=COUNTA(半紙!$B$11:$B$310)+COUNTA(条幅!$B$11:$B$310),INDEX(条幅!$E$11:$E$310,846-COUNTA(半紙!$B$11:$B$310)),IF(846&lt;=COUNTA(半紙!$B$11:$B$310)+COUNTA(条幅!$B$11:$B$310)+COUNTA(条幅4分の1!$B$11:$B$310),INDEX(条幅4分の1!$E$11:$E$310,846-COUNTA(半紙!$B$11:$B$310)-COUNTA(条幅!$B$11:$B$310)),""))))</f>
        <v/>
      </c>
      <c r="F851" s="38" t="str">
        <f>IF(IF(846&lt;=COUNTA(半紙!$B$11:$B$310),INDEX(半紙!$F$11:$F$310,846),IF(846&lt;=COUNTA(半紙!$B$11:$B$310)+COUNTA(条幅!$B$11:$B$310),INDEX(条幅!$F$11:$F$310,846-COUNTA(半紙!$B$11:$B$310)),IF(846&lt;=COUNTA(半紙!$B$11:$B$310)+COUNTA(条幅!$B$11:$B$310)+COUNTA(条幅4分の1!$B$11:$B$310),INDEX(条幅4分の1!$F$11:$F$310,846-COUNTA(半紙!$B$11:$B$310)-COUNTA(条幅!$B$11:$B$310)),"")))=0,"",IF(846&lt;=COUNTA(半紙!$B$11:$B$310),INDEX(半紙!$F$11:$F$310,846),IF(846&lt;=COUNTA(半紙!$B$11:$B$310)+COUNTA(条幅!$B$11:$B$310),INDEX(条幅!$F$11:$F$310,846-COUNTA(半紙!$B$11:$B$310)),IF(846&lt;=COUNTA(半紙!$B$11:$B$310)+COUNTA(条幅!$B$11:$B$310)+COUNTA(条幅4分の1!$B$11:$B$310),INDEX(条幅4分の1!$F$11:$F$310,846-COUNTA(半紙!$B$11:$B$310)-COUNTA(条幅!$B$11:$B$310)),""))))</f>
        <v/>
      </c>
      <c r="G851" s="38" t="str">
        <f>IF(IF(846&lt;=COUNTA(半紙!$B$11:$B$310),INDEX(半紙!$G$11:$G$310,846),IF(846&lt;=COUNTA(半紙!$B$11:$B$310)+COUNTA(条幅!$B$11:$B$310),INDEX(条幅!$G$11:$G$310,846-COUNTA(半紙!$B$11:$B$310)),IF(846&lt;=COUNTA(半紙!$B$11:$B$310)+COUNTA(条幅!$B$11:$B$310)+COUNTA(条幅4分の1!$B$11:$B$310),INDEX(条幅4分の1!$G$11:$G$310,846-COUNTA(半紙!$B$11:$B$310)-COUNTA(条幅!$B$11:$B$310)),"")))=0,"",IF(846&lt;=COUNTA(半紙!$B$11:$B$310),INDEX(半紙!$G$11:$G$310,846),IF(846&lt;=COUNTA(半紙!$B$11:$B$310)+COUNTA(条幅!$B$11:$B$310),INDEX(条幅!$G$11:$G$310,846-COUNTA(半紙!$B$11:$B$310)),IF(846&lt;=COUNTA(半紙!$B$11:$B$310)+COUNTA(条幅!$B$11:$B$310)+COUNTA(条幅4分の1!$B$11:$B$310),INDEX(条幅4分の1!$G$11:$G$310,846-COUNTA(半紙!$B$11:$B$310)-COUNTA(条幅!$B$11:$B$310)),""))))</f>
        <v/>
      </c>
      <c r="H851" s="38" t="str">
        <f>IF(IF(846&lt;=COUNTA(半紙!$B$11:$B$310),INDEX(半紙!$H$11:$H$310,846),IF(846&lt;=COUNTA(半紙!$B$11:$B$310)+COUNTA(条幅!$B$11:$B$310),INDEX(条幅!$H$11:$H$310,846-COUNTA(半紙!$B$11:$B$310)),IF(846&lt;=COUNTA(半紙!$B$11:$B$310)+COUNTA(条幅!$B$11:$B$310)+COUNTA(条幅4分の1!$B$11:$B$310),INDEX(条幅4分の1!$H$11:$H$310,846-COUNTA(半紙!$B$11:$B$310)-COUNTA(条幅!$B$11:$B$310)),"")))=0,"",IF(846&lt;=COUNTA(半紙!$B$11:$B$310),INDEX(半紙!$H$11:$H$310,846),IF(846&lt;=COUNTA(半紙!$B$11:$B$310)+COUNTA(条幅!$B$11:$B$310),INDEX(条幅!$H$11:$H$310,846-COUNTA(半紙!$B$11:$B$310)),IF(846&lt;=COUNTA(半紙!$B$11:$B$310)+COUNTA(条幅!$B$11:$B$310)+COUNTA(条幅4分の1!$B$11:$B$310),INDEX(条幅4分の1!$H$11:$H$310,846-COUNTA(半紙!$B$11:$B$310)-COUNTA(条幅!$B$11:$B$310)),""))))</f>
        <v/>
      </c>
      <c r="I851" s="38" t="str">
        <f>IF(IF(846&lt;=COUNTA(半紙!$B$11:$B$310),INDEX(半紙!$I$11:$I$310,846),IF(846&lt;=COUNTA(半紙!$B$11:$B$310)+COUNTA(条幅!$B$11:$B$310),INDEX(条幅!$I$11:$I$310,846-COUNTA(半紙!$B$11:$B$310)),IF(846&lt;=COUNTA(半紙!$B$11:$B$310)+COUNTA(条幅!$B$11:$B$310)+COUNTA(条幅4分の1!$B$11:$B$310),INDEX(条幅4分の1!$I$11:$I$310,846-COUNTA(半紙!$B$11:$B$310)-COUNTA(条幅!$B$11:$B$310)),"")))=0,"",IF(846&lt;=COUNTA(半紙!$B$11:$B$310),INDEX(半紙!$I$11:$I$310,846),IF(846&lt;=COUNTA(半紙!$B$11:$B$310)+COUNTA(条幅!$B$11:$B$310),INDEX(条幅!$I$11:$I$310,846-COUNTA(半紙!$B$11:$B$310)),IF(846&lt;=COUNTA(半紙!$B$11:$B$310)+COUNTA(条幅!$B$11:$B$310)+COUNTA(条幅4分の1!$B$11:$B$310),INDEX(条幅4分の1!$I$11:$I$310,846-COUNTA(半紙!$B$11:$B$310)-COUNTA(条幅!$B$11:$B$310)),""))))</f>
        <v/>
      </c>
      <c r="J851" s="38" t="str">
        <f>IF(IF(846&lt;=COUNTA(半紙!$B$11:$B$310),INDEX(半紙!$J$11:$J$310,846),IF(846&lt;=COUNTA(半紙!$B$11:$B$310)+COUNTA(条幅!$B$11:$B$310),INDEX(条幅!$J$11:$J$310,846-COUNTA(半紙!$B$11:$B$310)),IF(846&lt;=COUNTA(半紙!$B$11:$B$310)+COUNTA(条幅!$B$11:$B$310)+COUNTA(条幅4分の1!$B$11:$B$310),INDEX(条幅4分の1!$J$11:$J$310,846-COUNTA(半紙!$B$11:$B$310)-COUNTA(条幅!$B$11:$B$310)),"")))=0,"",IF(846&lt;=COUNTA(半紙!$B$11:$B$310),INDEX(半紙!$J$11:$J$310,846),IF(846&lt;=COUNTA(半紙!$B$11:$B$310)+COUNTA(条幅!$B$11:$B$310),INDEX(条幅!$J$11:$J$310,846-COUNTA(半紙!$B$11:$B$310)),IF(846&lt;=COUNTA(半紙!$B$11:$B$310)+COUNTA(条幅!$B$11:$B$310)+COUNTA(条幅4分の1!$B$11:$B$310),INDEX(条幅4分の1!$J$11:$J$310,846-COUNTA(半紙!$B$11:$B$310)-COUNTA(条幅!$B$11:$B$310)),""))))</f>
        <v/>
      </c>
      <c r="K851" s="38" t="str">
        <f>IF(IF(846&lt;=COUNTA(半紙!$B$11:$B$310),INDEX(半紙!$K$11:$K$310,846),IF(846&lt;=COUNTA(半紙!$B$11:$B$310)+COUNTA(条幅!$B$11:$B$310),INDEX(条幅!$K$11:$K$310,846-COUNTA(半紙!$B$11:$B$310)),IF(846&lt;=COUNTA(半紙!$B$11:$B$310)+COUNTA(条幅!$B$11:$B$310)+COUNTA(条幅4分の1!$B$11:$B$310),INDEX(条幅4分の1!$K$11:$K$310,846-COUNTA(半紙!$B$11:$B$310)-COUNTA(条幅!$B$11:$B$310)),"")))=0,"",IF(846&lt;=COUNTA(半紙!$B$11:$B$310),INDEX(半紙!$K$11:$K$310,846),IF(846&lt;=COUNTA(半紙!$B$11:$B$310)+COUNTA(条幅!$B$11:$B$310),INDEX(条幅!$K$11:$K$310,846-COUNTA(半紙!$B$11:$B$310)),IF(846&lt;=COUNTA(半紙!$B$11:$B$310)+COUNTA(条幅!$B$11:$B$310)+COUNTA(条幅4分の1!$B$11:$B$310),INDEX(条幅4分の1!$K$11:$K$310,846-COUNTA(半紙!$B$11:$B$310)-COUNTA(条幅!$B$11:$B$310)),""))))</f>
        <v/>
      </c>
      <c r="L851" s="48" t="str">
        <f>IF($B851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846))</f>
        <v/>
      </c>
    </row>
    <row r="852" spans="1:12" ht="15" customHeight="1">
      <c r="A852" s="37" t="str">
        <f>IF(847&lt;=COUNTA(半紙!$B$11:$B$310),"半紙",IF(847&lt;=COUNTA(半紙!$B$11:$B$310)+COUNTA(条幅!$B$11:$B$310),"条幅(半切)",IF(847&lt;=COUNTA(半紙!$B$11:$B$310)+COUNTA(条幅!$B$11:$B$310)+COUNTA(条幅4分の1!$B$11:$B$310),"条幅(1/4)","")))</f>
        <v/>
      </c>
      <c r="B852" s="38" t="str">
        <f>IF(IF(847&lt;=COUNTA(半紙!$B$11:$B$310),INDEX(半紙!$B$11:$B$310,847),IF(847&lt;=COUNTA(半紙!$B$11:$B$310)+COUNTA(条幅!$B$11:$B$310),INDEX(条幅!$B$11:$B$310,847-COUNTA(半紙!$B$11:$B$310)),IF(847&lt;=COUNTA(半紙!$B$11:$B$310)+COUNTA(条幅!$B$11:$B$310)+COUNTA(条幅4分の1!$B$11:$B$310),INDEX(条幅4分の1!$B$11:$B$310,847-COUNTA(半紙!$B$11:$B$310)-COUNTA(条幅!$B$11:$B$310)),"")))=0,"",IF(847&lt;=COUNTA(半紙!$B$11:$B$310),INDEX(半紙!$B$11:$B$310,847),IF(847&lt;=COUNTA(半紙!$B$11:$B$310)+COUNTA(条幅!$B$11:$B$310),INDEX(条幅!$B$11:$B$310,847-COUNTA(半紙!$B$11:$B$310)),IF(847&lt;=COUNTA(半紙!$B$11:$B$310)+COUNTA(条幅!$B$11:$B$310)+COUNTA(条幅4分の1!$B$11:$B$310),INDEX(条幅4分の1!$B$11:$B$310,847-COUNTA(半紙!$B$11:$B$310)-COUNTA(条幅!$B$11:$B$310)),""))))</f>
        <v/>
      </c>
      <c r="C852" s="38" t="str">
        <f>IF(IF(847&lt;=COUNTA(半紙!$B$11:$B$310),INDEX(半紙!$C$11:$C$310,847),IF(847&lt;=COUNTA(半紙!$B$11:$B$310)+COUNTA(条幅!$B$11:$B$310),INDEX(条幅!$C$11:$C$310,847-COUNTA(半紙!$B$11:$B$310)),IF(847&lt;=COUNTA(半紙!$B$11:$B$310)+COUNTA(条幅!$B$11:$B$310)+COUNTA(条幅4分の1!$B$11:$B$310),INDEX(条幅4分の1!$C$11:$C$310,847-COUNTA(半紙!$B$11:$B$310)-COUNTA(条幅!$B$11:$B$310)),"")))=0,"",IF(847&lt;=COUNTA(半紙!$B$11:$B$310),INDEX(半紙!$C$11:$C$310,847),IF(847&lt;=COUNTA(半紙!$B$11:$B$310)+COUNTA(条幅!$B$11:$B$310),INDEX(条幅!$C$11:$C$310,847-COUNTA(半紙!$B$11:$B$310)),IF(847&lt;=COUNTA(半紙!$B$11:$B$310)+COUNTA(条幅!$B$11:$B$310)+COUNTA(条幅4分の1!$B$11:$B$310),INDEX(条幅4分の1!$C$11:$C$310,847-COUNTA(半紙!$B$11:$B$310)-COUNTA(条幅!$B$11:$B$310)),""))))</f>
        <v/>
      </c>
      <c r="D852" s="38" t="str">
        <f>IF(IF(847&lt;=COUNTA(半紙!$B$11:$B$310),INDEX(半紙!$D$11:$D$310,847),IF(847&lt;=COUNTA(半紙!$B$11:$B$310)+COUNTA(条幅!$B$11:$B$310),INDEX(条幅!$D$11:$D$310,847-COUNTA(半紙!$B$11:$B$310)),IF(847&lt;=COUNTA(半紙!$B$11:$B$310)+COUNTA(条幅!$B$11:$B$310)+COUNTA(条幅4分の1!$B$11:$B$310),INDEX(条幅4分の1!$D$11:$D$310,847-COUNTA(半紙!$B$11:$B$310)-COUNTA(条幅!$B$11:$B$310)),"")))=0,"",IF(847&lt;=COUNTA(半紙!$B$11:$B$310),INDEX(半紙!$D$11:$D$310,847),IF(847&lt;=COUNTA(半紙!$B$11:$B$310)+COUNTA(条幅!$B$11:$B$310),INDEX(条幅!$D$11:$D$310,847-COUNTA(半紙!$B$11:$B$310)),IF(847&lt;=COUNTA(半紙!$B$11:$B$310)+COUNTA(条幅!$B$11:$B$310)+COUNTA(条幅4分の1!$B$11:$B$310),INDEX(条幅4分の1!$D$11:$D$310,847-COUNTA(半紙!$B$11:$B$310)-COUNTA(条幅!$B$11:$B$310)),""))))</f>
        <v/>
      </c>
      <c r="E852" s="38" t="str">
        <f>IF(IF(847&lt;=COUNTA(半紙!$B$11:$B$310),INDEX(半紙!$E$11:$E$310,847),IF(847&lt;=COUNTA(半紙!$B$11:$B$310)+COUNTA(条幅!$B$11:$B$310),INDEX(条幅!$E$11:$E$310,847-COUNTA(半紙!$B$11:$B$310)),IF(847&lt;=COUNTA(半紙!$B$11:$B$310)+COUNTA(条幅!$B$11:$B$310)+COUNTA(条幅4分の1!$B$11:$B$310),INDEX(条幅4分の1!$E$11:$E$310,847-COUNTA(半紙!$B$11:$B$310)-COUNTA(条幅!$B$11:$B$310)),"")))=0,"",IF(847&lt;=COUNTA(半紙!$B$11:$B$310),INDEX(半紙!$E$11:$E$310,847),IF(847&lt;=COUNTA(半紙!$B$11:$B$310)+COUNTA(条幅!$B$11:$B$310),INDEX(条幅!$E$11:$E$310,847-COUNTA(半紙!$B$11:$B$310)),IF(847&lt;=COUNTA(半紙!$B$11:$B$310)+COUNTA(条幅!$B$11:$B$310)+COUNTA(条幅4分の1!$B$11:$B$310),INDEX(条幅4分の1!$E$11:$E$310,847-COUNTA(半紙!$B$11:$B$310)-COUNTA(条幅!$B$11:$B$310)),""))))</f>
        <v/>
      </c>
      <c r="F852" s="38" t="str">
        <f>IF(IF(847&lt;=COUNTA(半紙!$B$11:$B$310),INDEX(半紙!$F$11:$F$310,847),IF(847&lt;=COUNTA(半紙!$B$11:$B$310)+COUNTA(条幅!$B$11:$B$310),INDEX(条幅!$F$11:$F$310,847-COUNTA(半紙!$B$11:$B$310)),IF(847&lt;=COUNTA(半紙!$B$11:$B$310)+COUNTA(条幅!$B$11:$B$310)+COUNTA(条幅4分の1!$B$11:$B$310),INDEX(条幅4分の1!$F$11:$F$310,847-COUNTA(半紙!$B$11:$B$310)-COUNTA(条幅!$B$11:$B$310)),"")))=0,"",IF(847&lt;=COUNTA(半紙!$B$11:$B$310),INDEX(半紙!$F$11:$F$310,847),IF(847&lt;=COUNTA(半紙!$B$11:$B$310)+COUNTA(条幅!$B$11:$B$310),INDEX(条幅!$F$11:$F$310,847-COUNTA(半紙!$B$11:$B$310)),IF(847&lt;=COUNTA(半紙!$B$11:$B$310)+COUNTA(条幅!$B$11:$B$310)+COUNTA(条幅4分の1!$B$11:$B$310),INDEX(条幅4分の1!$F$11:$F$310,847-COUNTA(半紙!$B$11:$B$310)-COUNTA(条幅!$B$11:$B$310)),""))))</f>
        <v/>
      </c>
      <c r="G852" s="38" t="str">
        <f>IF(IF(847&lt;=COUNTA(半紙!$B$11:$B$310),INDEX(半紙!$G$11:$G$310,847),IF(847&lt;=COUNTA(半紙!$B$11:$B$310)+COUNTA(条幅!$B$11:$B$310),INDEX(条幅!$G$11:$G$310,847-COUNTA(半紙!$B$11:$B$310)),IF(847&lt;=COUNTA(半紙!$B$11:$B$310)+COUNTA(条幅!$B$11:$B$310)+COUNTA(条幅4分の1!$B$11:$B$310),INDEX(条幅4分の1!$G$11:$G$310,847-COUNTA(半紙!$B$11:$B$310)-COUNTA(条幅!$B$11:$B$310)),"")))=0,"",IF(847&lt;=COUNTA(半紙!$B$11:$B$310),INDEX(半紙!$G$11:$G$310,847),IF(847&lt;=COUNTA(半紙!$B$11:$B$310)+COUNTA(条幅!$B$11:$B$310),INDEX(条幅!$G$11:$G$310,847-COUNTA(半紙!$B$11:$B$310)),IF(847&lt;=COUNTA(半紙!$B$11:$B$310)+COUNTA(条幅!$B$11:$B$310)+COUNTA(条幅4分の1!$B$11:$B$310),INDEX(条幅4分の1!$G$11:$G$310,847-COUNTA(半紙!$B$11:$B$310)-COUNTA(条幅!$B$11:$B$310)),""))))</f>
        <v/>
      </c>
      <c r="H852" s="38" t="str">
        <f>IF(IF(847&lt;=COUNTA(半紙!$B$11:$B$310),INDEX(半紙!$H$11:$H$310,847),IF(847&lt;=COUNTA(半紙!$B$11:$B$310)+COUNTA(条幅!$B$11:$B$310),INDEX(条幅!$H$11:$H$310,847-COUNTA(半紙!$B$11:$B$310)),IF(847&lt;=COUNTA(半紙!$B$11:$B$310)+COUNTA(条幅!$B$11:$B$310)+COUNTA(条幅4分の1!$B$11:$B$310),INDEX(条幅4分の1!$H$11:$H$310,847-COUNTA(半紙!$B$11:$B$310)-COUNTA(条幅!$B$11:$B$310)),"")))=0,"",IF(847&lt;=COUNTA(半紙!$B$11:$B$310),INDEX(半紙!$H$11:$H$310,847),IF(847&lt;=COUNTA(半紙!$B$11:$B$310)+COUNTA(条幅!$B$11:$B$310),INDEX(条幅!$H$11:$H$310,847-COUNTA(半紙!$B$11:$B$310)),IF(847&lt;=COUNTA(半紙!$B$11:$B$310)+COUNTA(条幅!$B$11:$B$310)+COUNTA(条幅4分の1!$B$11:$B$310),INDEX(条幅4分の1!$H$11:$H$310,847-COUNTA(半紙!$B$11:$B$310)-COUNTA(条幅!$B$11:$B$310)),""))))</f>
        <v/>
      </c>
      <c r="I852" s="38" t="str">
        <f>IF(IF(847&lt;=COUNTA(半紙!$B$11:$B$310),INDEX(半紙!$I$11:$I$310,847),IF(847&lt;=COUNTA(半紙!$B$11:$B$310)+COUNTA(条幅!$B$11:$B$310),INDEX(条幅!$I$11:$I$310,847-COUNTA(半紙!$B$11:$B$310)),IF(847&lt;=COUNTA(半紙!$B$11:$B$310)+COUNTA(条幅!$B$11:$B$310)+COUNTA(条幅4分の1!$B$11:$B$310),INDEX(条幅4分の1!$I$11:$I$310,847-COUNTA(半紙!$B$11:$B$310)-COUNTA(条幅!$B$11:$B$310)),"")))=0,"",IF(847&lt;=COUNTA(半紙!$B$11:$B$310),INDEX(半紙!$I$11:$I$310,847),IF(847&lt;=COUNTA(半紙!$B$11:$B$310)+COUNTA(条幅!$B$11:$B$310),INDEX(条幅!$I$11:$I$310,847-COUNTA(半紙!$B$11:$B$310)),IF(847&lt;=COUNTA(半紙!$B$11:$B$310)+COUNTA(条幅!$B$11:$B$310)+COUNTA(条幅4分の1!$B$11:$B$310),INDEX(条幅4分の1!$I$11:$I$310,847-COUNTA(半紙!$B$11:$B$310)-COUNTA(条幅!$B$11:$B$310)),""))))</f>
        <v/>
      </c>
      <c r="J852" s="38" t="str">
        <f>IF(IF(847&lt;=COUNTA(半紙!$B$11:$B$310),INDEX(半紙!$J$11:$J$310,847),IF(847&lt;=COUNTA(半紙!$B$11:$B$310)+COUNTA(条幅!$B$11:$B$310),INDEX(条幅!$J$11:$J$310,847-COUNTA(半紙!$B$11:$B$310)),IF(847&lt;=COUNTA(半紙!$B$11:$B$310)+COUNTA(条幅!$B$11:$B$310)+COUNTA(条幅4分の1!$B$11:$B$310),INDEX(条幅4分の1!$J$11:$J$310,847-COUNTA(半紙!$B$11:$B$310)-COUNTA(条幅!$B$11:$B$310)),"")))=0,"",IF(847&lt;=COUNTA(半紙!$B$11:$B$310),INDEX(半紙!$J$11:$J$310,847),IF(847&lt;=COUNTA(半紙!$B$11:$B$310)+COUNTA(条幅!$B$11:$B$310),INDEX(条幅!$J$11:$J$310,847-COUNTA(半紙!$B$11:$B$310)),IF(847&lt;=COUNTA(半紙!$B$11:$B$310)+COUNTA(条幅!$B$11:$B$310)+COUNTA(条幅4分の1!$B$11:$B$310),INDEX(条幅4分の1!$J$11:$J$310,847-COUNTA(半紙!$B$11:$B$310)-COUNTA(条幅!$B$11:$B$310)),""))))</f>
        <v/>
      </c>
      <c r="K852" s="38" t="str">
        <f>IF(IF(847&lt;=COUNTA(半紙!$B$11:$B$310),INDEX(半紙!$K$11:$K$310,847),IF(847&lt;=COUNTA(半紙!$B$11:$B$310)+COUNTA(条幅!$B$11:$B$310),INDEX(条幅!$K$11:$K$310,847-COUNTA(半紙!$B$11:$B$310)),IF(847&lt;=COUNTA(半紙!$B$11:$B$310)+COUNTA(条幅!$B$11:$B$310)+COUNTA(条幅4分の1!$B$11:$B$310),INDEX(条幅4分の1!$K$11:$K$310,847-COUNTA(半紙!$B$11:$B$310)-COUNTA(条幅!$B$11:$B$310)),"")))=0,"",IF(847&lt;=COUNTA(半紙!$B$11:$B$310),INDEX(半紙!$K$11:$K$310,847),IF(847&lt;=COUNTA(半紙!$B$11:$B$310)+COUNTA(条幅!$B$11:$B$310),INDEX(条幅!$K$11:$K$310,847-COUNTA(半紙!$B$11:$B$310)),IF(847&lt;=COUNTA(半紙!$B$11:$B$310)+COUNTA(条幅!$B$11:$B$310)+COUNTA(条幅4分の1!$B$11:$B$310),INDEX(条幅4分の1!$K$11:$K$310,847-COUNTA(半紙!$B$11:$B$310)-COUNTA(条幅!$B$11:$B$310)),""))))</f>
        <v/>
      </c>
      <c r="L852" s="48" t="str">
        <f>IF($B852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847))</f>
        <v/>
      </c>
    </row>
    <row r="853" spans="1:12" ht="15" customHeight="1">
      <c r="A853" s="37" t="str">
        <f>IF(848&lt;=COUNTA(半紙!$B$11:$B$310),"半紙",IF(848&lt;=COUNTA(半紙!$B$11:$B$310)+COUNTA(条幅!$B$11:$B$310),"条幅(半切)",IF(848&lt;=COUNTA(半紙!$B$11:$B$310)+COUNTA(条幅!$B$11:$B$310)+COUNTA(条幅4分の1!$B$11:$B$310),"条幅(1/4)","")))</f>
        <v/>
      </c>
      <c r="B853" s="38" t="str">
        <f>IF(IF(848&lt;=COUNTA(半紙!$B$11:$B$310),INDEX(半紙!$B$11:$B$310,848),IF(848&lt;=COUNTA(半紙!$B$11:$B$310)+COUNTA(条幅!$B$11:$B$310),INDEX(条幅!$B$11:$B$310,848-COUNTA(半紙!$B$11:$B$310)),IF(848&lt;=COUNTA(半紙!$B$11:$B$310)+COUNTA(条幅!$B$11:$B$310)+COUNTA(条幅4分の1!$B$11:$B$310),INDEX(条幅4分の1!$B$11:$B$310,848-COUNTA(半紙!$B$11:$B$310)-COUNTA(条幅!$B$11:$B$310)),"")))=0,"",IF(848&lt;=COUNTA(半紙!$B$11:$B$310),INDEX(半紙!$B$11:$B$310,848),IF(848&lt;=COUNTA(半紙!$B$11:$B$310)+COUNTA(条幅!$B$11:$B$310),INDEX(条幅!$B$11:$B$310,848-COUNTA(半紙!$B$11:$B$310)),IF(848&lt;=COUNTA(半紙!$B$11:$B$310)+COUNTA(条幅!$B$11:$B$310)+COUNTA(条幅4分の1!$B$11:$B$310),INDEX(条幅4分の1!$B$11:$B$310,848-COUNTA(半紙!$B$11:$B$310)-COUNTA(条幅!$B$11:$B$310)),""))))</f>
        <v/>
      </c>
      <c r="C853" s="38" t="str">
        <f>IF(IF(848&lt;=COUNTA(半紙!$B$11:$B$310),INDEX(半紙!$C$11:$C$310,848),IF(848&lt;=COUNTA(半紙!$B$11:$B$310)+COUNTA(条幅!$B$11:$B$310),INDEX(条幅!$C$11:$C$310,848-COUNTA(半紙!$B$11:$B$310)),IF(848&lt;=COUNTA(半紙!$B$11:$B$310)+COUNTA(条幅!$B$11:$B$310)+COUNTA(条幅4分の1!$B$11:$B$310),INDEX(条幅4分の1!$C$11:$C$310,848-COUNTA(半紙!$B$11:$B$310)-COUNTA(条幅!$B$11:$B$310)),"")))=0,"",IF(848&lt;=COUNTA(半紙!$B$11:$B$310),INDEX(半紙!$C$11:$C$310,848),IF(848&lt;=COUNTA(半紙!$B$11:$B$310)+COUNTA(条幅!$B$11:$B$310),INDEX(条幅!$C$11:$C$310,848-COUNTA(半紙!$B$11:$B$310)),IF(848&lt;=COUNTA(半紙!$B$11:$B$310)+COUNTA(条幅!$B$11:$B$310)+COUNTA(条幅4分の1!$B$11:$B$310),INDEX(条幅4分の1!$C$11:$C$310,848-COUNTA(半紙!$B$11:$B$310)-COUNTA(条幅!$B$11:$B$310)),""))))</f>
        <v/>
      </c>
      <c r="D853" s="38" t="str">
        <f>IF(IF(848&lt;=COUNTA(半紙!$B$11:$B$310),INDEX(半紙!$D$11:$D$310,848),IF(848&lt;=COUNTA(半紙!$B$11:$B$310)+COUNTA(条幅!$B$11:$B$310),INDEX(条幅!$D$11:$D$310,848-COUNTA(半紙!$B$11:$B$310)),IF(848&lt;=COUNTA(半紙!$B$11:$B$310)+COUNTA(条幅!$B$11:$B$310)+COUNTA(条幅4分の1!$B$11:$B$310),INDEX(条幅4分の1!$D$11:$D$310,848-COUNTA(半紙!$B$11:$B$310)-COUNTA(条幅!$B$11:$B$310)),"")))=0,"",IF(848&lt;=COUNTA(半紙!$B$11:$B$310),INDEX(半紙!$D$11:$D$310,848),IF(848&lt;=COUNTA(半紙!$B$11:$B$310)+COUNTA(条幅!$B$11:$B$310),INDEX(条幅!$D$11:$D$310,848-COUNTA(半紙!$B$11:$B$310)),IF(848&lt;=COUNTA(半紙!$B$11:$B$310)+COUNTA(条幅!$B$11:$B$310)+COUNTA(条幅4分の1!$B$11:$B$310),INDEX(条幅4分の1!$D$11:$D$310,848-COUNTA(半紙!$B$11:$B$310)-COUNTA(条幅!$B$11:$B$310)),""))))</f>
        <v/>
      </c>
      <c r="E853" s="38" t="str">
        <f>IF(IF(848&lt;=COUNTA(半紙!$B$11:$B$310),INDEX(半紙!$E$11:$E$310,848),IF(848&lt;=COUNTA(半紙!$B$11:$B$310)+COUNTA(条幅!$B$11:$B$310),INDEX(条幅!$E$11:$E$310,848-COUNTA(半紙!$B$11:$B$310)),IF(848&lt;=COUNTA(半紙!$B$11:$B$310)+COUNTA(条幅!$B$11:$B$310)+COUNTA(条幅4分の1!$B$11:$B$310),INDEX(条幅4分の1!$E$11:$E$310,848-COUNTA(半紙!$B$11:$B$310)-COUNTA(条幅!$B$11:$B$310)),"")))=0,"",IF(848&lt;=COUNTA(半紙!$B$11:$B$310),INDEX(半紙!$E$11:$E$310,848),IF(848&lt;=COUNTA(半紙!$B$11:$B$310)+COUNTA(条幅!$B$11:$B$310),INDEX(条幅!$E$11:$E$310,848-COUNTA(半紙!$B$11:$B$310)),IF(848&lt;=COUNTA(半紙!$B$11:$B$310)+COUNTA(条幅!$B$11:$B$310)+COUNTA(条幅4分の1!$B$11:$B$310),INDEX(条幅4分の1!$E$11:$E$310,848-COUNTA(半紙!$B$11:$B$310)-COUNTA(条幅!$B$11:$B$310)),""))))</f>
        <v/>
      </c>
      <c r="F853" s="38" t="str">
        <f>IF(IF(848&lt;=COUNTA(半紙!$B$11:$B$310),INDEX(半紙!$F$11:$F$310,848),IF(848&lt;=COUNTA(半紙!$B$11:$B$310)+COUNTA(条幅!$B$11:$B$310),INDEX(条幅!$F$11:$F$310,848-COUNTA(半紙!$B$11:$B$310)),IF(848&lt;=COUNTA(半紙!$B$11:$B$310)+COUNTA(条幅!$B$11:$B$310)+COUNTA(条幅4分の1!$B$11:$B$310),INDEX(条幅4分の1!$F$11:$F$310,848-COUNTA(半紙!$B$11:$B$310)-COUNTA(条幅!$B$11:$B$310)),"")))=0,"",IF(848&lt;=COUNTA(半紙!$B$11:$B$310),INDEX(半紙!$F$11:$F$310,848),IF(848&lt;=COUNTA(半紙!$B$11:$B$310)+COUNTA(条幅!$B$11:$B$310),INDEX(条幅!$F$11:$F$310,848-COUNTA(半紙!$B$11:$B$310)),IF(848&lt;=COUNTA(半紙!$B$11:$B$310)+COUNTA(条幅!$B$11:$B$310)+COUNTA(条幅4分の1!$B$11:$B$310),INDEX(条幅4分の1!$F$11:$F$310,848-COUNTA(半紙!$B$11:$B$310)-COUNTA(条幅!$B$11:$B$310)),""))))</f>
        <v/>
      </c>
      <c r="G853" s="38" t="str">
        <f>IF(IF(848&lt;=COUNTA(半紙!$B$11:$B$310),INDEX(半紙!$G$11:$G$310,848),IF(848&lt;=COUNTA(半紙!$B$11:$B$310)+COUNTA(条幅!$B$11:$B$310),INDEX(条幅!$G$11:$G$310,848-COUNTA(半紙!$B$11:$B$310)),IF(848&lt;=COUNTA(半紙!$B$11:$B$310)+COUNTA(条幅!$B$11:$B$310)+COUNTA(条幅4分の1!$B$11:$B$310),INDEX(条幅4分の1!$G$11:$G$310,848-COUNTA(半紙!$B$11:$B$310)-COUNTA(条幅!$B$11:$B$310)),"")))=0,"",IF(848&lt;=COUNTA(半紙!$B$11:$B$310),INDEX(半紙!$G$11:$G$310,848),IF(848&lt;=COUNTA(半紙!$B$11:$B$310)+COUNTA(条幅!$B$11:$B$310),INDEX(条幅!$G$11:$G$310,848-COUNTA(半紙!$B$11:$B$310)),IF(848&lt;=COUNTA(半紙!$B$11:$B$310)+COUNTA(条幅!$B$11:$B$310)+COUNTA(条幅4分の1!$B$11:$B$310),INDEX(条幅4分の1!$G$11:$G$310,848-COUNTA(半紙!$B$11:$B$310)-COUNTA(条幅!$B$11:$B$310)),""))))</f>
        <v/>
      </c>
      <c r="H853" s="38" t="str">
        <f>IF(IF(848&lt;=COUNTA(半紙!$B$11:$B$310),INDEX(半紙!$H$11:$H$310,848),IF(848&lt;=COUNTA(半紙!$B$11:$B$310)+COUNTA(条幅!$B$11:$B$310),INDEX(条幅!$H$11:$H$310,848-COUNTA(半紙!$B$11:$B$310)),IF(848&lt;=COUNTA(半紙!$B$11:$B$310)+COUNTA(条幅!$B$11:$B$310)+COUNTA(条幅4分の1!$B$11:$B$310),INDEX(条幅4分の1!$H$11:$H$310,848-COUNTA(半紙!$B$11:$B$310)-COUNTA(条幅!$B$11:$B$310)),"")))=0,"",IF(848&lt;=COUNTA(半紙!$B$11:$B$310),INDEX(半紙!$H$11:$H$310,848),IF(848&lt;=COUNTA(半紙!$B$11:$B$310)+COUNTA(条幅!$B$11:$B$310),INDEX(条幅!$H$11:$H$310,848-COUNTA(半紙!$B$11:$B$310)),IF(848&lt;=COUNTA(半紙!$B$11:$B$310)+COUNTA(条幅!$B$11:$B$310)+COUNTA(条幅4分の1!$B$11:$B$310),INDEX(条幅4分の1!$H$11:$H$310,848-COUNTA(半紙!$B$11:$B$310)-COUNTA(条幅!$B$11:$B$310)),""))))</f>
        <v/>
      </c>
      <c r="I853" s="38" t="str">
        <f>IF(IF(848&lt;=COUNTA(半紙!$B$11:$B$310),INDEX(半紙!$I$11:$I$310,848),IF(848&lt;=COUNTA(半紙!$B$11:$B$310)+COUNTA(条幅!$B$11:$B$310),INDEX(条幅!$I$11:$I$310,848-COUNTA(半紙!$B$11:$B$310)),IF(848&lt;=COUNTA(半紙!$B$11:$B$310)+COUNTA(条幅!$B$11:$B$310)+COUNTA(条幅4分の1!$B$11:$B$310),INDEX(条幅4分の1!$I$11:$I$310,848-COUNTA(半紙!$B$11:$B$310)-COUNTA(条幅!$B$11:$B$310)),"")))=0,"",IF(848&lt;=COUNTA(半紙!$B$11:$B$310),INDEX(半紙!$I$11:$I$310,848),IF(848&lt;=COUNTA(半紙!$B$11:$B$310)+COUNTA(条幅!$B$11:$B$310),INDEX(条幅!$I$11:$I$310,848-COUNTA(半紙!$B$11:$B$310)),IF(848&lt;=COUNTA(半紙!$B$11:$B$310)+COUNTA(条幅!$B$11:$B$310)+COUNTA(条幅4分の1!$B$11:$B$310),INDEX(条幅4分の1!$I$11:$I$310,848-COUNTA(半紙!$B$11:$B$310)-COUNTA(条幅!$B$11:$B$310)),""))))</f>
        <v/>
      </c>
      <c r="J853" s="38" t="str">
        <f>IF(IF(848&lt;=COUNTA(半紙!$B$11:$B$310),INDEX(半紙!$J$11:$J$310,848),IF(848&lt;=COUNTA(半紙!$B$11:$B$310)+COUNTA(条幅!$B$11:$B$310),INDEX(条幅!$J$11:$J$310,848-COUNTA(半紙!$B$11:$B$310)),IF(848&lt;=COUNTA(半紙!$B$11:$B$310)+COUNTA(条幅!$B$11:$B$310)+COUNTA(条幅4分の1!$B$11:$B$310),INDEX(条幅4分の1!$J$11:$J$310,848-COUNTA(半紙!$B$11:$B$310)-COUNTA(条幅!$B$11:$B$310)),"")))=0,"",IF(848&lt;=COUNTA(半紙!$B$11:$B$310),INDEX(半紙!$J$11:$J$310,848),IF(848&lt;=COUNTA(半紙!$B$11:$B$310)+COUNTA(条幅!$B$11:$B$310),INDEX(条幅!$J$11:$J$310,848-COUNTA(半紙!$B$11:$B$310)),IF(848&lt;=COUNTA(半紙!$B$11:$B$310)+COUNTA(条幅!$B$11:$B$310)+COUNTA(条幅4分の1!$B$11:$B$310),INDEX(条幅4分の1!$J$11:$J$310,848-COUNTA(半紙!$B$11:$B$310)-COUNTA(条幅!$B$11:$B$310)),""))))</f>
        <v/>
      </c>
      <c r="K853" s="38" t="str">
        <f>IF(IF(848&lt;=COUNTA(半紙!$B$11:$B$310),INDEX(半紙!$K$11:$K$310,848),IF(848&lt;=COUNTA(半紙!$B$11:$B$310)+COUNTA(条幅!$B$11:$B$310),INDEX(条幅!$K$11:$K$310,848-COUNTA(半紙!$B$11:$B$310)),IF(848&lt;=COUNTA(半紙!$B$11:$B$310)+COUNTA(条幅!$B$11:$B$310)+COUNTA(条幅4分の1!$B$11:$B$310),INDEX(条幅4分の1!$K$11:$K$310,848-COUNTA(半紙!$B$11:$B$310)-COUNTA(条幅!$B$11:$B$310)),"")))=0,"",IF(848&lt;=COUNTA(半紙!$B$11:$B$310),INDEX(半紙!$K$11:$K$310,848),IF(848&lt;=COUNTA(半紙!$B$11:$B$310)+COUNTA(条幅!$B$11:$B$310),INDEX(条幅!$K$11:$K$310,848-COUNTA(半紙!$B$11:$B$310)),IF(848&lt;=COUNTA(半紙!$B$11:$B$310)+COUNTA(条幅!$B$11:$B$310)+COUNTA(条幅4分の1!$B$11:$B$310),INDEX(条幅4分の1!$K$11:$K$310,848-COUNTA(半紙!$B$11:$B$310)-COUNTA(条幅!$B$11:$B$310)),""))))</f>
        <v/>
      </c>
      <c r="L853" s="48" t="str">
        <f>IF($B853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848))</f>
        <v/>
      </c>
    </row>
    <row r="854" spans="1:12" ht="15" customHeight="1">
      <c r="A854" s="37" t="str">
        <f>IF(849&lt;=COUNTA(半紙!$B$11:$B$310),"半紙",IF(849&lt;=COUNTA(半紙!$B$11:$B$310)+COUNTA(条幅!$B$11:$B$310),"条幅(半切)",IF(849&lt;=COUNTA(半紙!$B$11:$B$310)+COUNTA(条幅!$B$11:$B$310)+COUNTA(条幅4分の1!$B$11:$B$310),"条幅(1/4)","")))</f>
        <v/>
      </c>
      <c r="B854" s="38" t="str">
        <f>IF(IF(849&lt;=COUNTA(半紙!$B$11:$B$310),INDEX(半紙!$B$11:$B$310,849),IF(849&lt;=COUNTA(半紙!$B$11:$B$310)+COUNTA(条幅!$B$11:$B$310),INDEX(条幅!$B$11:$B$310,849-COUNTA(半紙!$B$11:$B$310)),IF(849&lt;=COUNTA(半紙!$B$11:$B$310)+COUNTA(条幅!$B$11:$B$310)+COUNTA(条幅4分の1!$B$11:$B$310),INDEX(条幅4分の1!$B$11:$B$310,849-COUNTA(半紙!$B$11:$B$310)-COUNTA(条幅!$B$11:$B$310)),"")))=0,"",IF(849&lt;=COUNTA(半紙!$B$11:$B$310),INDEX(半紙!$B$11:$B$310,849),IF(849&lt;=COUNTA(半紙!$B$11:$B$310)+COUNTA(条幅!$B$11:$B$310),INDEX(条幅!$B$11:$B$310,849-COUNTA(半紙!$B$11:$B$310)),IF(849&lt;=COUNTA(半紙!$B$11:$B$310)+COUNTA(条幅!$B$11:$B$310)+COUNTA(条幅4分の1!$B$11:$B$310),INDEX(条幅4分の1!$B$11:$B$310,849-COUNTA(半紙!$B$11:$B$310)-COUNTA(条幅!$B$11:$B$310)),""))))</f>
        <v/>
      </c>
      <c r="C854" s="38" t="str">
        <f>IF(IF(849&lt;=COUNTA(半紙!$B$11:$B$310),INDEX(半紙!$C$11:$C$310,849),IF(849&lt;=COUNTA(半紙!$B$11:$B$310)+COUNTA(条幅!$B$11:$B$310),INDEX(条幅!$C$11:$C$310,849-COUNTA(半紙!$B$11:$B$310)),IF(849&lt;=COUNTA(半紙!$B$11:$B$310)+COUNTA(条幅!$B$11:$B$310)+COUNTA(条幅4分の1!$B$11:$B$310),INDEX(条幅4分の1!$C$11:$C$310,849-COUNTA(半紙!$B$11:$B$310)-COUNTA(条幅!$B$11:$B$310)),"")))=0,"",IF(849&lt;=COUNTA(半紙!$B$11:$B$310),INDEX(半紙!$C$11:$C$310,849),IF(849&lt;=COUNTA(半紙!$B$11:$B$310)+COUNTA(条幅!$B$11:$B$310),INDEX(条幅!$C$11:$C$310,849-COUNTA(半紙!$B$11:$B$310)),IF(849&lt;=COUNTA(半紙!$B$11:$B$310)+COUNTA(条幅!$B$11:$B$310)+COUNTA(条幅4分の1!$B$11:$B$310),INDEX(条幅4分の1!$C$11:$C$310,849-COUNTA(半紙!$B$11:$B$310)-COUNTA(条幅!$B$11:$B$310)),""))))</f>
        <v/>
      </c>
      <c r="D854" s="38" t="str">
        <f>IF(IF(849&lt;=COUNTA(半紙!$B$11:$B$310),INDEX(半紙!$D$11:$D$310,849),IF(849&lt;=COUNTA(半紙!$B$11:$B$310)+COUNTA(条幅!$B$11:$B$310),INDEX(条幅!$D$11:$D$310,849-COUNTA(半紙!$B$11:$B$310)),IF(849&lt;=COUNTA(半紙!$B$11:$B$310)+COUNTA(条幅!$B$11:$B$310)+COUNTA(条幅4分の1!$B$11:$B$310),INDEX(条幅4分の1!$D$11:$D$310,849-COUNTA(半紙!$B$11:$B$310)-COUNTA(条幅!$B$11:$B$310)),"")))=0,"",IF(849&lt;=COUNTA(半紙!$B$11:$B$310),INDEX(半紙!$D$11:$D$310,849),IF(849&lt;=COUNTA(半紙!$B$11:$B$310)+COUNTA(条幅!$B$11:$B$310),INDEX(条幅!$D$11:$D$310,849-COUNTA(半紙!$B$11:$B$310)),IF(849&lt;=COUNTA(半紙!$B$11:$B$310)+COUNTA(条幅!$B$11:$B$310)+COUNTA(条幅4分の1!$B$11:$B$310),INDEX(条幅4分の1!$D$11:$D$310,849-COUNTA(半紙!$B$11:$B$310)-COUNTA(条幅!$B$11:$B$310)),""))))</f>
        <v/>
      </c>
      <c r="E854" s="38" t="str">
        <f>IF(IF(849&lt;=COUNTA(半紙!$B$11:$B$310),INDEX(半紙!$E$11:$E$310,849),IF(849&lt;=COUNTA(半紙!$B$11:$B$310)+COUNTA(条幅!$B$11:$B$310),INDEX(条幅!$E$11:$E$310,849-COUNTA(半紙!$B$11:$B$310)),IF(849&lt;=COUNTA(半紙!$B$11:$B$310)+COUNTA(条幅!$B$11:$B$310)+COUNTA(条幅4分の1!$B$11:$B$310),INDEX(条幅4分の1!$E$11:$E$310,849-COUNTA(半紙!$B$11:$B$310)-COUNTA(条幅!$B$11:$B$310)),"")))=0,"",IF(849&lt;=COUNTA(半紙!$B$11:$B$310),INDEX(半紙!$E$11:$E$310,849),IF(849&lt;=COUNTA(半紙!$B$11:$B$310)+COUNTA(条幅!$B$11:$B$310),INDEX(条幅!$E$11:$E$310,849-COUNTA(半紙!$B$11:$B$310)),IF(849&lt;=COUNTA(半紙!$B$11:$B$310)+COUNTA(条幅!$B$11:$B$310)+COUNTA(条幅4分の1!$B$11:$B$310),INDEX(条幅4分の1!$E$11:$E$310,849-COUNTA(半紙!$B$11:$B$310)-COUNTA(条幅!$B$11:$B$310)),""))))</f>
        <v/>
      </c>
      <c r="F854" s="38" t="str">
        <f>IF(IF(849&lt;=COUNTA(半紙!$B$11:$B$310),INDEX(半紙!$F$11:$F$310,849),IF(849&lt;=COUNTA(半紙!$B$11:$B$310)+COUNTA(条幅!$B$11:$B$310),INDEX(条幅!$F$11:$F$310,849-COUNTA(半紙!$B$11:$B$310)),IF(849&lt;=COUNTA(半紙!$B$11:$B$310)+COUNTA(条幅!$B$11:$B$310)+COUNTA(条幅4分の1!$B$11:$B$310),INDEX(条幅4分の1!$F$11:$F$310,849-COUNTA(半紙!$B$11:$B$310)-COUNTA(条幅!$B$11:$B$310)),"")))=0,"",IF(849&lt;=COUNTA(半紙!$B$11:$B$310),INDEX(半紙!$F$11:$F$310,849),IF(849&lt;=COUNTA(半紙!$B$11:$B$310)+COUNTA(条幅!$B$11:$B$310),INDEX(条幅!$F$11:$F$310,849-COUNTA(半紙!$B$11:$B$310)),IF(849&lt;=COUNTA(半紙!$B$11:$B$310)+COUNTA(条幅!$B$11:$B$310)+COUNTA(条幅4分の1!$B$11:$B$310),INDEX(条幅4分の1!$F$11:$F$310,849-COUNTA(半紙!$B$11:$B$310)-COUNTA(条幅!$B$11:$B$310)),""))))</f>
        <v/>
      </c>
      <c r="G854" s="38" t="str">
        <f>IF(IF(849&lt;=COUNTA(半紙!$B$11:$B$310),INDEX(半紙!$G$11:$G$310,849),IF(849&lt;=COUNTA(半紙!$B$11:$B$310)+COUNTA(条幅!$B$11:$B$310),INDEX(条幅!$G$11:$G$310,849-COUNTA(半紙!$B$11:$B$310)),IF(849&lt;=COUNTA(半紙!$B$11:$B$310)+COUNTA(条幅!$B$11:$B$310)+COUNTA(条幅4分の1!$B$11:$B$310),INDEX(条幅4分の1!$G$11:$G$310,849-COUNTA(半紙!$B$11:$B$310)-COUNTA(条幅!$B$11:$B$310)),"")))=0,"",IF(849&lt;=COUNTA(半紙!$B$11:$B$310),INDEX(半紙!$G$11:$G$310,849),IF(849&lt;=COUNTA(半紙!$B$11:$B$310)+COUNTA(条幅!$B$11:$B$310),INDEX(条幅!$G$11:$G$310,849-COUNTA(半紙!$B$11:$B$310)),IF(849&lt;=COUNTA(半紙!$B$11:$B$310)+COUNTA(条幅!$B$11:$B$310)+COUNTA(条幅4分の1!$B$11:$B$310),INDEX(条幅4分の1!$G$11:$G$310,849-COUNTA(半紙!$B$11:$B$310)-COUNTA(条幅!$B$11:$B$310)),""))))</f>
        <v/>
      </c>
      <c r="H854" s="38" t="str">
        <f>IF(IF(849&lt;=COUNTA(半紙!$B$11:$B$310),INDEX(半紙!$H$11:$H$310,849),IF(849&lt;=COUNTA(半紙!$B$11:$B$310)+COUNTA(条幅!$B$11:$B$310),INDEX(条幅!$H$11:$H$310,849-COUNTA(半紙!$B$11:$B$310)),IF(849&lt;=COUNTA(半紙!$B$11:$B$310)+COUNTA(条幅!$B$11:$B$310)+COUNTA(条幅4分の1!$B$11:$B$310),INDEX(条幅4分の1!$H$11:$H$310,849-COUNTA(半紙!$B$11:$B$310)-COUNTA(条幅!$B$11:$B$310)),"")))=0,"",IF(849&lt;=COUNTA(半紙!$B$11:$B$310),INDEX(半紙!$H$11:$H$310,849),IF(849&lt;=COUNTA(半紙!$B$11:$B$310)+COUNTA(条幅!$B$11:$B$310),INDEX(条幅!$H$11:$H$310,849-COUNTA(半紙!$B$11:$B$310)),IF(849&lt;=COUNTA(半紙!$B$11:$B$310)+COUNTA(条幅!$B$11:$B$310)+COUNTA(条幅4分の1!$B$11:$B$310),INDEX(条幅4分の1!$H$11:$H$310,849-COUNTA(半紙!$B$11:$B$310)-COUNTA(条幅!$B$11:$B$310)),""))))</f>
        <v/>
      </c>
      <c r="I854" s="38" t="str">
        <f>IF(IF(849&lt;=COUNTA(半紙!$B$11:$B$310),INDEX(半紙!$I$11:$I$310,849),IF(849&lt;=COUNTA(半紙!$B$11:$B$310)+COUNTA(条幅!$B$11:$B$310),INDEX(条幅!$I$11:$I$310,849-COUNTA(半紙!$B$11:$B$310)),IF(849&lt;=COUNTA(半紙!$B$11:$B$310)+COUNTA(条幅!$B$11:$B$310)+COUNTA(条幅4分の1!$B$11:$B$310),INDEX(条幅4分の1!$I$11:$I$310,849-COUNTA(半紙!$B$11:$B$310)-COUNTA(条幅!$B$11:$B$310)),"")))=0,"",IF(849&lt;=COUNTA(半紙!$B$11:$B$310),INDEX(半紙!$I$11:$I$310,849),IF(849&lt;=COUNTA(半紙!$B$11:$B$310)+COUNTA(条幅!$B$11:$B$310),INDEX(条幅!$I$11:$I$310,849-COUNTA(半紙!$B$11:$B$310)),IF(849&lt;=COUNTA(半紙!$B$11:$B$310)+COUNTA(条幅!$B$11:$B$310)+COUNTA(条幅4分の1!$B$11:$B$310),INDEX(条幅4分の1!$I$11:$I$310,849-COUNTA(半紙!$B$11:$B$310)-COUNTA(条幅!$B$11:$B$310)),""))))</f>
        <v/>
      </c>
      <c r="J854" s="38" t="str">
        <f>IF(IF(849&lt;=COUNTA(半紙!$B$11:$B$310),INDEX(半紙!$J$11:$J$310,849),IF(849&lt;=COUNTA(半紙!$B$11:$B$310)+COUNTA(条幅!$B$11:$B$310),INDEX(条幅!$J$11:$J$310,849-COUNTA(半紙!$B$11:$B$310)),IF(849&lt;=COUNTA(半紙!$B$11:$B$310)+COUNTA(条幅!$B$11:$B$310)+COUNTA(条幅4分の1!$B$11:$B$310),INDEX(条幅4分の1!$J$11:$J$310,849-COUNTA(半紙!$B$11:$B$310)-COUNTA(条幅!$B$11:$B$310)),"")))=0,"",IF(849&lt;=COUNTA(半紙!$B$11:$B$310),INDEX(半紙!$J$11:$J$310,849),IF(849&lt;=COUNTA(半紙!$B$11:$B$310)+COUNTA(条幅!$B$11:$B$310),INDEX(条幅!$J$11:$J$310,849-COUNTA(半紙!$B$11:$B$310)),IF(849&lt;=COUNTA(半紙!$B$11:$B$310)+COUNTA(条幅!$B$11:$B$310)+COUNTA(条幅4分の1!$B$11:$B$310),INDEX(条幅4分の1!$J$11:$J$310,849-COUNTA(半紙!$B$11:$B$310)-COUNTA(条幅!$B$11:$B$310)),""))))</f>
        <v/>
      </c>
      <c r="K854" s="38" t="str">
        <f>IF(IF(849&lt;=COUNTA(半紙!$B$11:$B$310),INDEX(半紙!$K$11:$K$310,849),IF(849&lt;=COUNTA(半紙!$B$11:$B$310)+COUNTA(条幅!$B$11:$B$310),INDEX(条幅!$K$11:$K$310,849-COUNTA(半紙!$B$11:$B$310)),IF(849&lt;=COUNTA(半紙!$B$11:$B$310)+COUNTA(条幅!$B$11:$B$310)+COUNTA(条幅4分の1!$B$11:$B$310),INDEX(条幅4分の1!$K$11:$K$310,849-COUNTA(半紙!$B$11:$B$310)-COUNTA(条幅!$B$11:$B$310)),"")))=0,"",IF(849&lt;=COUNTA(半紙!$B$11:$B$310),INDEX(半紙!$K$11:$K$310,849),IF(849&lt;=COUNTA(半紙!$B$11:$B$310)+COUNTA(条幅!$B$11:$B$310),INDEX(条幅!$K$11:$K$310,849-COUNTA(半紙!$B$11:$B$310)),IF(849&lt;=COUNTA(半紙!$B$11:$B$310)+COUNTA(条幅!$B$11:$B$310)+COUNTA(条幅4分の1!$B$11:$B$310),INDEX(条幅4分の1!$K$11:$K$310,849-COUNTA(半紙!$B$11:$B$310)-COUNTA(条幅!$B$11:$B$310)),""))))</f>
        <v/>
      </c>
      <c r="L854" s="48" t="str">
        <f>IF($B854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849))</f>
        <v/>
      </c>
    </row>
    <row r="855" spans="1:12" ht="15" customHeight="1">
      <c r="A855" s="37" t="str">
        <f>IF(850&lt;=COUNTA(半紙!$B$11:$B$310),"半紙",IF(850&lt;=COUNTA(半紙!$B$11:$B$310)+COUNTA(条幅!$B$11:$B$310),"条幅(半切)",IF(850&lt;=COUNTA(半紙!$B$11:$B$310)+COUNTA(条幅!$B$11:$B$310)+COUNTA(条幅4分の1!$B$11:$B$310),"条幅(1/4)","")))</f>
        <v/>
      </c>
      <c r="B855" s="38" t="str">
        <f>IF(IF(850&lt;=COUNTA(半紙!$B$11:$B$310),INDEX(半紙!$B$11:$B$310,850),IF(850&lt;=COUNTA(半紙!$B$11:$B$310)+COUNTA(条幅!$B$11:$B$310),INDEX(条幅!$B$11:$B$310,850-COUNTA(半紙!$B$11:$B$310)),IF(850&lt;=COUNTA(半紙!$B$11:$B$310)+COUNTA(条幅!$B$11:$B$310)+COUNTA(条幅4分の1!$B$11:$B$310),INDEX(条幅4分の1!$B$11:$B$310,850-COUNTA(半紙!$B$11:$B$310)-COUNTA(条幅!$B$11:$B$310)),"")))=0,"",IF(850&lt;=COUNTA(半紙!$B$11:$B$310),INDEX(半紙!$B$11:$B$310,850),IF(850&lt;=COUNTA(半紙!$B$11:$B$310)+COUNTA(条幅!$B$11:$B$310),INDEX(条幅!$B$11:$B$310,850-COUNTA(半紙!$B$11:$B$310)),IF(850&lt;=COUNTA(半紙!$B$11:$B$310)+COUNTA(条幅!$B$11:$B$310)+COUNTA(条幅4分の1!$B$11:$B$310),INDEX(条幅4分の1!$B$11:$B$310,850-COUNTA(半紙!$B$11:$B$310)-COUNTA(条幅!$B$11:$B$310)),""))))</f>
        <v/>
      </c>
      <c r="C855" s="38" t="str">
        <f>IF(IF(850&lt;=COUNTA(半紙!$B$11:$B$310),INDEX(半紙!$C$11:$C$310,850),IF(850&lt;=COUNTA(半紙!$B$11:$B$310)+COUNTA(条幅!$B$11:$B$310),INDEX(条幅!$C$11:$C$310,850-COUNTA(半紙!$B$11:$B$310)),IF(850&lt;=COUNTA(半紙!$B$11:$B$310)+COUNTA(条幅!$B$11:$B$310)+COUNTA(条幅4分の1!$B$11:$B$310),INDEX(条幅4分の1!$C$11:$C$310,850-COUNTA(半紙!$B$11:$B$310)-COUNTA(条幅!$B$11:$B$310)),"")))=0,"",IF(850&lt;=COUNTA(半紙!$B$11:$B$310),INDEX(半紙!$C$11:$C$310,850),IF(850&lt;=COUNTA(半紙!$B$11:$B$310)+COUNTA(条幅!$B$11:$B$310),INDEX(条幅!$C$11:$C$310,850-COUNTA(半紙!$B$11:$B$310)),IF(850&lt;=COUNTA(半紙!$B$11:$B$310)+COUNTA(条幅!$B$11:$B$310)+COUNTA(条幅4分の1!$B$11:$B$310),INDEX(条幅4分の1!$C$11:$C$310,850-COUNTA(半紙!$B$11:$B$310)-COUNTA(条幅!$B$11:$B$310)),""))))</f>
        <v/>
      </c>
      <c r="D855" s="38" t="str">
        <f>IF(IF(850&lt;=COUNTA(半紙!$B$11:$B$310),INDEX(半紙!$D$11:$D$310,850),IF(850&lt;=COUNTA(半紙!$B$11:$B$310)+COUNTA(条幅!$B$11:$B$310),INDEX(条幅!$D$11:$D$310,850-COUNTA(半紙!$B$11:$B$310)),IF(850&lt;=COUNTA(半紙!$B$11:$B$310)+COUNTA(条幅!$B$11:$B$310)+COUNTA(条幅4分の1!$B$11:$B$310),INDEX(条幅4分の1!$D$11:$D$310,850-COUNTA(半紙!$B$11:$B$310)-COUNTA(条幅!$B$11:$B$310)),"")))=0,"",IF(850&lt;=COUNTA(半紙!$B$11:$B$310),INDEX(半紙!$D$11:$D$310,850),IF(850&lt;=COUNTA(半紙!$B$11:$B$310)+COUNTA(条幅!$B$11:$B$310),INDEX(条幅!$D$11:$D$310,850-COUNTA(半紙!$B$11:$B$310)),IF(850&lt;=COUNTA(半紙!$B$11:$B$310)+COUNTA(条幅!$B$11:$B$310)+COUNTA(条幅4分の1!$B$11:$B$310),INDEX(条幅4分の1!$D$11:$D$310,850-COUNTA(半紙!$B$11:$B$310)-COUNTA(条幅!$B$11:$B$310)),""))))</f>
        <v/>
      </c>
      <c r="E855" s="38" t="str">
        <f>IF(IF(850&lt;=COUNTA(半紙!$B$11:$B$310),INDEX(半紙!$E$11:$E$310,850),IF(850&lt;=COUNTA(半紙!$B$11:$B$310)+COUNTA(条幅!$B$11:$B$310),INDEX(条幅!$E$11:$E$310,850-COUNTA(半紙!$B$11:$B$310)),IF(850&lt;=COUNTA(半紙!$B$11:$B$310)+COUNTA(条幅!$B$11:$B$310)+COUNTA(条幅4分の1!$B$11:$B$310),INDEX(条幅4分の1!$E$11:$E$310,850-COUNTA(半紙!$B$11:$B$310)-COUNTA(条幅!$B$11:$B$310)),"")))=0,"",IF(850&lt;=COUNTA(半紙!$B$11:$B$310),INDEX(半紙!$E$11:$E$310,850),IF(850&lt;=COUNTA(半紙!$B$11:$B$310)+COUNTA(条幅!$B$11:$B$310),INDEX(条幅!$E$11:$E$310,850-COUNTA(半紙!$B$11:$B$310)),IF(850&lt;=COUNTA(半紙!$B$11:$B$310)+COUNTA(条幅!$B$11:$B$310)+COUNTA(条幅4分の1!$B$11:$B$310),INDEX(条幅4分の1!$E$11:$E$310,850-COUNTA(半紙!$B$11:$B$310)-COUNTA(条幅!$B$11:$B$310)),""))))</f>
        <v/>
      </c>
      <c r="F855" s="38" t="str">
        <f>IF(IF(850&lt;=COUNTA(半紙!$B$11:$B$310),INDEX(半紙!$F$11:$F$310,850),IF(850&lt;=COUNTA(半紙!$B$11:$B$310)+COUNTA(条幅!$B$11:$B$310),INDEX(条幅!$F$11:$F$310,850-COUNTA(半紙!$B$11:$B$310)),IF(850&lt;=COUNTA(半紙!$B$11:$B$310)+COUNTA(条幅!$B$11:$B$310)+COUNTA(条幅4分の1!$B$11:$B$310),INDEX(条幅4分の1!$F$11:$F$310,850-COUNTA(半紙!$B$11:$B$310)-COUNTA(条幅!$B$11:$B$310)),"")))=0,"",IF(850&lt;=COUNTA(半紙!$B$11:$B$310),INDEX(半紙!$F$11:$F$310,850),IF(850&lt;=COUNTA(半紙!$B$11:$B$310)+COUNTA(条幅!$B$11:$B$310),INDEX(条幅!$F$11:$F$310,850-COUNTA(半紙!$B$11:$B$310)),IF(850&lt;=COUNTA(半紙!$B$11:$B$310)+COUNTA(条幅!$B$11:$B$310)+COUNTA(条幅4分の1!$B$11:$B$310),INDEX(条幅4分の1!$F$11:$F$310,850-COUNTA(半紙!$B$11:$B$310)-COUNTA(条幅!$B$11:$B$310)),""))))</f>
        <v/>
      </c>
      <c r="G855" s="38" t="str">
        <f>IF(IF(850&lt;=COUNTA(半紙!$B$11:$B$310),INDEX(半紙!$G$11:$G$310,850),IF(850&lt;=COUNTA(半紙!$B$11:$B$310)+COUNTA(条幅!$B$11:$B$310),INDEX(条幅!$G$11:$G$310,850-COUNTA(半紙!$B$11:$B$310)),IF(850&lt;=COUNTA(半紙!$B$11:$B$310)+COUNTA(条幅!$B$11:$B$310)+COUNTA(条幅4分の1!$B$11:$B$310),INDEX(条幅4分の1!$G$11:$G$310,850-COUNTA(半紙!$B$11:$B$310)-COUNTA(条幅!$B$11:$B$310)),"")))=0,"",IF(850&lt;=COUNTA(半紙!$B$11:$B$310),INDEX(半紙!$G$11:$G$310,850),IF(850&lt;=COUNTA(半紙!$B$11:$B$310)+COUNTA(条幅!$B$11:$B$310),INDEX(条幅!$G$11:$G$310,850-COUNTA(半紙!$B$11:$B$310)),IF(850&lt;=COUNTA(半紙!$B$11:$B$310)+COUNTA(条幅!$B$11:$B$310)+COUNTA(条幅4分の1!$B$11:$B$310),INDEX(条幅4分の1!$G$11:$G$310,850-COUNTA(半紙!$B$11:$B$310)-COUNTA(条幅!$B$11:$B$310)),""))))</f>
        <v/>
      </c>
      <c r="H855" s="38" t="str">
        <f>IF(IF(850&lt;=COUNTA(半紙!$B$11:$B$310),INDEX(半紙!$H$11:$H$310,850),IF(850&lt;=COUNTA(半紙!$B$11:$B$310)+COUNTA(条幅!$B$11:$B$310),INDEX(条幅!$H$11:$H$310,850-COUNTA(半紙!$B$11:$B$310)),IF(850&lt;=COUNTA(半紙!$B$11:$B$310)+COUNTA(条幅!$B$11:$B$310)+COUNTA(条幅4分の1!$B$11:$B$310),INDEX(条幅4分の1!$H$11:$H$310,850-COUNTA(半紙!$B$11:$B$310)-COUNTA(条幅!$B$11:$B$310)),"")))=0,"",IF(850&lt;=COUNTA(半紙!$B$11:$B$310),INDEX(半紙!$H$11:$H$310,850),IF(850&lt;=COUNTA(半紙!$B$11:$B$310)+COUNTA(条幅!$B$11:$B$310),INDEX(条幅!$H$11:$H$310,850-COUNTA(半紙!$B$11:$B$310)),IF(850&lt;=COUNTA(半紙!$B$11:$B$310)+COUNTA(条幅!$B$11:$B$310)+COUNTA(条幅4分の1!$B$11:$B$310),INDEX(条幅4分の1!$H$11:$H$310,850-COUNTA(半紙!$B$11:$B$310)-COUNTA(条幅!$B$11:$B$310)),""))))</f>
        <v/>
      </c>
      <c r="I855" s="38" t="str">
        <f>IF(IF(850&lt;=COUNTA(半紙!$B$11:$B$310),INDEX(半紙!$I$11:$I$310,850),IF(850&lt;=COUNTA(半紙!$B$11:$B$310)+COUNTA(条幅!$B$11:$B$310),INDEX(条幅!$I$11:$I$310,850-COUNTA(半紙!$B$11:$B$310)),IF(850&lt;=COUNTA(半紙!$B$11:$B$310)+COUNTA(条幅!$B$11:$B$310)+COUNTA(条幅4分の1!$B$11:$B$310),INDEX(条幅4分の1!$I$11:$I$310,850-COUNTA(半紙!$B$11:$B$310)-COUNTA(条幅!$B$11:$B$310)),"")))=0,"",IF(850&lt;=COUNTA(半紙!$B$11:$B$310),INDEX(半紙!$I$11:$I$310,850),IF(850&lt;=COUNTA(半紙!$B$11:$B$310)+COUNTA(条幅!$B$11:$B$310),INDEX(条幅!$I$11:$I$310,850-COUNTA(半紙!$B$11:$B$310)),IF(850&lt;=COUNTA(半紙!$B$11:$B$310)+COUNTA(条幅!$B$11:$B$310)+COUNTA(条幅4分の1!$B$11:$B$310),INDEX(条幅4分の1!$I$11:$I$310,850-COUNTA(半紙!$B$11:$B$310)-COUNTA(条幅!$B$11:$B$310)),""))))</f>
        <v/>
      </c>
      <c r="J855" s="38" t="str">
        <f>IF(IF(850&lt;=COUNTA(半紙!$B$11:$B$310),INDEX(半紙!$J$11:$J$310,850),IF(850&lt;=COUNTA(半紙!$B$11:$B$310)+COUNTA(条幅!$B$11:$B$310),INDEX(条幅!$J$11:$J$310,850-COUNTA(半紙!$B$11:$B$310)),IF(850&lt;=COUNTA(半紙!$B$11:$B$310)+COUNTA(条幅!$B$11:$B$310)+COUNTA(条幅4分の1!$B$11:$B$310),INDEX(条幅4分の1!$J$11:$J$310,850-COUNTA(半紙!$B$11:$B$310)-COUNTA(条幅!$B$11:$B$310)),"")))=0,"",IF(850&lt;=COUNTA(半紙!$B$11:$B$310),INDEX(半紙!$J$11:$J$310,850),IF(850&lt;=COUNTA(半紙!$B$11:$B$310)+COUNTA(条幅!$B$11:$B$310),INDEX(条幅!$J$11:$J$310,850-COUNTA(半紙!$B$11:$B$310)),IF(850&lt;=COUNTA(半紙!$B$11:$B$310)+COUNTA(条幅!$B$11:$B$310)+COUNTA(条幅4分の1!$B$11:$B$310),INDEX(条幅4分の1!$J$11:$J$310,850-COUNTA(半紙!$B$11:$B$310)-COUNTA(条幅!$B$11:$B$310)),""))))</f>
        <v/>
      </c>
      <c r="K855" s="38" t="str">
        <f>IF(IF(850&lt;=COUNTA(半紙!$B$11:$B$310),INDEX(半紙!$K$11:$K$310,850),IF(850&lt;=COUNTA(半紙!$B$11:$B$310)+COUNTA(条幅!$B$11:$B$310),INDEX(条幅!$K$11:$K$310,850-COUNTA(半紙!$B$11:$B$310)),IF(850&lt;=COUNTA(半紙!$B$11:$B$310)+COUNTA(条幅!$B$11:$B$310)+COUNTA(条幅4分の1!$B$11:$B$310),INDEX(条幅4分の1!$K$11:$K$310,850-COUNTA(半紙!$B$11:$B$310)-COUNTA(条幅!$B$11:$B$310)),"")))=0,"",IF(850&lt;=COUNTA(半紙!$B$11:$B$310),INDEX(半紙!$K$11:$K$310,850),IF(850&lt;=COUNTA(半紙!$B$11:$B$310)+COUNTA(条幅!$B$11:$B$310),INDEX(条幅!$K$11:$K$310,850-COUNTA(半紙!$B$11:$B$310)),IF(850&lt;=COUNTA(半紙!$B$11:$B$310)+COUNTA(条幅!$B$11:$B$310)+COUNTA(条幅4分の1!$B$11:$B$310),INDEX(条幅4分の1!$K$11:$K$310,850-COUNTA(半紙!$B$11:$B$310)-COUNTA(条幅!$B$11:$B$310)),""))))</f>
        <v/>
      </c>
      <c r="L855" s="48" t="str">
        <f>IF($B855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850))</f>
        <v/>
      </c>
    </row>
    <row r="856" spans="1:12" ht="15" customHeight="1">
      <c r="A856" s="37" t="str">
        <f>IF(851&lt;=COUNTA(半紙!$B$11:$B$310),"半紙",IF(851&lt;=COUNTA(半紙!$B$11:$B$310)+COUNTA(条幅!$B$11:$B$310),"条幅(半切)",IF(851&lt;=COUNTA(半紙!$B$11:$B$310)+COUNTA(条幅!$B$11:$B$310)+COUNTA(条幅4分の1!$B$11:$B$310),"条幅(1/4)","")))</f>
        <v/>
      </c>
      <c r="B856" s="38" t="str">
        <f>IF(IF(851&lt;=COUNTA(半紙!$B$11:$B$310),INDEX(半紙!$B$11:$B$310,851),IF(851&lt;=COUNTA(半紙!$B$11:$B$310)+COUNTA(条幅!$B$11:$B$310),INDEX(条幅!$B$11:$B$310,851-COUNTA(半紙!$B$11:$B$310)),IF(851&lt;=COUNTA(半紙!$B$11:$B$310)+COUNTA(条幅!$B$11:$B$310)+COUNTA(条幅4分の1!$B$11:$B$310),INDEX(条幅4分の1!$B$11:$B$310,851-COUNTA(半紙!$B$11:$B$310)-COUNTA(条幅!$B$11:$B$310)),"")))=0,"",IF(851&lt;=COUNTA(半紙!$B$11:$B$310),INDEX(半紙!$B$11:$B$310,851),IF(851&lt;=COUNTA(半紙!$B$11:$B$310)+COUNTA(条幅!$B$11:$B$310),INDEX(条幅!$B$11:$B$310,851-COUNTA(半紙!$B$11:$B$310)),IF(851&lt;=COUNTA(半紙!$B$11:$B$310)+COUNTA(条幅!$B$11:$B$310)+COUNTA(条幅4分の1!$B$11:$B$310),INDEX(条幅4分の1!$B$11:$B$310,851-COUNTA(半紙!$B$11:$B$310)-COUNTA(条幅!$B$11:$B$310)),""))))</f>
        <v/>
      </c>
      <c r="C856" s="38" t="str">
        <f>IF(IF(851&lt;=COUNTA(半紙!$B$11:$B$310),INDEX(半紙!$C$11:$C$310,851),IF(851&lt;=COUNTA(半紙!$B$11:$B$310)+COUNTA(条幅!$B$11:$B$310),INDEX(条幅!$C$11:$C$310,851-COUNTA(半紙!$B$11:$B$310)),IF(851&lt;=COUNTA(半紙!$B$11:$B$310)+COUNTA(条幅!$B$11:$B$310)+COUNTA(条幅4分の1!$B$11:$B$310),INDEX(条幅4分の1!$C$11:$C$310,851-COUNTA(半紙!$B$11:$B$310)-COUNTA(条幅!$B$11:$B$310)),"")))=0,"",IF(851&lt;=COUNTA(半紙!$B$11:$B$310),INDEX(半紙!$C$11:$C$310,851),IF(851&lt;=COUNTA(半紙!$B$11:$B$310)+COUNTA(条幅!$B$11:$B$310),INDEX(条幅!$C$11:$C$310,851-COUNTA(半紙!$B$11:$B$310)),IF(851&lt;=COUNTA(半紙!$B$11:$B$310)+COUNTA(条幅!$B$11:$B$310)+COUNTA(条幅4分の1!$B$11:$B$310),INDEX(条幅4分の1!$C$11:$C$310,851-COUNTA(半紙!$B$11:$B$310)-COUNTA(条幅!$B$11:$B$310)),""))))</f>
        <v/>
      </c>
      <c r="D856" s="38" t="str">
        <f>IF(IF(851&lt;=COUNTA(半紙!$B$11:$B$310),INDEX(半紙!$D$11:$D$310,851),IF(851&lt;=COUNTA(半紙!$B$11:$B$310)+COUNTA(条幅!$B$11:$B$310),INDEX(条幅!$D$11:$D$310,851-COUNTA(半紙!$B$11:$B$310)),IF(851&lt;=COUNTA(半紙!$B$11:$B$310)+COUNTA(条幅!$B$11:$B$310)+COUNTA(条幅4分の1!$B$11:$B$310),INDEX(条幅4分の1!$D$11:$D$310,851-COUNTA(半紙!$B$11:$B$310)-COUNTA(条幅!$B$11:$B$310)),"")))=0,"",IF(851&lt;=COUNTA(半紙!$B$11:$B$310),INDEX(半紙!$D$11:$D$310,851),IF(851&lt;=COUNTA(半紙!$B$11:$B$310)+COUNTA(条幅!$B$11:$B$310),INDEX(条幅!$D$11:$D$310,851-COUNTA(半紙!$B$11:$B$310)),IF(851&lt;=COUNTA(半紙!$B$11:$B$310)+COUNTA(条幅!$B$11:$B$310)+COUNTA(条幅4分の1!$B$11:$B$310),INDEX(条幅4分の1!$D$11:$D$310,851-COUNTA(半紙!$B$11:$B$310)-COUNTA(条幅!$B$11:$B$310)),""))))</f>
        <v/>
      </c>
      <c r="E856" s="38" t="str">
        <f>IF(IF(851&lt;=COUNTA(半紙!$B$11:$B$310),INDEX(半紙!$E$11:$E$310,851),IF(851&lt;=COUNTA(半紙!$B$11:$B$310)+COUNTA(条幅!$B$11:$B$310),INDEX(条幅!$E$11:$E$310,851-COUNTA(半紙!$B$11:$B$310)),IF(851&lt;=COUNTA(半紙!$B$11:$B$310)+COUNTA(条幅!$B$11:$B$310)+COUNTA(条幅4分の1!$B$11:$B$310),INDEX(条幅4分の1!$E$11:$E$310,851-COUNTA(半紙!$B$11:$B$310)-COUNTA(条幅!$B$11:$B$310)),"")))=0,"",IF(851&lt;=COUNTA(半紙!$B$11:$B$310),INDEX(半紙!$E$11:$E$310,851),IF(851&lt;=COUNTA(半紙!$B$11:$B$310)+COUNTA(条幅!$B$11:$B$310),INDEX(条幅!$E$11:$E$310,851-COUNTA(半紙!$B$11:$B$310)),IF(851&lt;=COUNTA(半紙!$B$11:$B$310)+COUNTA(条幅!$B$11:$B$310)+COUNTA(条幅4分の1!$B$11:$B$310),INDEX(条幅4分の1!$E$11:$E$310,851-COUNTA(半紙!$B$11:$B$310)-COUNTA(条幅!$B$11:$B$310)),""))))</f>
        <v/>
      </c>
      <c r="F856" s="38" t="str">
        <f>IF(IF(851&lt;=COUNTA(半紙!$B$11:$B$310),INDEX(半紙!$F$11:$F$310,851),IF(851&lt;=COUNTA(半紙!$B$11:$B$310)+COUNTA(条幅!$B$11:$B$310),INDEX(条幅!$F$11:$F$310,851-COUNTA(半紙!$B$11:$B$310)),IF(851&lt;=COUNTA(半紙!$B$11:$B$310)+COUNTA(条幅!$B$11:$B$310)+COUNTA(条幅4分の1!$B$11:$B$310),INDEX(条幅4分の1!$F$11:$F$310,851-COUNTA(半紙!$B$11:$B$310)-COUNTA(条幅!$B$11:$B$310)),"")))=0,"",IF(851&lt;=COUNTA(半紙!$B$11:$B$310),INDEX(半紙!$F$11:$F$310,851),IF(851&lt;=COUNTA(半紙!$B$11:$B$310)+COUNTA(条幅!$B$11:$B$310),INDEX(条幅!$F$11:$F$310,851-COUNTA(半紙!$B$11:$B$310)),IF(851&lt;=COUNTA(半紙!$B$11:$B$310)+COUNTA(条幅!$B$11:$B$310)+COUNTA(条幅4分の1!$B$11:$B$310),INDEX(条幅4分の1!$F$11:$F$310,851-COUNTA(半紙!$B$11:$B$310)-COUNTA(条幅!$B$11:$B$310)),""))))</f>
        <v/>
      </c>
      <c r="G856" s="38" t="str">
        <f>IF(IF(851&lt;=COUNTA(半紙!$B$11:$B$310),INDEX(半紙!$G$11:$G$310,851),IF(851&lt;=COUNTA(半紙!$B$11:$B$310)+COUNTA(条幅!$B$11:$B$310),INDEX(条幅!$G$11:$G$310,851-COUNTA(半紙!$B$11:$B$310)),IF(851&lt;=COUNTA(半紙!$B$11:$B$310)+COUNTA(条幅!$B$11:$B$310)+COUNTA(条幅4分の1!$B$11:$B$310),INDEX(条幅4分の1!$G$11:$G$310,851-COUNTA(半紙!$B$11:$B$310)-COUNTA(条幅!$B$11:$B$310)),"")))=0,"",IF(851&lt;=COUNTA(半紙!$B$11:$B$310),INDEX(半紙!$G$11:$G$310,851),IF(851&lt;=COUNTA(半紙!$B$11:$B$310)+COUNTA(条幅!$B$11:$B$310),INDEX(条幅!$G$11:$G$310,851-COUNTA(半紙!$B$11:$B$310)),IF(851&lt;=COUNTA(半紙!$B$11:$B$310)+COUNTA(条幅!$B$11:$B$310)+COUNTA(条幅4分の1!$B$11:$B$310),INDEX(条幅4分の1!$G$11:$G$310,851-COUNTA(半紙!$B$11:$B$310)-COUNTA(条幅!$B$11:$B$310)),""))))</f>
        <v/>
      </c>
      <c r="H856" s="38" t="str">
        <f>IF(IF(851&lt;=COUNTA(半紙!$B$11:$B$310),INDEX(半紙!$H$11:$H$310,851),IF(851&lt;=COUNTA(半紙!$B$11:$B$310)+COUNTA(条幅!$B$11:$B$310),INDEX(条幅!$H$11:$H$310,851-COUNTA(半紙!$B$11:$B$310)),IF(851&lt;=COUNTA(半紙!$B$11:$B$310)+COUNTA(条幅!$B$11:$B$310)+COUNTA(条幅4分の1!$B$11:$B$310),INDEX(条幅4分の1!$H$11:$H$310,851-COUNTA(半紙!$B$11:$B$310)-COUNTA(条幅!$B$11:$B$310)),"")))=0,"",IF(851&lt;=COUNTA(半紙!$B$11:$B$310),INDEX(半紙!$H$11:$H$310,851),IF(851&lt;=COUNTA(半紙!$B$11:$B$310)+COUNTA(条幅!$B$11:$B$310),INDEX(条幅!$H$11:$H$310,851-COUNTA(半紙!$B$11:$B$310)),IF(851&lt;=COUNTA(半紙!$B$11:$B$310)+COUNTA(条幅!$B$11:$B$310)+COUNTA(条幅4分の1!$B$11:$B$310),INDEX(条幅4分の1!$H$11:$H$310,851-COUNTA(半紙!$B$11:$B$310)-COUNTA(条幅!$B$11:$B$310)),""))))</f>
        <v/>
      </c>
      <c r="I856" s="38" t="str">
        <f>IF(IF(851&lt;=COUNTA(半紙!$B$11:$B$310),INDEX(半紙!$I$11:$I$310,851),IF(851&lt;=COUNTA(半紙!$B$11:$B$310)+COUNTA(条幅!$B$11:$B$310),INDEX(条幅!$I$11:$I$310,851-COUNTA(半紙!$B$11:$B$310)),IF(851&lt;=COUNTA(半紙!$B$11:$B$310)+COUNTA(条幅!$B$11:$B$310)+COUNTA(条幅4分の1!$B$11:$B$310),INDEX(条幅4分の1!$I$11:$I$310,851-COUNTA(半紙!$B$11:$B$310)-COUNTA(条幅!$B$11:$B$310)),"")))=0,"",IF(851&lt;=COUNTA(半紙!$B$11:$B$310),INDEX(半紙!$I$11:$I$310,851),IF(851&lt;=COUNTA(半紙!$B$11:$B$310)+COUNTA(条幅!$B$11:$B$310),INDEX(条幅!$I$11:$I$310,851-COUNTA(半紙!$B$11:$B$310)),IF(851&lt;=COUNTA(半紙!$B$11:$B$310)+COUNTA(条幅!$B$11:$B$310)+COUNTA(条幅4分の1!$B$11:$B$310),INDEX(条幅4分の1!$I$11:$I$310,851-COUNTA(半紙!$B$11:$B$310)-COUNTA(条幅!$B$11:$B$310)),""))))</f>
        <v/>
      </c>
      <c r="J856" s="38" t="str">
        <f>IF(IF(851&lt;=COUNTA(半紙!$B$11:$B$310),INDEX(半紙!$J$11:$J$310,851),IF(851&lt;=COUNTA(半紙!$B$11:$B$310)+COUNTA(条幅!$B$11:$B$310),INDEX(条幅!$J$11:$J$310,851-COUNTA(半紙!$B$11:$B$310)),IF(851&lt;=COUNTA(半紙!$B$11:$B$310)+COUNTA(条幅!$B$11:$B$310)+COUNTA(条幅4分の1!$B$11:$B$310),INDEX(条幅4分の1!$J$11:$J$310,851-COUNTA(半紙!$B$11:$B$310)-COUNTA(条幅!$B$11:$B$310)),"")))=0,"",IF(851&lt;=COUNTA(半紙!$B$11:$B$310),INDEX(半紙!$J$11:$J$310,851),IF(851&lt;=COUNTA(半紙!$B$11:$B$310)+COUNTA(条幅!$B$11:$B$310),INDEX(条幅!$J$11:$J$310,851-COUNTA(半紙!$B$11:$B$310)),IF(851&lt;=COUNTA(半紙!$B$11:$B$310)+COUNTA(条幅!$B$11:$B$310)+COUNTA(条幅4分の1!$B$11:$B$310),INDEX(条幅4分の1!$J$11:$J$310,851-COUNTA(半紙!$B$11:$B$310)-COUNTA(条幅!$B$11:$B$310)),""))))</f>
        <v/>
      </c>
      <c r="K856" s="38" t="str">
        <f>IF(IF(851&lt;=COUNTA(半紙!$B$11:$B$310),INDEX(半紙!$K$11:$K$310,851),IF(851&lt;=COUNTA(半紙!$B$11:$B$310)+COUNTA(条幅!$B$11:$B$310),INDEX(条幅!$K$11:$K$310,851-COUNTA(半紙!$B$11:$B$310)),IF(851&lt;=COUNTA(半紙!$B$11:$B$310)+COUNTA(条幅!$B$11:$B$310)+COUNTA(条幅4分の1!$B$11:$B$310),INDEX(条幅4分の1!$K$11:$K$310,851-COUNTA(半紙!$B$11:$B$310)-COUNTA(条幅!$B$11:$B$310)),"")))=0,"",IF(851&lt;=COUNTA(半紙!$B$11:$B$310),INDEX(半紙!$K$11:$K$310,851),IF(851&lt;=COUNTA(半紙!$B$11:$B$310)+COUNTA(条幅!$B$11:$B$310),INDEX(条幅!$K$11:$K$310,851-COUNTA(半紙!$B$11:$B$310)),IF(851&lt;=COUNTA(半紙!$B$11:$B$310)+COUNTA(条幅!$B$11:$B$310)+COUNTA(条幅4分の1!$B$11:$B$310),INDEX(条幅4分の1!$K$11:$K$310,851-COUNTA(半紙!$B$11:$B$310)-COUNTA(条幅!$B$11:$B$310)),""))))</f>
        <v/>
      </c>
      <c r="L856" s="48" t="str">
        <f>IF($B856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851))</f>
        <v/>
      </c>
    </row>
    <row r="857" spans="1:12" ht="15" customHeight="1">
      <c r="A857" s="37" t="str">
        <f>IF(852&lt;=COUNTA(半紙!$B$11:$B$310),"半紙",IF(852&lt;=COUNTA(半紙!$B$11:$B$310)+COUNTA(条幅!$B$11:$B$310),"条幅(半切)",IF(852&lt;=COUNTA(半紙!$B$11:$B$310)+COUNTA(条幅!$B$11:$B$310)+COUNTA(条幅4分の1!$B$11:$B$310),"条幅(1/4)","")))</f>
        <v/>
      </c>
      <c r="B857" s="38" t="str">
        <f>IF(IF(852&lt;=COUNTA(半紙!$B$11:$B$310),INDEX(半紙!$B$11:$B$310,852),IF(852&lt;=COUNTA(半紙!$B$11:$B$310)+COUNTA(条幅!$B$11:$B$310),INDEX(条幅!$B$11:$B$310,852-COUNTA(半紙!$B$11:$B$310)),IF(852&lt;=COUNTA(半紙!$B$11:$B$310)+COUNTA(条幅!$B$11:$B$310)+COUNTA(条幅4分の1!$B$11:$B$310),INDEX(条幅4分の1!$B$11:$B$310,852-COUNTA(半紙!$B$11:$B$310)-COUNTA(条幅!$B$11:$B$310)),"")))=0,"",IF(852&lt;=COUNTA(半紙!$B$11:$B$310),INDEX(半紙!$B$11:$B$310,852),IF(852&lt;=COUNTA(半紙!$B$11:$B$310)+COUNTA(条幅!$B$11:$B$310),INDEX(条幅!$B$11:$B$310,852-COUNTA(半紙!$B$11:$B$310)),IF(852&lt;=COUNTA(半紙!$B$11:$B$310)+COUNTA(条幅!$B$11:$B$310)+COUNTA(条幅4分の1!$B$11:$B$310),INDEX(条幅4分の1!$B$11:$B$310,852-COUNTA(半紙!$B$11:$B$310)-COUNTA(条幅!$B$11:$B$310)),""))))</f>
        <v/>
      </c>
      <c r="C857" s="38" t="str">
        <f>IF(IF(852&lt;=COUNTA(半紙!$B$11:$B$310),INDEX(半紙!$C$11:$C$310,852),IF(852&lt;=COUNTA(半紙!$B$11:$B$310)+COUNTA(条幅!$B$11:$B$310),INDEX(条幅!$C$11:$C$310,852-COUNTA(半紙!$B$11:$B$310)),IF(852&lt;=COUNTA(半紙!$B$11:$B$310)+COUNTA(条幅!$B$11:$B$310)+COUNTA(条幅4分の1!$B$11:$B$310),INDEX(条幅4分の1!$C$11:$C$310,852-COUNTA(半紙!$B$11:$B$310)-COUNTA(条幅!$B$11:$B$310)),"")))=0,"",IF(852&lt;=COUNTA(半紙!$B$11:$B$310),INDEX(半紙!$C$11:$C$310,852),IF(852&lt;=COUNTA(半紙!$B$11:$B$310)+COUNTA(条幅!$B$11:$B$310),INDEX(条幅!$C$11:$C$310,852-COUNTA(半紙!$B$11:$B$310)),IF(852&lt;=COUNTA(半紙!$B$11:$B$310)+COUNTA(条幅!$B$11:$B$310)+COUNTA(条幅4分の1!$B$11:$B$310),INDEX(条幅4分の1!$C$11:$C$310,852-COUNTA(半紙!$B$11:$B$310)-COUNTA(条幅!$B$11:$B$310)),""))))</f>
        <v/>
      </c>
      <c r="D857" s="38" t="str">
        <f>IF(IF(852&lt;=COUNTA(半紙!$B$11:$B$310),INDEX(半紙!$D$11:$D$310,852),IF(852&lt;=COUNTA(半紙!$B$11:$B$310)+COUNTA(条幅!$B$11:$B$310),INDEX(条幅!$D$11:$D$310,852-COUNTA(半紙!$B$11:$B$310)),IF(852&lt;=COUNTA(半紙!$B$11:$B$310)+COUNTA(条幅!$B$11:$B$310)+COUNTA(条幅4分の1!$B$11:$B$310),INDEX(条幅4分の1!$D$11:$D$310,852-COUNTA(半紙!$B$11:$B$310)-COUNTA(条幅!$B$11:$B$310)),"")))=0,"",IF(852&lt;=COUNTA(半紙!$B$11:$B$310),INDEX(半紙!$D$11:$D$310,852),IF(852&lt;=COUNTA(半紙!$B$11:$B$310)+COUNTA(条幅!$B$11:$B$310),INDEX(条幅!$D$11:$D$310,852-COUNTA(半紙!$B$11:$B$310)),IF(852&lt;=COUNTA(半紙!$B$11:$B$310)+COUNTA(条幅!$B$11:$B$310)+COUNTA(条幅4分の1!$B$11:$B$310),INDEX(条幅4分の1!$D$11:$D$310,852-COUNTA(半紙!$B$11:$B$310)-COUNTA(条幅!$B$11:$B$310)),""))))</f>
        <v/>
      </c>
      <c r="E857" s="38" t="str">
        <f>IF(IF(852&lt;=COUNTA(半紙!$B$11:$B$310),INDEX(半紙!$E$11:$E$310,852),IF(852&lt;=COUNTA(半紙!$B$11:$B$310)+COUNTA(条幅!$B$11:$B$310),INDEX(条幅!$E$11:$E$310,852-COUNTA(半紙!$B$11:$B$310)),IF(852&lt;=COUNTA(半紙!$B$11:$B$310)+COUNTA(条幅!$B$11:$B$310)+COUNTA(条幅4分の1!$B$11:$B$310),INDEX(条幅4分の1!$E$11:$E$310,852-COUNTA(半紙!$B$11:$B$310)-COUNTA(条幅!$B$11:$B$310)),"")))=0,"",IF(852&lt;=COUNTA(半紙!$B$11:$B$310),INDEX(半紙!$E$11:$E$310,852),IF(852&lt;=COUNTA(半紙!$B$11:$B$310)+COUNTA(条幅!$B$11:$B$310),INDEX(条幅!$E$11:$E$310,852-COUNTA(半紙!$B$11:$B$310)),IF(852&lt;=COUNTA(半紙!$B$11:$B$310)+COUNTA(条幅!$B$11:$B$310)+COUNTA(条幅4分の1!$B$11:$B$310),INDEX(条幅4分の1!$E$11:$E$310,852-COUNTA(半紙!$B$11:$B$310)-COUNTA(条幅!$B$11:$B$310)),""))))</f>
        <v/>
      </c>
      <c r="F857" s="38" t="str">
        <f>IF(IF(852&lt;=COUNTA(半紙!$B$11:$B$310),INDEX(半紙!$F$11:$F$310,852),IF(852&lt;=COUNTA(半紙!$B$11:$B$310)+COUNTA(条幅!$B$11:$B$310),INDEX(条幅!$F$11:$F$310,852-COUNTA(半紙!$B$11:$B$310)),IF(852&lt;=COUNTA(半紙!$B$11:$B$310)+COUNTA(条幅!$B$11:$B$310)+COUNTA(条幅4分の1!$B$11:$B$310),INDEX(条幅4分の1!$F$11:$F$310,852-COUNTA(半紙!$B$11:$B$310)-COUNTA(条幅!$B$11:$B$310)),"")))=0,"",IF(852&lt;=COUNTA(半紙!$B$11:$B$310),INDEX(半紙!$F$11:$F$310,852),IF(852&lt;=COUNTA(半紙!$B$11:$B$310)+COUNTA(条幅!$B$11:$B$310),INDEX(条幅!$F$11:$F$310,852-COUNTA(半紙!$B$11:$B$310)),IF(852&lt;=COUNTA(半紙!$B$11:$B$310)+COUNTA(条幅!$B$11:$B$310)+COUNTA(条幅4分の1!$B$11:$B$310),INDEX(条幅4分の1!$F$11:$F$310,852-COUNTA(半紙!$B$11:$B$310)-COUNTA(条幅!$B$11:$B$310)),""))))</f>
        <v/>
      </c>
      <c r="G857" s="38" t="str">
        <f>IF(IF(852&lt;=COUNTA(半紙!$B$11:$B$310),INDEX(半紙!$G$11:$G$310,852),IF(852&lt;=COUNTA(半紙!$B$11:$B$310)+COUNTA(条幅!$B$11:$B$310),INDEX(条幅!$G$11:$G$310,852-COUNTA(半紙!$B$11:$B$310)),IF(852&lt;=COUNTA(半紙!$B$11:$B$310)+COUNTA(条幅!$B$11:$B$310)+COUNTA(条幅4分の1!$B$11:$B$310),INDEX(条幅4分の1!$G$11:$G$310,852-COUNTA(半紙!$B$11:$B$310)-COUNTA(条幅!$B$11:$B$310)),"")))=0,"",IF(852&lt;=COUNTA(半紙!$B$11:$B$310),INDEX(半紙!$G$11:$G$310,852),IF(852&lt;=COUNTA(半紙!$B$11:$B$310)+COUNTA(条幅!$B$11:$B$310),INDEX(条幅!$G$11:$G$310,852-COUNTA(半紙!$B$11:$B$310)),IF(852&lt;=COUNTA(半紙!$B$11:$B$310)+COUNTA(条幅!$B$11:$B$310)+COUNTA(条幅4分の1!$B$11:$B$310),INDEX(条幅4分の1!$G$11:$G$310,852-COUNTA(半紙!$B$11:$B$310)-COUNTA(条幅!$B$11:$B$310)),""))))</f>
        <v/>
      </c>
      <c r="H857" s="38" t="str">
        <f>IF(IF(852&lt;=COUNTA(半紙!$B$11:$B$310),INDEX(半紙!$H$11:$H$310,852),IF(852&lt;=COUNTA(半紙!$B$11:$B$310)+COUNTA(条幅!$B$11:$B$310),INDEX(条幅!$H$11:$H$310,852-COUNTA(半紙!$B$11:$B$310)),IF(852&lt;=COUNTA(半紙!$B$11:$B$310)+COUNTA(条幅!$B$11:$B$310)+COUNTA(条幅4分の1!$B$11:$B$310),INDEX(条幅4分の1!$H$11:$H$310,852-COUNTA(半紙!$B$11:$B$310)-COUNTA(条幅!$B$11:$B$310)),"")))=0,"",IF(852&lt;=COUNTA(半紙!$B$11:$B$310),INDEX(半紙!$H$11:$H$310,852),IF(852&lt;=COUNTA(半紙!$B$11:$B$310)+COUNTA(条幅!$B$11:$B$310),INDEX(条幅!$H$11:$H$310,852-COUNTA(半紙!$B$11:$B$310)),IF(852&lt;=COUNTA(半紙!$B$11:$B$310)+COUNTA(条幅!$B$11:$B$310)+COUNTA(条幅4分の1!$B$11:$B$310),INDEX(条幅4分の1!$H$11:$H$310,852-COUNTA(半紙!$B$11:$B$310)-COUNTA(条幅!$B$11:$B$310)),""))))</f>
        <v/>
      </c>
      <c r="I857" s="38" t="str">
        <f>IF(IF(852&lt;=COUNTA(半紙!$B$11:$B$310),INDEX(半紙!$I$11:$I$310,852),IF(852&lt;=COUNTA(半紙!$B$11:$B$310)+COUNTA(条幅!$B$11:$B$310),INDEX(条幅!$I$11:$I$310,852-COUNTA(半紙!$B$11:$B$310)),IF(852&lt;=COUNTA(半紙!$B$11:$B$310)+COUNTA(条幅!$B$11:$B$310)+COUNTA(条幅4分の1!$B$11:$B$310),INDEX(条幅4分の1!$I$11:$I$310,852-COUNTA(半紙!$B$11:$B$310)-COUNTA(条幅!$B$11:$B$310)),"")))=0,"",IF(852&lt;=COUNTA(半紙!$B$11:$B$310),INDEX(半紙!$I$11:$I$310,852),IF(852&lt;=COUNTA(半紙!$B$11:$B$310)+COUNTA(条幅!$B$11:$B$310),INDEX(条幅!$I$11:$I$310,852-COUNTA(半紙!$B$11:$B$310)),IF(852&lt;=COUNTA(半紙!$B$11:$B$310)+COUNTA(条幅!$B$11:$B$310)+COUNTA(条幅4分の1!$B$11:$B$310),INDEX(条幅4分の1!$I$11:$I$310,852-COUNTA(半紙!$B$11:$B$310)-COUNTA(条幅!$B$11:$B$310)),""))))</f>
        <v/>
      </c>
      <c r="J857" s="38" t="str">
        <f>IF(IF(852&lt;=COUNTA(半紙!$B$11:$B$310),INDEX(半紙!$J$11:$J$310,852),IF(852&lt;=COUNTA(半紙!$B$11:$B$310)+COUNTA(条幅!$B$11:$B$310),INDEX(条幅!$J$11:$J$310,852-COUNTA(半紙!$B$11:$B$310)),IF(852&lt;=COUNTA(半紙!$B$11:$B$310)+COUNTA(条幅!$B$11:$B$310)+COUNTA(条幅4分の1!$B$11:$B$310),INDEX(条幅4分の1!$J$11:$J$310,852-COUNTA(半紙!$B$11:$B$310)-COUNTA(条幅!$B$11:$B$310)),"")))=0,"",IF(852&lt;=COUNTA(半紙!$B$11:$B$310),INDEX(半紙!$J$11:$J$310,852),IF(852&lt;=COUNTA(半紙!$B$11:$B$310)+COUNTA(条幅!$B$11:$B$310),INDEX(条幅!$J$11:$J$310,852-COUNTA(半紙!$B$11:$B$310)),IF(852&lt;=COUNTA(半紙!$B$11:$B$310)+COUNTA(条幅!$B$11:$B$310)+COUNTA(条幅4分の1!$B$11:$B$310),INDEX(条幅4分の1!$J$11:$J$310,852-COUNTA(半紙!$B$11:$B$310)-COUNTA(条幅!$B$11:$B$310)),""))))</f>
        <v/>
      </c>
      <c r="K857" s="38" t="str">
        <f>IF(IF(852&lt;=COUNTA(半紙!$B$11:$B$310),INDEX(半紙!$K$11:$K$310,852),IF(852&lt;=COUNTA(半紙!$B$11:$B$310)+COUNTA(条幅!$B$11:$B$310),INDEX(条幅!$K$11:$K$310,852-COUNTA(半紙!$B$11:$B$310)),IF(852&lt;=COUNTA(半紙!$B$11:$B$310)+COUNTA(条幅!$B$11:$B$310)+COUNTA(条幅4分の1!$B$11:$B$310),INDEX(条幅4分の1!$K$11:$K$310,852-COUNTA(半紙!$B$11:$B$310)-COUNTA(条幅!$B$11:$B$310)),"")))=0,"",IF(852&lt;=COUNTA(半紙!$B$11:$B$310),INDEX(半紙!$K$11:$K$310,852),IF(852&lt;=COUNTA(半紙!$B$11:$B$310)+COUNTA(条幅!$B$11:$B$310),INDEX(条幅!$K$11:$K$310,852-COUNTA(半紙!$B$11:$B$310)),IF(852&lt;=COUNTA(半紙!$B$11:$B$310)+COUNTA(条幅!$B$11:$B$310)+COUNTA(条幅4分の1!$B$11:$B$310),INDEX(条幅4分の1!$K$11:$K$310,852-COUNTA(半紙!$B$11:$B$310)-COUNTA(条幅!$B$11:$B$310)),""))))</f>
        <v/>
      </c>
      <c r="L857" s="48" t="str">
        <f>IF($B857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852))</f>
        <v/>
      </c>
    </row>
    <row r="858" spans="1:12" ht="15" customHeight="1">
      <c r="A858" s="37" t="str">
        <f>IF(853&lt;=COUNTA(半紙!$B$11:$B$310),"半紙",IF(853&lt;=COUNTA(半紙!$B$11:$B$310)+COUNTA(条幅!$B$11:$B$310),"条幅(半切)",IF(853&lt;=COUNTA(半紙!$B$11:$B$310)+COUNTA(条幅!$B$11:$B$310)+COUNTA(条幅4分の1!$B$11:$B$310),"条幅(1/4)","")))</f>
        <v/>
      </c>
      <c r="B858" s="38" t="str">
        <f>IF(IF(853&lt;=COUNTA(半紙!$B$11:$B$310),INDEX(半紙!$B$11:$B$310,853),IF(853&lt;=COUNTA(半紙!$B$11:$B$310)+COUNTA(条幅!$B$11:$B$310),INDEX(条幅!$B$11:$B$310,853-COUNTA(半紙!$B$11:$B$310)),IF(853&lt;=COUNTA(半紙!$B$11:$B$310)+COUNTA(条幅!$B$11:$B$310)+COUNTA(条幅4分の1!$B$11:$B$310),INDEX(条幅4分の1!$B$11:$B$310,853-COUNTA(半紙!$B$11:$B$310)-COUNTA(条幅!$B$11:$B$310)),"")))=0,"",IF(853&lt;=COUNTA(半紙!$B$11:$B$310),INDEX(半紙!$B$11:$B$310,853),IF(853&lt;=COUNTA(半紙!$B$11:$B$310)+COUNTA(条幅!$B$11:$B$310),INDEX(条幅!$B$11:$B$310,853-COUNTA(半紙!$B$11:$B$310)),IF(853&lt;=COUNTA(半紙!$B$11:$B$310)+COUNTA(条幅!$B$11:$B$310)+COUNTA(条幅4分の1!$B$11:$B$310),INDEX(条幅4分の1!$B$11:$B$310,853-COUNTA(半紙!$B$11:$B$310)-COUNTA(条幅!$B$11:$B$310)),""))))</f>
        <v/>
      </c>
      <c r="C858" s="38" t="str">
        <f>IF(IF(853&lt;=COUNTA(半紙!$B$11:$B$310),INDEX(半紙!$C$11:$C$310,853),IF(853&lt;=COUNTA(半紙!$B$11:$B$310)+COUNTA(条幅!$B$11:$B$310),INDEX(条幅!$C$11:$C$310,853-COUNTA(半紙!$B$11:$B$310)),IF(853&lt;=COUNTA(半紙!$B$11:$B$310)+COUNTA(条幅!$B$11:$B$310)+COUNTA(条幅4分の1!$B$11:$B$310),INDEX(条幅4分の1!$C$11:$C$310,853-COUNTA(半紙!$B$11:$B$310)-COUNTA(条幅!$B$11:$B$310)),"")))=0,"",IF(853&lt;=COUNTA(半紙!$B$11:$B$310),INDEX(半紙!$C$11:$C$310,853),IF(853&lt;=COUNTA(半紙!$B$11:$B$310)+COUNTA(条幅!$B$11:$B$310),INDEX(条幅!$C$11:$C$310,853-COUNTA(半紙!$B$11:$B$310)),IF(853&lt;=COUNTA(半紙!$B$11:$B$310)+COUNTA(条幅!$B$11:$B$310)+COUNTA(条幅4分の1!$B$11:$B$310),INDEX(条幅4分の1!$C$11:$C$310,853-COUNTA(半紙!$B$11:$B$310)-COUNTA(条幅!$B$11:$B$310)),""))))</f>
        <v/>
      </c>
      <c r="D858" s="38" t="str">
        <f>IF(IF(853&lt;=COUNTA(半紙!$B$11:$B$310),INDEX(半紙!$D$11:$D$310,853),IF(853&lt;=COUNTA(半紙!$B$11:$B$310)+COUNTA(条幅!$B$11:$B$310),INDEX(条幅!$D$11:$D$310,853-COUNTA(半紙!$B$11:$B$310)),IF(853&lt;=COUNTA(半紙!$B$11:$B$310)+COUNTA(条幅!$B$11:$B$310)+COUNTA(条幅4分の1!$B$11:$B$310),INDEX(条幅4分の1!$D$11:$D$310,853-COUNTA(半紙!$B$11:$B$310)-COUNTA(条幅!$B$11:$B$310)),"")))=0,"",IF(853&lt;=COUNTA(半紙!$B$11:$B$310),INDEX(半紙!$D$11:$D$310,853),IF(853&lt;=COUNTA(半紙!$B$11:$B$310)+COUNTA(条幅!$B$11:$B$310),INDEX(条幅!$D$11:$D$310,853-COUNTA(半紙!$B$11:$B$310)),IF(853&lt;=COUNTA(半紙!$B$11:$B$310)+COUNTA(条幅!$B$11:$B$310)+COUNTA(条幅4分の1!$B$11:$B$310),INDEX(条幅4分の1!$D$11:$D$310,853-COUNTA(半紙!$B$11:$B$310)-COUNTA(条幅!$B$11:$B$310)),""))))</f>
        <v/>
      </c>
      <c r="E858" s="38" t="str">
        <f>IF(IF(853&lt;=COUNTA(半紙!$B$11:$B$310),INDEX(半紙!$E$11:$E$310,853),IF(853&lt;=COUNTA(半紙!$B$11:$B$310)+COUNTA(条幅!$B$11:$B$310),INDEX(条幅!$E$11:$E$310,853-COUNTA(半紙!$B$11:$B$310)),IF(853&lt;=COUNTA(半紙!$B$11:$B$310)+COUNTA(条幅!$B$11:$B$310)+COUNTA(条幅4分の1!$B$11:$B$310),INDEX(条幅4分の1!$E$11:$E$310,853-COUNTA(半紙!$B$11:$B$310)-COUNTA(条幅!$B$11:$B$310)),"")))=0,"",IF(853&lt;=COUNTA(半紙!$B$11:$B$310),INDEX(半紙!$E$11:$E$310,853),IF(853&lt;=COUNTA(半紙!$B$11:$B$310)+COUNTA(条幅!$B$11:$B$310),INDEX(条幅!$E$11:$E$310,853-COUNTA(半紙!$B$11:$B$310)),IF(853&lt;=COUNTA(半紙!$B$11:$B$310)+COUNTA(条幅!$B$11:$B$310)+COUNTA(条幅4分の1!$B$11:$B$310),INDEX(条幅4分の1!$E$11:$E$310,853-COUNTA(半紙!$B$11:$B$310)-COUNTA(条幅!$B$11:$B$310)),""))))</f>
        <v/>
      </c>
      <c r="F858" s="38" t="str">
        <f>IF(IF(853&lt;=COUNTA(半紙!$B$11:$B$310),INDEX(半紙!$F$11:$F$310,853),IF(853&lt;=COUNTA(半紙!$B$11:$B$310)+COUNTA(条幅!$B$11:$B$310),INDEX(条幅!$F$11:$F$310,853-COUNTA(半紙!$B$11:$B$310)),IF(853&lt;=COUNTA(半紙!$B$11:$B$310)+COUNTA(条幅!$B$11:$B$310)+COUNTA(条幅4分の1!$B$11:$B$310),INDEX(条幅4分の1!$F$11:$F$310,853-COUNTA(半紙!$B$11:$B$310)-COUNTA(条幅!$B$11:$B$310)),"")))=0,"",IF(853&lt;=COUNTA(半紙!$B$11:$B$310),INDEX(半紙!$F$11:$F$310,853),IF(853&lt;=COUNTA(半紙!$B$11:$B$310)+COUNTA(条幅!$B$11:$B$310),INDEX(条幅!$F$11:$F$310,853-COUNTA(半紙!$B$11:$B$310)),IF(853&lt;=COUNTA(半紙!$B$11:$B$310)+COUNTA(条幅!$B$11:$B$310)+COUNTA(条幅4分の1!$B$11:$B$310),INDEX(条幅4分の1!$F$11:$F$310,853-COUNTA(半紙!$B$11:$B$310)-COUNTA(条幅!$B$11:$B$310)),""))))</f>
        <v/>
      </c>
      <c r="G858" s="38" t="str">
        <f>IF(IF(853&lt;=COUNTA(半紙!$B$11:$B$310),INDEX(半紙!$G$11:$G$310,853),IF(853&lt;=COUNTA(半紙!$B$11:$B$310)+COUNTA(条幅!$B$11:$B$310),INDEX(条幅!$G$11:$G$310,853-COUNTA(半紙!$B$11:$B$310)),IF(853&lt;=COUNTA(半紙!$B$11:$B$310)+COUNTA(条幅!$B$11:$B$310)+COUNTA(条幅4分の1!$B$11:$B$310),INDEX(条幅4分の1!$G$11:$G$310,853-COUNTA(半紙!$B$11:$B$310)-COUNTA(条幅!$B$11:$B$310)),"")))=0,"",IF(853&lt;=COUNTA(半紙!$B$11:$B$310),INDEX(半紙!$G$11:$G$310,853),IF(853&lt;=COUNTA(半紙!$B$11:$B$310)+COUNTA(条幅!$B$11:$B$310),INDEX(条幅!$G$11:$G$310,853-COUNTA(半紙!$B$11:$B$310)),IF(853&lt;=COUNTA(半紙!$B$11:$B$310)+COUNTA(条幅!$B$11:$B$310)+COUNTA(条幅4分の1!$B$11:$B$310),INDEX(条幅4分の1!$G$11:$G$310,853-COUNTA(半紙!$B$11:$B$310)-COUNTA(条幅!$B$11:$B$310)),""))))</f>
        <v/>
      </c>
      <c r="H858" s="38" t="str">
        <f>IF(IF(853&lt;=COUNTA(半紙!$B$11:$B$310),INDEX(半紙!$H$11:$H$310,853),IF(853&lt;=COUNTA(半紙!$B$11:$B$310)+COUNTA(条幅!$B$11:$B$310),INDEX(条幅!$H$11:$H$310,853-COUNTA(半紙!$B$11:$B$310)),IF(853&lt;=COUNTA(半紙!$B$11:$B$310)+COUNTA(条幅!$B$11:$B$310)+COUNTA(条幅4分の1!$B$11:$B$310),INDEX(条幅4分の1!$H$11:$H$310,853-COUNTA(半紙!$B$11:$B$310)-COUNTA(条幅!$B$11:$B$310)),"")))=0,"",IF(853&lt;=COUNTA(半紙!$B$11:$B$310),INDEX(半紙!$H$11:$H$310,853),IF(853&lt;=COUNTA(半紙!$B$11:$B$310)+COUNTA(条幅!$B$11:$B$310),INDEX(条幅!$H$11:$H$310,853-COUNTA(半紙!$B$11:$B$310)),IF(853&lt;=COUNTA(半紙!$B$11:$B$310)+COUNTA(条幅!$B$11:$B$310)+COUNTA(条幅4分の1!$B$11:$B$310),INDEX(条幅4分の1!$H$11:$H$310,853-COUNTA(半紙!$B$11:$B$310)-COUNTA(条幅!$B$11:$B$310)),""))))</f>
        <v/>
      </c>
      <c r="I858" s="38" t="str">
        <f>IF(IF(853&lt;=COUNTA(半紙!$B$11:$B$310),INDEX(半紙!$I$11:$I$310,853),IF(853&lt;=COUNTA(半紙!$B$11:$B$310)+COUNTA(条幅!$B$11:$B$310),INDEX(条幅!$I$11:$I$310,853-COUNTA(半紙!$B$11:$B$310)),IF(853&lt;=COUNTA(半紙!$B$11:$B$310)+COUNTA(条幅!$B$11:$B$310)+COUNTA(条幅4分の1!$B$11:$B$310),INDEX(条幅4分の1!$I$11:$I$310,853-COUNTA(半紙!$B$11:$B$310)-COUNTA(条幅!$B$11:$B$310)),"")))=0,"",IF(853&lt;=COUNTA(半紙!$B$11:$B$310),INDEX(半紙!$I$11:$I$310,853),IF(853&lt;=COUNTA(半紙!$B$11:$B$310)+COUNTA(条幅!$B$11:$B$310),INDEX(条幅!$I$11:$I$310,853-COUNTA(半紙!$B$11:$B$310)),IF(853&lt;=COUNTA(半紙!$B$11:$B$310)+COUNTA(条幅!$B$11:$B$310)+COUNTA(条幅4分の1!$B$11:$B$310),INDEX(条幅4分の1!$I$11:$I$310,853-COUNTA(半紙!$B$11:$B$310)-COUNTA(条幅!$B$11:$B$310)),""))))</f>
        <v/>
      </c>
      <c r="J858" s="38" t="str">
        <f>IF(IF(853&lt;=COUNTA(半紙!$B$11:$B$310),INDEX(半紙!$J$11:$J$310,853),IF(853&lt;=COUNTA(半紙!$B$11:$B$310)+COUNTA(条幅!$B$11:$B$310),INDEX(条幅!$J$11:$J$310,853-COUNTA(半紙!$B$11:$B$310)),IF(853&lt;=COUNTA(半紙!$B$11:$B$310)+COUNTA(条幅!$B$11:$B$310)+COUNTA(条幅4分の1!$B$11:$B$310),INDEX(条幅4分の1!$J$11:$J$310,853-COUNTA(半紙!$B$11:$B$310)-COUNTA(条幅!$B$11:$B$310)),"")))=0,"",IF(853&lt;=COUNTA(半紙!$B$11:$B$310),INDEX(半紙!$J$11:$J$310,853),IF(853&lt;=COUNTA(半紙!$B$11:$B$310)+COUNTA(条幅!$B$11:$B$310),INDEX(条幅!$J$11:$J$310,853-COUNTA(半紙!$B$11:$B$310)),IF(853&lt;=COUNTA(半紙!$B$11:$B$310)+COUNTA(条幅!$B$11:$B$310)+COUNTA(条幅4分の1!$B$11:$B$310),INDEX(条幅4分の1!$J$11:$J$310,853-COUNTA(半紙!$B$11:$B$310)-COUNTA(条幅!$B$11:$B$310)),""))))</f>
        <v/>
      </c>
      <c r="K858" s="38" t="str">
        <f>IF(IF(853&lt;=COUNTA(半紙!$B$11:$B$310),INDEX(半紙!$K$11:$K$310,853),IF(853&lt;=COUNTA(半紙!$B$11:$B$310)+COUNTA(条幅!$B$11:$B$310),INDEX(条幅!$K$11:$K$310,853-COUNTA(半紙!$B$11:$B$310)),IF(853&lt;=COUNTA(半紙!$B$11:$B$310)+COUNTA(条幅!$B$11:$B$310)+COUNTA(条幅4分の1!$B$11:$B$310),INDEX(条幅4分の1!$K$11:$K$310,853-COUNTA(半紙!$B$11:$B$310)-COUNTA(条幅!$B$11:$B$310)),"")))=0,"",IF(853&lt;=COUNTA(半紙!$B$11:$B$310),INDEX(半紙!$K$11:$K$310,853),IF(853&lt;=COUNTA(半紙!$B$11:$B$310)+COUNTA(条幅!$B$11:$B$310),INDEX(条幅!$K$11:$K$310,853-COUNTA(半紙!$B$11:$B$310)),IF(853&lt;=COUNTA(半紙!$B$11:$B$310)+COUNTA(条幅!$B$11:$B$310)+COUNTA(条幅4分の1!$B$11:$B$310),INDEX(条幅4分の1!$K$11:$K$310,853-COUNTA(半紙!$B$11:$B$310)-COUNTA(条幅!$B$11:$B$310)),""))))</f>
        <v/>
      </c>
      <c r="L858" s="48" t="str">
        <f>IF($B858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853))</f>
        <v/>
      </c>
    </row>
    <row r="859" spans="1:12" ht="15" customHeight="1">
      <c r="A859" s="37" t="str">
        <f>IF(854&lt;=COUNTA(半紙!$B$11:$B$310),"半紙",IF(854&lt;=COUNTA(半紙!$B$11:$B$310)+COUNTA(条幅!$B$11:$B$310),"条幅(半切)",IF(854&lt;=COUNTA(半紙!$B$11:$B$310)+COUNTA(条幅!$B$11:$B$310)+COUNTA(条幅4分の1!$B$11:$B$310),"条幅(1/4)","")))</f>
        <v/>
      </c>
      <c r="B859" s="38" t="str">
        <f>IF(IF(854&lt;=COUNTA(半紙!$B$11:$B$310),INDEX(半紙!$B$11:$B$310,854),IF(854&lt;=COUNTA(半紙!$B$11:$B$310)+COUNTA(条幅!$B$11:$B$310),INDEX(条幅!$B$11:$B$310,854-COUNTA(半紙!$B$11:$B$310)),IF(854&lt;=COUNTA(半紙!$B$11:$B$310)+COUNTA(条幅!$B$11:$B$310)+COUNTA(条幅4分の1!$B$11:$B$310),INDEX(条幅4分の1!$B$11:$B$310,854-COUNTA(半紙!$B$11:$B$310)-COUNTA(条幅!$B$11:$B$310)),"")))=0,"",IF(854&lt;=COUNTA(半紙!$B$11:$B$310),INDEX(半紙!$B$11:$B$310,854),IF(854&lt;=COUNTA(半紙!$B$11:$B$310)+COUNTA(条幅!$B$11:$B$310),INDEX(条幅!$B$11:$B$310,854-COUNTA(半紙!$B$11:$B$310)),IF(854&lt;=COUNTA(半紙!$B$11:$B$310)+COUNTA(条幅!$B$11:$B$310)+COUNTA(条幅4分の1!$B$11:$B$310),INDEX(条幅4分の1!$B$11:$B$310,854-COUNTA(半紙!$B$11:$B$310)-COUNTA(条幅!$B$11:$B$310)),""))))</f>
        <v/>
      </c>
      <c r="C859" s="38" t="str">
        <f>IF(IF(854&lt;=COUNTA(半紙!$B$11:$B$310),INDEX(半紙!$C$11:$C$310,854),IF(854&lt;=COUNTA(半紙!$B$11:$B$310)+COUNTA(条幅!$B$11:$B$310),INDEX(条幅!$C$11:$C$310,854-COUNTA(半紙!$B$11:$B$310)),IF(854&lt;=COUNTA(半紙!$B$11:$B$310)+COUNTA(条幅!$B$11:$B$310)+COUNTA(条幅4分の1!$B$11:$B$310),INDEX(条幅4分の1!$C$11:$C$310,854-COUNTA(半紙!$B$11:$B$310)-COUNTA(条幅!$B$11:$B$310)),"")))=0,"",IF(854&lt;=COUNTA(半紙!$B$11:$B$310),INDEX(半紙!$C$11:$C$310,854),IF(854&lt;=COUNTA(半紙!$B$11:$B$310)+COUNTA(条幅!$B$11:$B$310),INDEX(条幅!$C$11:$C$310,854-COUNTA(半紙!$B$11:$B$310)),IF(854&lt;=COUNTA(半紙!$B$11:$B$310)+COUNTA(条幅!$B$11:$B$310)+COUNTA(条幅4分の1!$B$11:$B$310),INDEX(条幅4分の1!$C$11:$C$310,854-COUNTA(半紙!$B$11:$B$310)-COUNTA(条幅!$B$11:$B$310)),""))))</f>
        <v/>
      </c>
      <c r="D859" s="38" t="str">
        <f>IF(IF(854&lt;=COUNTA(半紙!$B$11:$B$310),INDEX(半紙!$D$11:$D$310,854),IF(854&lt;=COUNTA(半紙!$B$11:$B$310)+COUNTA(条幅!$B$11:$B$310),INDEX(条幅!$D$11:$D$310,854-COUNTA(半紙!$B$11:$B$310)),IF(854&lt;=COUNTA(半紙!$B$11:$B$310)+COUNTA(条幅!$B$11:$B$310)+COUNTA(条幅4分の1!$B$11:$B$310),INDEX(条幅4分の1!$D$11:$D$310,854-COUNTA(半紙!$B$11:$B$310)-COUNTA(条幅!$B$11:$B$310)),"")))=0,"",IF(854&lt;=COUNTA(半紙!$B$11:$B$310),INDEX(半紙!$D$11:$D$310,854),IF(854&lt;=COUNTA(半紙!$B$11:$B$310)+COUNTA(条幅!$B$11:$B$310),INDEX(条幅!$D$11:$D$310,854-COUNTA(半紙!$B$11:$B$310)),IF(854&lt;=COUNTA(半紙!$B$11:$B$310)+COUNTA(条幅!$B$11:$B$310)+COUNTA(条幅4分の1!$B$11:$B$310),INDEX(条幅4分の1!$D$11:$D$310,854-COUNTA(半紙!$B$11:$B$310)-COUNTA(条幅!$B$11:$B$310)),""))))</f>
        <v/>
      </c>
      <c r="E859" s="38" t="str">
        <f>IF(IF(854&lt;=COUNTA(半紙!$B$11:$B$310),INDEX(半紙!$E$11:$E$310,854),IF(854&lt;=COUNTA(半紙!$B$11:$B$310)+COUNTA(条幅!$B$11:$B$310),INDEX(条幅!$E$11:$E$310,854-COUNTA(半紙!$B$11:$B$310)),IF(854&lt;=COUNTA(半紙!$B$11:$B$310)+COUNTA(条幅!$B$11:$B$310)+COUNTA(条幅4分の1!$B$11:$B$310),INDEX(条幅4分の1!$E$11:$E$310,854-COUNTA(半紙!$B$11:$B$310)-COUNTA(条幅!$B$11:$B$310)),"")))=0,"",IF(854&lt;=COUNTA(半紙!$B$11:$B$310),INDEX(半紙!$E$11:$E$310,854),IF(854&lt;=COUNTA(半紙!$B$11:$B$310)+COUNTA(条幅!$B$11:$B$310),INDEX(条幅!$E$11:$E$310,854-COUNTA(半紙!$B$11:$B$310)),IF(854&lt;=COUNTA(半紙!$B$11:$B$310)+COUNTA(条幅!$B$11:$B$310)+COUNTA(条幅4分の1!$B$11:$B$310),INDEX(条幅4分の1!$E$11:$E$310,854-COUNTA(半紙!$B$11:$B$310)-COUNTA(条幅!$B$11:$B$310)),""))))</f>
        <v/>
      </c>
      <c r="F859" s="38" t="str">
        <f>IF(IF(854&lt;=COUNTA(半紙!$B$11:$B$310),INDEX(半紙!$F$11:$F$310,854),IF(854&lt;=COUNTA(半紙!$B$11:$B$310)+COUNTA(条幅!$B$11:$B$310),INDEX(条幅!$F$11:$F$310,854-COUNTA(半紙!$B$11:$B$310)),IF(854&lt;=COUNTA(半紙!$B$11:$B$310)+COUNTA(条幅!$B$11:$B$310)+COUNTA(条幅4分の1!$B$11:$B$310),INDEX(条幅4分の1!$F$11:$F$310,854-COUNTA(半紙!$B$11:$B$310)-COUNTA(条幅!$B$11:$B$310)),"")))=0,"",IF(854&lt;=COUNTA(半紙!$B$11:$B$310),INDEX(半紙!$F$11:$F$310,854),IF(854&lt;=COUNTA(半紙!$B$11:$B$310)+COUNTA(条幅!$B$11:$B$310),INDEX(条幅!$F$11:$F$310,854-COUNTA(半紙!$B$11:$B$310)),IF(854&lt;=COUNTA(半紙!$B$11:$B$310)+COUNTA(条幅!$B$11:$B$310)+COUNTA(条幅4分の1!$B$11:$B$310),INDEX(条幅4分の1!$F$11:$F$310,854-COUNTA(半紙!$B$11:$B$310)-COUNTA(条幅!$B$11:$B$310)),""))))</f>
        <v/>
      </c>
      <c r="G859" s="38" t="str">
        <f>IF(IF(854&lt;=COUNTA(半紙!$B$11:$B$310),INDEX(半紙!$G$11:$G$310,854),IF(854&lt;=COUNTA(半紙!$B$11:$B$310)+COUNTA(条幅!$B$11:$B$310),INDEX(条幅!$G$11:$G$310,854-COUNTA(半紙!$B$11:$B$310)),IF(854&lt;=COUNTA(半紙!$B$11:$B$310)+COUNTA(条幅!$B$11:$B$310)+COUNTA(条幅4分の1!$B$11:$B$310),INDEX(条幅4分の1!$G$11:$G$310,854-COUNTA(半紙!$B$11:$B$310)-COUNTA(条幅!$B$11:$B$310)),"")))=0,"",IF(854&lt;=COUNTA(半紙!$B$11:$B$310),INDEX(半紙!$G$11:$G$310,854),IF(854&lt;=COUNTA(半紙!$B$11:$B$310)+COUNTA(条幅!$B$11:$B$310),INDEX(条幅!$G$11:$G$310,854-COUNTA(半紙!$B$11:$B$310)),IF(854&lt;=COUNTA(半紙!$B$11:$B$310)+COUNTA(条幅!$B$11:$B$310)+COUNTA(条幅4分の1!$B$11:$B$310),INDEX(条幅4分の1!$G$11:$G$310,854-COUNTA(半紙!$B$11:$B$310)-COUNTA(条幅!$B$11:$B$310)),""))))</f>
        <v/>
      </c>
      <c r="H859" s="38" t="str">
        <f>IF(IF(854&lt;=COUNTA(半紙!$B$11:$B$310),INDEX(半紙!$H$11:$H$310,854),IF(854&lt;=COUNTA(半紙!$B$11:$B$310)+COUNTA(条幅!$B$11:$B$310),INDEX(条幅!$H$11:$H$310,854-COUNTA(半紙!$B$11:$B$310)),IF(854&lt;=COUNTA(半紙!$B$11:$B$310)+COUNTA(条幅!$B$11:$B$310)+COUNTA(条幅4分の1!$B$11:$B$310),INDEX(条幅4分の1!$H$11:$H$310,854-COUNTA(半紙!$B$11:$B$310)-COUNTA(条幅!$B$11:$B$310)),"")))=0,"",IF(854&lt;=COUNTA(半紙!$B$11:$B$310),INDEX(半紙!$H$11:$H$310,854),IF(854&lt;=COUNTA(半紙!$B$11:$B$310)+COUNTA(条幅!$B$11:$B$310),INDEX(条幅!$H$11:$H$310,854-COUNTA(半紙!$B$11:$B$310)),IF(854&lt;=COUNTA(半紙!$B$11:$B$310)+COUNTA(条幅!$B$11:$B$310)+COUNTA(条幅4分の1!$B$11:$B$310),INDEX(条幅4分の1!$H$11:$H$310,854-COUNTA(半紙!$B$11:$B$310)-COUNTA(条幅!$B$11:$B$310)),""))))</f>
        <v/>
      </c>
      <c r="I859" s="38" t="str">
        <f>IF(IF(854&lt;=COUNTA(半紙!$B$11:$B$310),INDEX(半紙!$I$11:$I$310,854),IF(854&lt;=COUNTA(半紙!$B$11:$B$310)+COUNTA(条幅!$B$11:$B$310),INDEX(条幅!$I$11:$I$310,854-COUNTA(半紙!$B$11:$B$310)),IF(854&lt;=COUNTA(半紙!$B$11:$B$310)+COUNTA(条幅!$B$11:$B$310)+COUNTA(条幅4分の1!$B$11:$B$310),INDEX(条幅4分の1!$I$11:$I$310,854-COUNTA(半紙!$B$11:$B$310)-COUNTA(条幅!$B$11:$B$310)),"")))=0,"",IF(854&lt;=COUNTA(半紙!$B$11:$B$310),INDEX(半紙!$I$11:$I$310,854),IF(854&lt;=COUNTA(半紙!$B$11:$B$310)+COUNTA(条幅!$B$11:$B$310),INDEX(条幅!$I$11:$I$310,854-COUNTA(半紙!$B$11:$B$310)),IF(854&lt;=COUNTA(半紙!$B$11:$B$310)+COUNTA(条幅!$B$11:$B$310)+COUNTA(条幅4分の1!$B$11:$B$310),INDEX(条幅4分の1!$I$11:$I$310,854-COUNTA(半紙!$B$11:$B$310)-COUNTA(条幅!$B$11:$B$310)),""))))</f>
        <v/>
      </c>
      <c r="J859" s="38" t="str">
        <f>IF(IF(854&lt;=COUNTA(半紙!$B$11:$B$310),INDEX(半紙!$J$11:$J$310,854),IF(854&lt;=COUNTA(半紙!$B$11:$B$310)+COUNTA(条幅!$B$11:$B$310),INDEX(条幅!$J$11:$J$310,854-COUNTA(半紙!$B$11:$B$310)),IF(854&lt;=COUNTA(半紙!$B$11:$B$310)+COUNTA(条幅!$B$11:$B$310)+COUNTA(条幅4分の1!$B$11:$B$310),INDEX(条幅4分の1!$J$11:$J$310,854-COUNTA(半紙!$B$11:$B$310)-COUNTA(条幅!$B$11:$B$310)),"")))=0,"",IF(854&lt;=COUNTA(半紙!$B$11:$B$310),INDEX(半紙!$J$11:$J$310,854),IF(854&lt;=COUNTA(半紙!$B$11:$B$310)+COUNTA(条幅!$B$11:$B$310),INDEX(条幅!$J$11:$J$310,854-COUNTA(半紙!$B$11:$B$310)),IF(854&lt;=COUNTA(半紙!$B$11:$B$310)+COUNTA(条幅!$B$11:$B$310)+COUNTA(条幅4分の1!$B$11:$B$310),INDEX(条幅4分の1!$J$11:$J$310,854-COUNTA(半紙!$B$11:$B$310)-COUNTA(条幅!$B$11:$B$310)),""))))</f>
        <v/>
      </c>
      <c r="K859" s="38" t="str">
        <f>IF(IF(854&lt;=COUNTA(半紙!$B$11:$B$310),INDEX(半紙!$K$11:$K$310,854),IF(854&lt;=COUNTA(半紙!$B$11:$B$310)+COUNTA(条幅!$B$11:$B$310),INDEX(条幅!$K$11:$K$310,854-COUNTA(半紙!$B$11:$B$310)),IF(854&lt;=COUNTA(半紙!$B$11:$B$310)+COUNTA(条幅!$B$11:$B$310)+COUNTA(条幅4分の1!$B$11:$B$310),INDEX(条幅4分の1!$K$11:$K$310,854-COUNTA(半紙!$B$11:$B$310)-COUNTA(条幅!$B$11:$B$310)),"")))=0,"",IF(854&lt;=COUNTA(半紙!$B$11:$B$310),INDEX(半紙!$K$11:$K$310,854),IF(854&lt;=COUNTA(半紙!$B$11:$B$310)+COUNTA(条幅!$B$11:$B$310),INDEX(条幅!$K$11:$K$310,854-COUNTA(半紙!$B$11:$B$310)),IF(854&lt;=COUNTA(半紙!$B$11:$B$310)+COUNTA(条幅!$B$11:$B$310)+COUNTA(条幅4分の1!$B$11:$B$310),INDEX(条幅4分の1!$K$11:$K$310,854-COUNTA(半紙!$B$11:$B$310)-COUNTA(条幅!$B$11:$B$310)),""))))</f>
        <v/>
      </c>
      <c r="L859" s="48" t="str">
        <f>IF($B859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854))</f>
        <v/>
      </c>
    </row>
    <row r="860" spans="1:12" ht="15" customHeight="1">
      <c r="A860" s="37" t="str">
        <f>IF(855&lt;=COUNTA(半紙!$B$11:$B$310),"半紙",IF(855&lt;=COUNTA(半紙!$B$11:$B$310)+COUNTA(条幅!$B$11:$B$310),"条幅(半切)",IF(855&lt;=COUNTA(半紙!$B$11:$B$310)+COUNTA(条幅!$B$11:$B$310)+COUNTA(条幅4分の1!$B$11:$B$310),"条幅(1/4)","")))</f>
        <v/>
      </c>
      <c r="B860" s="38" t="str">
        <f>IF(IF(855&lt;=COUNTA(半紙!$B$11:$B$310),INDEX(半紙!$B$11:$B$310,855),IF(855&lt;=COUNTA(半紙!$B$11:$B$310)+COUNTA(条幅!$B$11:$B$310),INDEX(条幅!$B$11:$B$310,855-COUNTA(半紙!$B$11:$B$310)),IF(855&lt;=COUNTA(半紙!$B$11:$B$310)+COUNTA(条幅!$B$11:$B$310)+COUNTA(条幅4分の1!$B$11:$B$310),INDEX(条幅4分の1!$B$11:$B$310,855-COUNTA(半紙!$B$11:$B$310)-COUNTA(条幅!$B$11:$B$310)),"")))=0,"",IF(855&lt;=COUNTA(半紙!$B$11:$B$310),INDEX(半紙!$B$11:$B$310,855),IF(855&lt;=COUNTA(半紙!$B$11:$B$310)+COUNTA(条幅!$B$11:$B$310),INDEX(条幅!$B$11:$B$310,855-COUNTA(半紙!$B$11:$B$310)),IF(855&lt;=COUNTA(半紙!$B$11:$B$310)+COUNTA(条幅!$B$11:$B$310)+COUNTA(条幅4分の1!$B$11:$B$310),INDEX(条幅4分の1!$B$11:$B$310,855-COUNTA(半紙!$B$11:$B$310)-COUNTA(条幅!$B$11:$B$310)),""))))</f>
        <v/>
      </c>
      <c r="C860" s="38" t="str">
        <f>IF(IF(855&lt;=COUNTA(半紙!$B$11:$B$310),INDEX(半紙!$C$11:$C$310,855),IF(855&lt;=COUNTA(半紙!$B$11:$B$310)+COUNTA(条幅!$B$11:$B$310),INDEX(条幅!$C$11:$C$310,855-COUNTA(半紙!$B$11:$B$310)),IF(855&lt;=COUNTA(半紙!$B$11:$B$310)+COUNTA(条幅!$B$11:$B$310)+COUNTA(条幅4分の1!$B$11:$B$310),INDEX(条幅4分の1!$C$11:$C$310,855-COUNTA(半紙!$B$11:$B$310)-COUNTA(条幅!$B$11:$B$310)),"")))=0,"",IF(855&lt;=COUNTA(半紙!$B$11:$B$310),INDEX(半紙!$C$11:$C$310,855),IF(855&lt;=COUNTA(半紙!$B$11:$B$310)+COUNTA(条幅!$B$11:$B$310),INDEX(条幅!$C$11:$C$310,855-COUNTA(半紙!$B$11:$B$310)),IF(855&lt;=COUNTA(半紙!$B$11:$B$310)+COUNTA(条幅!$B$11:$B$310)+COUNTA(条幅4分の1!$B$11:$B$310),INDEX(条幅4分の1!$C$11:$C$310,855-COUNTA(半紙!$B$11:$B$310)-COUNTA(条幅!$B$11:$B$310)),""))))</f>
        <v/>
      </c>
      <c r="D860" s="38" t="str">
        <f>IF(IF(855&lt;=COUNTA(半紙!$B$11:$B$310),INDEX(半紙!$D$11:$D$310,855),IF(855&lt;=COUNTA(半紙!$B$11:$B$310)+COUNTA(条幅!$B$11:$B$310),INDEX(条幅!$D$11:$D$310,855-COUNTA(半紙!$B$11:$B$310)),IF(855&lt;=COUNTA(半紙!$B$11:$B$310)+COUNTA(条幅!$B$11:$B$310)+COUNTA(条幅4分の1!$B$11:$B$310),INDEX(条幅4分の1!$D$11:$D$310,855-COUNTA(半紙!$B$11:$B$310)-COUNTA(条幅!$B$11:$B$310)),"")))=0,"",IF(855&lt;=COUNTA(半紙!$B$11:$B$310),INDEX(半紙!$D$11:$D$310,855),IF(855&lt;=COUNTA(半紙!$B$11:$B$310)+COUNTA(条幅!$B$11:$B$310),INDEX(条幅!$D$11:$D$310,855-COUNTA(半紙!$B$11:$B$310)),IF(855&lt;=COUNTA(半紙!$B$11:$B$310)+COUNTA(条幅!$B$11:$B$310)+COUNTA(条幅4分の1!$B$11:$B$310),INDEX(条幅4分の1!$D$11:$D$310,855-COUNTA(半紙!$B$11:$B$310)-COUNTA(条幅!$B$11:$B$310)),""))))</f>
        <v/>
      </c>
      <c r="E860" s="38" t="str">
        <f>IF(IF(855&lt;=COUNTA(半紙!$B$11:$B$310),INDEX(半紙!$E$11:$E$310,855),IF(855&lt;=COUNTA(半紙!$B$11:$B$310)+COUNTA(条幅!$B$11:$B$310),INDEX(条幅!$E$11:$E$310,855-COUNTA(半紙!$B$11:$B$310)),IF(855&lt;=COUNTA(半紙!$B$11:$B$310)+COUNTA(条幅!$B$11:$B$310)+COUNTA(条幅4分の1!$B$11:$B$310),INDEX(条幅4分の1!$E$11:$E$310,855-COUNTA(半紙!$B$11:$B$310)-COUNTA(条幅!$B$11:$B$310)),"")))=0,"",IF(855&lt;=COUNTA(半紙!$B$11:$B$310),INDEX(半紙!$E$11:$E$310,855),IF(855&lt;=COUNTA(半紙!$B$11:$B$310)+COUNTA(条幅!$B$11:$B$310),INDEX(条幅!$E$11:$E$310,855-COUNTA(半紙!$B$11:$B$310)),IF(855&lt;=COUNTA(半紙!$B$11:$B$310)+COUNTA(条幅!$B$11:$B$310)+COUNTA(条幅4分の1!$B$11:$B$310),INDEX(条幅4分の1!$E$11:$E$310,855-COUNTA(半紙!$B$11:$B$310)-COUNTA(条幅!$B$11:$B$310)),""))))</f>
        <v/>
      </c>
      <c r="F860" s="38" t="str">
        <f>IF(IF(855&lt;=COUNTA(半紙!$B$11:$B$310),INDEX(半紙!$F$11:$F$310,855),IF(855&lt;=COUNTA(半紙!$B$11:$B$310)+COUNTA(条幅!$B$11:$B$310),INDEX(条幅!$F$11:$F$310,855-COUNTA(半紙!$B$11:$B$310)),IF(855&lt;=COUNTA(半紙!$B$11:$B$310)+COUNTA(条幅!$B$11:$B$310)+COUNTA(条幅4分の1!$B$11:$B$310),INDEX(条幅4分の1!$F$11:$F$310,855-COUNTA(半紙!$B$11:$B$310)-COUNTA(条幅!$B$11:$B$310)),"")))=0,"",IF(855&lt;=COUNTA(半紙!$B$11:$B$310),INDEX(半紙!$F$11:$F$310,855),IF(855&lt;=COUNTA(半紙!$B$11:$B$310)+COUNTA(条幅!$B$11:$B$310),INDEX(条幅!$F$11:$F$310,855-COUNTA(半紙!$B$11:$B$310)),IF(855&lt;=COUNTA(半紙!$B$11:$B$310)+COUNTA(条幅!$B$11:$B$310)+COUNTA(条幅4分の1!$B$11:$B$310),INDEX(条幅4分の1!$F$11:$F$310,855-COUNTA(半紙!$B$11:$B$310)-COUNTA(条幅!$B$11:$B$310)),""))))</f>
        <v/>
      </c>
      <c r="G860" s="38" t="str">
        <f>IF(IF(855&lt;=COUNTA(半紙!$B$11:$B$310),INDEX(半紙!$G$11:$G$310,855),IF(855&lt;=COUNTA(半紙!$B$11:$B$310)+COUNTA(条幅!$B$11:$B$310),INDEX(条幅!$G$11:$G$310,855-COUNTA(半紙!$B$11:$B$310)),IF(855&lt;=COUNTA(半紙!$B$11:$B$310)+COUNTA(条幅!$B$11:$B$310)+COUNTA(条幅4分の1!$B$11:$B$310),INDEX(条幅4分の1!$G$11:$G$310,855-COUNTA(半紙!$B$11:$B$310)-COUNTA(条幅!$B$11:$B$310)),"")))=0,"",IF(855&lt;=COUNTA(半紙!$B$11:$B$310),INDEX(半紙!$G$11:$G$310,855),IF(855&lt;=COUNTA(半紙!$B$11:$B$310)+COUNTA(条幅!$B$11:$B$310),INDEX(条幅!$G$11:$G$310,855-COUNTA(半紙!$B$11:$B$310)),IF(855&lt;=COUNTA(半紙!$B$11:$B$310)+COUNTA(条幅!$B$11:$B$310)+COUNTA(条幅4分の1!$B$11:$B$310),INDEX(条幅4分の1!$G$11:$G$310,855-COUNTA(半紙!$B$11:$B$310)-COUNTA(条幅!$B$11:$B$310)),""))))</f>
        <v/>
      </c>
      <c r="H860" s="38" t="str">
        <f>IF(IF(855&lt;=COUNTA(半紙!$B$11:$B$310),INDEX(半紙!$H$11:$H$310,855),IF(855&lt;=COUNTA(半紙!$B$11:$B$310)+COUNTA(条幅!$B$11:$B$310),INDEX(条幅!$H$11:$H$310,855-COUNTA(半紙!$B$11:$B$310)),IF(855&lt;=COUNTA(半紙!$B$11:$B$310)+COUNTA(条幅!$B$11:$B$310)+COUNTA(条幅4分の1!$B$11:$B$310),INDEX(条幅4分の1!$H$11:$H$310,855-COUNTA(半紙!$B$11:$B$310)-COUNTA(条幅!$B$11:$B$310)),"")))=0,"",IF(855&lt;=COUNTA(半紙!$B$11:$B$310),INDEX(半紙!$H$11:$H$310,855),IF(855&lt;=COUNTA(半紙!$B$11:$B$310)+COUNTA(条幅!$B$11:$B$310),INDEX(条幅!$H$11:$H$310,855-COUNTA(半紙!$B$11:$B$310)),IF(855&lt;=COUNTA(半紙!$B$11:$B$310)+COUNTA(条幅!$B$11:$B$310)+COUNTA(条幅4分の1!$B$11:$B$310),INDEX(条幅4分の1!$H$11:$H$310,855-COUNTA(半紙!$B$11:$B$310)-COUNTA(条幅!$B$11:$B$310)),""))))</f>
        <v/>
      </c>
      <c r="I860" s="38" t="str">
        <f>IF(IF(855&lt;=COUNTA(半紙!$B$11:$B$310),INDEX(半紙!$I$11:$I$310,855),IF(855&lt;=COUNTA(半紙!$B$11:$B$310)+COUNTA(条幅!$B$11:$B$310),INDEX(条幅!$I$11:$I$310,855-COUNTA(半紙!$B$11:$B$310)),IF(855&lt;=COUNTA(半紙!$B$11:$B$310)+COUNTA(条幅!$B$11:$B$310)+COUNTA(条幅4分の1!$B$11:$B$310),INDEX(条幅4分の1!$I$11:$I$310,855-COUNTA(半紙!$B$11:$B$310)-COUNTA(条幅!$B$11:$B$310)),"")))=0,"",IF(855&lt;=COUNTA(半紙!$B$11:$B$310),INDEX(半紙!$I$11:$I$310,855),IF(855&lt;=COUNTA(半紙!$B$11:$B$310)+COUNTA(条幅!$B$11:$B$310),INDEX(条幅!$I$11:$I$310,855-COUNTA(半紙!$B$11:$B$310)),IF(855&lt;=COUNTA(半紙!$B$11:$B$310)+COUNTA(条幅!$B$11:$B$310)+COUNTA(条幅4分の1!$B$11:$B$310),INDEX(条幅4分の1!$I$11:$I$310,855-COUNTA(半紙!$B$11:$B$310)-COUNTA(条幅!$B$11:$B$310)),""))))</f>
        <v/>
      </c>
      <c r="J860" s="38" t="str">
        <f>IF(IF(855&lt;=COUNTA(半紙!$B$11:$B$310),INDEX(半紙!$J$11:$J$310,855),IF(855&lt;=COUNTA(半紙!$B$11:$B$310)+COUNTA(条幅!$B$11:$B$310),INDEX(条幅!$J$11:$J$310,855-COUNTA(半紙!$B$11:$B$310)),IF(855&lt;=COUNTA(半紙!$B$11:$B$310)+COUNTA(条幅!$B$11:$B$310)+COUNTA(条幅4分の1!$B$11:$B$310),INDEX(条幅4分の1!$J$11:$J$310,855-COUNTA(半紙!$B$11:$B$310)-COUNTA(条幅!$B$11:$B$310)),"")))=0,"",IF(855&lt;=COUNTA(半紙!$B$11:$B$310),INDEX(半紙!$J$11:$J$310,855),IF(855&lt;=COUNTA(半紙!$B$11:$B$310)+COUNTA(条幅!$B$11:$B$310),INDEX(条幅!$J$11:$J$310,855-COUNTA(半紙!$B$11:$B$310)),IF(855&lt;=COUNTA(半紙!$B$11:$B$310)+COUNTA(条幅!$B$11:$B$310)+COUNTA(条幅4分の1!$B$11:$B$310),INDEX(条幅4分の1!$J$11:$J$310,855-COUNTA(半紙!$B$11:$B$310)-COUNTA(条幅!$B$11:$B$310)),""))))</f>
        <v/>
      </c>
      <c r="K860" s="38" t="str">
        <f>IF(IF(855&lt;=COUNTA(半紙!$B$11:$B$310),INDEX(半紙!$K$11:$K$310,855),IF(855&lt;=COUNTA(半紙!$B$11:$B$310)+COUNTA(条幅!$B$11:$B$310),INDEX(条幅!$K$11:$K$310,855-COUNTA(半紙!$B$11:$B$310)),IF(855&lt;=COUNTA(半紙!$B$11:$B$310)+COUNTA(条幅!$B$11:$B$310)+COUNTA(条幅4分の1!$B$11:$B$310),INDEX(条幅4分の1!$K$11:$K$310,855-COUNTA(半紙!$B$11:$B$310)-COUNTA(条幅!$B$11:$B$310)),"")))=0,"",IF(855&lt;=COUNTA(半紙!$B$11:$B$310),INDEX(半紙!$K$11:$K$310,855),IF(855&lt;=COUNTA(半紙!$B$11:$B$310)+COUNTA(条幅!$B$11:$B$310),INDEX(条幅!$K$11:$K$310,855-COUNTA(半紙!$B$11:$B$310)),IF(855&lt;=COUNTA(半紙!$B$11:$B$310)+COUNTA(条幅!$B$11:$B$310)+COUNTA(条幅4分の1!$B$11:$B$310),INDEX(条幅4分の1!$K$11:$K$310,855-COUNTA(半紙!$B$11:$B$310)-COUNTA(条幅!$B$11:$B$310)),""))))</f>
        <v/>
      </c>
      <c r="L860" s="48" t="str">
        <f>IF($B860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855))</f>
        <v/>
      </c>
    </row>
    <row r="861" spans="1:12" ht="15" customHeight="1">
      <c r="A861" s="37" t="str">
        <f>IF(856&lt;=COUNTA(半紙!$B$11:$B$310),"半紙",IF(856&lt;=COUNTA(半紙!$B$11:$B$310)+COUNTA(条幅!$B$11:$B$310),"条幅(半切)",IF(856&lt;=COUNTA(半紙!$B$11:$B$310)+COUNTA(条幅!$B$11:$B$310)+COUNTA(条幅4分の1!$B$11:$B$310),"条幅(1/4)","")))</f>
        <v/>
      </c>
      <c r="B861" s="38" t="str">
        <f>IF(IF(856&lt;=COUNTA(半紙!$B$11:$B$310),INDEX(半紙!$B$11:$B$310,856),IF(856&lt;=COUNTA(半紙!$B$11:$B$310)+COUNTA(条幅!$B$11:$B$310),INDEX(条幅!$B$11:$B$310,856-COUNTA(半紙!$B$11:$B$310)),IF(856&lt;=COUNTA(半紙!$B$11:$B$310)+COUNTA(条幅!$B$11:$B$310)+COUNTA(条幅4分の1!$B$11:$B$310),INDEX(条幅4分の1!$B$11:$B$310,856-COUNTA(半紙!$B$11:$B$310)-COUNTA(条幅!$B$11:$B$310)),"")))=0,"",IF(856&lt;=COUNTA(半紙!$B$11:$B$310),INDEX(半紙!$B$11:$B$310,856),IF(856&lt;=COUNTA(半紙!$B$11:$B$310)+COUNTA(条幅!$B$11:$B$310),INDEX(条幅!$B$11:$B$310,856-COUNTA(半紙!$B$11:$B$310)),IF(856&lt;=COUNTA(半紙!$B$11:$B$310)+COUNTA(条幅!$B$11:$B$310)+COUNTA(条幅4分の1!$B$11:$B$310),INDEX(条幅4分の1!$B$11:$B$310,856-COUNTA(半紙!$B$11:$B$310)-COUNTA(条幅!$B$11:$B$310)),""))))</f>
        <v/>
      </c>
      <c r="C861" s="38" t="str">
        <f>IF(IF(856&lt;=COUNTA(半紙!$B$11:$B$310),INDEX(半紙!$C$11:$C$310,856),IF(856&lt;=COUNTA(半紙!$B$11:$B$310)+COUNTA(条幅!$B$11:$B$310),INDEX(条幅!$C$11:$C$310,856-COUNTA(半紙!$B$11:$B$310)),IF(856&lt;=COUNTA(半紙!$B$11:$B$310)+COUNTA(条幅!$B$11:$B$310)+COUNTA(条幅4分の1!$B$11:$B$310),INDEX(条幅4分の1!$C$11:$C$310,856-COUNTA(半紙!$B$11:$B$310)-COUNTA(条幅!$B$11:$B$310)),"")))=0,"",IF(856&lt;=COUNTA(半紙!$B$11:$B$310),INDEX(半紙!$C$11:$C$310,856),IF(856&lt;=COUNTA(半紙!$B$11:$B$310)+COUNTA(条幅!$B$11:$B$310),INDEX(条幅!$C$11:$C$310,856-COUNTA(半紙!$B$11:$B$310)),IF(856&lt;=COUNTA(半紙!$B$11:$B$310)+COUNTA(条幅!$B$11:$B$310)+COUNTA(条幅4分の1!$B$11:$B$310),INDEX(条幅4分の1!$C$11:$C$310,856-COUNTA(半紙!$B$11:$B$310)-COUNTA(条幅!$B$11:$B$310)),""))))</f>
        <v/>
      </c>
      <c r="D861" s="38" t="str">
        <f>IF(IF(856&lt;=COUNTA(半紙!$B$11:$B$310),INDEX(半紙!$D$11:$D$310,856),IF(856&lt;=COUNTA(半紙!$B$11:$B$310)+COUNTA(条幅!$B$11:$B$310),INDEX(条幅!$D$11:$D$310,856-COUNTA(半紙!$B$11:$B$310)),IF(856&lt;=COUNTA(半紙!$B$11:$B$310)+COUNTA(条幅!$B$11:$B$310)+COUNTA(条幅4分の1!$B$11:$B$310),INDEX(条幅4分の1!$D$11:$D$310,856-COUNTA(半紙!$B$11:$B$310)-COUNTA(条幅!$B$11:$B$310)),"")))=0,"",IF(856&lt;=COUNTA(半紙!$B$11:$B$310),INDEX(半紙!$D$11:$D$310,856),IF(856&lt;=COUNTA(半紙!$B$11:$B$310)+COUNTA(条幅!$B$11:$B$310),INDEX(条幅!$D$11:$D$310,856-COUNTA(半紙!$B$11:$B$310)),IF(856&lt;=COUNTA(半紙!$B$11:$B$310)+COUNTA(条幅!$B$11:$B$310)+COUNTA(条幅4分の1!$B$11:$B$310),INDEX(条幅4分の1!$D$11:$D$310,856-COUNTA(半紙!$B$11:$B$310)-COUNTA(条幅!$B$11:$B$310)),""))))</f>
        <v/>
      </c>
      <c r="E861" s="38" t="str">
        <f>IF(IF(856&lt;=COUNTA(半紙!$B$11:$B$310),INDEX(半紙!$E$11:$E$310,856),IF(856&lt;=COUNTA(半紙!$B$11:$B$310)+COUNTA(条幅!$B$11:$B$310),INDEX(条幅!$E$11:$E$310,856-COUNTA(半紙!$B$11:$B$310)),IF(856&lt;=COUNTA(半紙!$B$11:$B$310)+COUNTA(条幅!$B$11:$B$310)+COUNTA(条幅4分の1!$B$11:$B$310),INDEX(条幅4分の1!$E$11:$E$310,856-COUNTA(半紙!$B$11:$B$310)-COUNTA(条幅!$B$11:$B$310)),"")))=0,"",IF(856&lt;=COUNTA(半紙!$B$11:$B$310),INDEX(半紙!$E$11:$E$310,856),IF(856&lt;=COUNTA(半紙!$B$11:$B$310)+COUNTA(条幅!$B$11:$B$310),INDEX(条幅!$E$11:$E$310,856-COUNTA(半紙!$B$11:$B$310)),IF(856&lt;=COUNTA(半紙!$B$11:$B$310)+COUNTA(条幅!$B$11:$B$310)+COUNTA(条幅4分の1!$B$11:$B$310),INDEX(条幅4分の1!$E$11:$E$310,856-COUNTA(半紙!$B$11:$B$310)-COUNTA(条幅!$B$11:$B$310)),""))))</f>
        <v/>
      </c>
      <c r="F861" s="38" t="str">
        <f>IF(IF(856&lt;=COUNTA(半紙!$B$11:$B$310),INDEX(半紙!$F$11:$F$310,856),IF(856&lt;=COUNTA(半紙!$B$11:$B$310)+COUNTA(条幅!$B$11:$B$310),INDEX(条幅!$F$11:$F$310,856-COUNTA(半紙!$B$11:$B$310)),IF(856&lt;=COUNTA(半紙!$B$11:$B$310)+COUNTA(条幅!$B$11:$B$310)+COUNTA(条幅4分の1!$B$11:$B$310),INDEX(条幅4分の1!$F$11:$F$310,856-COUNTA(半紙!$B$11:$B$310)-COUNTA(条幅!$B$11:$B$310)),"")))=0,"",IF(856&lt;=COUNTA(半紙!$B$11:$B$310),INDEX(半紙!$F$11:$F$310,856),IF(856&lt;=COUNTA(半紙!$B$11:$B$310)+COUNTA(条幅!$B$11:$B$310),INDEX(条幅!$F$11:$F$310,856-COUNTA(半紙!$B$11:$B$310)),IF(856&lt;=COUNTA(半紙!$B$11:$B$310)+COUNTA(条幅!$B$11:$B$310)+COUNTA(条幅4分の1!$B$11:$B$310),INDEX(条幅4分の1!$F$11:$F$310,856-COUNTA(半紙!$B$11:$B$310)-COUNTA(条幅!$B$11:$B$310)),""))))</f>
        <v/>
      </c>
      <c r="G861" s="38" t="str">
        <f>IF(IF(856&lt;=COUNTA(半紙!$B$11:$B$310),INDEX(半紙!$G$11:$G$310,856),IF(856&lt;=COUNTA(半紙!$B$11:$B$310)+COUNTA(条幅!$B$11:$B$310),INDEX(条幅!$G$11:$G$310,856-COUNTA(半紙!$B$11:$B$310)),IF(856&lt;=COUNTA(半紙!$B$11:$B$310)+COUNTA(条幅!$B$11:$B$310)+COUNTA(条幅4分の1!$B$11:$B$310),INDEX(条幅4分の1!$G$11:$G$310,856-COUNTA(半紙!$B$11:$B$310)-COUNTA(条幅!$B$11:$B$310)),"")))=0,"",IF(856&lt;=COUNTA(半紙!$B$11:$B$310),INDEX(半紙!$G$11:$G$310,856),IF(856&lt;=COUNTA(半紙!$B$11:$B$310)+COUNTA(条幅!$B$11:$B$310),INDEX(条幅!$G$11:$G$310,856-COUNTA(半紙!$B$11:$B$310)),IF(856&lt;=COUNTA(半紙!$B$11:$B$310)+COUNTA(条幅!$B$11:$B$310)+COUNTA(条幅4分の1!$B$11:$B$310),INDEX(条幅4分の1!$G$11:$G$310,856-COUNTA(半紙!$B$11:$B$310)-COUNTA(条幅!$B$11:$B$310)),""))))</f>
        <v/>
      </c>
      <c r="H861" s="38" t="str">
        <f>IF(IF(856&lt;=COUNTA(半紙!$B$11:$B$310),INDEX(半紙!$H$11:$H$310,856),IF(856&lt;=COUNTA(半紙!$B$11:$B$310)+COUNTA(条幅!$B$11:$B$310),INDEX(条幅!$H$11:$H$310,856-COUNTA(半紙!$B$11:$B$310)),IF(856&lt;=COUNTA(半紙!$B$11:$B$310)+COUNTA(条幅!$B$11:$B$310)+COUNTA(条幅4分の1!$B$11:$B$310),INDEX(条幅4分の1!$H$11:$H$310,856-COUNTA(半紙!$B$11:$B$310)-COUNTA(条幅!$B$11:$B$310)),"")))=0,"",IF(856&lt;=COUNTA(半紙!$B$11:$B$310),INDEX(半紙!$H$11:$H$310,856),IF(856&lt;=COUNTA(半紙!$B$11:$B$310)+COUNTA(条幅!$B$11:$B$310),INDEX(条幅!$H$11:$H$310,856-COUNTA(半紙!$B$11:$B$310)),IF(856&lt;=COUNTA(半紙!$B$11:$B$310)+COUNTA(条幅!$B$11:$B$310)+COUNTA(条幅4分の1!$B$11:$B$310),INDEX(条幅4分の1!$H$11:$H$310,856-COUNTA(半紙!$B$11:$B$310)-COUNTA(条幅!$B$11:$B$310)),""))))</f>
        <v/>
      </c>
      <c r="I861" s="38" t="str">
        <f>IF(IF(856&lt;=COUNTA(半紙!$B$11:$B$310),INDEX(半紙!$I$11:$I$310,856),IF(856&lt;=COUNTA(半紙!$B$11:$B$310)+COUNTA(条幅!$B$11:$B$310),INDEX(条幅!$I$11:$I$310,856-COUNTA(半紙!$B$11:$B$310)),IF(856&lt;=COUNTA(半紙!$B$11:$B$310)+COUNTA(条幅!$B$11:$B$310)+COUNTA(条幅4分の1!$B$11:$B$310),INDEX(条幅4分の1!$I$11:$I$310,856-COUNTA(半紙!$B$11:$B$310)-COUNTA(条幅!$B$11:$B$310)),"")))=0,"",IF(856&lt;=COUNTA(半紙!$B$11:$B$310),INDEX(半紙!$I$11:$I$310,856),IF(856&lt;=COUNTA(半紙!$B$11:$B$310)+COUNTA(条幅!$B$11:$B$310),INDEX(条幅!$I$11:$I$310,856-COUNTA(半紙!$B$11:$B$310)),IF(856&lt;=COUNTA(半紙!$B$11:$B$310)+COUNTA(条幅!$B$11:$B$310)+COUNTA(条幅4分の1!$B$11:$B$310),INDEX(条幅4分の1!$I$11:$I$310,856-COUNTA(半紙!$B$11:$B$310)-COUNTA(条幅!$B$11:$B$310)),""))))</f>
        <v/>
      </c>
      <c r="J861" s="38" t="str">
        <f>IF(IF(856&lt;=COUNTA(半紙!$B$11:$B$310),INDEX(半紙!$J$11:$J$310,856),IF(856&lt;=COUNTA(半紙!$B$11:$B$310)+COUNTA(条幅!$B$11:$B$310),INDEX(条幅!$J$11:$J$310,856-COUNTA(半紙!$B$11:$B$310)),IF(856&lt;=COUNTA(半紙!$B$11:$B$310)+COUNTA(条幅!$B$11:$B$310)+COUNTA(条幅4分の1!$B$11:$B$310),INDEX(条幅4分の1!$J$11:$J$310,856-COUNTA(半紙!$B$11:$B$310)-COUNTA(条幅!$B$11:$B$310)),"")))=0,"",IF(856&lt;=COUNTA(半紙!$B$11:$B$310),INDEX(半紙!$J$11:$J$310,856),IF(856&lt;=COUNTA(半紙!$B$11:$B$310)+COUNTA(条幅!$B$11:$B$310),INDEX(条幅!$J$11:$J$310,856-COUNTA(半紙!$B$11:$B$310)),IF(856&lt;=COUNTA(半紙!$B$11:$B$310)+COUNTA(条幅!$B$11:$B$310)+COUNTA(条幅4分の1!$B$11:$B$310),INDEX(条幅4分の1!$J$11:$J$310,856-COUNTA(半紙!$B$11:$B$310)-COUNTA(条幅!$B$11:$B$310)),""))))</f>
        <v/>
      </c>
      <c r="K861" s="38" t="str">
        <f>IF(IF(856&lt;=COUNTA(半紙!$B$11:$B$310),INDEX(半紙!$K$11:$K$310,856),IF(856&lt;=COUNTA(半紙!$B$11:$B$310)+COUNTA(条幅!$B$11:$B$310),INDEX(条幅!$K$11:$K$310,856-COUNTA(半紙!$B$11:$B$310)),IF(856&lt;=COUNTA(半紙!$B$11:$B$310)+COUNTA(条幅!$B$11:$B$310)+COUNTA(条幅4分の1!$B$11:$B$310),INDEX(条幅4分の1!$K$11:$K$310,856-COUNTA(半紙!$B$11:$B$310)-COUNTA(条幅!$B$11:$B$310)),"")))=0,"",IF(856&lt;=COUNTA(半紙!$B$11:$B$310),INDEX(半紙!$K$11:$K$310,856),IF(856&lt;=COUNTA(半紙!$B$11:$B$310)+COUNTA(条幅!$B$11:$B$310),INDEX(条幅!$K$11:$K$310,856-COUNTA(半紙!$B$11:$B$310)),IF(856&lt;=COUNTA(半紙!$B$11:$B$310)+COUNTA(条幅!$B$11:$B$310)+COUNTA(条幅4分の1!$B$11:$B$310),INDEX(条幅4分の1!$K$11:$K$310,856-COUNTA(半紙!$B$11:$B$310)-COUNTA(条幅!$B$11:$B$310)),""))))</f>
        <v/>
      </c>
      <c r="L861" s="48" t="str">
        <f>IF($B861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856))</f>
        <v/>
      </c>
    </row>
    <row r="862" spans="1:12" ht="15" customHeight="1">
      <c r="A862" s="37" t="str">
        <f>IF(857&lt;=COUNTA(半紙!$B$11:$B$310),"半紙",IF(857&lt;=COUNTA(半紙!$B$11:$B$310)+COUNTA(条幅!$B$11:$B$310),"条幅(半切)",IF(857&lt;=COUNTA(半紙!$B$11:$B$310)+COUNTA(条幅!$B$11:$B$310)+COUNTA(条幅4分の1!$B$11:$B$310),"条幅(1/4)","")))</f>
        <v/>
      </c>
      <c r="B862" s="38" t="str">
        <f>IF(IF(857&lt;=COUNTA(半紙!$B$11:$B$310),INDEX(半紙!$B$11:$B$310,857),IF(857&lt;=COUNTA(半紙!$B$11:$B$310)+COUNTA(条幅!$B$11:$B$310),INDEX(条幅!$B$11:$B$310,857-COUNTA(半紙!$B$11:$B$310)),IF(857&lt;=COUNTA(半紙!$B$11:$B$310)+COUNTA(条幅!$B$11:$B$310)+COUNTA(条幅4分の1!$B$11:$B$310),INDEX(条幅4分の1!$B$11:$B$310,857-COUNTA(半紙!$B$11:$B$310)-COUNTA(条幅!$B$11:$B$310)),"")))=0,"",IF(857&lt;=COUNTA(半紙!$B$11:$B$310),INDEX(半紙!$B$11:$B$310,857),IF(857&lt;=COUNTA(半紙!$B$11:$B$310)+COUNTA(条幅!$B$11:$B$310),INDEX(条幅!$B$11:$B$310,857-COUNTA(半紙!$B$11:$B$310)),IF(857&lt;=COUNTA(半紙!$B$11:$B$310)+COUNTA(条幅!$B$11:$B$310)+COUNTA(条幅4分の1!$B$11:$B$310),INDEX(条幅4分の1!$B$11:$B$310,857-COUNTA(半紙!$B$11:$B$310)-COUNTA(条幅!$B$11:$B$310)),""))))</f>
        <v/>
      </c>
      <c r="C862" s="38" t="str">
        <f>IF(IF(857&lt;=COUNTA(半紙!$B$11:$B$310),INDEX(半紙!$C$11:$C$310,857),IF(857&lt;=COUNTA(半紙!$B$11:$B$310)+COUNTA(条幅!$B$11:$B$310),INDEX(条幅!$C$11:$C$310,857-COUNTA(半紙!$B$11:$B$310)),IF(857&lt;=COUNTA(半紙!$B$11:$B$310)+COUNTA(条幅!$B$11:$B$310)+COUNTA(条幅4分の1!$B$11:$B$310),INDEX(条幅4分の1!$C$11:$C$310,857-COUNTA(半紙!$B$11:$B$310)-COUNTA(条幅!$B$11:$B$310)),"")))=0,"",IF(857&lt;=COUNTA(半紙!$B$11:$B$310),INDEX(半紙!$C$11:$C$310,857),IF(857&lt;=COUNTA(半紙!$B$11:$B$310)+COUNTA(条幅!$B$11:$B$310),INDEX(条幅!$C$11:$C$310,857-COUNTA(半紙!$B$11:$B$310)),IF(857&lt;=COUNTA(半紙!$B$11:$B$310)+COUNTA(条幅!$B$11:$B$310)+COUNTA(条幅4分の1!$B$11:$B$310),INDEX(条幅4分の1!$C$11:$C$310,857-COUNTA(半紙!$B$11:$B$310)-COUNTA(条幅!$B$11:$B$310)),""))))</f>
        <v/>
      </c>
      <c r="D862" s="38" t="str">
        <f>IF(IF(857&lt;=COUNTA(半紙!$B$11:$B$310),INDEX(半紙!$D$11:$D$310,857),IF(857&lt;=COUNTA(半紙!$B$11:$B$310)+COUNTA(条幅!$B$11:$B$310),INDEX(条幅!$D$11:$D$310,857-COUNTA(半紙!$B$11:$B$310)),IF(857&lt;=COUNTA(半紙!$B$11:$B$310)+COUNTA(条幅!$B$11:$B$310)+COUNTA(条幅4分の1!$B$11:$B$310),INDEX(条幅4分の1!$D$11:$D$310,857-COUNTA(半紙!$B$11:$B$310)-COUNTA(条幅!$B$11:$B$310)),"")))=0,"",IF(857&lt;=COUNTA(半紙!$B$11:$B$310),INDEX(半紙!$D$11:$D$310,857),IF(857&lt;=COUNTA(半紙!$B$11:$B$310)+COUNTA(条幅!$B$11:$B$310),INDEX(条幅!$D$11:$D$310,857-COUNTA(半紙!$B$11:$B$310)),IF(857&lt;=COUNTA(半紙!$B$11:$B$310)+COUNTA(条幅!$B$11:$B$310)+COUNTA(条幅4分の1!$B$11:$B$310),INDEX(条幅4分の1!$D$11:$D$310,857-COUNTA(半紙!$B$11:$B$310)-COUNTA(条幅!$B$11:$B$310)),""))))</f>
        <v/>
      </c>
      <c r="E862" s="38" t="str">
        <f>IF(IF(857&lt;=COUNTA(半紙!$B$11:$B$310),INDEX(半紙!$E$11:$E$310,857),IF(857&lt;=COUNTA(半紙!$B$11:$B$310)+COUNTA(条幅!$B$11:$B$310),INDEX(条幅!$E$11:$E$310,857-COUNTA(半紙!$B$11:$B$310)),IF(857&lt;=COUNTA(半紙!$B$11:$B$310)+COUNTA(条幅!$B$11:$B$310)+COUNTA(条幅4分の1!$B$11:$B$310),INDEX(条幅4分の1!$E$11:$E$310,857-COUNTA(半紙!$B$11:$B$310)-COUNTA(条幅!$B$11:$B$310)),"")))=0,"",IF(857&lt;=COUNTA(半紙!$B$11:$B$310),INDEX(半紙!$E$11:$E$310,857),IF(857&lt;=COUNTA(半紙!$B$11:$B$310)+COUNTA(条幅!$B$11:$B$310),INDEX(条幅!$E$11:$E$310,857-COUNTA(半紙!$B$11:$B$310)),IF(857&lt;=COUNTA(半紙!$B$11:$B$310)+COUNTA(条幅!$B$11:$B$310)+COUNTA(条幅4分の1!$B$11:$B$310),INDEX(条幅4分の1!$E$11:$E$310,857-COUNTA(半紙!$B$11:$B$310)-COUNTA(条幅!$B$11:$B$310)),""))))</f>
        <v/>
      </c>
      <c r="F862" s="38" t="str">
        <f>IF(IF(857&lt;=COUNTA(半紙!$B$11:$B$310),INDEX(半紙!$F$11:$F$310,857),IF(857&lt;=COUNTA(半紙!$B$11:$B$310)+COUNTA(条幅!$B$11:$B$310),INDEX(条幅!$F$11:$F$310,857-COUNTA(半紙!$B$11:$B$310)),IF(857&lt;=COUNTA(半紙!$B$11:$B$310)+COUNTA(条幅!$B$11:$B$310)+COUNTA(条幅4分の1!$B$11:$B$310),INDEX(条幅4分の1!$F$11:$F$310,857-COUNTA(半紙!$B$11:$B$310)-COUNTA(条幅!$B$11:$B$310)),"")))=0,"",IF(857&lt;=COUNTA(半紙!$B$11:$B$310),INDEX(半紙!$F$11:$F$310,857),IF(857&lt;=COUNTA(半紙!$B$11:$B$310)+COUNTA(条幅!$B$11:$B$310),INDEX(条幅!$F$11:$F$310,857-COUNTA(半紙!$B$11:$B$310)),IF(857&lt;=COUNTA(半紙!$B$11:$B$310)+COUNTA(条幅!$B$11:$B$310)+COUNTA(条幅4分の1!$B$11:$B$310),INDEX(条幅4分の1!$F$11:$F$310,857-COUNTA(半紙!$B$11:$B$310)-COUNTA(条幅!$B$11:$B$310)),""))))</f>
        <v/>
      </c>
      <c r="G862" s="38" t="str">
        <f>IF(IF(857&lt;=COUNTA(半紙!$B$11:$B$310),INDEX(半紙!$G$11:$G$310,857),IF(857&lt;=COUNTA(半紙!$B$11:$B$310)+COUNTA(条幅!$B$11:$B$310),INDEX(条幅!$G$11:$G$310,857-COUNTA(半紙!$B$11:$B$310)),IF(857&lt;=COUNTA(半紙!$B$11:$B$310)+COUNTA(条幅!$B$11:$B$310)+COUNTA(条幅4分の1!$B$11:$B$310),INDEX(条幅4分の1!$G$11:$G$310,857-COUNTA(半紙!$B$11:$B$310)-COUNTA(条幅!$B$11:$B$310)),"")))=0,"",IF(857&lt;=COUNTA(半紙!$B$11:$B$310),INDEX(半紙!$G$11:$G$310,857),IF(857&lt;=COUNTA(半紙!$B$11:$B$310)+COUNTA(条幅!$B$11:$B$310),INDEX(条幅!$G$11:$G$310,857-COUNTA(半紙!$B$11:$B$310)),IF(857&lt;=COUNTA(半紙!$B$11:$B$310)+COUNTA(条幅!$B$11:$B$310)+COUNTA(条幅4分の1!$B$11:$B$310),INDEX(条幅4分の1!$G$11:$G$310,857-COUNTA(半紙!$B$11:$B$310)-COUNTA(条幅!$B$11:$B$310)),""))))</f>
        <v/>
      </c>
      <c r="H862" s="38" t="str">
        <f>IF(IF(857&lt;=COUNTA(半紙!$B$11:$B$310),INDEX(半紙!$H$11:$H$310,857),IF(857&lt;=COUNTA(半紙!$B$11:$B$310)+COUNTA(条幅!$B$11:$B$310),INDEX(条幅!$H$11:$H$310,857-COUNTA(半紙!$B$11:$B$310)),IF(857&lt;=COUNTA(半紙!$B$11:$B$310)+COUNTA(条幅!$B$11:$B$310)+COUNTA(条幅4分の1!$B$11:$B$310),INDEX(条幅4分の1!$H$11:$H$310,857-COUNTA(半紙!$B$11:$B$310)-COUNTA(条幅!$B$11:$B$310)),"")))=0,"",IF(857&lt;=COUNTA(半紙!$B$11:$B$310),INDEX(半紙!$H$11:$H$310,857),IF(857&lt;=COUNTA(半紙!$B$11:$B$310)+COUNTA(条幅!$B$11:$B$310),INDEX(条幅!$H$11:$H$310,857-COUNTA(半紙!$B$11:$B$310)),IF(857&lt;=COUNTA(半紙!$B$11:$B$310)+COUNTA(条幅!$B$11:$B$310)+COUNTA(条幅4分の1!$B$11:$B$310),INDEX(条幅4分の1!$H$11:$H$310,857-COUNTA(半紙!$B$11:$B$310)-COUNTA(条幅!$B$11:$B$310)),""))))</f>
        <v/>
      </c>
      <c r="I862" s="38" t="str">
        <f>IF(IF(857&lt;=COUNTA(半紙!$B$11:$B$310),INDEX(半紙!$I$11:$I$310,857),IF(857&lt;=COUNTA(半紙!$B$11:$B$310)+COUNTA(条幅!$B$11:$B$310),INDEX(条幅!$I$11:$I$310,857-COUNTA(半紙!$B$11:$B$310)),IF(857&lt;=COUNTA(半紙!$B$11:$B$310)+COUNTA(条幅!$B$11:$B$310)+COUNTA(条幅4分の1!$B$11:$B$310),INDEX(条幅4分の1!$I$11:$I$310,857-COUNTA(半紙!$B$11:$B$310)-COUNTA(条幅!$B$11:$B$310)),"")))=0,"",IF(857&lt;=COUNTA(半紙!$B$11:$B$310),INDEX(半紙!$I$11:$I$310,857),IF(857&lt;=COUNTA(半紙!$B$11:$B$310)+COUNTA(条幅!$B$11:$B$310),INDEX(条幅!$I$11:$I$310,857-COUNTA(半紙!$B$11:$B$310)),IF(857&lt;=COUNTA(半紙!$B$11:$B$310)+COUNTA(条幅!$B$11:$B$310)+COUNTA(条幅4分の1!$B$11:$B$310),INDEX(条幅4分の1!$I$11:$I$310,857-COUNTA(半紙!$B$11:$B$310)-COUNTA(条幅!$B$11:$B$310)),""))))</f>
        <v/>
      </c>
      <c r="J862" s="38" t="str">
        <f>IF(IF(857&lt;=COUNTA(半紙!$B$11:$B$310),INDEX(半紙!$J$11:$J$310,857),IF(857&lt;=COUNTA(半紙!$B$11:$B$310)+COUNTA(条幅!$B$11:$B$310),INDEX(条幅!$J$11:$J$310,857-COUNTA(半紙!$B$11:$B$310)),IF(857&lt;=COUNTA(半紙!$B$11:$B$310)+COUNTA(条幅!$B$11:$B$310)+COUNTA(条幅4分の1!$B$11:$B$310),INDEX(条幅4分の1!$J$11:$J$310,857-COUNTA(半紙!$B$11:$B$310)-COUNTA(条幅!$B$11:$B$310)),"")))=0,"",IF(857&lt;=COUNTA(半紙!$B$11:$B$310),INDEX(半紙!$J$11:$J$310,857),IF(857&lt;=COUNTA(半紙!$B$11:$B$310)+COUNTA(条幅!$B$11:$B$310),INDEX(条幅!$J$11:$J$310,857-COUNTA(半紙!$B$11:$B$310)),IF(857&lt;=COUNTA(半紙!$B$11:$B$310)+COUNTA(条幅!$B$11:$B$310)+COUNTA(条幅4分の1!$B$11:$B$310),INDEX(条幅4分の1!$J$11:$J$310,857-COUNTA(半紙!$B$11:$B$310)-COUNTA(条幅!$B$11:$B$310)),""))))</f>
        <v/>
      </c>
      <c r="K862" s="38" t="str">
        <f>IF(IF(857&lt;=COUNTA(半紙!$B$11:$B$310),INDEX(半紙!$K$11:$K$310,857),IF(857&lt;=COUNTA(半紙!$B$11:$B$310)+COUNTA(条幅!$B$11:$B$310),INDEX(条幅!$K$11:$K$310,857-COUNTA(半紙!$B$11:$B$310)),IF(857&lt;=COUNTA(半紙!$B$11:$B$310)+COUNTA(条幅!$B$11:$B$310)+COUNTA(条幅4分の1!$B$11:$B$310),INDEX(条幅4分の1!$K$11:$K$310,857-COUNTA(半紙!$B$11:$B$310)-COUNTA(条幅!$B$11:$B$310)),"")))=0,"",IF(857&lt;=COUNTA(半紙!$B$11:$B$310),INDEX(半紙!$K$11:$K$310,857),IF(857&lt;=COUNTA(半紙!$B$11:$B$310)+COUNTA(条幅!$B$11:$B$310),INDEX(条幅!$K$11:$K$310,857-COUNTA(半紙!$B$11:$B$310)),IF(857&lt;=COUNTA(半紙!$B$11:$B$310)+COUNTA(条幅!$B$11:$B$310)+COUNTA(条幅4分の1!$B$11:$B$310),INDEX(条幅4分の1!$K$11:$K$310,857-COUNTA(半紙!$B$11:$B$310)-COUNTA(条幅!$B$11:$B$310)),""))))</f>
        <v/>
      </c>
      <c r="L862" s="48" t="str">
        <f>IF($B862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857))</f>
        <v/>
      </c>
    </row>
    <row r="863" spans="1:12" ht="15" customHeight="1">
      <c r="A863" s="37" t="str">
        <f>IF(858&lt;=COUNTA(半紙!$B$11:$B$310),"半紙",IF(858&lt;=COUNTA(半紙!$B$11:$B$310)+COUNTA(条幅!$B$11:$B$310),"条幅(半切)",IF(858&lt;=COUNTA(半紙!$B$11:$B$310)+COUNTA(条幅!$B$11:$B$310)+COUNTA(条幅4分の1!$B$11:$B$310),"条幅(1/4)","")))</f>
        <v/>
      </c>
      <c r="B863" s="38" t="str">
        <f>IF(IF(858&lt;=COUNTA(半紙!$B$11:$B$310),INDEX(半紙!$B$11:$B$310,858),IF(858&lt;=COUNTA(半紙!$B$11:$B$310)+COUNTA(条幅!$B$11:$B$310),INDEX(条幅!$B$11:$B$310,858-COUNTA(半紙!$B$11:$B$310)),IF(858&lt;=COUNTA(半紙!$B$11:$B$310)+COUNTA(条幅!$B$11:$B$310)+COUNTA(条幅4分の1!$B$11:$B$310),INDEX(条幅4分の1!$B$11:$B$310,858-COUNTA(半紙!$B$11:$B$310)-COUNTA(条幅!$B$11:$B$310)),"")))=0,"",IF(858&lt;=COUNTA(半紙!$B$11:$B$310),INDEX(半紙!$B$11:$B$310,858),IF(858&lt;=COUNTA(半紙!$B$11:$B$310)+COUNTA(条幅!$B$11:$B$310),INDEX(条幅!$B$11:$B$310,858-COUNTA(半紙!$B$11:$B$310)),IF(858&lt;=COUNTA(半紙!$B$11:$B$310)+COUNTA(条幅!$B$11:$B$310)+COUNTA(条幅4分の1!$B$11:$B$310),INDEX(条幅4分の1!$B$11:$B$310,858-COUNTA(半紙!$B$11:$B$310)-COUNTA(条幅!$B$11:$B$310)),""))))</f>
        <v/>
      </c>
      <c r="C863" s="38" t="str">
        <f>IF(IF(858&lt;=COUNTA(半紙!$B$11:$B$310),INDEX(半紙!$C$11:$C$310,858),IF(858&lt;=COUNTA(半紙!$B$11:$B$310)+COUNTA(条幅!$B$11:$B$310),INDEX(条幅!$C$11:$C$310,858-COUNTA(半紙!$B$11:$B$310)),IF(858&lt;=COUNTA(半紙!$B$11:$B$310)+COUNTA(条幅!$B$11:$B$310)+COUNTA(条幅4分の1!$B$11:$B$310),INDEX(条幅4分の1!$C$11:$C$310,858-COUNTA(半紙!$B$11:$B$310)-COUNTA(条幅!$B$11:$B$310)),"")))=0,"",IF(858&lt;=COUNTA(半紙!$B$11:$B$310),INDEX(半紙!$C$11:$C$310,858),IF(858&lt;=COUNTA(半紙!$B$11:$B$310)+COUNTA(条幅!$B$11:$B$310),INDEX(条幅!$C$11:$C$310,858-COUNTA(半紙!$B$11:$B$310)),IF(858&lt;=COUNTA(半紙!$B$11:$B$310)+COUNTA(条幅!$B$11:$B$310)+COUNTA(条幅4分の1!$B$11:$B$310),INDEX(条幅4分の1!$C$11:$C$310,858-COUNTA(半紙!$B$11:$B$310)-COUNTA(条幅!$B$11:$B$310)),""))))</f>
        <v/>
      </c>
      <c r="D863" s="38" t="str">
        <f>IF(IF(858&lt;=COUNTA(半紙!$B$11:$B$310),INDEX(半紙!$D$11:$D$310,858),IF(858&lt;=COUNTA(半紙!$B$11:$B$310)+COUNTA(条幅!$B$11:$B$310),INDEX(条幅!$D$11:$D$310,858-COUNTA(半紙!$B$11:$B$310)),IF(858&lt;=COUNTA(半紙!$B$11:$B$310)+COUNTA(条幅!$B$11:$B$310)+COUNTA(条幅4分の1!$B$11:$B$310),INDEX(条幅4分の1!$D$11:$D$310,858-COUNTA(半紙!$B$11:$B$310)-COUNTA(条幅!$B$11:$B$310)),"")))=0,"",IF(858&lt;=COUNTA(半紙!$B$11:$B$310),INDEX(半紙!$D$11:$D$310,858),IF(858&lt;=COUNTA(半紙!$B$11:$B$310)+COUNTA(条幅!$B$11:$B$310),INDEX(条幅!$D$11:$D$310,858-COUNTA(半紙!$B$11:$B$310)),IF(858&lt;=COUNTA(半紙!$B$11:$B$310)+COUNTA(条幅!$B$11:$B$310)+COUNTA(条幅4分の1!$B$11:$B$310),INDEX(条幅4分の1!$D$11:$D$310,858-COUNTA(半紙!$B$11:$B$310)-COUNTA(条幅!$B$11:$B$310)),""))))</f>
        <v/>
      </c>
      <c r="E863" s="38" t="str">
        <f>IF(IF(858&lt;=COUNTA(半紙!$B$11:$B$310),INDEX(半紙!$E$11:$E$310,858),IF(858&lt;=COUNTA(半紙!$B$11:$B$310)+COUNTA(条幅!$B$11:$B$310),INDEX(条幅!$E$11:$E$310,858-COUNTA(半紙!$B$11:$B$310)),IF(858&lt;=COUNTA(半紙!$B$11:$B$310)+COUNTA(条幅!$B$11:$B$310)+COUNTA(条幅4分の1!$B$11:$B$310),INDEX(条幅4分の1!$E$11:$E$310,858-COUNTA(半紙!$B$11:$B$310)-COUNTA(条幅!$B$11:$B$310)),"")))=0,"",IF(858&lt;=COUNTA(半紙!$B$11:$B$310),INDEX(半紙!$E$11:$E$310,858),IF(858&lt;=COUNTA(半紙!$B$11:$B$310)+COUNTA(条幅!$B$11:$B$310),INDEX(条幅!$E$11:$E$310,858-COUNTA(半紙!$B$11:$B$310)),IF(858&lt;=COUNTA(半紙!$B$11:$B$310)+COUNTA(条幅!$B$11:$B$310)+COUNTA(条幅4分の1!$B$11:$B$310),INDEX(条幅4分の1!$E$11:$E$310,858-COUNTA(半紙!$B$11:$B$310)-COUNTA(条幅!$B$11:$B$310)),""))))</f>
        <v/>
      </c>
      <c r="F863" s="38" t="str">
        <f>IF(IF(858&lt;=COUNTA(半紙!$B$11:$B$310),INDEX(半紙!$F$11:$F$310,858),IF(858&lt;=COUNTA(半紙!$B$11:$B$310)+COUNTA(条幅!$B$11:$B$310),INDEX(条幅!$F$11:$F$310,858-COUNTA(半紙!$B$11:$B$310)),IF(858&lt;=COUNTA(半紙!$B$11:$B$310)+COUNTA(条幅!$B$11:$B$310)+COUNTA(条幅4分の1!$B$11:$B$310),INDEX(条幅4分の1!$F$11:$F$310,858-COUNTA(半紙!$B$11:$B$310)-COUNTA(条幅!$B$11:$B$310)),"")))=0,"",IF(858&lt;=COUNTA(半紙!$B$11:$B$310),INDEX(半紙!$F$11:$F$310,858),IF(858&lt;=COUNTA(半紙!$B$11:$B$310)+COUNTA(条幅!$B$11:$B$310),INDEX(条幅!$F$11:$F$310,858-COUNTA(半紙!$B$11:$B$310)),IF(858&lt;=COUNTA(半紙!$B$11:$B$310)+COUNTA(条幅!$B$11:$B$310)+COUNTA(条幅4分の1!$B$11:$B$310),INDEX(条幅4分の1!$F$11:$F$310,858-COUNTA(半紙!$B$11:$B$310)-COUNTA(条幅!$B$11:$B$310)),""))))</f>
        <v/>
      </c>
      <c r="G863" s="38" t="str">
        <f>IF(IF(858&lt;=COUNTA(半紙!$B$11:$B$310),INDEX(半紙!$G$11:$G$310,858),IF(858&lt;=COUNTA(半紙!$B$11:$B$310)+COUNTA(条幅!$B$11:$B$310),INDEX(条幅!$G$11:$G$310,858-COUNTA(半紙!$B$11:$B$310)),IF(858&lt;=COUNTA(半紙!$B$11:$B$310)+COUNTA(条幅!$B$11:$B$310)+COUNTA(条幅4分の1!$B$11:$B$310),INDEX(条幅4分の1!$G$11:$G$310,858-COUNTA(半紙!$B$11:$B$310)-COUNTA(条幅!$B$11:$B$310)),"")))=0,"",IF(858&lt;=COUNTA(半紙!$B$11:$B$310),INDEX(半紙!$G$11:$G$310,858),IF(858&lt;=COUNTA(半紙!$B$11:$B$310)+COUNTA(条幅!$B$11:$B$310),INDEX(条幅!$G$11:$G$310,858-COUNTA(半紙!$B$11:$B$310)),IF(858&lt;=COUNTA(半紙!$B$11:$B$310)+COUNTA(条幅!$B$11:$B$310)+COUNTA(条幅4分の1!$B$11:$B$310),INDEX(条幅4分の1!$G$11:$G$310,858-COUNTA(半紙!$B$11:$B$310)-COUNTA(条幅!$B$11:$B$310)),""))))</f>
        <v/>
      </c>
      <c r="H863" s="38" t="str">
        <f>IF(IF(858&lt;=COUNTA(半紙!$B$11:$B$310),INDEX(半紙!$H$11:$H$310,858),IF(858&lt;=COUNTA(半紙!$B$11:$B$310)+COUNTA(条幅!$B$11:$B$310),INDEX(条幅!$H$11:$H$310,858-COUNTA(半紙!$B$11:$B$310)),IF(858&lt;=COUNTA(半紙!$B$11:$B$310)+COUNTA(条幅!$B$11:$B$310)+COUNTA(条幅4分の1!$B$11:$B$310),INDEX(条幅4分の1!$H$11:$H$310,858-COUNTA(半紙!$B$11:$B$310)-COUNTA(条幅!$B$11:$B$310)),"")))=0,"",IF(858&lt;=COUNTA(半紙!$B$11:$B$310),INDEX(半紙!$H$11:$H$310,858),IF(858&lt;=COUNTA(半紙!$B$11:$B$310)+COUNTA(条幅!$B$11:$B$310),INDEX(条幅!$H$11:$H$310,858-COUNTA(半紙!$B$11:$B$310)),IF(858&lt;=COUNTA(半紙!$B$11:$B$310)+COUNTA(条幅!$B$11:$B$310)+COUNTA(条幅4分の1!$B$11:$B$310),INDEX(条幅4分の1!$H$11:$H$310,858-COUNTA(半紙!$B$11:$B$310)-COUNTA(条幅!$B$11:$B$310)),""))))</f>
        <v/>
      </c>
      <c r="I863" s="38" t="str">
        <f>IF(IF(858&lt;=COUNTA(半紙!$B$11:$B$310),INDEX(半紙!$I$11:$I$310,858),IF(858&lt;=COUNTA(半紙!$B$11:$B$310)+COUNTA(条幅!$B$11:$B$310),INDEX(条幅!$I$11:$I$310,858-COUNTA(半紙!$B$11:$B$310)),IF(858&lt;=COUNTA(半紙!$B$11:$B$310)+COUNTA(条幅!$B$11:$B$310)+COUNTA(条幅4分の1!$B$11:$B$310),INDEX(条幅4分の1!$I$11:$I$310,858-COUNTA(半紙!$B$11:$B$310)-COUNTA(条幅!$B$11:$B$310)),"")))=0,"",IF(858&lt;=COUNTA(半紙!$B$11:$B$310),INDEX(半紙!$I$11:$I$310,858),IF(858&lt;=COUNTA(半紙!$B$11:$B$310)+COUNTA(条幅!$B$11:$B$310),INDEX(条幅!$I$11:$I$310,858-COUNTA(半紙!$B$11:$B$310)),IF(858&lt;=COUNTA(半紙!$B$11:$B$310)+COUNTA(条幅!$B$11:$B$310)+COUNTA(条幅4分の1!$B$11:$B$310),INDEX(条幅4分の1!$I$11:$I$310,858-COUNTA(半紙!$B$11:$B$310)-COUNTA(条幅!$B$11:$B$310)),""))))</f>
        <v/>
      </c>
      <c r="J863" s="38" t="str">
        <f>IF(IF(858&lt;=COUNTA(半紙!$B$11:$B$310),INDEX(半紙!$J$11:$J$310,858),IF(858&lt;=COUNTA(半紙!$B$11:$B$310)+COUNTA(条幅!$B$11:$B$310),INDEX(条幅!$J$11:$J$310,858-COUNTA(半紙!$B$11:$B$310)),IF(858&lt;=COUNTA(半紙!$B$11:$B$310)+COUNTA(条幅!$B$11:$B$310)+COUNTA(条幅4分の1!$B$11:$B$310),INDEX(条幅4分の1!$J$11:$J$310,858-COUNTA(半紙!$B$11:$B$310)-COUNTA(条幅!$B$11:$B$310)),"")))=0,"",IF(858&lt;=COUNTA(半紙!$B$11:$B$310),INDEX(半紙!$J$11:$J$310,858),IF(858&lt;=COUNTA(半紙!$B$11:$B$310)+COUNTA(条幅!$B$11:$B$310),INDEX(条幅!$J$11:$J$310,858-COUNTA(半紙!$B$11:$B$310)),IF(858&lt;=COUNTA(半紙!$B$11:$B$310)+COUNTA(条幅!$B$11:$B$310)+COUNTA(条幅4分の1!$B$11:$B$310),INDEX(条幅4分の1!$J$11:$J$310,858-COUNTA(半紙!$B$11:$B$310)-COUNTA(条幅!$B$11:$B$310)),""))))</f>
        <v/>
      </c>
      <c r="K863" s="38" t="str">
        <f>IF(IF(858&lt;=COUNTA(半紙!$B$11:$B$310),INDEX(半紙!$K$11:$K$310,858),IF(858&lt;=COUNTA(半紙!$B$11:$B$310)+COUNTA(条幅!$B$11:$B$310),INDEX(条幅!$K$11:$K$310,858-COUNTA(半紙!$B$11:$B$310)),IF(858&lt;=COUNTA(半紙!$B$11:$B$310)+COUNTA(条幅!$B$11:$B$310)+COUNTA(条幅4分の1!$B$11:$B$310),INDEX(条幅4分の1!$K$11:$K$310,858-COUNTA(半紙!$B$11:$B$310)-COUNTA(条幅!$B$11:$B$310)),"")))=0,"",IF(858&lt;=COUNTA(半紙!$B$11:$B$310),INDEX(半紙!$K$11:$K$310,858),IF(858&lt;=COUNTA(半紙!$B$11:$B$310)+COUNTA(条幅!$B$11:$B$310),INDEX(条幅!$K$11:$K$310,858-COUNTA(半紙!$B$11:$B$310)),IF(858&lt;=COUNTA(半紙!$B$11:$B$310)+COUNTA(条幅!$B$11:$B$310)+COUNTA(条幅4分の1!$B$11:$B$310),INDEX(条幅4分の1!$K$11:$K$310,858-COUNTA(半紙!$B$11:$B$310)-COUNTA(条幅!$B$11:$B$310)),""))))</f>
        <v/>
      </c>
      <c r="L863" s="48" t="str">
        <f>IF($B863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858))</f>
        <v/>
      </c>
    </row>
    <row r="864" spans="1:12" ht="15" customHeight="1">
      <c r="A864" s="37" t="str">
        <f>IF(859&lt;=COUNTA(半紙!$B$11:$B$310),"半紙",IF(859&lt;=COUNTA(半紙!$B$11:$B$310)+COUNTA(条幅!$B$11:$B$310),"条幅(半切)",IF(859&lt;=COUNTA(半紙!$B$11:$B$310)+COUNTA(条幅!$B$11:$B$310)+COUNTA(条幅4分の1!$B$11:$B$310),"条幅(1/4)","")))</f>
        <v/>
      </c>
      <c r="B864" s="38" t="str">
        <f>IF(IF(859&lt;=COUNTA(半紙!$B$11:$B$310),INDEX(半紙!$B$11:$B$310,859),IF(859&lt;=COUNTA(半紙!$B$11:$B$310)+COUNTA(条幅!$B$11:$B$310),INDEX(条幅!$B$11:$B$310,859-COUNTA(半紙!$B$11:$B$310)),IF(859&lt;=COUNTA(半紙!$B$11:$B$310)+COUNTA(条幅!$B$11:$B$310)+COUNTA(条幅4分の1!$B$11:$B$310),INDEX(条幅4分の1!$B$11:$B$310,859-COUNTA(半紙!$B$11:$B$310)-COUNTA(条幅!$B$11:$B$310)),"")))=0,"",IF(859&lt;=COUNTA(半紙!$B$11:$B$310),INDEX(半紙!$B$11:$B$310,859),IF(859&lt;=COUNTA(半紙!$B$11:$B$310)+COUNTA(条幅!$B$11:$B$310),INDEX(条幅!$B$11:$B$310,859-COUNTA(半紙!$B$11:$B$310)),IF(859&lt;=COUNTA(半紙!$B$11:$B$310)+COUNTA(条幅!$B$11:$B$310)+COUNTA(条幅4分の1!$B$11:$B$310),INDEX(条幅4分の1!$B$11:$B$310,859-COUNTA(半紙!$B$11:$B$310)-COUNTA(条幅!$B$11:$B$310)),""))))</f>
        <v/>
      </c>
      <c r="C864" s="38" t="str">
        <f>IF(IF(859&lt;=COUNTA(半紙!$B$11:$B$310),INDEX(半紙!$C$11:$C$310,859),IF(859&lt;=COUNTA(半紙!$B$11:$B$310)+COUNTA(条幅!$B$11:$B$310),INDEX(条幅!$C$11:$C$310,859-COUNTA(半紙!$B$11:$B$310)),IF(859&lt;=COUNTA(半紙!$B$11:$B$310)+COUNTA(条幅!$B$11:$B$310)+COUNTA(条幅4分の1!$B$11:$B$310),INDEX(条幅4分の1!$C$11:$C$310,859-COUNTA(半紙!$B$11:$B$310)-COUNTA(条幅!$B$11:$B$310)),"")))=0,"",IF(859&lt;=COUNTA(半紙!$B$11:$B$310),INDEX(半紙!$C$11:$C$310,859),IF(859&lt;=COUNTA(半紙!$B$11:$B$310)+COUNTA(条幅!$B$11:$B$310),INDEX(条幅!$C$11:$C$310,859-COUNTA(半紙!$B$11:$B$310)),IF(859&lt;=COUNTA(半紙!$B$11:$B$310)+COUNTA(条幅!$B$11:$B$310)+COUNTA(条幅4分の1!$B$11:$B$310),INDEX(条幅4分の1!$C$11:$C$310,859-COUNTA(半紙!$B$11:$B$310)-COUNTA(条幅!$B$11:$B$310)),""))))</f>
        <v/>
      </c>
      <c r="D864" s="38" t="str">
        <f>IF(IF(859&lt;=COUNTA(半紙!$B$11:$B$310),INDEX(半紙!$D$11:$D$310,859),IF(859&lt;=COUNTA(半紙!$B$11:$B$310)+COUNTA(条幅!$B$11:$B$310),INDEX(条幅!$D$11:$D$310,859-COUNTA(半紙!$B$11:$B$310)),IF(859&lt;=COUNTA(半紙!$B$11:$B$310)+COUNTA(条幅!$B$11:$B$310)+COUNTA(条幅4分の1!$B$11:$B$310),INDEX(条幅4分の1!$D$11:$D$310,859-COUNTA(半紙!$B$11:$B$310)-COUNTA(条幅!$B$11:$B$310)),"")))=0,"",IF(859&lt;=COUNTA(半紙!$B$11:$B$310),INDEX(半紙!$D$11:$D$310,859),IF(859&lt;=COUNTA(半紙!$B$11:$B$310)+COUNTA(条幅!$B$11:$B$310),INDEX(条幅!$D$11:$D$310,859-COUNTA(半紙!$B$11:$B$310)),IF(859&lt;=COUNTA(半紙!$B$11:$B$310)+COUNTA(条幅!$B$11:$B$310)+COUNTA(条幅4分の1!$B$11:$B$310),INDEX(条幅4分の1!$D$11:$D$310,859-COUNTA(半紙!$B$11:$B$310)-COUNTA(条幅!$B$11:$B$310)),""))))</f>
        <v/>
      </c>
      <c r="E864" s="38" t="str">
        <f>IF(IF(859&lt;=COUNTA(半紙!$B$11:$B$310),INDEX(半紙!$E$11:$E$310,859),IF(859&lt;=COUNTA(半紙!$B$11:$B$310)+COUNTA(条幅!$B$11:$B$310),INDEX(条幅!$E$11:$E$310,859-COUNTA(半紙!$B$11:$B$310)),IF(859&lt;=COUNTA(半紙!$B$11:$B$310)+COUNTA(条幅!$B$11:$B$310)+COUNTA(条幅4分の1!$B$11:$B$310),INDEX(条幅4分の1!$E$11:$E$310,859-COUNTA(半紙!$B$11:$B$310)-COUNTA(条幅!$B$11:$B$310)),"")))=0,"",IF(859&lt;=COUNTA(半紙!$B$11:$B$310),INDEX(半紙!$E$11:$E$310,859),IF(859&lt;=COUNTA(半紙!$B$11:$B$310)+COUNTA(条幅!$B$11:$B$310),INDEX(条幅!$E$11:$E$310,859-COUNTA(半紙!$B$11:$B$310)),IF(859&lt;=COUNTA(半紙!$B$11:$B$310)+COUNTA(条幅!$B$11:$B$310)+COUNTA(条幅4分の1!$B$11:$B$310),INDEX(条幅4分の1!$E$11:$E$310,859-COUNTA(半紙!$B$11:$B$310)-COUNTA(条幅!$B$11:$B$310)),""))))</f>
        <v/>
      </c>
      <c r="F864" s="38" t="str">
        <f>IF(IF(859&lt;=COUNTA(半紙!$B$11:$B$310),INDEX(半紙!$F$11:$F$310,859),IF(859&lt;=COUNTA(半紙!$B$11:$B$310)+COUNTA(条幅!$B$11:$B$310),INDEX(条幅!$F$11:$F$310,859-COUNTA(半紙!$B$11:$B$310)),IF(859&lt;=COUNTA(半紙!$B$11:$B$310)+COUNTA(条幅!$B$11:$B$310)+COUNTA(条幅4分の1!$B$11:$B$310),INDEX(条幅4分の1!$F$11:$F$310,859-COUNTA(半紙!$B$11:$B$310)-COUNTA(条幅!$B$11:$B$310)),"")))=0,"",IF(859&lt;=COUNTA(半紙!$B$11:$B$310),INDEX(半紙!$F$11:$F$310,859),IF(859&lt;=COUNTA(半紙!$B$11:$B$310)+COUNTA(条幅!$B$11:$B$310),INDEX(条幅!$F$11:$F$310,859-COUNTA(半紙!$B$11:$B$310)),IF(859&lt;=COUNTA(半紙!$B$11:$B$310)+COUNTA(条幅!$B$11:$B$310)+COUNTA(条幅4分の1!$B$11:$B$310),INDEX(条幅4分の1!$F$11:$F$310,859-COUNTA(半紙!$B$11:$B$310)-COUNTA(条幅!$B$11:$B$310)),""))))</f>
        <v/>
      </c>
      <c r="G864" s="38" t="str">
        <f>IF(IF(859&lt;=COUNTA(半紙!$B$11:$B$310),INDEX(半紙!$G$11:$G$310,859),IF(859&lt;=COUNTA(半紙!$B$11:$B$310)+COUNTA(条幅!$B$11:$B$310),INDEX(条幅!$G$11:$G$310,859-COUNTA(半紙!$B$11:$B$310)),IF(859&lt;=COUNTA(半紙!$B$11:$B$310)+COUNTA(条幅!$B$11:$B$310)+COUNTA(条幅4分の1!$B$11:$B$310),INDEX(条幅4分の1!$G$11:$G$310,859-COUNTA(半紙!$B$11:$B$310)-COUNTA(条幅!$B$11:$B$310)),"")))=0,"",IF(859&lt;=COUNTA(半紙!$B$11:$B$310),INDEX(半紙!$G$11:$G$310,859),IF(859&lt;=COUNTA(半紙!$B$11:$B$310)+COUNTA(条幅!$B$11:$B$310),INDEX(条幅!$G$11:$G$310,859-COUNTA(半紙!$B$11:$B$310)),IF(859&lt;=COUNTA(半紙!$B$11:$B$310)+COUNTA(条幅!$B$11:$B$310)+COUNTA(条幅4分の1!$B$11:$B$310),INDEX(条幅4分の1!$G$11:$G$310,859-COUNTA(半紙!$B$11:$B$310)-COUNTA(条幅!$B$11:$B$310)),""))))</f>
        <v/>
      </c>
      <c r="H864" s="38" t="str">
        <f>IF(IF(859&lt;=COUNTA(半紙!$B$11:$B$310),INDEX(半紙!$H$11:$H$310,859),IF(859&lt;=COUNTA(半紙!$B$11:$B$310)+COUNTA(条幅!$B$11:$B$310),INDEX(条幅!$H$11:$H$310,859-COUNTA(半紙!$B$11:$B$310)),IF(859&lt;=COUNTA(半紙!$B$11:$B$310)+COUNTA(条幅!$B$11:$B$310)+COUNTA(条幅4分の1!$B$11:$B$310),INDEX(条幅4分の1!$H$11:$H$310,859-COUNTA(半紙!$B$11:$B$310)-COUNTA(条幅!$B$11:$B$310)),"")))=0,"",IF(859&lt;=COUNTA(半紙!$B$11:$B$310),INDEX(半紙!$H$11:$H$310,859),IF(859&lt;=COUNTA(半紙!$B$11:$B$310)+COUNTA(条幅!$B$11:$B$310),INDEX(条幅!$H$11:$H$310,859-COUNTA(半紙!$B$11:$B$310)),IF(859&lt;=COUNTA(半紙!$B$11:$B$310)+COUNTA(条幅!$B$11:$B$310)+COUNTA(条幅4分の1!$B$11:$B$310),INDEX(条幅4分の1!$H$11:$H$310,859-COUNTA(半紙!$B$11:$B$310)-COUNTA(条幅!$B$11:$B$310)),""))))</f>
        <v/>
      </c>
      <c r="I864" s="38" t="str">
        <f>IF(IF(859&lt;=COUNTA(半紙!$B$11:$B$310),INDEX(半紙!$I$11:$I$310,859),IF(859&lt;=COUNTA(半紙!$B$11:$B$310)+COUNTA(条幅!$B$11:$B$310),INDEX(条幅!$I$11:$I$310,859-COUNTA(半紙!$B$11:$B$310)),IF(859&lt;=COUNTA(半紙!$B$11:$B$310)+COUNTA(条幅!$B$11:$B$310)+COUNTA(条幅4分の1!$B$11:$B$310),INDEX(条幅4分の1!$I$11:$I$310,859-COUNTA(半紙!$B$11:$B$310)-COUNTA(条幅!$B$11:$B$310)),"")))=0,"",IF(859&lt;=COUNTA(半紙!$B$11:$B$310),INDEX(半紙!$I$11:$I$310,859),IF(859&lt;=COUNTA(半紙!$B$11:$B$310)+COUNTA(条幅!$B$11:$B$310),INDEX(条幅!$I$11:$I$310,859-COUNTA(半紙!$B$11:$B$310)),IF(859&lt;=COUNTA(半紙!$B$11:$B$310)+COUNTA(条幅!$B$11:$B$310)+COUNTA(条幅4分の1!$B$11:$B$310),INDEX(条幅4分の1!$I$11:$I$310,859-COUNTA(半紙!$B$11:$B$310)-COUNTA(条幅!$B$11:$B$310)),""))))</f>
        <v/>
      </c>
      <c r="J864" s="38" t="str">
        <f>IF(IF(859&lt;=COUNTA(半紙!$B$11:$B$310),INDEX(半紙!$J$11:$J$310,859),IF(859&lt;=COUNTA(半紙!$B$11:$B$310)+COUNTA(条幅!$B$11:$B$310),INDEX(条幅!$J$11:$J$310,859-COUNTA(半紙!$B$11:$B$310)),IF(859&lt;=COUNTA(半紙!$B$11:$B$310)+COUNTA(条幅!$B$11:$B$310)+COUNTA(条幅4分の1!$B$11:$B$310),INDEX(条幅4分の1!$J$11:$J$310,859-COUNTA(半紙!$B$11:$B$310)-COUNTA(条幅!$B$11:$B$310)),"")))=0,"",IF(859&lt;=COUNTA(半紙!$B$11:$B$310),INDEX(半紙!$J$11:$J$310,859),IF(859&lt;=COUNTA(半紙!$B$11:$B$310)+COUNTA(条幅!$B$11:$B$310),INDEX(条幅!$J$11:$J$310,859-COUNTA(半紙!$B$11:$B$310)),IF(859&lt;=COUNTA(半紙!$B$11:$B$310)+COUNTA(条幅!$B$11:$B$310)+COUNTA(条幅4分の1!$B$11:$B$310),INDEX(条幅4分の1!$J$11:$J$310,859-COUNTA(半紙!$B$11:$B$310)-COUNTA(条幅!$B$11:$B$310)),""))))</f>
        <v/>
      </c>
      <c r="K864" s="38" t="str">
        <f>IF(IF(859&lt;=COUNTA(半紙!$B$11:$B$310),INDEX(半紙!$K$11:$K$310,859),IF(859&lt;=COUNTA(半紙!$B$11:$B$310)+COUNTA(条幅!$B$11:$B$310),INDEX(条幅!$K$11:$K$310,859-COUNTA(半紙!$B$11:$B$310)),IF(859&lt;=COUNTA(半紙!$B$11:$B$310)+COUNTA(条幅!$B$11:$B$310)+COUNTA(条幅4分の1!$B$11:$B$310),INDEX(条幅4分の1!$K$11:$K$310,859-COUNTA(半紙!$B$11:$B$310)-COUNTA(条幅!$B$11:$B$310)),"")))=0,"",IF(859&lt;=COUNTA(半紙!$B$11:$B$310),INDEX(半紙!$K$11:$K$310,859),IF(859&lt;=COUNTA(半紙!$B$11:$B$310)+COUNTA(条幅!$B$11:$B$310),INDEX(条幅!$K$11:$K$310,859-COUNTA(半紙!$B$11:$B$310)),IF(859&lt;=COUNTA(半紙!$B$11:$B$310)+COUNTA(条幅!$B$11:$B$310)+COUNTA(条幅4分の1!$B$11:$B$310),INDEX(条幅4分の1!$K$11:$K$310,859-COUNTA(半紙!$B$11:$B$310)-COUNTA(条幅!$B$11:$B$310)),""))))</f>
        <v/>
      </c>
      <c r="L864" s="48" t="str">
        <f>IF($B864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859))</f>
        <v/>
      </c>
    </row>
    <row r="865" spans="1:12" ht="15" customHeight="1">
      <c r="A865" s="37" t="str">
        <f>IF(860&lt;=COUNTA(半紙!$B$11:$B$310),"半紙",IF(860&lt;=COUNTA(半紙!$B$11:$B$310)+COUNTA(条幅!$B$11:$B$310),"条幅(半切)",IF(860&lt;=COUNTA(半紙!$B$11:$B$310)+COUNTA(条幅!$B$11:$B$310)+COUNTA(条幅4分の1!$B$11:$B$310),"条幅(1/4)","")))</f>
        <v/>
      </c>
      <c r="B865" s="38" t="str">
        <f>IF(IF(860&lt;=COUNTA(半紙!$B$11:$B$310),INDEX(半紙!$B$11:$B$310,860),IF(860&lt;=COUNTA(半紙!$B$11:$B$310)+COUNTA(条幅!$B$11:$B$310),INDEX(条幅!$B$11:$B$310,860-COUNTA(半紙!$B$11:$B$310)),IF(860&lt;=COUNTA(半紙!$B$11:$B$310)+COUNTA(条幅!$B$11:$B$310)+COUNTA(条幅4分の1!$B$11:$B$310),INDEX(条幅4分の1!$B$11:$B$310,860-COUNTA(半紙!$B$11:$B$310)-COUNTA(条幅!$B$11:$B$310)),"")))=0,"",IF(860&lt;=COUNTA(半紙!$B$11:$B$310),INDEX(半紙!$B$11:$B$310,860),IF(860&lt;=COUNTA(半紙!$B$11:$B$310)+COUNTA(条幅!$B$11:$B$310),INDEX(条幅!$B$11:$B$310,860-COUNTA(半紙!$B$11:$B$310)),IF(860&lt;=COUNTA(半紙!$B$11:$B$310)+COUNTA(条幅!$B$11:$B$310)+COUNTA(条幅4分の1!$B$11:$B$310),INDEX(条幅4分の1!$B$11:$B$310,860-COUNTA(半紙!$B$11:$B$310)-COUNTA(条幅!$B$11:$B$310)),""))))</f>
        <v/>
      </c>
      <c r="C865" s="38" t="str">
        <f>IF(IF(860&lt;=COUNTA(半紙!$B$11:$B$310),INDEX(半紙!$C$11:$C$310,860),IF(860&lt;=COUNTA(半紙!$B$11:$B$310)+COUNTA(条幅!$B$11:$B$310),INDEX(条幅!$C$11:$C$310,860-COUNTA(半紙!$B$11:$B$310)),IF(860&lt;=COUNTA(半紙!$B$11:$B$310)+COUNTA(条幅!$B$11:$B$310)+COUNTA(条幅4分の1!$B$11:$B$310),INDEX(条幅4分の1!$C$11:$C$310,860-COUNTA(半紙!$B$11:$B$310)-COUNTA(条幅!$B$11:$B$310)),"")))=0,"",IF(860&lt;=COUNTA(半紙!$B$11:$B$310),INDEX(半紙!$C$11:$C$310,860),IF(860&lt;=COUNTA(半紙!$B$11:$B$310)+COUNTA(条幅!$B$11:$B$310),INDEX(条幅!$C$11:$C$310,860-COUNTA(半紙!$B$11:$B$310)),IF(860&lt;=COUNTA(半紙!$B$11:$B$310)+COUNTA(条幅!$B$11:$B$310)+COUNTA(条幅4分の1!$B$11:$B$310),INDEX(条幅4分の1!$C$11:$C$310,860-COUNTA(半紙!$B$11:$B$310)-COUNTA(条幅!$B$11:$B$310)),""))))</f>
        <v/>
      </c>
      <c r="D865" s="38" t="str">
        <f>IF(IF(860&lt;=COUNTA(半紙!$B$11:$B$310),INDEX(半紙!$D$11:$D$310,860),IF(860&lt;=COUNTA(半紙!$B$11:$B$310)+COUNTA(条幅!$B$11:$B$310),INDEX(条幅!$D$11:$D$310,860-COUNTA(半紙!$B$11:$B$310)),IF(860&lt;=COUNTA(半紙!$B$11:$B$310)+COUNTA(条幅!$B$11:$B$310)+COUNTA(条幅4分の1!$B$11:$B$310),INDEX(条幅4分の1!$D$11:$D$310,860-COUNTA(半紙!$B$11:$B$310)-COUNTA(条幅!$B$11:$B$310)),"")))=0,"",IF(860&lt;=COUNTA(半紙!$B$11:$B$310),INDEX(半紙!$D$11:$D$310,860),IF(860&lt;=COUNTA(半紙!$B$11:$B$310)+COUNTA(条幅!$B$11:$B$310),INDEX(条幅!$D$11:$D$310,860-COUNTA(半紙!$B$11:$B$310)),IF(860&lt;=COUNTA(半紙!$B$11:$B$310)+COUNTA(条幅!$B$11:$B$310)+COUNTA(条幅4分の1!$B$11:$B$310),INDEX(条幅4分の1!$D$11:$D$310,860-COUNTA(半紙!$B$11:$B$310)-COUNTA(条幅!$B$11:$B$310)),""))))</f>
        <v/>
      </c>
      <c r="E865" s="38" t="str">
        <f>IF(IF(860&lt;=COUNTA(半紙!$B$11:$B$310),INDEX(半紙!$E$11:$E$310,860),IF(860&lt;=COUNTA(半紙!$B$11:$B$310)+COUNTA(条幅!$B$11:$B$310),INDEX(条幅!$E$11:$E$310,860-COUNTA(半紙!$B$11:$B$310)),IF(860&lt;=COUNTA(半紙!$B$11:$B$310)+COUNTA(条幅!$B$11:$B$310)+COUNTA(条幅4分の1!$B$11:$B$310),INDEX(条幅4分の1!$E$11:$E$310,860-COUNTA(半紙!$B$11:$B$310)-COUNTA(条幅!$B$11:$B$310)),"")))=0,"",IF(860&lt;=COUNTA(半紙!$B$11:$B$310),INDEX(半紙!$E$11:$E$310,860),IF(860&lt;=COUNTA(半紙!$B$11:$B$310)+COUNTA(条幅!$B$11:$B$310),INDEX(条幅!$E$11:$E$310,860-COUNTA(半紙!$B$11:$B$310)),IF(860&lt;=COUNTA(半紙!$B$11:$B$310)+COUNTA(条幅!$B$11:$B$310)+COUNTA(条幅4分の1!$B$11:$B$310),INDEX(条幅4分の1!$E$11:$E$310,860-COUNTA(半紙!$B$11:$B$310)-COUNTA(条幅!$B$11:$B$310)),""))))</f>
        <v/>
      </c>
      <c r="F865" s="38" t="str">
        <f>IF(IF(860&lt;=COUNTA(半紙!$B$11:$B$310),INDEX(半紙!$F$11:$F$310,860),IF(860&lt;=COUNTA(半紙!$B$11:$B$310)+COUNTA(条幅!$B$11:$B$310),INDEX(条幅!$F$11:$F$310,860-COUNTA(半紙!$B$11:$B$310)),IF(860&lt;=COUNTA(半紙!$B$11:$B$310)+COUNTA(条幅!$B$11:$B$310)+COUNTA(条幅4分の1!$B$11:$B$310),INDEX(条幅4分の1!$F$11:$F$310,860-COUNTA(半紙!$B$11:$B$310)-COUNTA(条幅!$B$11:$B$310)),"")))=0,"",IF(860&lt;=COUNTA(半紙!$B$11:$B$310),INDEX(半紙!$F$11:$F$310,860),IF(860&lt;=COUNTA(半紙!$B$11:$B$310)+COUNTA(条幅!$B$11:$B$310),INDEX(条幅!$F$11:$F$310,860-COUNTA(半紙!$B$11:$B$310)),IF(860&lt;=COUNTA(半紙!$B$11:$B$310)+COUNTA(条幅!$B$11:$B$310)+COUNTA(条幅4分の1!$B$11:$B$310),INDEX(条幅4分の1!$F$11:$F$310,860-COUNTA(半紙!$B$11:$B$310)-COUNTA(条幅!$B$11:$B$310)),""))))</f>
        <v/>
      </c>
      <c r="G865" s="38" t="str">
        <f>IF(IF(860&lt;=COUNTA(半紙!$B$11:$B$310),INDEX(半紙!$G$11:$G$310,860),IF(860&lt;=COUNTA(半紙!$B$11:$B$310)+COUNTA(条幅!$B$11:$B$310),INDEX(条幅!$G$11:$G$310,860-COUNTA(半紙!$B$11:$B$310)),IF(860&lt;=COUNTA(半紙!$B$11:$B$310)+COUNTA(条幅!$B$11:$B$310)+COUNTA(条幅4分の1!$B$11:$B$310),INDEX(条幅4分の1!$G$11:$G$310,860-COUNTA(半紙!$B$11:$B$310)-COUNTA(条幅!$B$11:$B$310)),"")))=0,"",IF(860&lt;=COUNTA(半紙!$B$11:$B$310),INDEX(半紙!$G$11:$G$310,860),IF(860&lt;=COUNTA(半紙!$B$11:$B$310)+COUNTA(条幅!$B$11:$B$310),INDEX(条幅!$G$11:$G$310,860-COUNTA(半紙!$B$11:$B$310)),IF(860&lt;=COUNTA(半紙!$B$11:$B$310)+COUNTA(条幅!$B$11:$B$310)+COUNTA(条幅4分の1!$B$11:$B$310),INDEX(条幅4分の1!$G$11:$G$310,860-COUNTA(半紙!$B$11:$B$310)-COUNTA(条幅!$B$11:$B$310)),""))))</f>
        <v/>
      </c>
      <c r="H865" s="38" t="str">
        <f>IF(IF(860&lt;=COUNTA(半紙!$B$11:$B$310),INDEX(半紙!$H$11:$H$310,860),IF(860&lt;=COUNTA(半紙!$B$11:$B$310)+COUNTA(条幅!$B$11:$B$310),INDEX(条幅!$H$11:$H$310,860-COUNTA(半紙!$B$11:$B$310)),IF(860&lt;=COUNTA(半紙!$B$11:$B$310)+COUNTA(条幅!$B$11:$B$310)+COUNTA(条幅4分の1!$B$11:$B$310),INDEX(条幅4分の1!$H$11:$H$310,860-COUNTA(半紙!$B$11:$B$310)-COUNTA(条幅!$B$11:$B$310)),"")))=0,"",IF(860&lt;=COUNTA(半紙!$B$11:$B$310),INDEX(半紙!$H$11:$H$310,860),IF(860&lt;=COUNTA(半紙!$B$11:$B$310)+COUNTA(条幅!$B$11:$B$310),INDEX(条幅!$H$11:$H$310,860-COUNTA(半紙!$B$11:$B$310)),IF(860&lt;=COUNTA(半紙!$B$11:$B$310)+COUNTA(条幅!$B$11:$B$310)+COUNTA(条幅4分の1!$B$11:$B$310),INDEX(条幅4分の1!$H$11:$H$310,860-COUNTA(半紙!$B$11:$B$310)-COUNTA(条幅!$B$11:$B$310)),""))))</f>
        <v/>
      </c>
      <c r="I865" s="38" t="str">
        <f>IF(IF(860&lt;=COUNTA(半紙!$B$11:$B$310),INDEX(半紙!$I$11:$I$310,860),IF(860&lt;=COUNTA(半紙!$B$11:$B$310)+COUNTA(条幅!$B$11:$B$310),INDEX(条幅!$I$11:$I$310,860-COUNTA(半紙!$B$11:$B$310)),IF(860&lt;=COUNTA(半紙!$B$11:$B$310)+COUNTA(条幅!$B$11:$B$310)+COUNTA(条幅4分の1!$B$11:$B$310),INDEX(条幅4分の1!$I$11:$I$310,860-COUNTA(半紙!$B$11:$B$310)-COUNTA(条幅!$B$11:$B$310)),"")))=0,"",IF(860&lt;=COUNTA(半紙!$B$11:$B$310),INDEX(半紙!$I$11:$I$310,860),IF(860&lt;=COUNTA(半紙!$B$11:$B$310)+COUNTA(条幅!$B$11:$B$310),INDEX(条幅!$I$11:$I$310,860-COUNTA(半紙!$B$11:$B$310)),IF(860&lt;=COUNTA(半紙!$B$11:$B$310)+COUNTA(条幅!$B$11:$B$310)+COUNTA(条幅4分の1!$B$11:$B$310),INDEX(条幅4分の1!$I$11:$I$310,860-COUNTA(半紙!$B$11:$B$310)-COUNTA(条幅!$B$11:$B$310)),""))))</f>
        <v/>
      </c>
      <c r="J865" s="38" t="str">
        <f>IF(IF(860&lt;=COUNTA(半紙!$B$11:$B$310),INDEX(半紙!$J$11:$J$310,860),IF(860&lt;=COUNTA(半紙!$B$11:$B$310)+COUNTA(条幅!$B$11:$B$310),INDEX(条幅!$J$11:$J$310,860-COUNTA(半紙!$B$11:$B$310)),IF(860&lt;=COUNTA(半紙!$B$11:$B$310)+COUNTA(条幅!$B$11:$B$310)+COUNTA(条幅4分の1!$B$11:$B$310),INDEX(条幅4分の1!$J$11:$J$310,860-COUNTA(半紙!$B$11:$B$310)-COUNTA(条幅!$B$11:$B$310)),"")))=0,"",IF(860&lt;=COUNTA(半紙!$B$11:$B$310),INDEX(半紙!$J$11:$J$310,860),IF(860&lt;=COUNTA(半紙!$B$11:$B$310)+COUNTA(条幅!$B$11:$B$310),INDEX(条幅!$J$11:$J$310,860-COUNTA(半紙!$B$11:$B$310)),IF(860&lt;=COUNTA(半紙!$B$11:$B$310)+COUNTA(条幅!$B$11:$B$310)+COUNTA(条幅4分の1!$B$11:$B$310),INDEX(条幅4分の1!$J$11:$J$310,860-COUNTA(半紙!$B$11:$B$310)-COUNTA(条幅!$B$11:$B$310)),""))))</f>
        <v/>
      </c>
      <c r="K865" s="38" t="str">
        <f>IF(IF(860&lt;=COUNTA(半紙!$B$11:$B$310),INDEX(半紙!$K$11:$K$310,860),IF(860&lt;=COUNTA(半紙!$B$11:$B$310)+COUNTA(条幅!$B$11:$B$310),INDEX(条幅!$K$11:$K$310,860-COUNTA(半紙!$B$11:$B$310)),IF(860&lt;=COUNTA(半紙!$B$11:$B$310)+COUNTA(条幅!$B$11:$B$310)+COUNTA(条幅4分の1!$B$11:$B$310),INDEX(条幅4分の1!$K$11:$K$310,860-COUNTA(半紙!$B$11:$B$310)-COUNTA(条幅!$B$11:$B$310)),"")))=0,"",IF(860&lt;=COUNTA(半紙!$B$11:$B$310),INDEX(半紙!$K$11:$K$310,860),IF(860&lt;=COUNTA(半紙!$B$11:$B$310)+COUNTA(条幅!$B$11:$B$310),INDEX(条幅!$K$11:$K$310,860-COUNTA(半紙!$B$11:$B$310)),IF(860&lt;=COUNTA(半紙!$B$11:$B$310)+COUNTA(条幅!$B$11:$B$310)+COUNTA(条幅4分の1!$B$11:$B$310),INDEX(条幅4分の1!$K$11:$K$310,860-COUNTA(半紙!$B$11:$B$310)-COUNTA(条幅!$B$11:$B$310)),""))))</f>
        <v/>
      </c>
      <c r="L865" s="48" t="str">
        <f>IF($B865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860))</f>
        <v/>
      </c>
    </row>
    <row r="866" spans="1:12" ht="15" customHeight="1">
      <c r="A866" s="37" t="str">
        <f>IF(861&lt;=COUNTA(半紙!$B$11:$B$310),"半紙",IF(861&lt;=COUNTA(半紙!$B$11:$B$310)+COUNTA(条幅!$B$11:$B$310),"条幅(半切)",IF(861&lt;=COUNTA(半紙!$B$11:$B$310)+COUNTA(条幅!$B$11:$B$310)+COUNTA(条幅4分の1!$B$11:$B$310),"条幅(1/4)","")))</f>
        <v/>
      </c>
      <c r="B866" s="38" t="str">
        <f>IF(IF(861&lt;=COUNTA(半紙!$B$11:$B$310),INDEX(半紙!$B$11:$B$310,861),IF(861&lt;=COUNTA(半紙!$B$11:$B$310)+COUNTA(条幅!$B$11:$B$310),INDEX(条幅!$B$11:$B$310,861-COUNTA(半紙!$B$11:$B$310)),IF(861&lt;=COUNTA(半紙!$B$11:$B$310)+COUNTA(条幅!$B$11:$B$310)+COUNTA(条幅4分の1!$B$11:$B$310),INDEX(条幅4分の1!$B$11:$B$310,861-COUNTA(半紙!$B$11:$B$310)-COUNTA(条幅!$B$11:$B$310)),"")))=0,"",IF(861&lt;=COUNTA(半紙!$B$11:$B$310),INDEX(半紙!$B$11:$B$310,861),IF(861&lt;=COUNTA(半紙!$B$11:$B$310)+COUNTA(条幅!$B$11:$B$310),INDEX(条幅!$B$11:$B$310,861-COUNTA(半紙!$B$11:$B$310)),IF(861&lt;=COUNTA(半紙!$B$11:$B$310)+COUNTA(条幅!$B$11:$B$310)+COUNTA(条幅4分の1!$B$11:$B$310),INDEX(条幅4分の1!$B$11:$B$310,861-COUNTA(半紙!$B$11:$B$310)-COUNTA(条幅!$B$11:$B$310)),""))))</f>
        <v/>
      </c>
      <c r="C866" s="38" t="str">
        <f>IF(IF(861&lt;=COUNTA(半紙!$B$11:$B$310),INDEX(半紙!$C$11:$C$310,861),IF(861&lt;=COUNTA(半紙!$B$11:$B$310)+COUNTA(条幅!$B$11:$B$310),INDEX(条幅!$C$11:$C$310,861-COUNTA(半紙!$B$11:$B$310)),IF(861&lt;=COUNTA(半紙!$B$11:$B$310)+COUNTA(条幅!$B$11:$B$310)+COUNTA(条幅4分の1!$B$11:$B$310),INDEX(条幅4分の1!$C$11:$C$310,861-COUNTA(半紙!$B$11:$B$310)-COUNTA(条幅!$B$11:$B$310)),"")))=0,"",IF(861&lt;=COUNTA(半紙!$B$11:$B$310),INDEX(半紙!$C$11:$C$310,861),IF(861&lt;=COUNTA(半紙!$B$11:$B$310)+COUNTA(条幅!$B$11:$B$310),INDEX(条幅!$C$11:$C$310,861-COUNTA(半紙!$B$11:$B$310)),IF(861&lt;=COUNTA(半紙!$B$11:$B$310)+COUNTA(条幅!$B$11:$B$310)+COUNTA(条幅4分の1!$B$11:$B$310),INDEX(条幅4分の1!$C$11:$C$310,861-COUNTA(半紙!$B$11:$B$310)-COUNTA(条幅!$B$11:$B$310)),""))))</f>
        <v/>
      </c>
      <c r="D866" s="38" t="str">
        <f>IF(IF(861&lt;=COUNTA(半紙!$B$11:$B$310),INDEX(半紙!$D$11:$D$310,861),IF(861&lt;=COUNTA(半紙!$B$11:$B$310)+COUNTA(条幅!$B$11:$B$310),INDEX(条幅!$D$11:$D$310,861-COUNTA(半紙!$B$11:$B$310)),IF(861&lt;=COUNTA(半紙!$B$11:$B$310)+COUNTA(条幅!$B$11:$B$310)+COUNTA(条幅4分の1!$B$11:$B$310),INDEX(条幅4分の1!$D$11:$D$310,861-COUNTA(半紙!$B$11:$B$310)-COUNTA(条幅!$B$11:$B$310)),"")))=0,"",IF(861&lt;=COUNTA(半紙!$B$11:$B$310),INDEX(半紙!$D$11:$D$310,861),IF(861&lt;=COUNTA(半紙!$B$11:$B$310)+COUNTA(条幅!$B$11:$B$310),INDEX(条幅!$D$11:$D$310,861-COUNTA(半紙!$B$11:$B$310)),IF(861&lt;=COUNTA(半紙!$B$11:$B$310)+COUNTA(条幅!$B$11:$B$310)+COUNTA(条幅4分の1!$B$11:$B$310),INDEX(条幅4分の1!$D$11:$D$310,861-COUNTA(半紙!$B$11:$B$310)-COUNTA(条幅!$B$11:$B$310)),""))))</f>
        <v/>
      </c>
      <c r="E866" s="38" t="str">
        <f>IF(IF(861&lt;=COUNTA(半紙!$B$11:$B$310),INDEX(半紙!$E$11:$E$310,861),IF(861&lt;=COUNTA(半紙!$B$11:$B$310)+COUNTA(条幅!$B$11:$B$310),INDEX(条幅!$E$11:$E$310,861-COUNTA(半紙!$B$11:$B$310)),IF(861&lt;=COUNTA(半紙!$B$11:$B$310)+COUNTA(条幅!$B$11:$B$310)+COUNTA(条幅4分の1!$B$11:$B$310),INDEX(条幅4分の1!$E$11:$E$310,861-COUNTA(半紙!$B$11:$B$310)-COUNTA(条幅!$B$11:$B$310)),"")))=0,"",IF(861&lt;=COUNTA(半紙!$B$11:$B$310),INDEX(半紙!$E$11:$E$310,861),IF(861&lt;=COUNTA(半紙!$B$11:$B$310)+COUNTA(条幅!$B$11:$B$310),INDEX(条幅!$E$11:$E$310,861-COUNTA(半紙!$B$11:$B$310)),IF(861&lt;=COUNTA(半紙!$B$11:$B$310)+COUNTA(条幅!$B$11:$B$310)+COUNTA(条幅4分の1!$B$11:$B$310),INDEX(条幅4分の1!$E$11:$E$310,861-COUNTA(半紙!$B$11:$B$310)-COUNTA(条幅!$B$11:$B$310)),""))))</f>
        <v/>
      </c>
      <c r="F866" s="38" t="str">
        <f>IF(IF(861&lt;=COUNTA(半紙!$B$11:$B$310),INDEX(半紙!$F$11:$F$310,861),IF(861&lt;=COUNTA(半紙!$B$11:$B$310)+COUNTA(条幅!$B$11:$B$310),INDEX(条幅!$F$11:$F$310,861-COUNTA(半紙!$B$11:$B$310)),IF(861&lt;=COUNTA(半紙!$B$11:$B$310)+COUNTA(条幅!$B$11:$B$310)+COUNTA(条幅4分の1!$B$11:$B$310),INDEX(条幅4分の1!$F$11:$F$310,861-COUNTA(半紙!$B$11:$B$310)-COUNTA(条幅!$B$11:$B$310)),"")))=0,"",IF(861&lt;=COUNTA(半紙!$B$11:$B$310),INDEX(半紙!$F$11:$F$310,861),IF(861&lt;=COUNTA(半紙!$B$11:$B$310)+COUNTA(条幅!$B$11:$B$310),INDEX(条幅!$F$11:$F$310,861-COUNTA(半紙!$B$11:$B$310)),IF(861&lt;=COUNTA(半紙!$B$11:$B$310)+COUNTA(条幅!$B$11:$B$310)+COUNTA(条幅4分の1!$B$11:$B$310),INDEX(条幅4分の1!$F$11:$F$310,861-COUNTA(半紙!$B$11:$B$310)-COUNTA(条幅!$B$11:$B$310)),""))))</f>
        <v/>
      </c>
      <c r="G866" s="38" t="str">
        <f>IF(IF(861&lt;=COUNTA(半紙!$B$11:$B$310),INDEX(半紙!$G$11:$G$310,861),IF(861&lt;=COUNTA(半紙!$B$11:$B$310)+COUNTA(条幅!$B$11:$B$310),INDEX(条幅!$G$11:$G$310,861-COUNTA(半紙!$B$11:$B$310)),IF(861&lt;=COUNTA(半紙!$B$11:$B$310)+COUNTA(条幅!$B$11:$B$310)+COUNTA(条幅4分の1!$B$11:$B$310),INDEX(条幅4分の1!$G$11:$G$310,861-COUNTA(半紙!$B$11:$B$310)-COUNTA(条幅!$B$11:$B$310)),"")))=0,"",IF(861&lt;=COUNTA(半紙!$B$11:$B$310),INDEX(半紙!$G$11:$G$310,861),IF(861&lt;=COUNTA(半紙!$B$11:$B$310)+COUNTA(条幅!$B$11:$B$310),INDEX(条幅!$G$11:$G$310,861-COUNTA(半紙!$B$11:$B$310)),IF(861&lt;=COUNTA(半紙!$B$11:$B$310)+COUNTA(条幅!$B$11:$B$310)+COUNTA(条幅4分の1!$B$11:$B$310),INDEX(条幅4分の1!$G$11:$G$310,861-COUNTA(半紙!$B$11:$B$310)-COUNTA(条幅!$B$11:$B$310)),""))))</f>
        <v/>
      </c>
      <c r="H866" s="38" t="str">
        <f>IF(IF(861&lt;=COUNTA(半紙!$B$11:$B$310),INDEX(半紙!$H$11:$H$310,861),IF(861&lt;=COUNTA(半紙!$B$11:$B$310)+COUNTA(条幅!$B$11:$B$310),INDEX(条幅!$H$11:$H$310,861-COUNTA(半紙!$B$11:$B$310)),IF(861&lt;=COUNTA(半紙!$B$11:$B$310)+COUNTA(条幅!$B$11:$B$310)+COUNTA(条幅4分の1!$B$11:$B$310),INDEX(条幅4分の1!$H$11:$H$310,861-COUNTA(半紙!$B$11:$B$310)-COUNTA(条幅!$B$11:$B$310)),"")))=0,"",IF(861&lt;=COUNTA(半紙!$B$11:$B$310),INDEX(半紙!$H$11:$H$310,861),IF(861&lt;=COUNTA(半紙!$B$11:$B$310)+COUNTA(条幅!$B$11:$B$310),INDEX(条幅!$H$11:$H$310,861-COUNTA(半紙!$B$11:$B$310)),IF(861&lt;=COUNTA(半紙!$B$11:$B$310)+COUNTA(条幅!$B$11:$B$310)+COUNTA(条幅4分の1!$B$11:$B$310),INDEX(条幅4分の1!$H$11:$H$310,861-COUNTA(半紙!$B$11:$B$310)-COUNTA(条幅!$B$11:$B$310)),""))))</f>
        <v/>
      </c>
      <c r="I866" s="38" t="str">
        <f>IF(IF(861&lt;=COUNTA(半紙!$B$11:$B$310),INDEX(半紙!$I$11:$I$310,861),IF(861&lt;=COUNTA(半紙!$B$11:$B$310)+COUNTA(条幅!$B$11:$B$310),INDEX(条幅!$I$11:$I$310,861-COUNTA(半紙!$B$11:$B$310)),IF(861&lt;=COUNTA(半紙!$B$11:$B$310)+COUNTA(条幅!$B$11:$B$310)+COUNTA(条幅4分の1!$B$11:$B$310),INDEX(条幅4分の1!$I$11:$I$310,861-COUNTA(半紙!$B$11:$B$310)-COUNTA(条幅!$B$11:$B$310)),"")))=0,"",IF(861&lt;=COUNTA(半紙!$B$11:$B$310),INDEX(半紙!$I$11:$I$310,861),IF(861&lt;=COUNTA(半紙!$B$11:$B$310)+COUNTA(条幅!$B$11:$B$310),INDEX(条幅!$I$11:$I$310,861-COUNTA(半紙!$B$11:$B$310)),IF(861&lt;=COUNTA(半紙!$B$11:$B$310)+COUNTA(条幅!$B$11:$B$310)+COUNTA(条幅4分の1!$B$11:$B$310),INDEX(条幅4分の1!$I$11:$I$310,861-COUNTA(半紙!$B$11:$B$310)-COUNTA(条幅!$B$11:$B$310)),""))))</f>
        <v/>
      </c>
      <c r="J866" s="38" t="str">
        <f>IF(IF(861&lt;=COUNTA(半紙!$B$11:$B$310),INDEX(半紙!$J$11:$J$310,861),IF(861&lt;=COUNTA(半紙!$B$11:$B$310)+COUNTA(条幅!$B$11:$B$310),INDEX(条幅!$J$11:$J$310,861-COUNTA(半紙!$B$11:$B$310)),IF(861&lt;=COUNTA(半紙!$B$11:$B$310)+COUNTA(条幅!$B$11:$B$310)+COUNTA(条幅4分の1!$B$11:$B$310),INDEX(条幅4分の1!$J$11:$J$310,861-COUNTA(半紙!$B$11:$B$310)-COUNTA(条幅!$B$11:$B$310)),"")))=0,"",IF(861&lt;=COUNTA(半紙!$B$11:$B$310),INDEX(半紙!$J$11:$J$310,861),IF(861&lt;=COUNTA(半紙!$B$11:$B$310)+COUNTA(条幅!$B$11:$B$310),INDEX(条幅!$J$11:$J$310,861-COUNTA(半紙!$B$11:$B$310)),IF(861&lt;=COUNTA(半紙!$B$11:$B$310)+COUNTA(条幅!$B$11:$B$310)+COUNTA(条幅4分の1!$B$11:$B$310),INDEX(条幅4分の1!$J$11:$J$310,861-COUNTA(半紙!$B$11:$B$310)-COUNTA(条幅!$B$11:$B$310)),""))))</f>
        <v/>
      </c>
      <c r="K866" s="38" t="str">
        <f>IF(IF(861&lt;=COUNTA(半紙!$B$11:$B$310),INDEX(半紙!$K$11:$K$310,861),IF(861&lt;=COUNTA(半紙!$B$11:$B$310)+COUNTA(条幅!$B$11:$B$310),INDEX(条幅!$K$11:$K$310,861-COUNTA(半紙!$B$11:$B$310)),IF(861&lt;=COUNTA(半紙!$B$11:$B$310)+COUNTA(条幅!$B$11:$B$310)+COUNTA(条幅4分の1!$B$11:$B$310),INDEX(条幅4分の1!$K$11:$K$310,861-COUNTA(半紙!$B$11:$B$310)-COUNTA(条幅!$B$11:$B$310)),"")))=0,"",IF(861&lt;=COUNTA(半紙!$B$11:$B$310),INDEX(半紙!$K$11:$K$310,861),IF(861&lt;=COUNTA(半紙!$B$11:$B$310)+COUNTA(条幅!$B$11:$B$310),INDEX(条幅!$K$11:$K$310,861-COUNTA(半紙!$B$11:$B$310)),IF(861&lt;=COUNTA(半紙!$B$11:$B$310)+COUNTA(条幅!$B$11:$B$310)+COUNTA(条幅4分の1!$B$11:$B$310),INDEX(条幅4分の1!$K$11:$K$310,861-COUNTA(半紙!$B$11:$B$310)-COUNTA(条幅!$B$11:$B$310)),""))))</f>
        <v/>
      </c>
      <c r="L866" s="48" t="str">
        <f>IF($B866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861))</f>
        <v/>
      </c>
    </row>
    <row r="867" spans="1:12" ht="15" customHeight="1">
      <c r="A867" s="37" t="str">
        <f>IF(862&lt;=COUNTA(半紙!$B$11:$B$310),"半紙",IF(862&lt;=COUNTA(半紙!$B$11:$B$310)+COUNTA(条幅!$B$11:$B$310),"条幅(半切)",IF(862&lt;=COUNTA(半紙!$B$11:$B$310)+COUNTA(条幅!$B$11:$B$310)+COUNTA(条幅4分の1!$B$11:$B$310),"条幅(1/4)","")))</f>
        <v/>
      </c>
      <c r="B867" s="38" t="str">
        <f>IF(IF(862&lt;=COUNTA(半紙!$B$11:$B$310),INDEX(半紙!$B$11:$B$310,862),IF(862&lt;=COUNTA(半紙!$B$11:$B$310)+COUNTA(条幅!$B$11:$B$310),INDEX(条幅!$B$11:$B$310,862-COUNTA(半紙!$B$11:$B$310)),IF(862&lt;=COUNTA(半紙!$B$11:$B$310)+COUNTA(条幅!$B$11:$B$310)+COUNTA(条幅4分の1!$B$11:$B$310),INDEX(条幅4分の1!$B$11:$B$310,862-COUNTA(半紙!$B$11:$B$310)-COUNTA(条幅!$B$11:$B$310)),"")))=0,"",IF(862&lt;=COUNTA(半紙!$B$11:$B$310),INDEX(半紙!$B$11:$B$310,862),IF(862&lt;=COUNTA(半紙!$B$11:$B$310)+COUNTA(条幅!$B$11:$B$310),INDEX(条幅!$B$11:$B$310,862-COUNTA(半紙!$B$11:$B$310)),IF(862&lt;=COUNTA(半紙!$B$11:$B$310)+COUNTA(条幅!$B$11:$B$310)+COUNTA(条幅4分の1!$B$11:$B$310),INDEX(条幅4分の1!$B$11:$B$310,862-COUNTA(半紙!$B$11:$B$310)-COUNTA(条幅!$B$11:$B$310)),""))))</f>
        <v/>
      </c>
      <c r="C867" s="38" t="str">
        <f>IF(IF(862&lt;=COUNTA(半紙!$B$11:$B$310),INDEX(半紙!$C$11:$C$310,862),IF(862&lt;=COUNTA(半紙!$B$11:$B$310)+COUNTA(条幅!$B$11:$B$310),INDEX(条幅!$C$11:$C$310,862-COUNTA(半紙!$B$11:$B$310)),IF(862&lt;=COUNTA(半紙!$B$11:$B$310)+COUNTA(条幅!$B$11:$B$310)+COUNTA(条幅4分の1!$B$11:$B$310),INDEX(条幅4分の1!$C$11:$C$310,862-COUNTA(半紙!$B$11:$B$310)-COUNTA(条幅!$B$11:$B$310)),"")))=0,"",IF(862&lt;=COUNTA(半紙!$B$11:$B$310),INDEX(半紙!$C$11:$C$310,862),IF(862&lt;=COUNTA(半紙!$B$11:$B$310)+COUNTA(条幅!$B$11:$B$310),INDEX(条幅!$C$11:$C$310,862-COUNTA(半紙!$B$11:$B$310)),IF(862&lt;=COUNTA(半紙!$B$11:$B$310)+COUNTA(条幅!$B$11:$B$310)+COUNTA(条幅4分の1!$B$11:$B$310),INDEX(条幅4分の1!$C$11:$C$310,862-COUNTA(半紙!$B$11:$B$310)-COUNTA(条幅!$B$11:$B$310)),""))))</f>
        <v/>
      </c>
      <c r="D867" s="38" t="str">
        <f>IF(IF(862&lt;=COUNTA(半紙!$B$11:$B$310),INDEX(半紙!$D$11:$D$310,862),IF(862&lt;=COUNTA(半紙!$B$11:$B$310)+COUNTA(条幅!$B$11:$B$310),INDEX(条幅!$D$11:$D$310,862-COUNTA(半紙!$B$11:$B$310)),IF(862&lt;=COUNTA(半紙!$B$11:$B$310)+COUNTA(条幅!$B$11:$B$310)+COUNTA(条幅4分の1!$B$11:$B$310),INDEX(条幅4分の1!$D$11:$D$310,862-COUNTA(半紙!$B$11:$B$310)-COUNTA(条幅!$B$11:$B$310)),"")))=0,"",IF(862&lt;=COUNTA(半紙!$B$11:$B$310),INDEX(半紙!$D$11:$D$310,862),IF(862&lt;=COUNTA(半紙!$B$11:$B$310)+COUNTA(条幅!$B$11:$B$310),INDEX(条幅!$D$11:$D$310,862-COUNTA(半紙!$B$11:$B$310)),IF(862&lt;=COUNTA(半紙!$B$11:$B$310)+COUNTA(条幅!$B$11:$B$310)+COUNTA(条幅4分の1!$B$11:$B$310),INDEX(条幅4分の1!$D$11:$D$310,862-COUNTA(半紙!$B$11:$B$310)-COUNTA(条幅!$B$11:$B$310)),""))))</f>
        <v/>
      </c>
      <c r="E867" s="38" t="str">
        <f>IF(IF(862&lt;=COUNTA(半紙!$B$11:$B$310),INDEX(半紙!$E$11:$E$310,862),IF(862&lt;=COUNTA(半紙!$B$11:$B$310)+COUNTA(条幅!$B$11:$B$310),INDEX(条幅!$E$11:$E$310,862-COUNTA(半紙!$B$11:$B$310)),IF(862&lt;=COUNTA(半紙!$B$11:$B$310)+COUNTA(条幅!$B$11:$B$310)+COUNTA(条幅4分の1!$B$11:$B$310),INDEX(条幅4分の1!$E$11:$E$310,862-COUNTA(半紙!$B$11:$B$310)-COUNTA(条幅!$B$11:$B$310)),"")))=0,"",IF(862&lt;=COUNTA(半紙!$B$11:$B$310),INDEX(半紙!$E$11:$E$310,862),IF(862&lt;=COUNTA(半紙!$B$11:$B$310)+COUNTA(条幅!$B$11:$B$310),INDEX(条幅!$E$11:$E$310,862-COUNTA(半紙!$B$11:$B$310)),IF(862&lt;=COUNTA(半紙!$B$11:$B$310)+COUNTA(条幅!$B$11:$B$310)+COUNTA(条幅4分の1!$B$11:$B$310),INDEX(条幅4分の1!$E$11:$E$310,862-COUNTA(半紙!$B$11:$B$310)-COUNTA(条幅!$B$11:$B$310)),""))))</f>
        <v/>
      </c>
      <c r="F867" s="38" t="str">
        <f>IF(IF(862&lt;=COUNTA(半紙!$B$11:$B$310),INDEX(半紙!$F$11:$F$310,862),IF(862&lt;=COUNTA(半紙!$B$11:$B$310)+COUNTA(条幅!$B$11:$B$310),INDEX(条幅!$F$11:$F$310,862-COUNTA(半紙!$B$11:$B$310)),IF(862&lt;=COUNTA(半紙!$B$11:$B$310)+COUNTA(条幅!$B$11:$B$310)+COUNTA(条幅4分の1!$B$11:$B$310),INDEX(条幅4分の1!$F$11:$F$310,862-COUNTA(半紙!$B$11:$B$310)-COUNTA(条幅!$B$11:$B$310)),"")))=0,"",IF(862&lt;=COUNTA(半紙!$B$11:$B$310),INDEX(半紙!$F$11:$F$310,862),IF(862&lt;=COUNTA(半紙!$B$11:$B$310)+COUNTA(条幅!$B$11:$B$310),INDEX(条幅!$F$11:$F$310,862-COUNTA(半紙!$B$11:$B$310)),IF(862&lt;=COUNTA(半紙!$B$11:$B$310)+COUNTA(条幅!$B$11:$B$310)+COUNTA(条幅4分の1!$B$11:$B$310),INDEX(条幅4分の1!$F$11:$F$310,862-COUNTA(半紙!$B$11:$B$310)-COUNTA(条幅!$B$11:$B$310)),""))))</f>
        <v/>
      </c>
      <c r="G867" s="38" t="str">
        <f>IF(IF(862&lt;=COUNTA(半紙!$B$11:$B$310),INDEX(半紙!$G$11:$G$310,862),IF(862&lt;=COUNTA(半紙!$B$11:$B$310)+COUNTA(条幅!$B$11:$B$310),INDEX(条幅!$G$11:$G$310,862-COUNTA(半紙!$B$11:$B$310)),IF(862&lt;=COUNTA(半紙!$B$11:$B$310)+COUNTA(条幅!$B$11:$B$310)+COUNTA(条幅4分の1!$B$11:$B$310),INDEX(条幅4分の1!$G$11:$G$310,862-COUNTA(半紙!$B$11:$B$310)-COUNTA(条幅!$B$11:$B$310)),"")))=0,"",IF(862&lt;=COUNTA(半紙!$B$11:$B$310),INDEX(半紙!$G$11:$G$310,862),IF(862&lt;=COUNTA(半紙!$B$11:$B$310)+COUNTA(条幅!$B$11:$B$310),INDEX(条幅!$G$11:$G$310,862-COUNTA(半紙!$B$11:$B$310)),IF(862&lt;=COUNTA(半紙!$B$11:$B$310)+COUNTA(条幅!$B$11:$B$310)+COUNTA(条幅4分の1!$B$11:$B$310),INDEX(条幅4分の1!$G$11:$G$310,862-COUNTA(半紙!$B$11:$B$310)-COUNTA(条幅!$B$11:$B$310)),""))))</f>
        <v/>
      </c>
      <c r="H867" s="38" t="str">
        <f>IF(IF(862&lt;=COUNTA(半紙!$B$11:$B$310),INDEX(半紙!$H$11:$H$310,862),IF(862&lt;=COUNTA(半紙!$B$11:$B$310)+COUNTA(条幅!$B$11:$B$310),INDEX(条幅!$H$11:$H$310,862-COUNTA(半紙!$B$11:$B$310)),IF(862&lt;=COUNTA(半紙!$B$11:$B$310)+COUNTA(条幅!$B$11:$B$310)+COUNTA(条幅4分の1!$B$11:$B$310),INDEX(条幅4分の1!$H$11:$H$310,862-COUNTA(半紙!$B$11:$B$310)-COUNTA(条幅!$B$11:$B$310)),"")))=0,"",IF(862&lt;=COUNTA(半紙!$B$11:$B$310),INDEX(半紙!$H$11:$H$310,862),IF(862&lt;=COUNTA(半紙!$B$11:$B$310)+COUNTA(条幅!$B$11:$B$310),INDEX(条幅!$H$11:$H$310,862-COUNTA(半紙!$B$11:$B$310)),IF(862&lt;=COUNTA(半紙!$B$11:$B$310)+COUNTA(条幅!$B$11:$B$310)+COUNTA(条幅4分の1!$B$11:$B$310),INDEX(条幅4分の1!$H$11:$H$310,862-COUNTA(半紙!$B$11:$B$310)-COUNTA(条幅!$B$11:$B$310)),""))))</f>
        <v/>
      </c>
      <c r="I867" s="38" t="str">
        <f>IF(IF(862&lt;=COUNTA(半紙!$B$11:$B$310),INDEX(半紙!$I$11:$I$310,862),IF(862&lt;=COUNTA(半紙!$B$11:$B$310)+COUNTA(条幅!$B$11:$B$310),INDEX(条幅!$I$11:$I$310,862-COUNTA(半紙!$B$11:$B$310)),IF(862&lt;=COUNTA(半紙!$B$11:$B$310)+COUNTA(条幅!$B$11:$B$310)+COUNTA(条幅4分の1!$B$11:$B$310),INDEX(条幅4分の1!$I$11:$I$310,862-COUNTA(半紙!$B$11:$B$310)-COUNTA(条幅!$B$11:$B$310)),"")))=0,"",IF(862&lt;=COUNTA(半紙!$B$11:$B$310),INDEX(半紙!$I$11:$I$310,862),IF(862&lt;=COUNTA(半紙!$B$11:$B$310)+COUNTA(条幅!$B$11:$B$310),INDEX(条幅!$I$11:$I$310,862-COUNTA(半紙!$B$11:$B$310)),IF(862&lt;=COUNTA(半紙!$B$11:$B$310)+COUNTA(条幅!$B$11:$B$310)+COUNTA(条幅4分の1!$B$11:$B$310),INDEX(条幅4分の1!$I$11:$I$310,862-COUNTA(半紙!$B$11:$B$310)-COUNTA(条幅!$B$11:$B$310)),""))))</f>
        <v/>
      </c>
      <c r="J867" s="38" t="str">
        <f>IF(IF(862&lt;=COUNTA(半紙!$B$11:$B$310),INDEX(半紙!$J$11:$J$310,862),IF(862&lt;=COUNTA(半紙!$B$11:$B$310)+COUNTA(条幅!$B$11:$B$310),INDEX(条幅!$J$11:$J$310,862-COUNTA(半紙!$B$11:$B$310)),IF(862&lt;=COUNTA(半紙!$B$11:$B$310)+COUNTA(条幅!$B$11:$B$310)+COUNTA(条幅4分の1!$B$11:$B$310),INDEX(条幅4分の1!$J$11:$J$310,862-COUNTA(半紙!$B$11:$B$310)-COUNTA(条幅!$B$11:$B$310)),"")))=0,"",IF(862&lt;=COUNTA(半紙!$B$11:$B$310),INDEX(半紙!$J$11:$J$310,862),IF(862&lt;=COUNTA(半紙!$B$11:$B$310)+COUNTA(条幅!$B$11:$B$310),INDEX(条幅!$J$11:$J$310,862-COUNTA(半紙!$B$11:$B$310)),IF(862&lt;=COUNTA(半紙!$B$11:$B$310)+COUNTA(条幅!$B$11:$B$310)+COUNTA(条幅4分の1!$B$11:$B$310),INDEX(条幅4分の1!$J$11:$J$310,862-COUNTA(半紙!$B$11:$B$310)-COUNTA(条幅!$B$11:$B$310)),""))))</f>
        <v/>
      </c>
      <c r="K867" s="38" t="str">
        <f>IF(IF(862&lt;=COUNTA(半紙!$B$11:$B$310),INDEX(半紙!$K$11:$K$310,862),IF(862&lt;=COUNTA(半紙!$B$11:$B$310)+COUNTA(条幅!$B$11:$B$310),INDEX(条幅!$K$11:$K$310,862-COUNTA(半紙!$B$11:$B$310)),IF(862&lt;=COUNTA(半紙!$B$11:$B$310)+COUNTA(条幅!$B$11:$B$310)+COUNTA(条幅4分の1!$B$11:$B$310),INDEX(条幅4分の1!$K$11:$K$310,862-COUNTA(半紙!$B$11:$B$310)-COUNTA(条幅!$B$11:$B$310)),"")))=0,"",IF(862&lt;=COUNTA(半紙!$B$11:$B$310),INDEX(半紙!$K$11:$K$310,862),IF(862&lt;=COUNTA(半紙!$B$11:$B$310)+COUNTA(条幅!$B$11:$B$310),INDEX(条幅!$K$11:$K$310,862-COUNTA(半紙!$B$11:$B$310)),IF(862&lt;=COUNTA(半紙!$B$11:$B$310)+COUNTA(条幅!$B$11:$B$310)+COUNTA(条幅4分の1!$B$11:$B$310),INDEX(条幅4分の1!$K$11:$K$310,862-COUNTA(半紙!$B$11:$B$310)-COUNTA(条幅!$B$11:$B$310)),""))))</f>
        <v/>
      </c>
      <c r="L867" s="48" t="str">
        <f>IF($B867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862))</f>
        <v/>
      </c>
    </row>
    <row r="868" spans="1:12" ht="15" customHeight="1">
      <c r="A868" s="37" t="str">
        <f>IF(863&lt;=COUNTA(半紙!$B$11:$B$310),"半紙",IF(863&lt;=COUNTA(半紙!$B$11:$B$310)+COUNTA(条幅!$B$11:$B$310),"条幅(半切)",IF(863&lt;=COUNTA(半紙!$B$11:$B$310)+COUNTA(条幅!$B$11:$B$310)+COUNTA(条幅4分の1!$B$11:$B$310),"条幅(1/4)","")))</f>
        <v/>
      </c>
      <c r="B868" s="38" t="str">
        <f>IF(IF(863&lt;=COUNTA(半紙!$B$11:$B$310),INDEX(半紙!$B$11:$B$310,863),IF(863&lt;=COUNTA(半紙!$B$11:$B$310)+COUNTA(条幅!$B$11:$B$310),INDEX(条幅!$B$11:$B$310,863-COUNTA(半紙!$B$11:$B$310)),IF(863&lt;=COUNTA(半紙!$B$11:$B$310)+COUNTA(条幅!$B$11:$B$310)+COUNTA(条幅4分の1!$B$11:$B$310),INDEX(条幅4分の1!$B$11:$B$310,863-COUNTA(半紙!$B$11:$B$310)-COUNTA(条幅!$B$11:$B$310)),"")))=0,"",IF(863&lt;=COUNTA(半紙!$B$11:$B$310),INDEX(半紙!$B$11:$B$310,863),IF(863&lt;=COUNTA(半紙!$B$11:$B$310)+COUNTA(条幅!$B$11:$B$310),INDEX(条幅!$B$11:$B$310,863-COUNTA(半紙!$B$11:$B$310)),IF(863&lt;=COUNTA(半紙!$B$11:$B$310)+COUNTA(条幅!$B$11:$B$310)+COUNTA(条幅4分の1!$B$11:$B$310),INDEX(条幅4分の1!$B$11:$B$310,863-COUNTA(半紙!$B$11:$B$310)-COUNTA(条幅!$B$11:$B$310)),""))))</f>
        <v/>
      </c>
      <c r="C868" s="38" t="str">
        <f>IF(IF(863&lt;=COUNTA(半紙!$B$11:$B$310),INDEX(半紙!$C$11:$C$310,863),IF(863&lt;=COUNTA(半紙!$B$11:$B$310)+COUNTA(条幅!$B$11:$B$310),INDEX(条幅!$C$11:$C$310,863-COUNTA(半紙!$B$11:$B$310)),IF(863&lt;=COUNTA(半紙!$B$11:$B$310)+COUNTA(条幅!$B$11:$B$310)+COUNTA(条幅4分の1!$B$11:$B$310),INDEX(条幅4分の1!$C$11:$C$310,863-COUNTA(半紙!$B$11:$B$310)-COUNTA(条幅!$B$11:$B$310)),"")))=0,"",IF(863&lt;=COUNTA(半紙!$B$11:$B$310),INDEX(半紙!$C$11:$C$310,863),IF(863&lt;=COUNTA(半紙!$B$11:$B$310)+COUNTA(条幅!$B$11:$B$310),INDEX(条幅!$C$11:$C$310,863-COUNTA(半紙!$B$11:$B$310)),IF(863&lt;=COUNTA(半紙!$B$11:$B$310)+COUNTA(条幅!$B$11:$B$310)+COUNTA(条幅4分の1!$B$11:$B$310),INDEX(条幅4分の1!$C$11:$C$310,863-COUNTA(半紙!$B$11:$B$310)-COUNTA(条幅!$B$11:$B$310)),""))))</f>
        <v/>
      </c>
      <c r="D868" s="38" t="str">
        <f>IF(IF(863&lt;=COUNTA(半紙!$B$11:$B$310),INDEX(半紙!$D$11:$D$310,863),IF(863&lt;=COUNTA(半紙!$B$11:$B$310)+COUNTA(条幅!$B$11:$B$310),INDEX(条幅!$D$11:$D$310,863-COUNTA(半紙!$B$11:$B$310)),IF(863&lt;=COUNTA(半紙!$B$11:$B$310)+COUNTA(条幅!$B$11:$B$310)+COUNTA(条幅4分の1!$B$11:$B$310),INDEX(条幅4分の1!$D$11:$D$310,863-COUNTA(半紙!$B$11:$B$310)-COUNTA(条幅!$B$11:$B$310)),"")))=0,"",IF(863&lt;=COUNTA(半紙!$B$11:$B$310),INDEX(半紙!$D$11:$D$310,863),IF(863&lt;=COUNTA(半紙!$B$11:$B$310)+COUNTA(条幅!$B$11:$B$310),INDEX(条幅!$D$11:$D$310,863-COUNTA(半紙!$B$11:$B$310)),IF(863&lt;=COUNTA(半紙!$B$11:$B$310)+COUNTA(条幅!$B$11:$B$310)+COUNTA(条幅4分の1!$B$11:$B$310),INDEX(条幅4分の1!$D$11:$D$310,863-COUNTA(半紙!$B$11:$B$310)-COUNTA(条幅!$B$11:$B$310)),""))))</f>
        <v/>
      </c>
      <c r="E868" s="38" t="str">
        <f>IF(IF(863&lt;=COUNTA(半紙!$B$11:$B$310),INDEX(半紙!$E$11:$E$310,863),IF(863&lt;=COUNTA(半紙!$B$11:$B$310)+COUNTA(条幅!$B$11:$B$310),INDEX(条幅!$E$11:$E$310,863-COUNTA(半紙!$B$11:$B$310)),IF(863&lt;=COUNTA(半紙!$B$11:$B$310)+COUNTA(条幅!$B$11:$B$310)+COUNTA(条幅4分の1!$B$11:$B$310),INDEX(条幅4分の1!$E$11:$E$310,863-COUNTA(半紙!$B$11:$B$310)-COUNTA(条幅!$B$11:$B$310)),"")))=0,"",IF(863&lt;=COUNTA(半紙!$B$11:$B$310),INDEX(半紙!$E$11:$E$310,863),IF(863&lt;=COUNTA(半紙!$B$11:$B$310)+COUNTA(条幅!$B$11:$B$310),INDEX(条幅!$E$11:$E$310,863-COUNTA(半紙!$B$11:$B$310)),IF(863&lt;=COUNTA(半紙!$B$11:$B$310)+COUNTA(条幅!$B$11:$B$310)+COUNTA(条幅4分の1!$B$11:$B$310),INDEX(条幅4分の1!$E$11:$E$310,863-COUNTA(半紙!$B$11:$B$310)-COUNTA(条幅!$B$11:$B$310)),""))))</f>
        <v/>
      </c>
      <c r="F868" s="38" t="str">
        <f>IF(IF(863&lt;=COUNTA(半紙!$B$11:$B$310),INDEX(半紙!$F$11:$F$310,863),IF(863&lt;=COUNTA(半紙!$B$11:$B$310)+COUNTA(条幅!$B$11:$B$310),INDEX(条幅!$F$11:$F$310,863-COUNTA(半紙!$B$11:$B$310)),IF(863&lt;=COUNTA(半紙!$B$11:$B$310)+COUNTA(条幅!$B$11:$B$310)+COUNTA(条幅4分の1!$B$11:$B$310),INDEX(条幅4分の1!$F$11:$F$310,863-COUNTA(半紙!$B$11:$B$310)-COUNTA(条幅!$B$11:$B$310)),"")))=0,"",IF(863&lt;=COUNTA(半紙!$B$11:$B$310),INDEX(半紙!$F$11:$F$310,863),IF(863&lt;=COUNTA(半紙!$B$11:$B$310)+COUNTA(条幅!$B$11:$B$310),INDEX(条幅!$F$11:$F$310,863-COUNTA(半紙!$B$11:$B$310)),IF(863&lt;=COUNTA(半紙!$B$11:$B$310)+COUNTA(条幅!$B$11:$B$310)+COUNTA(条幅4分の1!$B$11:$B$310),INDEX(条幅4分の1!$F$11:$F$310,863-COUNTA(半紙!$B$11:$B$310)-COUNTA(条幅!$B$11:$B$310)),""))))</f>
        <v/>
      </c>
      <c r="G868" s="38" t="str">
        <f>IF(IF(863&lt;=COUNTA(半紙!$B$11:$B$310),INDEX(半紙!$G$11:$G$310,863),IF(863&lt;=COUNTA(半紙!$B$11:$B$310)+COUNTA(条幅!$B$11:$B$310),INDEX(条幅!$G$11:$G$310,863-COUNTA(半紙!$B$11:$B$310)),IF(863&lt;=COUNTA(半紙!$B$11:$B$310)+COUNTA(条幅!$B$11:$B$310)+COUNTA(条幅4分の1!$B$11:$B$310),INDEX(条幅4分の1!$G$11:$G$310,863-COUNTA(半紙!$B$11:$B$310)-COUNTA(条幅!$B$11:$B$310)),"")))=0,"",IF(863&lt;=COUNTA(半紙!$B$11:$B$310),INDEX(半紙!$G$11:$G$310,863),IF(863&lt;=COUNTA(半紙!$B$11:$B$310)+COUNTA(条幅!$B$11:$B$310),INDEX(条幅!$G$11:$G$310,863-COUNTA(半紙!$B$11:$B$310)),IF(863&lt;=COUNTA(半紙!$B$11:$B$310)+COUNTA(条幅!$B$11:$B$310)+COUNTA(条幅4分の1!$B$11:$B$310),INDEX(条幅4分の1!$G$11:$G$310,863-COUNTA(半紙!$B$11:$B$310)-COUNTA(条幅!$B$11:$B$310)),""))))</f>
        <v/>
      </c>
      <c r="H868" s="38" t="str">
        <f>IF(IF(863&lt;=COUNTA(半紙!$B$11:$B$310),INDEX(半紙!$H$11:$H$310,863),IF(863&lt;=COUNTA(半紙!$B$11:$B$310)+COUNTA(条幅!$B$11:$B$310),INDEX(条幅!$H$11:$H$310,863-COUNTA(半紙!$B$11:$B$310)),IF(863&lt;=COUNTA(半紙!$B$11:$B$310)+COUNTA(条幅!$B$11:$B$310)+COUNTA(条幅4分の1!$B$11:$B$310),INDEX(条幅4分の1!$H$11:$H$310,863-COUNTA(半紙!$B$11:$B$310)-COUNTA(条幅!$B$11:$B$310)),"")))=0,"",IF(863&lt;=COUNTA(半紙!$B$11:$B$310),INDEX(半紙!$H$11:$H$310,863),IF(863&lt;=COUNTA(半紙!$B$11:$B$310)+COUNTA(条幅!$B$11:$B$310),INDEX(条幅!$H$11:$H$310,863-COUNTA(半紙!$B$11:$B$310)),IF(863&lt;=COUNTA(半紙!$B$11:$B$310)+COUNTA(条幅!$B$11:$B$310)+COUNTA(条幅4分の1!$B$11:$B$310),INDEX(条幅4分の1!$H$11:$H$310,863-COUNTA(半紙!$B$11:$B$310)-COUNTA(条幅!$B$11:$B$310)),""))))</f>
        <v/>
      </c>
      <c r="I868" s="38" t="str">
        <f>IF(IF(863&lt;=COUNTA(半紙!$B$11:$B$310),INDEX(半紙!$I$11:$I$310,863),IF(863&lt;=COUNTA(半紙!$B$11:$B$310)+COUNTA(条幅!$B$11:$B$310),INDEX(条幅!$I$11:$I$310,863-COUNTA(半紙!$B$11:$B$310)),IF(863&lt;=COUNTA(半紙!$B$11:$B$310)+COUNTA(条幅!$B$11:$B$310)+COUNTA(条幅4分の1!$B$11:$B$310),INDEX(条幅4分の1!$I$11:$I$310,863-COUNTA(半紙!$B$11:$B$310)-COUNTA(条幅!$B$11:$B$310)),"")))=0,"",IF(863&lt;=COUNTA(半紙!$B$11:$B$310),INDEX(半紙!$I$11:$I$310,863),IF(863&lt;=COUNTA(半紙!$B$11:$B$310)+COUNTA(条幅!$B$11:$B$310),INDEX(条幅!$I$11:$I$310,863-COUNTA(半紙!$B$11:$B$310)),IF(863&lt;=COUNTA(半紙!$B$11:$B$310)+COUNTA(条幅!$B$11:$B$310)+COUNTA(条幅4分の1!$B$11:$B$310),INDEX(条幅4分の1!$I$11:$I$310,863-COUNTA(半紙!$B$11:$B$310)-COUNTA(条幅!$B$11:$B$310)),""))))</f>
        <v/>
      </c>
      <c r="J868" s="38" t="str">
        <f>IF(IF(863&lt;=COUNTA(半紙!$B$11:$B$310),INDEX(半紙!$J$11:$J$310,863),IF(863&lt;=COUNTA(半紙!$B$11:$B$310)+COUNTA(条幅!$B$11:$B$310),INDEX(条幅!$J$11:$J$310,863-COUNTA(半紙!$B$11:$B$310)),IF(863&lt;=COUNTA(半紙!$B$11:$B$310)+COUNTA(条幅!$B$11:$B$310)+COUNTA(条幅4分の1!$B$11:$B$310),INDEX(条幅4分の1!$J$11:$J$310,863-COUNTA(半紙!$B$11:$B$310)-COUNTA(条幅!$B$11:$B$310)),"")))=0,"",IF(863&lt;=COUNTA(半紙!$B$11:$B$310),INDEX(半紙!$J$11:$J$310,863),IF(863&lt;=COUNTA(半紙!$B$11:$B$310)+COUNTA(条幅!$B$11:$B$310),INDEX(条幅!$J$11:$J$310,863-COUNTA(半紙!$B$11:$B$310)),IF(863&lt;=COUNTA(半紙!$B$11:$B$310)+COUNTA(条幅!$B$11:$B$310)+COUNTA(条幅4分の1!$B$11:$B$310),INDEX(条幅4分の1!$J$11:$J$310,863-COUNTA(半紙!$B$11:$B$310)-COUNTA(条幅!$B$11:$B$310)),""))))</f>
        <v/>
      </c>
      <c r="K868" s="38" t="str">
        <f>IF(IF(863&lt;=COUNTA(半紙!$B$11:$B$310),INDEX(半紙!$K$11:$K$310,863),IF(863&lt;=COUNTA(半紙!$B$11:$B$310)+COUNTA(条幅!$B$11:$B$310),INDEX(条幅!$K$11:$K$310,863-COUNTA(半紙!$B$11:$B$310)),IF(863&lt;=COUNTA(半紙!$B$11:$B$310)+COUNTA(条幅!$B$11:$B$310)+COUNTA(条幅4分の1!$B$11:$B$310),INDEX(条幅4分の1!$K$11:$K$310,863-COUNTA(半紙!$B$11:$B$310)-COUNTA(条幅!$B$11:$B$310)),"")))=0,"",IF(863&lt;=COUNTA(半紙!$B$11:$B$310),INDEX(半紙!$K$11:$K$310,863),IF(863&lt;=COUNTA(半紙!$B$11:$B$310)+COUNTA(条幅!$B$11:$B$310),INDEX(条幅!$K$11:$K$310,863-COUNTA(半紙!$B$11:$B$310)),IF(863&lt;=COUNTA(半紙!$B$11:$B$310)+COUNTA(条幅!$B$11:$B$310)+COUNTA(条幅4分の1!$B$11:$B$310),INDEX(条幅4分の1!$K$11:$K$310,863-COUNTA(半紙!$B$11:$B$310)-COUNTA(条幅!$B$11:$B$310)),""))))</f>
        <v/>
      </c>
      <c r="L868" s="48" t="str">
        <f>IF($B868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863))</f>
        <v/>
      </c>
    </row>
    <row r="869" spans="1:12" ht="15" customHeight="1">
      <c r="A869" s="37" t="str">
        <f>IF(864&lt;=COUNTA(半紙!$B$11:$B$310),"半紙",IF(864&lt;=COUNTA(半紙!$B$11:$B$310)+COUNTA(条幅!$B$11:$B$310),"条幅(半切)",IF(864&lt;=COUNTA(半紙!$B$11:$B$310)+COUNTA(条幅!$B$11:$B$310)+COUNTA(条幅4分の1!$B$11:$B$310),"条幅(1/4)","")))</f>
        <v/>
      </c>
      <c r="B869" s="38" t="str">
        <f>IF(IF(864&lt;=COUNTA(半紙!$B$11:$B$310),INDEX(半紙!$B$11:$B$310,864),IF(864&lt;=COUNTA(半紙!$B$11:$B$310)+COUNTA(条幅!$B$11:$B$310),INDEX(条幅!$B$11:$B$310,864-COUNTA(半紙!$B$11:$B$310)),IF(864&lt;=COUNTA(半紙!$B$11:$B$310)+COUNTA(条幅!$B$11:$B$310)+COUNTA(条幅4分の1!$B$11:$B$310),INDEX(条幅4分の1!$B$11:$B$310,864-COUNTA(半紙!$B$11:$B$310)-COUNTA(条幅!$B$11:$B$310)),"")))=0,"",IF(864&lt;=COUNTA(半紙!$B$11:$B$310),INDEX(半紙!$B$11:$B$310,864),IF(864&lt;=COUNTA(半紙!$B$11:$B$310)+COUNTA(条幅!$B$11:$B$310),INDEX(条幅!$B$11:$B$310,864-COUNTA(半紙!$B$11:$B$310)),IF(864&lt;=COUNTA(半紙!$B$11:$B$310)+COUNTA(条幅!$B$11:$B$310)+COUNTA(条幅4分の1!$B$11:$B$310),INDEX(条幅4分の1!$B$11:$B$310,864-COUNTA(半紙!$B$11:$B$310)-COUNTA(条幅!$B$11:$B$310)),""))))</f>
        <v/>
      </c>
      <c r="C869" s="38" t="str">
        <f>IF(IF(864&lt;=COUNTA(半紙!$B$11:$B$310),INDEX(半紙!$C$11:$C$310,864),IF(864&lt;=COUNTA(半紙!$B$11:$B$310)+COUNTA(条幅!$B$11:$B$310),INDEX(条幅!$C$11:$C$310,864-COUNTA(半紙!$B$11:$B$310)),IF(864&lt;=COUNTA(半紙!$B$11:$B$310)+COUNTA(条幅!$B$11:$B$310)+COUNTA(条幅4分の1!$B$11:$B$310),INDEX(条幅4分の1!$C$11:$C$310,864-COUNTA(半紙!$B$11:$B$310)-COUNTA(条幅!$B$11:$B$310)),"")))=0,"",IF(864&lt;=COUNTA(半紙!$B$11:$B$310),INDEX(半紙!$C$11:$C$310,864),IF(864&lt;=COUNTA(半紙!$B$11:$B$310)+COUNTA(条幅!$B$11:$B$310),INDEX(条幅!$C$11:$C$310,864-COUNTA(半紙!$B$11:$B$310)),IF(864&lt;=COUNTA(半紙!$B$11:$B$310)+COUNTA(条幅!$B$11:$B$310)+COUNTA(条幅4分の1!$B$11:$B$310),INDEX(条幅4分の1!$C$11:$C$310,864-COUNTA(半紙!$B$11:$B$310)-COUNTA(条幅!$B$11:$B$310)),""))))</f>
        <v/>
      </c>
      <c r="D869" s="38" t="str">
        <f>IF(IF(864&lt;=COUNTA(半紙!$B$11:$B$310),INDEX(半紙!$D$11:$D$310,864),IF(864&lt;=COUNTA(半紙!$B$11:$B$310)+COUNTA(条幅!$B$11:$B$310),INDEX(条幅!$D$11:$D$310,864-COUNTA(半紙!$B$11:$B$310)),IF(864&lt;=COUNTA(半紙!$B$11:$B$310)+COUNTA(条幅!$B$11:$B$310)+COUNTA(条幅4分の1!$B$11:$B$310),INDEX(条幅4分の1!$D$11:$D$310,864-COUNTA(半紙!$B$11:$B$310)-COUNTA(条幅!$B$11:$B$310)),"")))=0,"",IF(864&lt;=COUNTA(半紙!$B$11:$B$310),INDEX(半紙!$D$11:$D$310,864),IF(864&lt;=COUNTA(半紙!$B$11:$B$310)+COUNTA(条幅!$B$11:$B$310),INDEX(条幅!$D$11:$D$310,864-COUNTA(半紙!$B$11:$B$310)),IF(864&lt;=COUNTA(半紙!$B$11:$B$310)+COUNTA(条幅!$B$11:$B$310)+COUNTA(条幅4分の1!$B$11:$B$310),INDEX(条幅4分の1!$D$11:$D$310,864-COUNTA(半紙!$B$11:$B$310)-COUNTA(条幅!$B$11:$B$310)),""))))</f>
        <v/>
      </c>
      <c r="E869" s="38" t="str">
        <f>IF(IF(864&lt;=COUNTA(半紙!$B$11:$B$310),INDEX(半紙!$E$11:$E$310,864),IF(864&lt;=COUNTA(半紙!$B$11:$B$310)+COUNTA(条幅!$B$11:$B$310),INDEX(条幅!$E$11:$E$310,864-COUNTA(半紙!$B$11:$B$310)),IF(864&lt;=COUNTA(半紙!$B$11:$B$310)+COUNTA(条幅!$B$11:$B$310)+COUNTA(条幅4分の1!$B$11:$B$310),INDEX(条幅4分の1!$E$11:$E$310,864-COUNTA(半紙!$B$11:$B$310)-COUNTA(条幅!$B$11:$B$310)),"")))=0,"",IF(864&lt;=COUNTA(半紙!$B$11:$B$310),INDEX(半紙!$E$11:$E$310,864),IF(864&lt;=COUNTA(半紙!$B$11:$B$310)+COUNTA(条幅!$B$11:$B$310),INDEX(条幅!$E$11:$E$310,864-COUNTA(半紙!$B$11:$B$310)),IF(864&lt;=COUNTA(半紙!$B$11:$B$310)+COUNTA(条幅!$B$11:$B$310)+COUNTA(条幅4分の1!$B$11:$B$310),INDEX(条幅4分の1!$E$11:$E$310,864-COUNTA(半紙!$B$11:$B$310)-COUNTA(条幅!$B$11:$B$310)),""))))</f>
        <v/>
      </c>
      <c r="F869" s="38" t="str">
        <f>IF(IF(864&lt;=COUNTA(半紙!$B$11:$B$310),INDEX(半紙!$F$11:$F$310,864),IF(864&lt;=COUNTA(半紙!$B$11:$B$310)+COUNTA(条幅!$B$11:$B$310),INDEX(条幅!$F$11:$F$310,864-COUNTA(半紙!$B$11:$B$310)),IF(864&lt;=COUNTA(半紙!$B$11:$B$310)+COUNTA(条幅!$B$11:$B$310)+COUNTA(条幅4分の1!$B$11:$B$310),INDEX(条幅4分の1!$F$11:$F$310,864-COUNTA(半紙!$B$11:$B$310)-COUNTA(条幅!$B$11:$B$310)),"")))=0,"",IF(864&lt;=COUNTA(半紙!$B$11:$B$310),INDEX(半紙!$F$11:$F$310,864),IF(864&lt;=COUNTA(半紙!$B$11:$B$310)+COUNTA(条幅!$B$11:$B$310),INDEX(条幅!$F$11:$F$310,864-COUNTA(半紙!$B$11:$B$310)),IF(864&lt;=COUNTA(半紙!$B$11:$B$310)+COUNTA(条幅!$B$11:$B$310)+COUNTA(条幅4分の1!$B$11:$B$310),INDEX(条幅4分の1!$F$11:$F$310,864-COUNTA(半紙!$B$11:$B$310)-COUNTA(条幅!$B$11:$B$310)),""))))</f>
        <v/>
      </c>
      <c r="G869" s="38" t="str">
        <f>IF(IF(864&lt;=COUNTA(半紙!$B$11:$B$310),INDEX(半紙!$G$11:$G$310,864),IF(864&lt;=COUNTA(半紙!$B$11:$B$310)+COUNTA(条幅!$B$11:$B$310),INDEX(条幅!$G$11:$G$310,864-COUNTA(半紙!$B$11:$B$310)),IF(864&lt;=COUNTA(半紙!$B$11:$B$310)+COUNTA(条幅!$B$11:$B$310)+COUNTA(条幅4分の1!$B$11:$B$310),INDEX(条幅4分の1!$G$11:$G$310,864-COUNTA(半紙!$B$11:$B$310)-COUNTA(条幅!$B$11:$B$310)),"")))=0,"",IF(864&lt;=COUNTA(半紙!$B$11:$B$310),INDEX(半紙!$G$11:$G$310,864),IF(864&lt;=COUNTA(半紙!$B$11:$B$310)+COUNTA(条幅!$B$11:$B$310),INDEX(条幅!$G$11:$G$310,864-COUNTA(半紙!$B$11:$B$310)),IF(864&lt;=COUNTA(半紙!$B$11:$B$310)+COUNTA(条幅!$B$11:$B$310)+COUNTA(条幅4分の1!$B$11:$B$310),INDEX(条幅4分の1!$G$11:$G$310,864-COUNTA(半紙!$B$11:$B$310)-COUNTA(条幅!$B$11:$B$310)),""))))</f>
        <v/>
      </c>
      <c r="H869" s="38" t="str">
        <f>IF(IF(864&lt;=COUNTA(半紙!$B$11:$B$310),INDEX(半紙!$H$11:$H$310,864),IF(864&lt;=COUNTA(半紙!$B$11:$B$310)+COUNTA(条幅!$B$11:$B$310),INDEX(条幅!$H$11:$H$310,864-COUNTA(半紙!$B$11:$B$310)),IF(864&lt;=COUNTA(半紙!$B$11:$B$310)+COUNTA(条幅!$B$11:$B$310)+COUNTA(条幅4分の1!$B$11:$B$310),INDEX(条幅4分の1!$H$11:$H$310,864-COUNTA(半紙!$B$11:$B$310)-COUNTA(条幅!$B$11:$B$310)),"")))=0,"",IF(864&lt;=COUNTA(半紙!$B$11:$B$310),INDEX(半紙!$H$11:$H$310,864),IF(864&lt;=COUNTA(半紙!$B$11:$B$310)+COUNTA(条幅!$B$11:$B$310),INDEX(条幅!$H$11:$H$310,864-COUNTA(半紙!$B$11:$B$310)),IF(864&lt;=COUNTA(半紙!$B$11:$B$310)+COUNTA(条幅!$B$11:$B$310)+COUNTA(条幅4分の1!$B$11:$B$310),INDEX(条幅4分の1!$H$11:$H$310,864-COUNTA(半紙!$B$11:$B$310)-COUNTA(条幅!$B$11:$B$310)),""))))</f>
        <v/>
      </c>
      <c r="I869" s="38" t="str">
        <f>IF(IF(864&lt;=COUNTA(半紙!$B$11:$B$310),INDEX(半紙!$I$11:$I$310,864),IF(864&lt;=COUNTA(半紙!$B$11:$B$310)+COUNTA(条幅!$B$11:$B$310),INDEX(条幅!$I$11:$I$310,864-COUNTA(半紙!$B$11:$B$310)),IF(864&lt;=COUNTA(半紙!$B$11:$B$310)+COUNTA(条幅!$B$11:$B$310)+COUNTA(条幅4分の1!$B$11:$B$310),INDEX(条幅4分の1!$I$11:$I$310,864-COUNTA(半紙!$B$11:$B$310)-COUNTA(条幅!$B$11:$B$310)),"")))=0,"",IF(864&lt;=COUNTA(半紙!$B$11:$B$310),INDEX(半紙!$I$11:$I$310,864),IF(864&lt;=COUNTA(半紙!$B$11:$B$310)+COUNTA(条幅!$B$11:$B$310),INDEX(条幅!$I$11:$I$310,864-COUNTA(半紙!$B$11:$B$310)),IF(864&lt;=COUNTA(半紙!$B$11:$B$310)+COUNTA(条幅!$B$11:$B$310)+COUNTA(条幅4分の1!$B$11:$B$310),INDEX(条幅4分の1!$I$11:$I$310,864-COUNTA(半紙!$B$11:$B$310)-COUNTA(条幅!$B$11:$B$310)),""))))</f>
        <v/>
      </c>
      <c r="J869" s="38" t="str">
        <f>IF(IF(864&lt;=COUNTA(半紙!$B$11:$B$310),INDEX(半紙!$J$11:$J$310,864),IF(864&lt;=COUNTA(半紙!$B$11:$B$310)+COUNTA(条幅!$B$11:$B$310),INDEX(条幅!$J$11:$J$310,864-COUNTA(半紙!$B$11:$B$310)),IF(864&lt;=COUNTA(半紙!$B$11:$B$310)+COUNTA(条幅!$B$11:$B$310)+COUNTA(条幅4分の1!$B$11:$B$310),INDEX(条幅4分の1!$J$11:$J$310,864-COUNTA(半紙!$B$11:$B$310)-COUNTA(条幅!$B$11:$B$310)),"")))=0,"",IF(864&lt;=COUNTA(半紙!$B$11:$B$310),INDEX(半紙!$J$11:$J$310,864),IF(864&lt;=COUNTA(半紙!$B$11:$B$310)+COUNTA(条幅!$B$11:$B$310),INDEX(条幅!$J$11:$J$310,864-COUNTA(半紙!$B$11:$B$310)),IF(864&lt;=COUNTA(半紙!$B$11:$B$310)+COUNTA(条幅!$B$11:$B$310)+COUNTA(条幅4分の1!$B$11:$B$310),INDEX(条幅4分の1!$J$11:$J$310,864-COUNTA(半紙!$B$11:$B$310)-COUNTA(条幅!$B$11:$B$310)),""))))</f>
        <v/>
      </c>
      <c r="K869" s="38" t="str">
        <f>IF(IF(864&lt;=COUNTA(半紙!$B$11:$B$310),INDEX(半紙!$K$11:$K$310,864),IF(864&lt;=COUNTA(半紙!$B$11:$B$310)+COUNTA(条幅!$B$11:$B$310),INDEX(条幅!$K$11:$K$310,864-COUNTA(半紙!$B$11:$B$310)),IF(864&lt;=COUNTA(半紙!$B$11:$B$310)+COUNTA(条幅!$B$11:$B$310)+COUNTA(条幅4分の1!$B$11:$B$310),INDEX(条幅4分の1!$K$11:$K$310,864-COUNTA(半紙!$B$11:$B$310)-COUNTA(条幅!$B$11:$B$310)),"")))=0,"",IF(864&lt;=COUNTA(半紙!$B$11:$B$310),INDEX(半紙!$K$11:$K$310,864),IF(864&lt;=COUNTA(半紙!$B$11:$B$310)+COUNTA(条幅!$B$11:$B$310),INDEX(条幅!$K$11:$K$310,864-COUNTA(半紙!$B$11:$B$310)),IF(864&lt;=COUNTA(半紙!$B$11:$B$310)+COUNTA(条幅!$B$11:$B$310)+COUNTA(条幅4分の1!$B$11:$B$310),INDEX(条幅4分の1!$K$11:$K$310,864-COUNTA(半紙!$B$11:$B$310)-COUNTA(条幅!$B$11:$B$310)),""))))</f>
        <v/>
      </c>
      <c r="L869" s="48" t="str">
        <f>IF($B869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864))</f>
        <v/>
      </c>
    </row>
    <row r="870" spans="1:12" ht="15" customHeight="1">
      <c r="A870" s="37" t="str">
        <f>IF(865&lt;=COUNTA(半紙!$B$11:$B$310),"半紙",IF(865&lt;=COUNTA(半紙!$B$11:$B$310)+COUNTA(条幅!$B$11:$B$310),"条幅(半切)",IF(865&lt;=COUNTA(半紙!$B$11:$B$310)+COUNTA(条幅!$B$11:$B$310)+COUNTA(条幅4分の1!$B$11:$B$310),"条幅(1/4)","")))</f>
        <v/>
      </c>
      <c r="B870" s="38" t="str">
        <f>IF(IF(865&lt;=COUNTA(半紙!$B$11:$B$310),INDEX(半紙!$B$11:$B$310,865),IF(865&lt;=COUNTA(半紙!$B$11:$B$310)+COUNTA(条幅!$B$11:$B$310),INDEX(条幅!$B$11:$B$310,865-COUNTA(半紙!$B$11:$B$310)),IF(865&lt;=COUNTA(半紙!$B$11:$B$310)+COUNTA(条幅!$B$11:$B$310)+COUNTA(条幅4分の1!$B$11:$B$310),INDEX(条幅4分の1!$B$11:$B$310,865-COUNTA(半紙!$B$11:$B$310)-COUNTA(条幅!$B$11:$B$310)),"")))=0,"",IF(865&lt;=COUNTA(半紙!$B$11:$B$310),INDEX(半紙!$B$11:$B$310,865),IF(865&lt;=COUNTA(半紙!$B$11:$B$310)+COUNTA(条幅!$B$11:$B$310),INDEX(条幅!$B$11:$B$310,865-COUNTA(半紙!$B$11:$B$310)),IF(865&lt;=COUNTA(半紙!$B$11:$B$310)+COUNTA(条幅!$B$11:$B$310)+COUNTA(条幅4分の1!$B$11:$B$310),INDEX(条幅4分の1!$B$11:$B$310,865-COUNTA(半紙!$B$11:$B$310)-COUNTA(条幅!$B$11:$B$310)),""))))</f>
        <v/>
      </c>
      <c r="C870" s="38" t="str">
        <f>IF(IF(865&lt;=COUNTA(半紙!$B$11:$B$310),INDEX(半紙!$C$11:$C$310,865),IF(865&lt;=COUNTA(半紙!$B$11:$B$310)+COUNTA(条幅!$B$11:$B$310),INDEX(条幅!$C$11:$C$310,865-COUNTA(半紙!$B$11:$B$310)),IF(865&lt;=COUNTA(半紙!$B$11:$B$310)+COUNTA(条幅!$B$11:$B$310)+COUNTA(条幅4分の1!$B$11:$B$310),INDEX(条幅4分の1!$C$11:$C$310,865-COUNTA(半紙!$B$11:$B$310)-COUNTA(条幅!$B$11:$B$310)),"")))=0,"",IF(865&lt;=COUNTA(半紙!$B$11:$B$310),INDEX(半紙!$C$11:$C$310,865),IF(865&lt;=COUNTA(半紙!$B$11:$B$310)+COUNTA(条幅!$B$11:$B$310),INDEX(条幅!$C$11:$C$310,865-COUNTA(半紙!$B$11:$B$310)),IF(865&lt;=COUNTA(半紙!$B$11:$B$310)+COUNTA(条幅!$B$11:$B$310)+COUNTA(条幅4分の1!$B$11:$B$310),INDEX(条幅4分の1!$C$11:$C$310,865-COUNTA(半紙!$B$11:$B$310)-COUNTA(条幅!$B$11:$B$310)),""))))</f>
        <v/>
      </c>
      <c r="D870" s="38" t="str">
        <f>IF(IF(865&lt;=COUNTA(半紙!$B$11:$B$310),INDEX(半紙!$D$11:$D$310,865),IF(865&lt;=COUNTA(半紙!$B$11:$B$310)+COUNTA(条幅!$B$11:$B$310),INDEX(条幅!$D$11:$D$310,865-COUNTA(半紙!$B$11:$B$310)),IF(865&lt;=COUNTA(半紙!$B$11:$B$310)+COUNTA(条幅!$B$11:$B$310)+COUNTA(条幅4分の1!$B$11:$B$310),INDEX(条幅4分の1!$D$11:$D$310,865-COUNTA(半紙!$B$11:$B$310)-COUNTA(条幅!$B$11:$B$310)),"")))=0,"",IF(865&lt;=COUNTA(半紙!$B$11:$B$310),INDEX(半紙!$D$11:$D$310,865),IF(865&lt;=COUNTA(半紙!$B$11:$B$310)+COUNTA(条幅!$B$11:$B$310),INDEX(条幅!$D$11:$D$310,865-COUNTA(半紙!$B$11:$B$310)),IF(865&lt;=COUNTA(半紙!$B$11:$B$310)+COUNTA(条幅!$B$11:$B$310)+COUNTA(条幅4分の1!$B$11:$B$310),INDEX(条幅4分の1!$D$11:$D$310,865-COUNTA(半紙!$B$11:$B$310)-COUNTA(条幅!$B$11:$B$310)),""))))</f>
        <v/>
      </c>
      <c r="E870" s="38" t="str">
        <f>IF(IF(865&lt;=COUNTA(半紙!$B$11:$B$310),INDEX(半紙!$E$11:$E$310,865),IF(865&lt;=COUNTA(半紙!$B$11:$B$310)+COUNTA(条幅!$B$11:$B$310),INDEX(条幅!$E$11:$E$310,865-COUNTA(半紙!$B$11:$B$310)),IF(865&lt;=COUNTA(半紙!$B$11:$B$310)+COUNTA(条幅!$B$11:$B$310)+COUNTA(条幅4分の1!$B$11:$B$310),INDEX(条幅4分の1!$E$11:$E$310,865-COUNTA(半紙!$B$11:$B$310)-COUNTA(条幅!$B$11:$B$310)),"")))=0,"",IF(865&lt;=COUNTA(半紙!$B$11:$B$310),INDEX(半紙!$E$11:$E$310,865),IF(865&lt;=COUNTA(半紙!$B$11:$B$310)+COUNTA(条幅!$B$11:$B$310),INDEX(条幅!$E$11:$E$310,865-COUNTA(半紙!$B$11:$B$310)),IF(865&lt;=COUNTA(半紙!$B$11:$B$310)+COUNTA(条幅!$B$11:$B$310)+COUNTA(条幅4分の1!$B$11:$B$310),INDEX(条幅4分の1!$E$11:$E$310,865-COUNTA(半紙!$B$11:$B$310)-COUNTA(条幅!$B$11:$B$310)),""))))</f>
        <v/>
      </c>
      <c r="F870" s="38" t="str">
        <f>IF(IF(865&lt;=COUNTA(半紙!$B$11:$B$310),INDEX(半紙!$F$11:$F$310,865),IF(865&lt;=COUNTA(半紙!$B$11:$B$310)+COUNTA(条幅!$B$11:$B$310),INDEX(条幅!$F$11:$F$310,865-COUNTA(半紙!$B$11:$B$310)),IF(865&lt;=COUNTA(半紙!$B$11:$B$310)+COUNTA(条幅!$B$11:$B$310)+COUNTA(条幅4分の1!$B$11:$B$310),INDEX(条幅4分の1!$F$11:$F$310,865-COUNTA(半紙!$B$11:$B$310)-COUNTA(条幅!$B$11:$B$310)),"")))=0,"",IF(865&lt;=COUNTA(半紙!$B$11:$B$310),INDEX(半紙!$F$11:$F$310,865),IF(865&lt;=COUNTA(半紙!$B$11:$B$310)+COUNTA(条幅!$B$11:$B$310),INDEX(条幅!$F$11:$F$310,865-COUNTA(半紙!$B$11:$B$310)),IF(865&lt;=COUNTA(半紙!$B$11:$B$310)+COUNTA(条幅!$B$11:$B$310)+COUNTA(条幅4分の1!$B$11:$B$310),INDEX(条幅4分の1!$F$11:$F$310,865-COUNTA(半紙!$B$11:$B$310)-COUNTA(条幅!$B$11:$B$310)),""))))</f>
        <v/>
      </c>
      <c r="G870" s="38" t="str">
        <f>IF(IF(865&lt;=COUNTA(半紙!$B$11:$B$310),INDEX(半紙!$G$11:$G$310,865),IF(865&lt;=COUNTA(半紙!$B$11:$B$310)+COUNTA(条幅!$B$11:$B$310),INDEX(条幅!$G$11:$G$310,865-COUNTA(半紙!$B$11:$B$310)),IF(865&lt;=COUNTA(半紙!$B$11:$B$310)+COUNTA(条幅!$B$11:$B$310)+COUNTA(条幅4分の1!$B$11:$B$310),INDEX(条幅4分の1!$G$11:$G$310,865-COUNTA(半紙!$B$11:$B$310)-COUNTA(条幅!$B$11:$B$310)),"")))=0,"",IF(865&lt;=COUNTA(半紙!$B$11:$B$310),INDEX(半紙!$G$11:$G$310,865),IF(865&lt;=COUNTA(半紙!$B$11:$B$310)+COUNTA(条幅!$B$11:$B$310),INDEX(条幅!$G$11:$G$310,865-COUNTA(半紙!$B$11:$B$310)),IF(865&lt;=COUNTA(半紙!$B$11:$B$310)+COUNTA(条幅!$B$11:$B$310)+COUNTA(条幅4分の1!$B$11:$B$310),INDEX(条幅4分の1!$G$11:$G$310,865-COUNTA(半紙!$B$11:$B$310)-COUNTA(条幅!$B$11:$B$310)),""))))</f>
        <v/>
      </c>
      <c r="H870" s="38" t="str">
        <f>IF(IF(865&lt;=COUNTA(半紙!$B$11:$B$310),INDEX(半紙!$H$11:$H$310,865),IF(865&lt;=COUNTA(半紙!$B$11:$B$310)+COUNTA(条幅!$B$11:$B$310),INDEX(条幅!$H$11:$H$310,865-COUNTA(半紙!$B$11:$B$310)),IF(865&lt;=COUNTA(半紙!$B$11:$B$310)+COUNTA(条幅!$B$11:$B$310)+COUNTA(条幅4分の1!$B$11:$B$310),INDEX(条幅4分の1!$H$11:$H$310,865-COUNTA(半紙!$B$11:$B$310)-COUNTA(条幅!$B$11:$B$310)),"")))=0,"",IF(865&lt;=COUNTA(半紙!$B$11:$B$310),INDEX(半紙!$H$11:$H$310,865),IF(865&lt;=COUNTA(半紙!$B$11:$B$310)+COUNTA(条幅!$B$11:$B$310),INDEX(条幅!$H$11:$H$310,865-COUNTA(半紙!$B$11:$B$310)),IF(865&lt;=COUNTA(半紙!$B$11:$B$310)+COUNTA(条幅!$B$11:$B$310)+COUNTA(条幅4分の1!$B$11:$B$310),INDEX(条幅4分の1!$H$11:$H$310,865-COUNTA(半紙!$B$11:$B$310)-COUNTA(条幅!$B$11:$B$310)),""))))</f>
        <v/>
      </c>
      <c r="I870" s="38" t="str">
        <f>IF(IF(865&lt;=COUNTA(半紙!$B$11:$B$310),INDEX(半紙!$I$11:$I$310,865),IF(865&lt;=COUNTA(半紙!$B$11:$B$310)+COUNTA(条幅!$B$11:$B$310),INDEX(条幅!$I$11:$I$310,865-COUNTA(半紙!$B$11:$B$310)),IF(865&lt;=COUNTA(半紙!$B$11:$B$310)+COUNTA(条幅!$B$11:$B$310)+COUNTA(条幅4分の1!$B$11:$B$310),INDEX(条幅4分の1!$I$11:$I$310,865-COUNTA(半紙!$B$11:$B$310)-COUNTA(条幅!$B$11:$B$310)),"")))=0,"",IF(865&lt;=COUNTA(半紙!$B$11:$B$310),INDEX(半紙!$I$11:$I$310,865),IF(865&lt;=COUNTA(半紙!$B$11:$B$310)+COUNTA(条幅!$B$11:$B$310),INDEX(条幅!$I$11:$I$310,865-COUNTA(半紙!$B$11:$B$310)),IF(865&lt;=COUNTA(半紙!$B$11:$B$310)+COUNTA(条幅!$B$11:$B$310)+COUNTA(条幅4分の1!$B$11:$B$310),INDEX(条幅4分の1!$I$11:$I$310,865-COUNTA(半紙!$B$11:$B$310)-COUNTA(条幅!$B$11:$B$310)),""))))</f>
        <v/>
      </c>
      <c r="J870" s="38" t="str">
        <f>IF(IF(865&lt;=COUNTA(半紙!$B$11:$B$310),INDEX(半紙!$J$11:$J$310,865),IF(865&lt;=COUNTA(半紙!$B$11:$B$310)+COUNTA(条幅!$B$11:$B$310),INDEX(条幅!$J$11:$J$310,865-COUNTA(半紙!$B$11:$B$310)),IF(865&lt;=COUNTA(半紙!$B$11:$B$310)+COUNTA(条幅!$B$11:$B$310)+COUNTA(条幅4分の1!$B$11:$B$310),INDEX(条幅4分の1!$J$11:$J$310,865-COUNTA(半紙!$B$11:$B$310)-COUNTA(条幅!$B$11:$B$310)),"")))=0,"",IF(865&lt;=COUNTA(半紙!$B$11:$B$310),INDEX(半紙!$J$11:$J$310,865),IF(865&lt;=COUNTA(半紙!$B$11:$B$310)+COUNTA(条幅!$B$11:$B$310),INDEX(条幅!$J$11:$J$310,865-COUNTA(半紙!$B$11:$B$310)),IF(865&lt;=COUNTA(半紙!$B$11:$B$310)+COUNTA(条幅!$B$11:$B$310)+COUNTA(条幅4分の1!$B$11:$B$310),INDEX(条幅4分の1!$J$11:$J$310,865-COUNTA(半紙!$B$11:$B$310)-COUNTA(条幅!$B$11:$B$310)),""))))</f>
        <v/>
      </c>
      <c r="K870" s="38" t="str">
        <f>IF(IF(865&lt;=COUNTA(半紙!$B$11:$B$310),INDEX(半紙!$K$11:$K$310,865),IF(865&lt;=COUNTA(半紙!$B$11:$B$310)+COUNTA(条幅!$B$11:$B$310),INDEX(条幅!$K$11:$K$310,865-COUNTA(半紙!$B$11:$B$310)),IF(865&lt;=COUNTA(半紙!$B$11:$B$310)+COUNTA(条幅!$B$11:$B$310)+COUNTA(条幅4分の1!$B$11:$B$310),INDEX(条幅4分の1!$K$11:$K$310,865-COUNTA(半紙!$B$11:$B$310)-COUNTA(条幅!$B$11:$B$310)),"")))=0,"",IF(865&lt;=COUNTA(半紙!$B$11:$B$310),INDEX(半紙!$K$11:$K$310,865),IF(865&lt;=COUNTA(半紙!$B$11:$B$310)+COUNTA(条幅!$B$11:$B$310),INDEX(条幅!$K$11:$K$310,865-COUNTA(半紙!$B$11:$B$310)),IF(865&lt;=COUNTA(半紙!$B$11:$B$310)+COUNTA(条幅!$B$11:$B$310)+COUNTA(条幅4分の1!$B$11:$B$310),INDEX(条幅4分の1!$K$11:$K$310,865-COUNTA(半紙!$B$11:$B$310)-COUNTA(条幅!$B$11:$B$310)),""))))</f>
        <v/>
      </c>
      <c r="L870" s="48" t="str">
        <f>IF($B870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865))</f>
        <v/>
      </c>
    </row>
    <row r="871" spans="1:12" ht="15" customHeight="1">
      <c r="A871" s="37" t="str">
        <f>IF(866&lt;=COUNTA(半紙!$B$11:$B$310),"半紙",IF(866&lt;=COUNTA(半紙!$B$11:$B$310)+COUNTA(条幅!$B$11:$B$310),"条幅(半切)",IF(866&lt;=COUNTA(半紙!$B$11:$B$310)+COUNTA(条幅!$B$11:$B$310)+COUNTA(条幅4分の1!$B$11:$B$310),"条幅(1/4)","")))</f>
        <v/>
      </c>
      <c r="B871" s="38" t="str">
        <f>IF(IF(866&lt;=COUNTA(半紙!$B$11:$B$310),INDEX(半紙!$B$11:$B$310,866),IF(866&lt;=COUNTA(半紙!$B$11:$B$310)+COUNTA(条幅!$B$11:$B$310),INDEX(条幅!$B$11:$B$310,866-COUNTA(半紙!$B$11:$B$310)),IF(866&lt;=COUNTA(半紙!$B$11:$B$310)+COUNTA(条幅!$B$11:$B$310)+COUNTA(条幅4分の1!$B$11:$B$310),INDEX(条幅4分の1!$B$11:$B$310,866-COUNTA(半紙!$B$11:$B$310)-COUNTA(条幅!$B$11:$B$310)),"")))=0,"",IF(866&lt;=COUNTA(半紙!$B$11:$B$310),INDEX(半紙!$B$11:$B$310,866),IF(866&lt;=COUNTA(半紙!$B$11:$B$310)+COUNTA(条幅!$B$11:$B$310),INDEX(条幅!$B$11:$B$310,866-COUNTA(半紙!$B$11:$B$310)),IF(866&lt;=COUNTA(半紙!$B$11:$B$310)+COUNTA(条幅!$B$11:$B$310)+COUNTA(条幅4分の1!$B$11:$B$310),INDEX(条幅4分の1!$B$11:$B$310,866-COUNTA(半紙!$B$11:$B$310)-COUNTA(条幅!$B$11:$B$310)),""))))</f>
        <v/>
      </c>
      <c r="C871" s="38" t="str">
        <f>IF(IF(866&lt;=COUNTA(半紙!$B$11:$B$310),INDEX(半紙!$C$11:$C$310,866),IF(866&lt;=COUNTA(半紙!$B$11:$B$310)+COUNTA(条幅!$B$11:$B$310),INDEX(条幅!$C$11:$C$310,866-COUNTA(半紙!$B$11:$B$310)),IF(866&lt;=COUNTA(半紙!$B$11:$B$310)+COUNTA(条幅!$B$11:$B$310)+COUNTA(条幅4分の1!$B$11:$B$310),INDEX(条幅4分の1!$C$11:$C$310,866-COUNTA(半紙!$B$11:$B$310)-COUNTA(条幅!$B$11:$B$310)),"")))=0,"",IF(866&lt;=COUNTA(半紙!$B$11:$B$310),INDEX(半紙!$C$11:$C$310,866),IF(866&lt;=COUNTA(半紙!$B$11:$B$310)+COUNTA(条幅!$B$11:$B$310),INDEX(条幅!$C$11:$C$310,866-COUNTA(半紙!$B$11:$B$310)),IF(866&lt;=COUNTA(半紙!$B$11:$B$310)+COUNTA(条幅!$B$11:$B$310)+COUNTA(条幅4分の1!$B$11:$B$310),INDEX(条幅4分の1!$C$11:$C$310,866-COUNTA(半紙!$B$11:$B$310)-COUNTA(条幅!$B$11:$B$310)),""))))</f>
        <v/>
      </c>
      <c r="D871" s="38" t="str">
        <f>IF(IF(866&lt;=COUNTA(半紙!$B$11:$B$310),INDEX(半紙!$D$11:$D$310,866),IF(866&lt;=COUNTA(半紙!$B$11:$B$310)+COUNTA(条幅!$B$11:$B$310),INDEX(条幅!$D$11:$D$310,866-COUNTA(半紙!$B$11:$B$310)),IF(866&lt;=COUNTA(半紙!$B$11:$B$310)+COUNTA(条幅!$B$11:$B$310)+COUNTA(条幅4分の1!$B$11:$B$310),INDEX(条幅4分の1!$D$11:$D$310,866-COUNTA(半紙!$B$11:$B$310)-COUNTA(条幅!$B$11:$B$310)),"")))=0,"",IF(866&lt;=COUNTA(半紙!$B$11:$B$310),INDEX(半紙!$D$11:$D$310,866),IF(866&lt;=COUNTA(半紙!$B$11:$B$310)+COUNTA(条幅!$B$11:$B$310),INDEX(条幅!$D$11:$D$310,866-COUNTA(半紙!$B$11:$B$310)),IF(866&lt;=COUNTA(半紙!$B$11:$B$310)+COUNTA(条幅!$B$11:$B$310)+COUNTA(条幅4分の1!$B$11:$B$310),INDEX(条幅4分の1!$D$11:$D$310,866-COUNTA(半紙!$B$11:$B$310)-COUNTA(条幅!$B$11:$B$310)),""))))</f>
        <v/>
      </c>
      <c r="E871" s="38" t="str">
        <f>IF(IF(866&lt;=COUNTA(半紙!$B$11:$B$310),INDEX(半紙!$E$11:$E$310,866),IF(866&lt;=COUNTA(半紙!$B$11:$B$310)+COUNTA(条幅!$B$11:$B$310),INDEX(条幅!$E$11:$E$310,866-COUNTA(半紙!$B$11:$B$310)),IF(866&lt;=COUNTA(半紙!$B$11:$B$310)+COUNTA(条幅!$B$11:$B$310)+COUNTA(条幅4分の1!$B$11:$B$310),INDEX(条幅4分の1!$E$11:$E$310,866-COUNTA(半紙!$B$11:$B$310)-COUNTA(条幅!$B$11:$B$310)),"")))=0,"",IF(866&lt;=COUNTA(半紙!$B$11:$B$310),INDEX(半紙!$E$11:$E$310,866),IF(866&lt;=COUNTA(半紙!$B$11:$B$310)+COUNTA(条幅!$B$11:$B$310),INDEX(条幅!$E$11:$E$310,866-COUNTA(半紙!$B$11:$B$310)),IF(866&lt;=COUNTA(半紙!$B$11:$B$310)+COUNTA(条幅!$B$11:$B$310)+COUNTA(条幅4分の1!$B$11:$B$310),INDEX(条幅4分の1!$E$11:$E$310,866-COUNTA(半紙!$B$11:$B$310)-COUNTA(条幅!$B$11:$B$310)),""))))</f>
        <v/>
      </c>
      <c r="F871" s="38" t="str">
        <f>IF(IF(866&lt;=COUNTA(半紙!$B$11:$B$310),INDEX(半紙!$F$11:$F$310,866),IF(866&lt;=COUNTA(半紙!$B$11:$B$310)+COUNTA(条幅!$B$11:$B$310),INDEX(条幅!$F$11:$F$310,866-COUNTA(半紙!$B$11:$B$310)),IF(866&lt;=COUNTA(半紙!$B$11:$B$310)+COUNTA(条幅!$B$11:$B$310)+COUNTA(条幅4分の1!$B$11:$B$310),INDEX(条幅4分の1!$F$11:$F$310,866-COUNTA(半紙!$B$11:$B$310)-COUNTA(条幅!$B$11:$B$310)),"")))=0,"",IF(866&lt;=COUNTA(半紙!$B$11:$B$310),INDEX(半紙!$F$11:$F$310,866),IF(866&lt;=COUNTA(半紙!$B$11:$B$310)+COUNTA(条幅!$B$11:$B$310),INDEX(条幅!$F$11:$F$310,866-COUNTA(半紙!$B$11:$B$310)),IF(866&lt;=COUNTA(半紙!$B$11:$B$310)+COUNTA(条幅!$B$11:$B$310)+COUNTA(条幅4分の1!$B$11:$B$310),INDEX(条幅4分の1!$F$11:$F$310,866-COUNTA(半紙!$B$11:$B$310)-COUNTA(条幅!$B$11:$B$310)),""))))</f>
        <v/>
      </c>
      <c r="G871" s="38" t="str">
        <f>IF(IF(866&lt;=COUNTA(半紙!$B$11:$B$310),INDEX(半紙!$G$11:$G$310,866),IF(866&lt;=COUNTA(半紙!$B$11:$B$310)+COUNTA(条幅!$B$11:$B$310),INDEX(条幅!$G$11:$G$310,866-COUNTA(半紙!$B$11:$B$310)),IF(866&lt;=COUNTA(半紙!$B$11:$B$310)+COUNTA(条幅!$B$11:$B$310)+COUNTA(条幅4分の1!$B$11:$B$310),INDEX(条幅4分の1!$G$11:$G$310,866-COUNTA(半紙!$B$11:$B$310)-COUNTA(条幅!$B$11:$B$310)),"")))=0,"",IF(866&lt;=COUNTA(半紙!$B$11:$B$310),INDEX(半紙!$G$11:$G$310,866),IF(866&lt;=COUNTA(半紙!$B$11:$B$310)+COUNTA(条幅!$B$11:$B$310),INDEX(条幅!$G$11:$G$310,866-COUNTA(半紙!$B$11:$B$310)),IF(866&lt;=COUNTA(半紙!$B$11:$B$310)+COUNTA(条幅!$B$11:$B$310)+COUNTA(条幅4分の1!$B$11:$B$310),INDEX(条幅4分の1!$G$11:$G$310,866-COUNTA(半紙!$B$11:$B$310)-COUNTA(条幅!$B$11:$B$310)),""))))</f>
        <v/>
      </c>
      <c r="H871" s="38" t="str">
        <f>IF(IF(866&lt;=COUNTA(半紙!$B$11:$B$310),INDEX(半紙!$H$11:$H$310,866),IF(866&lt;=COUNTA(半紙!$B$11:$B$310)+COUNTA(条幅!$B$11:$B$310),INDEX(条幅!$H$11:$H$310,866-COUNTA(半紙!$B$11:$B$310)),IF(866&lt;=COUNTA(半紙!$B$11:$B$310)+COUNTA(条幅!$B$11:$B$310)+COUNTA(条幅4分の1!$B$11:$B$310),INDEX(条幅4分の1!$H$11:$H$310,866-COUNTA(半紙!$B$11:$B$310)-COUNTA(条幅!$B$11:$B$310)),"")))=0,"",IF(866&lt;=COUNTA(半紙!$B$11:$B$310),INDEX(半紙!$H$11:$H$310,866),IF(866&lt;=COUNTA(半紙!$B$11:$B$310)+COUNTA(条幅!$B$11:$B$310),INDEX(条幅!$H$11:$H$310,866-COUNTA(半紙!$B$11:$B$310)),IF(866&lt;=COUNTA(半紙!$B$11:$B$310)+COUNTA(条幅!$B$11:$B$310)+COUNTA(条幅4分の1!$B$11:$B$310),INDEX(条幅4分の1!$H$11:$H$310,866-COUNTA(半紙!$B$11:$B$310)-COUNTA(条幅!$B$11:$B$310)),""))))</f>
        <v/>
      </c>
      <c r="I871" s="38" t="str">
        <f>IF(IF(866&lt;=COUNTA(半紙!$B$11:$B$310),INDEX(半紙!$I$11:$I$310,866),IF(866&lt;=COUNTA(半紙!$B$11:$B$310)+COUNTA(条幅!$B$11:$B$310),INDEX(条幅!$I$11:$I$310,866-COUNTA(半紙!$B$11:$B$310)),IF(866&lt;=COUNTA(半紙!$B$11:$B$310)+COUNTA(条幅!$B$11:$B$310)+COUNTA(条幅4分の1!$B$11:$B$310),INDEX(条幅4分の1!$I$11:$I$310,866-COUNTA(半紙!$B$11:$B$310)-COUNTA(条幅!$B$11:$B$310)),"")))=0,"",IF(866&lt;=COUNTA(半紙!$B$11:$B$310),INDEX(半紙!$I$11:$I$310,866),IF(866&lt;=COUNTA(半紙!$B$11:$B$310)+COUNTA(条幅!$B$11:$B$310),INDEX(条幅!$I$11:$I$310,866-COUNTA(半紙!$B$11:$B$310)),IF(866&lt;=COUNTA(半紙!$B$11:$B$310)+COUNTA(条幅!$B$11:$B$310)+COUNTA(条幅4分の1!$B$11:$B$310),INDEX(条幅4分の1!$I$11:$I$310,866-COUNTA(半紙!$B$11:$B$310)-COUNTA(条幅!$B$11:$B$310)),""))))</f>
        <v/>
      </c>
      <c r="J871" s="38" t="str">
        <f>IF(IF(866&lt;=COUNTA(半紙!$B$11:$B$310),INDEX(半紙!$J$11:$J$310,866),IF(866&lt;=COUNTA(半紙!$B$11:$B$310)+COUNTA(条幅!$B$11:$B$310),INDEX(条幅!$J$11:$J$310,866-COUNTA(半紙!$B$11:$B$310)),IF(866&lt;=COUNTA(半紙!$B$11:$B$310)+COUNTA(条幅!$B$11:$B$310)+COUNTA(条幅4分の1!$B$11:$B$310),INDEX(条幅4分の1!$J$11:$J$310,866-COUNTA(半紙!$B$11:$B$310)-COUNTA(条幅!$B$11:$B$310)),"")))=0,"",IF(866&lt;=COUNTA(半紙!$B$11:$B$310),INDEX(半紙!$J$11:$J$310,866),IF(866&lt;=COUNTA(半紙!$B$11:$B$310)+COUNTA(条幅!$B$11:$B$310),INDEX(条幅!$J$11:$J$310,866-COUNTA(半紙!$B$11:$B$310)),IF(866&lt;=COUNTA(半紙!$B$11:$B$310)+COUNTA(条幅!$B$11:$B$310)+COUNTA(条幅4分の1!$B$11:$B$310),INDEX(条幅4分の1!$J$11:$J$310,866-COUNTA(半紙!$B$11:$B$310)-COUNTA(条幅!$B$11:$B$310)),""))))</f>
        <v/>
      </c>
      <c r="K871" s="38" t="str">
        <f>IF(IF(866&lt;=COUNTA(半紙!$B$11:$B$310),INDEX(半紙!$K$11:$K$310,866),IF(866&lt;=COUNTA(半紙!$B$11:$B$310)+COUNTA(条幅!$B$11:$B$310),INDEX(条幅!$K$11:$K$310,866-COUNTA(半紙!$B$11:$B$310)),IF(866&lt;=COUNTA(半紙!$B$11:$B$310)+COUNTA(条幅!$B$11:$B$310)+COUNTA(条幅4分の1!$B$11:$B$310),INDEX(条幅4分の1!$K$11:$K$310,866-COUNTA(半紙!$B$11:$B$310)-COUNTA(条幅!$B$11:$B$310)),"")))=0,"",IF(866&lt;=COUNTA(半紙!$B$11:$B$310),INDEX(半紙!$K$11:$K$310,866),IF(866&lt;=COUNTA(半紙!$B$11:$B$310)+COUNTA(条幅!$B$11:$B$310),INDEX(条幅!$K$11:$K$310,866-COUNTA(半紙!$B$11:$B$310)),IF(866&lt;=COUNTA(半紙!$B$11:$B$310)+COUNTA(条幅!$B$11:$B$310)+COUNTA(条幅4分の1!$B$11:$B$310),INDEX(条幅4分の1!$K$11:$K$310,866-COUNTA(半紙!$B$11:$B$310)-COUNTA(条幅!$B$11:$B$310)),""))))</f>
        <v/>
      </c>
      <c r="L871" s="48" t="str">
        <f>IF($B871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866))</f>
        <v/>
      </c>
    </row>
    <row r="872" spans="1:12" ht="15" customHeight="1">
      <c r="A872" s="37" t="str">
        <f>IF(867&lt;=COUNTA(半紙!$B$11:$B$310),"半紙",IF(867&lt;=COUNTA(半紙!$B$11:$B$310)+COUNTA(条幅!$B$11:$B$310),"条幅(半切)",IF(867&lt;=COUNTA(半紙!$B$11:$B$310)+COUNTA(条幅!$B$11:$B$310)+COUNTA(条幅4分の1!$B$11:$B$310),"条幅(1/4)","")))</f>
        <v/>
      </c>
      <c r="B872" s="38" t="str">
        <f>IF(IF(867&lt;=COUNTA(半紙!$B$11:$B$310),INDEX(半紙!$B$11:$B$310,867),IF(867&lt;=COUNTA(半紙!$B$11:$B$310)+COUNTA(条幅!$B$11:$B$310),INDEX(条幅!$B$11:$B$310,867-COUNTA(半紙!$B$11:$B$310)),IF(867&lt;=COUNTA(半紙!$B$11:$B$310)+COUNTA(条幅!$B$11:$B$310)+COUNTA(条幅4分の1!$B$11:$B$310),INDEX(条幅4分の1!$B$11:$B$310,867-COUNTA(半紙!$B$11:$B$310)-COUNTA(条幅!$B$11:$B$310)),"")))=0,"",IF(867&lt;=COUNTA(半紙!$B$11:$B$310),INDEX(半紙!$B$11:$B$310,867),IF(867&lt;=COUNTA(半紙!$B$11:$B$310)+COUNTA(条幅!$B$11:$B$310),INDEX(条幅!$B$11:$B$310,867-COUNTA(半紙!$B$11:$B$310)),IF(867&lt;=COUNTA(半紙!$B$11:$B$310)+COUNTA(条幅!$B$11:$B$310)+COUNTA(条幅4分の1!$B$11:$B$310),INDEX(条幅4分の1!$B$11:$B$310,867-COUNTA(半紙!$B$11:$B$310)-COUNTA(条幅!$B$11:$B$310)),""))))</f>
        <v/>
      </c>
      <c r="C872" s="38" t="str">
        <f>IF(IF(867&lt;=COUNTA(半紙!$B$11:$B$310),INDEX(半紙!$C$11:$C$310,867),IF(867&lt;=COUNTA(半紙!$B$11:$B$310)+COUNTA(条幅!$B$11:$B$310),INDEX(条幅!$C$11:$C$310,867-COUNTA(半紙!$B$11:$B$310)),IF(867&lt;=COUNTA(半紙!$B$11:$B$310)+COUNTA(条幅!$B$11:$B$310)+COUNTA(条幅4分の1!$B$11:$B$310),INDEX(条幅4分の1!$C$11:$C$310,867-COUNTA(半紙!$B$11:$B$310)-COUNTA(条幅!$B$11:$B$310)),"")))=0,"",IF(867&lt;=COUNTA(半紙!$B$11:$B$310),INDEX(半紙!$C$11:$C$310,867),IF(867&lt;=COUNTA(半紙!$B$11:$B$310)+COUNTA(条幅!$B$11:$B$310),INDEX(条幅!$C$11:$C$310,867-COUNTA(半紙!$B$11:$B$310)),IF(867&lt;=COUNTA(半紙!$B$11:$B$310)+COUNTA(条幅!$B$11:$B$310)+COUNTA(条幅4分の1!$B$11:$B$310),INDEX(条幅4分の1!$C$11:$C$310,867-COUNTA(半紙!$B$11:$B$310)-COUNTA(条幅!$B$11:$B$310)),""))))</f>
        <v/>
      </c>
      <c r="D872" s="38" t="str">
        <f>IF(IF(867&lt;=COUNTA(半紙!$B$11:$B$310),INDEX(半紙!$D$11:$D$310,867),IF(867&lt;=COUNTA(半紙!$B$11:$B$310)+COUNTA(条幅!$B$11:$B$310),INDEX(条幅!$D$11:$D$310,867-COUNTA(半紙!$B$11:$B$310)),IF(867&lt;=COUNTA(半紙!$B$11:$B$310)+COUNTA(条幅!$B$11:$B$310)+COUNTA(条幅4分の1!$B$11:$B$310),INDEX(条幅4分の1!$D$11:$D$310,867-COUNTA(半紙!$B$11:$B$310)-COUNTA(条幅!$B$11:$B$310)),"")))=0,"",IF(867&lt;=COUNTA(半紙!$B$11:$B$310),INDEX(半紙!$D$11:$D$310,867),IF(867&lt;=COUNTA(半紙!$B$11:$B$310)+COUNTA(条幅!$B$11:$B$310),INDEX(条幅!$D$11:$D$310,867-COUNTA(半紙!$B$11:$B$310)),IF(867&lt;=COUNTA(半紙!$B$11:$B$310)+COUNTA(条幅!$B$11:$B$310)+COUNTA(条幅4分の1!$B$11:$B$310),INDEX(条幅4分の1!$D$11:$D$310,867-COUNTA(半紙!$B$11:$B$310)-COUNTA(条幅!$B$11:$B$310)),""))))</f>
        <v/>
      </c>
      <c r="E872" s="38" t="str">
        <f>IF(IF(867&lt;=COUNTA(半紙!$B$11:$B$310),INDEX(半紙!$E$11:$E$310,867),IF(867&lt;=COUNTA(半紙!$B$11:$B$310)+COUNTA(条幅!$B$11:$B$310),INDEX(条幅!$E$11:$E$310,867-COUNTA(半紙!$B$11:$B$310)),IF(867&lt;=COUNTA(半紙!$B$11:$B$310)+COUNTA(条幅!$B$11:$B$310)+COUNTA(条幅4分の1!$B$11:$B$310),INDEX(条幅4分の1!$E$11:$E$310,867-COUNTA(半紙!$B$11:$B$310)-COUNTA(条幅!$B$11:$B$310)),"")))=0,"",IF(867&lt;=COUNTA(半紙!$B$11:$B$310),INDEX(半紙!$E$11:$E$310,867),IF(867&lt;=COUNTA(半紙!$B$11:$B$310)+COUNTA(条幅!$B$11:$B$310),INDEX(条幅!$E$11:$E$310,867-COUNTA(半紙!$B$11:$B$310)),IF(867&lt;=COUNTA(半紙!$B$11:$B$310)+COUNTA(条幅!$B$11:$B$310)+COUNTA(条幅4分の1!$B$11:$B$310),INDEX(条幅4分の1!$E$11:$E$310,867-COUNTA(半紙!$B$11:$B$310)-COUNTA(条幅!$B$11:$B$310)),""))))</f>
        <v/>
      </c>
      <c r="F872" s="38" t="str">
        <f>IF(IF(867&lt;=COUNTA(半紙!$B$11:$B$310),INDEX(半紙!$F$11:$F$310,867),IF(867&lt;=COUNTA(半紙!$B$11:$B$310)+COUNTA(条幅!$B$11:$B$310),INDEX(条幅!$F$11:$F$310,867-COUNTA(半紙!$B$11:$B$310)),IF(867&lt;=COUNTA(半紙!$B$11:$B$310)+COUNTA(条幅!$B$11:$B$310)+COUNTA(条幅4分の1!$B$11:$B$310),INDEX(条幅4分の1!$F$11:$F$310,867-COUNTA(半紙!$B$11:$B$310)-COUNTA(条幅!$B$11:$B$310)),"")))=0,"",IF(867&lt;=COUNTA(半紙!$B$11:$B$310),INDEX(半紙!$F$11:$F$310,867),IF(867&lt;=COUNTA(半紙!$B$11:$B$310)+COUNTA(条幅!$B$11:$B$310),INDEX(条幅!$F$11:$F$310,867-COUNTA(半紙!$B$11:$B$310)),IF(867&lt;=COUNTA(半紙!$B$11:$B$310)+COUNTA(条幅!$B$11:$B$310)+COUNTA(条幅4分の1!$B$11:$B$310),INDEX(条幅4分の1!$F$11:$F$310,867-COUNTA(半紙!$B$11:$B$310)-COUNTA(条幅!$B$11:$B$310)),""))))</f>
        <v/>
      </c>
      <c r="G872" s="38" t="str">
        <f>IF(IF(867&lt;=COUNTA(半紙!$B$11:$B$310),INDEX(半紙!$G$11:$G$310,867),IF(867&lt;=COUNTA(半紙!$B$11:$B$310)+COUNTA(条幅!$B$11:$B$310),INDEX(条幅!$G$11:$G$310,867-COUNTA(半紙!$B$11:$B$310)),IF(867&lt;=COUNTA(半紙!$B$11:$B$310)+COUNTA(条幅!$B$11:$B$310)+COUNTA(条幅4分の1!$B$11:$B$310),INDEX(条幅4分の1!$G$11:$G$310,867-COUNTA(半紙!$B$11:$B$310)-COUNTA(条幅!$B$11:$B$310)),"")))=0,"",IF(867&lt;=COUNTA(半紙!$B$11:$B$310),INDEX(半紙!$G$11:$G$310,867),IF(867&lt;=COUNTA(半紙!$B$11:$B$310)+COUNTA(条幅!$B$11:$B$310),INDEX(条幅!$G$11:$G$310,867-COUNTA(半紙!$B$11:$B$310)),IF(867&lt;=COUNTA(半紙!$B$11:$B$310)+COUNTA(条幅!$B$11:$B$310)+COUNTA(条幅4分の1!$B$11:$B$310),INDEX(条幅4分の1!$G$11:$G$310,867-COUNTA(半紙!$B$11:$B$310)-COUNTA(条幅!$B$11:$B$310)),""))))</f>
        <v/>
      </c>
      <c r="H872" s="38" t="str">
        <f>IF(IF(867&lt;=COUNTA(半紙!$B$11:$B$310),INDEX(半紙!$H$11:$H$310,867),IF(867&lt;=COUNTA(半紙!$B$11:$B$310)+COUNTA(条幅!$B$11:$B$310),INDEX(条幅!$H$11:$H$310,867-COUNTA(半紙!$B$11:$B$310)),IF(867&lt;=COUNTA(半紙!$B$11:$B$310)+COUNTA(条幅!$B$11:$B$310)+COUNTA(条幅4分の1!$B$11:$B$310),INDEX(条幅4分の1!$H$11:$H$310,867-COUNTA(半紙!$B$11:$B$310)-COUNTA(条幅!$B$11:$B$310)),"")))=0,"",IF(867&lt;=COUNTA(半紙!$B$11:$B$310),INDEX(半紙!$H$11:$H$310,867),IF(867&lt;=COUNTA(半紙!$B$11:$B$310)+COUNTA(条幅!$B$11:$B$310),INDEX(条幅!$H$11:$H$310,867-COUNTA(半紙!$B$11:$B$310)),IF(867&lt;=COUNTA(半紙!$B$11:$B$310)+COUNTA(条幅!$B$11:$B$310)+COUNTA(条幅4分の1!$B$11:$B$310),INDEX(条幅4分の1!$H$11:$H$310,867-COUNTA(半紙!$B$11:$B$310)-COUNTA(条幅!$B$11:$B$310)),""))))</f>
        <v/>
      </c>
      <c r="I872" s="38" t="str">
        <f>IF(IF(867&lt;=COUNTA(半紙!$B$11:$B$310),INDEX(半紙!$I$11:$I$310,867),IF(867&lt;=COUNTA(半紙!$B$11:$B$310)+COUNTA(条幅!$B$11:$B$310),INDEX(条幅!$I$11:$I$310,867-COUNTA(半紙!$B$11:$B$310)),IF(867&lt;=COUNTA(半紙!$B$11:$B$310)+COUNTA(条幅!$B$11:$B$310)+COUNTA(条幅4分の1!$B$11:$B$310),INDEX(条幅4分の1!$I$11:$I$310,867-COUNTA(半紙!$B$11:$B$310)-COUNTA(条幅!$B$11:$B$310)),"")))=0,"",IF(867&lt;=COUNTA(半紙!$B$11:$B$310),INDEX(半紙!$I$11:$I$310,867),IF(867&lt;=COUNTA(半紙!$B$11:$B$310)+COUNTA(条幅!$B$11:$B$310),INDEX(条幅!$I$11:$I$310,867-COUNTA(半紙!$B$11:$B$310)),IF(867&lt;=COUNTA(半紙!$B$11:$B$310)+COUNTA(条幅!$B$11:$B$310)+COUNTA(条幅4分の1!$B$11:$B$310),INDEX(条幅4分の1!$I$11:$I$310,867-COUNTA(半紙!$B$11:$B$310)-COUNTA(条幅!$B$11:$B$310)),""))))</f>
        <v/>
      </c>
      <c r="J872" s="38" t="str">
        <f>IF(IF(867&lt;=COUNTA(半紙!$B$11:$B$310),INDEX(半紙!$J$11:$J$310,867),IF(867&lt;=COUNTA(半紙!$B$11:$B$310)+COUNTA(条幅!$B$11:$B$310),INDEX(条幅!$J$11:$J$310,867-COUNTA(半紙!$B$11:$B$310)),IF(867&lt;=COUNTA(半紙!$B$11:$B$310)+COUNTA(条幅!$B$11:$B$310)+COUNTA(条幅4分の1!$B$11:$B$310),INDEX(条幅4分の1!$J$11:$J$310,867-COUNTA(半紙!$B$11:$B$310)-COUNTA(条幅!$B$11:$B$310)),"")))=0,"",IF(867&lt;=COUNTA(半紙!$B$11:$B$310),INDEX(半紙!$J$11:$J$310,867),IF(867&lt;=COUNTA(半紙!$B$11:$B$310)+COUNTA(条幅!$B$11:$B$310),INDEX(条幅!$J$11:$J$310,867-COUNTA(半紙!$B$11:$B$310)),IF(867&lt;=COUNTA(半紙!$B$11:$B$310)+COUNTA(条幅!$B$11:$B$310)+COUNTA(条幅4分の1!$B$11:$B$310),INDEX(条幅4分の1!$J$11:$J$310,867-COUNTA(半紙!$B$11:$B$310)-COUNTA(条幅!$B$11:$B$310)),""))))</f>
        <v/>
      </c>
      <c r="K872" s="38" t="str">
        <f>IF(IF(867&lt;=COUNTA(半紙!$B$11:$B$310),INDEX(半紙!$K$11:$K$310,867),IF(867&lt;=COUNTA(半紙!$B$11:$B$310)+COUNTA(条幅!$B$11:$B$310),INDEX(条幅!$K$11:$K$310,867-COUNTA(半紙!$B$11:$B$310)),IF(867&lt;=COUNTA(半紙!$B$11:$B$310)+COUNTA(条幅!$B$11:$B$310)+COUNTA(条幅4分の1!$B$11:$B$310),INDEX(条幅4分の1!$K$11:$K$310,867-COUNTA(半紙!$B$11:$B$310)-COUNTA(条幅!$B$11:$B$310)),"")))=0,"",IF(867&lt;=COUNTA(半紙!$B$11:$B$310),INDEX(半紙!$K$11:$K$310,867),IF(867&lt;=COUNTA(半紙!$B$11:$B$310)+COUNTA(条幅!$B$11:$B$310),INDEX(条幅!$K$11:$K$310,867-COUNTA(半紙!$B$11:$B$310)),IF(867&lt;=COUNTA(半紙!$B$11:$B$310)+COUNTA(条幅!$B$11:$B$310)+COUNTA(条幅4分の1!$B$11:$B$310),INDEX(条幅4分の1!$K$11:$K$310,867-COUNTA(半紙!$B$11:$B$310)-COUNTA(条幅!$B$11:$B$310)),""))))</f>
        <v/>
      </c>
      <c r="L872" s="48" t="str">
        <f>IF($B872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867))</f>
        <v/>
      </c>
    </row>
    <row r="873" spans="1:12" ht="15" customHeight="1">
      <c r="A873" s="37" t="str">
        <f>IF(868&lt;=COUNTA(半紙!$B$11:$B$310),"半紙",IF(868&lt;=COUNTA(半紙!$B$11:$B$310)+COUNTA(条幅!$B$11:$B$310),"条幅(半切)",IF(868&lt;=COUNTA(半紙!$B$11:$B$310)+COUNTA(条幅!$B$11:$B$310)+COUNTA(条幅4分の1!$B$11:$B$310),"条幅(1/4)","")))</f>
        <v/>
      </c>
      <c r="B873" s="38" t="str">
        <f>IF(IF(868&lt;=COUNTA(半紙!$B$11:$B$310),INDEX(半紙!$B$11:$B$310,868),IF(868&lt;=COUNTA(半紙!$B$11:$B$310)+COUNTA(条幅!$B$11:$B$310),INDEX(条幅!$B$11:$B$310,868-COUNTA(半紙!$B$11:$B$310)),IF(868&lt;=COUNTA(半紙!$B$11:$B$310)+COUNTA(条幅!$B$11:$B$310)+COUNTA(条幅4分の1!$B$11:$B$310),INDEX(条幅4分の1!$B$11:$B$310,868-COUNTA(半紙!$B$11:$B$310)-COUNTA(条幅!$B$11:$B$310)),"")))=0,"",IF(868&lt;=COUNTA(半紙!$B$11:$B$310),INDEX(半紙!$B$11:$B$310,868),IF(868&lt;=COUNTA(半紙!$B$11:$B$310)+COUNTA(条幅!$B$11:$B$310),INDEX(条幅!$B$11:$B$310,868-COUNTA(半紙!$B$11:$B$310)),IF(868&lt;=COUNTA(半紙!$B$11:$B$310)+COUNTA(条幅!$B$11:$B$310)+COUNTA(条幅4分の1!$B$11:$B$310),INDEX(条幅4分の1!$B$11:$B$310,868-COUNTA(半紙!$B$11:$B$310)-COUNTA(条幅!$B$11:$B$310)),""))))</f>
        <v/>
      </c>
      <c r="C873" s="38" t="str">
        <f>IF(IF(868&lt;=COUNTA(半紙!$B$11:$B$310),INDEX(半紙!$C$11:$C$310,868),IF(868&lt;=COUNTA(半紙!$B$11:$B$310)+COUNTA(条幅!$B$11:$B$310),INDEX(条幅!$C$11:$C$310,868-COUNTA(半紙!$B$11:$B$310)),IF(868&lt;=COUNTA(半紙!$B$11:$B$310)+COUNTA(条幅!$B$11:$B$310)+COUNTA(条幅4分の1!$B$11:$B$310),INDEX(条幅4分の1!$C$11:$C$310,868-COUNTA(半紙!$B$11:$B$310)-COUNTA(条幅!$B$11:$B$310)),"")))=0,"",IF(868&lt;=COUNTA(半紙!$B$11:$B$310),INDEX(半紙!$C$11:$C$310,868),IF(868&lt;=COUNTA(半紙!$B$11:$B$310)+COUNTA(条幅!$B$11:$B$310),INDEX(条幅!$C$11:$C$310,868-COUNTA(半紙!$B$11:$B$310)),IF(868&lt;=COUNTA(半紙!$B$11:$B$310)+COUNTA(条幅!$B$11:$B$310)+COUNTA(条幅4分の1!$B$11:$B$310),INDEX(条幅4分の1!$C$11:$C$310,868-COUNTA(半紙!$B$11:$B$310)-COUNTA(条幅!$B$11:$B$310)),""))))</f>
        <v/>
      </c>
      <c r="D873" s="38" t="str">
        <f>IF(IF(868&lt;=COUNTA(半紙!$B$11:$B$310),INDEX(半紙!$D$11:$D$310,868),IF(868&lt;=COUNTA(半紙!$B$11:$B$310)+COUNTA(条幅!$B$11:$B$310),INDEX(条幅!$D$11:$D$310,868-COUNTA(半紙!$B$11:$B$310)),IF(868&lt;=COUNTA(半紙!$B$11:$B$310)+COUNTA(条幅!$B$11:$B$310)+COUNTA(条幅4分の1!$B$11:$B$310),INDEX(条幅4分の1!$D$11:$D$310,868-COUNTA(半紙!$B$11:$B$310)-COUNTA(条幅!$B$11:$B$310)),"")))=0,"",IF(868&lt;=COUNTA(半紙!$B$11:$B$310),INDEX(半紙!$D$11:$D$310,868),IF(868&lt;=COUNTA(半紙!$B$11:$B$310)+COUNTA(条幅!$B$11:$B$310),INDEX(条幅!$D$11:$D$310,868-COUNTA(半紙!$B$11:$B$310)),IF(868&lt;=COUNTA(半紙!$B$11:$B$310)+COUNTA(条幅!$B$11:$B$310)+COUNTA(条幅4分の1!$B$11:$B$310),INDEX(条幅4分の1!$D$11:$D$310,868-COUNTA(半紙!$B$11:$B$310)-COUNTA(条幅!$B$11:$B$310)),""))))</f>
        <v/>
      </c>
      <c r="E873" s="38" t="str">
        <f>IF(IF(868&lt;=COUNTA(半紙!$B$11:$B$310),INDEX(半紙!$E$11:$E$310,868),IF(868&lt;=COUNTA(半紙!$B$11:$B$310)+COUNTA(条幅!$B$11:$B$310),INDEX(条幅!$E$11:$E$310,868-COUNTA(半紙!$B$11:$B$310)),IF(868&lt;=COUNTA(半紙!$B$11:$B$310)+COUNTA(条幅!$B$11:$B$310)+COUNTA(条幅4分の1!$B$11:$B$310),INDEX(条幅4分の1!$E$11:$E$310,868-COUNTA(半紙!$B$11:$B$310)-COUNTA(条幅!$B$11:$B$310)),"")))=0,"",IF(868&lt;=COUNTA(半紙!$B$11:$B$310),INDEX(半紙!$E$11:$E$310,868),IF(868&lt;=COUNTA(半紙!$B$11:$B$310)+COUNTA(条幅!$B$11:$B$310),INDEX(条幅!$E$11:$E$310,868-COUNTA(半紙!$B$11:$B$310)),IF(868&lt;=COUNTA(半紙!$B$11:$B$310)+COUNTA(条幅!$B$11:$B$310)+COUNTA(条幅4分の1!$B$11:$B$310),INDEX(条幅4分の1!$E$11:$E$310,868-COUNTA(半紙!$B$11:$B$310)-COUNTA(条幅!$B$11:$B$310)),""))))</f>
        <v/>
      </c>
      <c r="F873" s="38" t="str">
        <f>IF(IF(868&lt;=COUNTA(半紙!$B$11:$B$310),INDEX(半紙!$F$11:$F$310,868),IF(868&lt;=COUNTA(半紙!$B$11:$B$310)+COUNTA(条幅!$B$11:$B$310),INDEX(条幅!$F$11:$F$310,868-COUNTA(半紙!$B$11:$B$310)),IF(868&lt;=COUNTA(半紙!$B$11:$B$310)+COUNTA(条幅!$B$11:$B$310)+COUNTA(条幅4分の1!$B$11:$B$310),INDEX(条幅4分の1!$F$11:$F$310,868-COUNTA(半紙!$B$11:$B$310)-COUNTA(条幅!$B$11:$B$310)),"")))=0,"",IF(868&lt;=COUNTA(半紙!$B$11:$B$310),INDEX(半紙!$F$11:$F$310,868),IF(868&lt;=COUNTA(半紙!$B$11:$B$310)+COUNTA(条幅!$B$11:$B$310),INDEX(条幅!$F$11:$F$310,868-COUNTA(半紙!$B$11:$B$310)),IF(868&lt;=COUNTA(半紙!$B$11:$B$310)+COUNTA(条幅!$B$11:$B$310)+COUNTA(条幅4分の1!$B$11:$B$310),INDEX(条幅4分の1!$F$11:$F$310,868-COUNTA(半紙!$B$11:$B$310)-COUNTA(条幅!$B$11:$B$310)),""))))</f>
        <v/>
      </c>
      <c r="G873" s="38" t="str">
        <f>IF(IF(868&lt;=COUNTA(半紙!$B$11:$B$310),INDEX(半紙!$G$11:$G$310,868),IF(868&lt;=COUNTA(半紙!$B$11:$B$310)+COUNTA(条幅!$B$11:$B$310),INDEX(条幅!$G$11:$G$310,868-COUNTA(半紙!$B$11:$B$310)),IF(868&lt;=COUNTA(半紙!$B$11:$B$310)+COUNTA(条幅!$B$11:$B$310)+COUNTA(条幅4分の1!$B$11:$B$310),INDEX(条幅4分の1!$G$11:$G$310,868-COUNTA(半紙!$B$11:$B$310)-COUNTA(条幅!$B$11:$B$310)),"")))=0,"",IF(868&lt;=COUNTA(半紙!$B$11:$B$310),INDEX(半紙!$G$11:$G$310,868),IF(868&lt;=COUNTA(半紙!$B$11:$B$310)+COUNTA(条幅!$B$11:$B$310),INDEX(条幅!$G$11:$G$310,868-COUNTA(半紙!$B$11:$B$310)),IF(868&lt;=COUNTA(半紙!$B$11:$B$310)+COUNTA(条幅!$B$11:$B$310)+COUNTA(条幅4分の1!$B$11:$B$310),INDEX(条幅4分の1!$G$11:$G$310,868-COUNTA(半紙!$B$11:$B$310)-COUNTA(条幅!$B$11:$B$310)),""))))</f>
        <v/>
      </c>
      <c r="H873" s="38" t="str">
        <f>IF(IF(868&lt;=COUNTA(半紙!$B$11:$B$310),INDEX(半紙!$H$11:$H$310,868),IF(868&lt;=COUNTA(半紙!$B$11:$B$310)+COUNTA(条幅!$B$11:$B$310),INDEX(条幅!$H$11:$H$310,868-COUNTA(半紙!$B$11:$B$310)),IF(868&lt;=COUNTA(半紙!$B$11:$B$310)+COUNTA(条幅!$B$11:$B$310)+COUNTA(条幅4分の1!$B$11:$B$310),INDEX(条幅4分の1!$H$11:$H$310,868-COUNTA(半紙!$B$11:$B$310)-COUNTA(条幅!$B$11:$B$310)),"")))=0,"",IF(868&lt;=COUNTA(半紙!$B$11:$B$310),INDEX(半紙!$H$11:$H$310,868),IF(868&lt;=COUNTA(半紙!$B$11:$B$310)+COUNTA(条幅!$B$11:$B$310),INDEX(条幅!$H$11:$H$310,868-COUNTA(半紙!$B$11:$B$310)),IF(868&lt;=COUNTA(半紙!$B$11:$B$310)+COUNTA(条幅!$B$11:$B$310)+COUNTA(条幅4分の1!$B$11:$B$310),INDEX(条幅4分の1!$H$11:$H$310,868-COUNTA(半紙!$B$11:$B$310)-COUNTA(条幅!$B$11:$B$310)),""))))</f>
        <v/>
      </c>
      <c r="I873" s="38" t="str">
        <f>IF(IF(868&lt;=COUNTA(半紙!$B$11:$B$310),INDEX(半紙!$I$11:$I$310,868),IF(868&lt;=COUNTA(半紙!$B$11:$B$310)+COUNTA(条幅!$B$11:$B$310),INDEX(条幅!$I$11:$I$310,868-COUNTA(半紙!$B$11:$B$310)),IF(868&lt;=COUNTA(半紙!$B$11:$B$310)+COUNTA(条幅!$B$11:$B$310)+COUNTA(条幅4分の1!$B$11:$B$310),INDEX(条幅4分の1!$I$11:$I$310,868-COUNTA(半紙!$B$11:$B$310)-COUNTA(条幅!$B$11:$B$310)),"")))=0,"",IF(868&lt;=COUNTA(半紙!$B$11:$B$310),INDEX(半紙!$I$11:$I$310,868),IF(868&lt;=COUNTA(半紙!$B$11:$B$310)+COUNTA(条幅!$B$11:$B$310),INDEX(条幅!$I$11:$I$310,868-COUNTA(半紙!$B$11:$B$310)),IF(868&lt;=COUNTA(半紙!$B$11:$B$310)+COUNTA(条幅!$B$11:$B$310)+COUNTA(条幅4分の1!$B$11:$B$310),INDEX(条幅4分の1!$I$11:$I$310,868-COUNTA(半紙!$B$11:$B$310)-COUNTA(条幅!$B$11:$B$310)),""))))</f>
        <v/>
      </c>
      <c r="J873" s="38" t="str">
        <f>IF(IF(868&lt;=COUNTA(半紙!$B$11:$B$310),INDEX(半紙!$J$11:$J$310,868),IF(868&lt;=COUNTA(半紙!$B$11:$B$310)+COUNTA(条幅!$B$11:$B$310),INDEX(条幅!$J$11:$J$310,868-COUNTA(半紙!$B$11:$B$310)),IF(868&lt;=COUNTA(半紙!$B$11:$B$310)+COUNTA(条幅!$B$11:$B$310)+COUNTA(条幅4分の1!$B$11:$B$310),INDEX(条幅4分の1!$J$11:$J$310,868-COUNTA(半紙!$B$11:$B$310)-COUNTA(条幅!$B$11:$B$310)),"")))=0,"",IF(868&lt;=COUNTA(半紙!$B$11:$B$310),INDEX(半紙!$J$11:$J$310,868),IF(868&lt;=COUNTA(半紙!$B$11:$B$310)+COUNTA(条幅!$B$11:$B$310),INDEX(条幅!$J$11:$J$310,868-COUNTA(半紙!$B$11:$B$310)),IF(868&lt;=COUNTA(半紙!$B$11:$B$310)+COUNTA(条幅!$B$11:$B$310)+COUNTA(条幅4分の1!$B$11:$B$310),INDEX(条幅4分の1!$J$11:$J$310,868-COUNTA(半紙!$B$11:$B$310)-COUNTA(条幅!$B$11:$B$310)),""))))</f>
        <v/>
      </c>
      <c r="K873" s="38" t="str">
        <f>IF(IF(868&lt;=COUNTA(半紙!$B$11:$B$310),INDEX(半紙!$K$11:$K$310,868),IF(868&lt;=COUNTA(半紙!$B$11:$B$310)+COUNTA(条幅!$B$11:$B$310),INDEX(条幅!$K$11:$K$310,868-COUNTA(半紙!$B$11:$B$310)),IF(868&lt;=COUNTA(半紙!$B$11:$B$310)+COUNTA(条幅!$B$11:$B$310)+COUNTA(条幅4分の1!$B$11:$B$310),INDEX(条幅4分の1!$K$11:$K$310,868-COUNTA(半紙!$B$11:$B$310)-COUNTA(条幅!$B$11:$B$310)),"")))=0,"",IF(868&lt;=COUNTA(半紙!$B$11:$B$310),INDEX(半紙!$K$11:$K$310,868),IF(868&lt;=COUNTA(半紙!$B$11:$B$310)+COUNTA(条幅!$B$11:$B$310),INDEX(条幅!$K$11:$K$310,868-COUNTA(半紙!$B$11:$B$310)),IF(868&lt;=COUNTA(半紙!$B$11:$B$310)+COUNTA(条幅!$B$11:$B$310)+COUNTA(条幅4分の1!$B$11:$B$310),INDEX(条幅4分の1!$K$11:$K$310,868-COUNTA(半紙!$B$11:$B$310)-COUNTA(条幅!$B$11:$B$310)),""))))</f>
        <v/>
      </c>
      <c r="L873" s="48" t="str">
        <f>IF($B873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868))</f>
        <v/>
      </c>
    </row>
    <row r="874" spans="1:12" ht="15" customHeight="1">
      <c r="A874" s="37" t="str">
        <f>IF(869&lt;=COUNTA(半紙!$B$11:$B$310),"半紙",IF(869&lt;=COUNTA(半紙!$B$11:$B$310)+COUNTA(条幅!$B$11:$B$310),"条幅(半切)",IF(869&lt;=COUNTA(半紙!$B$11:$B$310)+COUNTA(条幅!$B$11:$B$310)+COUNTA(条幅4分の1!$B$11:$B$310),"条幅(1/4)","")))</f>
        <v/>
      </c>
      <c r="B874" s="38" t="str">
        <f>IF(IF(869&lt;=COUNTA(半紙!$B$11:$B$310),INDEX(半紙!$B$11:$B$310,869),IF(869&lt;=COUNTA(半紙!$B$11:$B$310)+COUNTA(条幅!$B$11:$B$310),INDEX(条幅!$B$11:$B$310,869-COUNTA(半紙!$B$11:$B$310)),IF(869&lt;=COUNTA(半紙!$B$11:$B$310)+COUNTA(条幅!$B$11:$B$310)+COUNTA(条幅4分の1!$B$11:$B$310),INDEX(条幅4分の1!$B$11:$B$310,869-COUNTA(半紙!$B$11:$B$310)-COUNTA(条幅!$B$11:$B$310)),"")))=0,"",IF(869&lt;=COUNTA(半紙!$B$11:$B$310),INDEX(半紙!$B$11:$B$310,869),IF(869&lt;=COUNTA(半紙!$B$11:$B$310)+COUNTA(条幅!$B$11:$B$310),INDEX(条幅!$B$11:$B$310,869-COUNTA(半紙!$B$11:$B$310)),IF(869&lt;=COUNTA(半紙!$B$11:$B$310)+COUNTA(条幅!$B$11:$B$310)+COUNTA(条幅4分の1!$B$11:$B$310),INDEX(条幅4分の1!$B$11:$B$310,869-COUNTA(半紙!$B$11:$B$310)-COUNTA(条幅!$B$11:$B$310)),""))))</f>
        <v/>
      </c>
      <c r="C874" s="38" t="str">
        <f>IF(IF(869&lt;=COUNTA(半紙!$B$11:$B$310),INDEX(半紙!$C$11:$C$310,869),IF(869&lt;=COUNTA(半紙!$B$11:$B$310)+COUNTA(条幅!$B$11:$B$310),INDEX(条幅!$C$11:$C$310,869-COUNTA(半紙!$B$11:$B$310)),IF(869&lt;=COUNTA(半紙!$B$11:$B$310)+COUNTA(条幅!$B$11:$B$310)+COUNTA(条幅4分の1!$B$11:$B$310),INDEX(条幅4分の1!$C$11:$C$310,869-COUNTA(半紙!$B$11:$B$310)-COUNTA(条幅!$B$11:$B$310)),"")))=0,"",IF(869&lt;=COUNTA(半紙!$B$11:$B$310),INDEX(半紙!$C$11:$C$310,869),IF(869&lt;=COUNTA(半紙!$B$11:$B$310)+COUNTA(条幅!$B$11:$B$310),INDEX(条幅!$C$11:$C$310,869-COUNTA(半紙!$B$11:$B$310)),IF(869&lt;=COUNTA(半紙!$B$11:$B$310)+COUNTA(条幅!$B$11:$B$310)+COUNTA(条幅4分の1!$B$11:$B$310),INDEX(条幅4分の1!$C$11:$C$310,869-COUNTA(半紙!$B$11:$B$310)-COUNTA(条幅!$B$11:$B$310)),""))))</f>
        <v/>
      </c>
      <c r="D874" s="38" t="str">
        <f>IF(IF(869&lt;=COUNTA(半紙!$B$11:$B$310),INDEX(半紙!$D$11:$D$310,869),IF(869&lt;=COUNTA(半紙!$B$11:$B$310)+COUNTA(条幅!$B$11:$B$310),INDEX(条幅!$D$11:$D$310,869-COUNTA(半紙!$B$11:$B$310)),IF(869&lt;=COUNTA(半紙!$B$11:$B$310)+COUNTA(条幅!$B$11:$B$310)+COUNTA(条幅4分の1!$B$11:$B$310),INDEX(条幅4分の1!$D$11:$D$310,869-COUNTA(半紙!$B$11:$B$310)-COUNTA(条幅!$B$11:$B$310)),"")))=0,"",IF(869&lt;=COUNTA(半紙!$B$11:$B$310),INDEX(半紙!$D$11:$D$310,869),IF(869&lt;=COUNTA(半紙!$B$11:$B$310)+COUNTA(条幅!$B$11:$B$310),INDEX(条幅!$D$11:$D$310,869-COUNTA(半紙!$B$11:$B$310)),IF(869&lt;=COUNTA(半紙!$B$11:$B$310)+COUNTA(条幅!$B$11:$B$310)+COUNTA(条幅4分の1!$B$11:$B$310),INDEX(条幅4分の1!$D$11:$D$310,869-COUNTA(半紙!$B$11:$B$310)-COUNTA(条幅!$B$11:$B$310)),""))))</f>
        <v/>
      </c>
      <c r="E874" s="38" t="str">
        <f>IF(IF(869&lt;=COUNTA(半紙!$B$11:$B$310),INDEX(半紙!$E$11:$E$310,869),IF(869&lt;=COUNTA(半紙!$B$11:$B$310)+COUNTA(条幅!$B$11:$B$310),INDEX(条幅!$E$11:$E$310,869-COUNTA(半紙!$B$11:$B$310)),IF(869&lt;=COUNTA(半紙!$B$11:$B$310)+COUNTA(条幅!$B$11:$B$310)+COUNTA(条幅4分の1!$B$11:$B$310),INDEX(条幅4分の1!$E$11:$E$310,869-COUNTA(半紙!$B$11:$B$310)-COUNTA(条幅!$B$11:$B$310)),"")))=0,"",IF(869&lt;=COUNTA(半紙!$B$11:$B$310),INDEX(半紙!$E$11:$E$310,869),IF(869&lt;=COUNTA(半紙!$B$11:$B$310)+COUNTA(条幅!$B$11:$B$310),INDEX(条幅!$E$11:$E$310,869-COUNTA(半紙!$B$11:$B$310)),IF(869&lt;=COUNTA(半紙!$B$11:$B$310)+COUNTA(条幅!$B$11:$B$310)+COUNTA(条幅4分の1!$B$11:$B$310),INDEX(条幅4分の1!$E$11:$E$310,869-COUNTA(半紙!$B$11:$B$310)-COUNTA(条幅!$B$11:$B$310)),""))))</f>
        <v/>
      </c>
      <c r="F874" s="38" t="str">
        <f>IF(IF(869&lt;=COUNTA(半紙!$B$11:$B$310),INDEX(半紙!$F$11:$F$310,869),IF(869&lt;=COUNTA(半紙!$B$11:$B$310)+COUNTA(条幅!$B$11:$B$310),INDEX(条幅!$F$11:$F$310,869-COUNTA(半紙!$B$11:$B$310)),IF(869&lt;=COUNTA(半紙!$B$11:$B$310)+COUNTA(条幅!$B$11:$B$310)+COUNTA(条幅4分の1!$B$11:$B$310),INDEX(条幅4分の1!$F$11:$F$310,869-COUNTA(半紙!$B$11:$B$310)-COUNTA(条幅!$B$11:$B$310)),"")))=0,"",IF(869&lt;=COUNTA(半紙!$B$11:$B$310),INDEX(半紙!$F$11:$F$310,869),IF(869&lt;=COUNTA(半紙!$B$11:$B$310)+COUNTA(条幅!$B$11:$B$310),INDEX(条幅!$F$11:$F$310,869-COUNTA(半紙!$B$11:$B$310)),IF(869&lt;=COUNTA(半紙!$B$11:$B$310)+COUNTA(条幅!$B$11:$B$310)+COUNTA(条幅4分の1!$B$11:$B$310),INDEX(条幅4分の1!$F$11:$F$310,869-COUNTA(半紙!$B$11:$B$310)-COUNTA(条幅!$B$11:$B$310)),""))))</f>
        <v/>
      </c>
      <c r="G874" s="38" t="str">
        <f>IF(IF(869&lt;=COUNTA(半紙!$B$11:$B$310),INDEX(半紙!$G$11:$G$310,869),IF(869&lt;=COUNTA(半紙!$B$11:$B$310)+COUNTA(条幅!$B$11:$B$310),INDEX(条幅!$G$11:$G$310,869-COUNTA(半紙!$B$11:$B$310)),IF(869&lt;=COUNTA(半紙!$B$11:$B$310)+COUNTA(条幅!$B$11:$B$310)+COUNTA(条幅4分の1!$B$11:$B$310),INDEX(条幅4分の1!$G$11:$G$310,869-COUNTA(半紙!$B$11:$B$310)-COUNTA(条幅!$B$11:$B$310)),"")))=0,"",IF(869&lt;=COUNTA(半紙!$B$11:$B$310),INDEX(半紙!$G$11:$G$310,869),IF(869&lt;=COUNTA(半紙!$B$11:$B$310)+COUNTA(条幅!$B$11:$B$310),INDEX(条幅!$G$11:$G$310,869-COUNTA(半紙!$B$11:$B$310)),IF(869&lt;=COUNTA(半紙!$B$11:$B$310)+COUNTA(条幅!$B$11:$B$310)+COUNTA(条幅4分の1!$B$11:$B$310),INDEX(条幅4分の1!$G$11:$G$310,869-COUNTA(半紙!$B$11:$B$310)-COUNTA(条幅!$B$11:$B$310)),""))))</f>
        <v/>
      </c>
      <c r="H874" s="38" t="str">
        <f>IF(IF(869&lt;=COUNTA(半紙!$B$11:$B$310),INDEX(半紙!$H$11:$H$310,869),IF(869&lt;=COUNTA(半紙!$B$11:$B$310)+COUNTA(条幅!$B$11:$B$310),INDEX(条幅!$H$11:$H$310,869-COUNTA(半紙!$B$11:$B$310)),IF(869&lt;=COUNTA(半紙!$B$11:$B$310)+COUNTA(条幅!$B$11:$B$310)+COUNTA(条幅4分の1!$B$11:$B$310),INDEX(条幅4分の1!$H$11:$H$310,869-COUNTA(半紙!$B$11:$B$310)-COUNTA(条幅!$B$11:$B$310)),"")))=0,"",IF(869&lt;=COUNTA(半紙!$B$11:$B$310),INDEX(半紙!$H$11:$H$310,869),IF(869&lt;=COUNTA(半紙!$B$11:$B$310)+COUNTA(条幅!$B$11:$B$310),INDEX(条幅!$H$11:$H$310,869-COUNTA(半紙!$B$11:$B$310)),IF(869&lt;=COUNTA(半紙!$B$11:$B$310)+COUNTA(条幅!$B$11:$B$310)+COUNTA(条幅4分の1!$B$11:$B$310),INDEX(条幅4分の1!$H$11:$H$310,869-COUNTA(半紙!$B$11:$B$310)-COUNTA(条幅!$B$11:$B$310)),""))))</f>
        <v/>
      </c>
      <c r="I874" s="38" t="str">
        <f>IF(IF(869&lt;=COUNTA(半紙!$B$11:$B$310),INDEX(半紙!$I$11:$I$310,869),IF(869&lt;=COUNTA(半紙!$B$11:$B$310)+COUNTA(条幅!$B$11:$B$310),INDEX(条幅!$I$11:$I$310,869-COUNTA(半紙!$B$11:$B$310)),IF(869&lt;=COUNTA(半紙!$B$11:$B$310)+COUNTA(条幅!$B$11:$B$310)+COUNTA(条幅4分の1!$B$11:$B$310),INDEX(条幅4分の1!$I$11:$I$310,869-COUNTA(半紙!$B$11:$B$310)-COUNTA(条幅!$B$11:$B$310)),"")))=0,"",IF(869&lt;=COUNTA(半紙!$B$11:$B$310),INDEX(半紙!$I$11:$I$310,869),IF(869&lt;=COUNTA(半紙!$B$11:$B$310)+COUNTA(条幅!$B$11:$B$310),INDEX(条幅!$I$11:$I$310,869-COUNTA(半紙!$B$11:$B$310)),IF(869&lt;=COUNTA(半紙!$B$11:$B$310)+COUNTA(条幅!$B$11:$B$310)+COUNTA(条幅4分の1!$B$11:$B$310),INDEX(条幅4分の1!$I$11:$I$310,869-COUNTA(半紙!$B$11:$B$310)-COUNTA(条幅!$B$11:$B$310)),""))))</f>
        <v/>
      </c>
      <c r="J874" s="38" t="str">
        <f>IF(IF(869&lt;=COUNTA(半紙!$B$11:$B$310),INDEX(半紙!$J$11:$J$310,869),IF(869&lt;=COUNTA(半紙!$B$11:$B$310)+COUNTA(条幅!$B$11:$B$310),INDEX(条幅!$J$11:$J$310,869-COUNTA(半紙!$B$11:$B$310)),IF(869&lt;=COUNTA(半紙!$B$11:$B$310)+COUNTA(条幅!$B$11:$B$310)+COUNTA(条幅4分の1!$B$11:$B$310),INDEX(条幅4分の1!$J$11:$J$310,869-COUNTA(半紙!$B$11:$B$310)-COUNTA(条幅!$B$11:$B$310)),"")))=0,"",IF(869&lt;=COUNTA(半紙!$B$11:$B$310),INDEX(半紙!$J$11:$J$310,869),IF(869&lt;=COUNTA(半紙!$B$11:$B$310)+COUNTA(条幅!$B$11:$B$310),INDEX(条幅!$J$11:$J$310,869-COUNTA(半紙!$B$11:$B$310)),IF(869&lt;=COUNTA(半紙!$B$11:$B$310)+COUNTA(条幅!$B$11:$B$310)+COUNTA(条幅4分の1!$B$11:$B$310),INDEX(条幅4分の1!$J$11:$J$310,869-COUNTA(半紙!$B$11:$B$310)-COUNTA(条幅!$B$11:$B$310)),""))))</f>
        <v/>
      </c>
      <c r="K874" s="38" t="str">
        <f>IF(IF(869&lt;=COUNTA(半紙!$B$11:$B$310),INDEX(半紙!$K$11:$K$310,869),IF(869&lt;=COUNTA(半紙!$B$11:$B$310)+COUNTA(条幅!$B$11:$B$310),INDEX(条幅!$K$11:$K$310,869-COUNTA(半紙!$B$11:$B$310)),IF(869&lt;=COUNTA(半紙!$B$11:$B$310)+COUNTA(条幅!$B$11:$B$310)+COUNTA(条幅4分の1!$B$11:$B$310),INDEX(条幅4分の1!$K$11:$K$310,869-COUNTA(半紙!$B$11:$B$310)-COUNTA(条幅!$B$11:$B$310)),"")))=0,"",IF(869&lt;=COUNTA(半紙!$B$11:$B$310),INDEX(半紙!$K$11:$K$310,869),IF(869&lt;=COUNTA(半紙!$B$11:$B$310)+COUNTA(条幅!$B$11:$B$310),INDEX(条幅!$K$11:$K$310,869-COUNTA(半紙!$B$11:$B$310)),IF(869&lt;=COUNTA(半紙!$B$11:$B$310)+COUNTA(条幅!$B$11:$B$310)+COUNTA(条幅4分の1!$B$11:$B$310),INDEX(条幅4分の1!$K$11:$K$310,869-COUNTA(半紙!$B$11:$B$310)-COUNTA(条幅!$B$11:$B$310)),""))))</f>
        <v/>
      </c>
      <c r="L874" s="48" t="str">
        <f>IF($B874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869))</f>
        <v/>
      </c>
    </row>
    <row r="875" spans="1:12" ht="15" customHeight="1">
      <c r="A875" s="37" t="str">
        <f>IF(870&lt;=COUNTA(半紙!$B$11:$B$310),"半紙",IF(870&lt;=COUNTA(半紙!$B$11:$B$310)+COUNTA(条幅!$B$11:$B$310),"条幅(半切)",IF(870&lt;=COUNTA(半紙!$B$11:$B$310)+COUNTA(条幅!$B$11:$B$310)+COUNTA(条幅4分の1!$B$11:$B$310),"条幅(1/4)","")))</f>
        <v/>
      </c>
      <c r="B875" s="38" t="str">
        <f>IF(IF(870&lt;=COUNTA(半紙!$B$11:$B$310),INDEX(半紙!$B$11:$B$310,870),IF(870&lt;=COUNTA(半紙!$B$11:$B$310)+COUNTA(条幅!$B$11:$B$310),INDEX(条幅!$B$11:$B$310,870-COUNTA(半紙!$B$11:$B$310)),IF(870&lt;=COUNTA(半紙!$B$11:$B$310)+COUNTA(条幅!$B$11:$B$310)+COUNTA(条幅4分の1!$B$11:$B$310),INDEX(条幅4分の1!$B$11:$B$310,870-COUNTA(半紙!$B$11:$B$310)-COUNTA(条幅!$B$11:$B$310)),"")))=0,"",IF(870&lt;=COUNTA(半紙!$B$11:$B$310),INDEX(半紙!$B$11:$B$310,870),IF(870&lt;=COUNTA(半紙!$B$11:$B$310)+COUNTA(条幅!$B$11:$B$310),INDEX(条幅!$B$11:$B$310,870-COUNTA(半紙!$B$11:$B$310)),IF(870&lt;=COUNTA(半紙!$B$11:$B$310)+COUNTA(条幅!$B$11:$B$310)+COUNTA(条幅4分の1!$B$11:$B$310),INDEX(条幅4分の1!$B$11:$B$310,870-COUNTA(半紙!$B$11:$B$310)-COUNTA(条幅!$B$11:$B$310)),""))))</f>
        <v/>
      </c>
      <c r="C875" s="38" t="str">
        <f>IF(IF(870&lt;=COUNTA(半紙!$B$11:$B$310),INDEX(半紙!$C$11:$C$310,870),IF(870&lt;=COUNTA(半紙!$B$11:$B$310)+COUNTA(条幅!$B$11:$B$310),INDEX(条幅!$C$11:$C$310,870-COUNTA(半紙!$B$11:$B$310)),IF(870&lt;=COUNTA(半紙!$B$11:$B$310)+COUNTA(条幅!$B$11:$B$310)+COUNTA(条幅4分の1!$B$11:$B$310),INDEX(条幅4分の1!$C$11:$C$310,870-COUNTA(半紙!$B$11:$B$310)-COUNTA(条幅!$B$11:$B$310)),"")))=0,"",IF(870&lt;=COUNTA(半紙!$B$11:$B$310),INDEX(半紙!$C$11:$C$310,870),IF(870&lt;=COUNTA(半紙!$B$11:$B$310)+COUNTA(条幅!$B$11:$B$310),INDEX(条幅!$C$11:$C$310,870-COUNTA(半紙!$B$11:$B$310)),IF(870&lt;=COUNTA(半紙!$B$11:$B$310)+COUNTA(条幅!$B$11:$B$310)+COUNTA(条幅4分の1!$B$11:$B$310),INDEX(条幅4分の1!$C$11:$C$310,870-COUNTA(半紙!$B$11:$B$310)-COUNTA(条幅!$B$11:$B$310)),""))))</f>
        <v/>
      </c>
      <c r="D875" s="38" t="str">
        <f>IF(IF(870&lt;=COUNTA(半紙!$B$11:$B$310),INDEX(半紙!$D$11:$D$310,870),IF(870&lt;=COUNTA(半紙!$B$11:$B$310)+COUNTA(条幅!$B$11:$B$310),INDEX(条幅!$D$11:$D$310,870-COUNTA(半紙!$B$11:$B$310)),IF(870&lt;=COUNTA(半紙!$B$11:$B$310)+COUNTA(条幅!$B$11:$B$310)+COUNTA(条幅4分の1!$B$11:$B$310),INDEX(条幅4分の1!$D$11:$D$310,870-COUNTA(半紙!$B$11:$B$310)-COUNTA(条幅!$B$11:$B$310)),"")))=0,"",IF(870&lt;=COUNTA(半紙!$B$11:$B$310),INDEX(半紙!$D$11:$D$310,870),IF(870&lt;=COUNTA(半紙!$B$11:$B$310)+COUNTA(条幅!$B$11:$B$310),INDEX(条幅!$D$11:$D$310,870-COUNTA(半紙!$B$11:$B$310)),IF(870&lt;=COUNTA(半紙!$B$11:$B$310)+COUNTA(条幅!$B$11:$B$310)+COUNTA(条幅4分の1!$B$11:$B$310),INDEX(条幅4分の1!$D$11:$D$310,870-COUNTA(半紙!$B$11:$B$310)-COUNTA(条幅!$B$11:$B$310)),""))))</f>
        <v/>
      </c>
      <c r="E875" s="38" t="str">
        <f>IF(IF(870&lt;=COUNTA(半紙!$B$11:$B$310),INDEX(半紙!$E$11:$E$310,870),IF(870&lt;=COUNTA(半紙!$B$11:$B$310)+COUNTA(条幅!$B$11:$B$310),INDEX(条幅!$E$11:$E$310,870-COUNTA(半紙!$B$11:$B$310)),IF(870&lt;=COUNTA(半紙!$B$11:$B$310)+COUNTA(条幅!$B$11:$B$310)+COUNTA(条幅4分の1!$B$11:$B$310),INDEX(条幅4分の1!$E$11:$E$310,870-COUNTA(半紙!$B$11:$B$310)-COUNTA(条幅!$B$11:$B$310)),"")))=0,"",IF(870&lt;=COUNTA(半紙!$B$11:$B$310),INDEX(半紙!$E$11:$E$310,870),IF(870&lt;=COUNTA(半紙!$B$11:$B$310)+COUNTA(条幅!$B$11:$B$310),INDEX(条幅!$E$11:$E$310,870-COUNTA(半紙!$B$11:$B$310)),IF(870&lt;=COUNTA(半紙!$B$11:$B$310)+COUNTA(条幅!$B$11:$B$310)+COUNTA(条幅4分の1!$B$11:$B$310),INDEX(条幅4分の1!$E$11:$E$310,870-COUNTA(半紙!$B$11:$B$310)-COUNTA(条幅!$B$11:$B$310)),""))))</f>
        <v/>
      </c>
      <c r="F875" s="38" t="str">
        <f>IF(IF(870&lt;=COUNTA(半紙!$B$11:$B$310),INDEX(半紙!$F$11:$F$310,870),IF(870&lt;=COUNTA(半紙!$B$11:$B$310)+COUNTA(条幅!$B$11:$B$310),INDEX(条幅!$F$11:$F$310,870-COUNTA(半紙!$B$11:$B$310)),IF(870&lt;=COUNTA(半紙!$B$11:$B$310)+COUNTA(条幅!$B$11:$B$310)+COUNTA(条幅4分の1!$B$11:$B$310),INDEX(条幅4分の1!$F$11:$F$310,870-COUNTA(半紙!$B$11:$B$310)-COUNTA(条幅!$B$11:$B$310)),"")))=0,"",IF(870&lt;=COUNTA(半紙!$B$11:$B$310),INDEX(半紙!$F$11:$F$310,870),IF(870&lt;=COUNTA(半紙!$B$11:$B$310)+COUNTA(条幅!$B$11:$B$310),INDEX(条幅!$F$11:$F$310,870-COUNTA(半紙!$B$11:$B$310)),IF(870&lt;=COUNTA(半紙!$B$11:$B$310)+COUNTA(条幅!$B$11:$B$310)+COUNTA(条幅4分の1!$B$11:$B$310),INDEX(条幅4分の1!$F$11:$F$310,870-COUNTA(半紙!$B$11:$B$310)-COUNTA(条幅!$B$11:$B$310)),""))))</f>
        <v/>
      </c>
      <c r="G875" s="38" t="str">
        <f>IF(IF(870&lt;=COUNTA(半紙!$B$11:$B$310),INDEX(半紙!$G$11:$G$310,870),IF(870&lt;=COUNTA(半紙!$B$11:$B$310)+COUNTA(条幅!$B$11:$B$310),INDEX(条幅!$G$11:$G$310,870-COUNTA(半紙!$B$11:$B$310)),IF(870&lt;=COUNTA(半紙!$B$11:$B$310)+COUNTA(条幅!$B$11:$B$310)+COUNTA(条幅4分の1!$B$11:$B$310),INDEX(条幅4分の1!$G$11:$G$310,870-COUNTA(半紙!$B$11:$B$310)-COUNTA(条幅!$B$11:$B$310)),"")))=0,"",IF(870&lt;=COUNTA(半紙!$B$11:$B$310),INDEX(半紙!$G$11:$G$310,870),IF(870&lt;=COUNTA(半紙!$B$11:$B$310)+COUNTA(条幅!$B$11:$B$310),INDEX(条幅!$G$11:$G$310,870-COUNTA(半紙!$B$11:$B$310)),IF(870&lt;=COUNTA(半紙!$B$11:$B$310)+COUNTA(条幅!$B$11:$B$310)+COUNTA(条幅4分の1!$B$11:$B$310),INDEX(条幅4分の1!$G$11:$G$310,870-COUNTA(半紙!$B$11:$B$310)-COUNTA(条幅!$B$11:$B$310)),""))))</f>
        <v/>
      </c>
      <c r="H875" s="38" t="str">
        <f>IF(IF(870&lt;=COUNTA(半紙!$B$11:$B$310),INDEX(半紙!$H$11:$H$310,870),IF(870&lt;=COUNTA(半紙!$B$11:$B$310)+COUNTA(条幅!$B$11:$B$310),INDEX(条幅!$H$11:$H$310,870-COUNTA(半紙!$B$11:$B$310)),IF(870&lt;=COUNTA(半紙!$B$11:$B$310)+COUNTA(条幅!$B$11:$B$310)+COUNTA(条幅4分の1!$B$11:$B$310),INDEX(条幅4分の1!$H$11:$H$310,870-COUNTA(半紙!$B$11:$B$310)-COUNTA(条幅!$B$11:$B$310)),"")))=0,"",IF(870&lt;=COUNTA(半紙!$B$11:$B$310),INDEX(半紙!$H$11:$H$310,870),IF(870&lt;=COUNTA(半紙!$B$11:$B$310)+COUNTA(条幅!$B$11:$B$310),INDEX(条幅!$H$11:$H$310,870-COUNTA(半紙!$B$11:$B$310)),IF(870&lt;=COUNTA(半紙!$B$11:$B$310)+COUNTA(条幅!$B$11:$B$310)+COUNTA(条幅4分の1!$B$11:$B$310),INDEX(条幅4分の1!$H$11:$H$310,870-COUNTA(半紙!$B$11:$B$310)-COUNTA(条幅!$B$11:$B$310)),""))))</f>
        <v/>
      </c>
      <c r="I875" s="38" t="str">
        <f>IF(IF(870&lt;=COUNTA(半紙!$B$11:$B$310),INDEX(半紙!$I$11:$I$310,870),IF(870&lt;=COUNTA(半紙!$B$11:$B$310)+COUNTA(条幅!$B$11:$B$310),INDEX(条幅!$I$11:$I$310,870-COUNTA(半紙!$B$11:$B$310)),IF(870&lt;=COUNTA(半紙!$B$11:$B$310)+COUNTA(条幅!$B$11:$B$310)+COUNTA(条幅4分の1!$B$11:$B$310),INDEX(条幅4分の1!$I$11:$I$310,870-COUNTA(半紙!$B$11:$B$310)-COUNTA(条幅!$B$11:$B$310)),"")))=0,"",IF(870&lt;=COUNTA(半紙!$B$11:$B$310),INDEX(半紙!$I$11:$I$310,870),IF(870&lt;=COUNTA(半紙!$B$11:$B$310)+COUNTA(条幅!$B$11:$B$310),INDEX(条幅!$I$11:$I$310,870-COUNTA(半紙!$B$11:$B$310)),IF(870&lt;=COUNTA(半紙!$B$11:$B$310)+COUNTA(条幅!$B$11:$B$310)+COUNTA(条幅4分の1!$B$11:$B$310),INDEX(条幅4分の1!$I$11:$I$310,870-COUNTA(半紙!$B$11:$B$310)-COUNTA(条幅!$B$11:$B$310)),""))))</f>
        <v/>
      </c>
      <c r="J875" s="38" t="str">
        <f>IF(IF(870&lt;=COUNTA(半紙!$B$11:$B$310),INDEX(半紙!$J$11:$J$310,870),IF(870&lt;=COUNTA(半紙!$B$11:$B$310)+COUNTA(条幅!$B$11:$B$310),INDEX(条幅!$J$11:$J$310,870-COUNTA(半紙!$B$11:$B$310)),IF(870&lt;=COUNTA(半紙!$B$11:$B$310)+COUNTA(条幅!$B$11:$B$310)+COUNTA(条幅4分の1!$B$11:$B$310),INDEX(条幅4分の1!$J$11:$J$310,870-COUNTA(半紙!$B$11:$B$310)-COUNTA(条幅!$B$11:$B$310)),"")))=0,"",IF(870&lt;=COUNTA(半紙!$B$11:$B$310),INDEX(半紙!$J$11:$J$310,870),IF(870&lt;=COUNTA(半紙!$B$11:$B$310)+COUNTA(条幅!$B$11:$B$310),INDEX(条幅!$J$11:$J$310,870-COUNTA(半紙!$B$11:$B$310)),IF(870&lt;=COUNTA(半紙!$B$11:$B$310)+COUNTA(条幅!$B$11:$B$310)+COUNTA(条幅4分の1!$B$11:$B$310),INDEX(条幅4分の1!$J$11:$J$310,870-COUNTA(半紙!$B$11:$B$310)-COUNTA(条幅!$B$11:$B$310)),""))))</f>
        <v/>
      </c>
      <c r="K875" s="38" t="str">
        <f>IF(IF(870&lt;=COUNTA(半紙!$B$11:$B$310),INDEX(半紙!$K$11:$K$310,870),IF(870&lt;=COUNTA(半紙!$B$11:$B$310)+COUNTA(条幅!$B$11:$B$310),INDEX(条幅!$K$11:$K$310,870-COUNTA(半紙!$B$11:$B$310)),IF(870&lt;=COUNTA(半紙!$B$11:$B$310)+COUNTA(条幅!$B$11:$B$310)+COUNTA(条幅4分の1!$B$11:$B$310),INDEX(条幅4分の1!$K$11:$K$310,870-COUNTA(半紙!$B$11:$B$310)-COUNTA(条幅!$B$11:$B$310)),"")))=0,"",IF(870&lt;=COUNTA(半紙!$B$11:$B$310),INDEX(半紙!$K$11:$K$310,870),IF(870&lt;=COUNTA(半紙!$B$11:$B$310)+COUNTA(条幅!$B$11:$B$310),INDEX(条幅!$K$11:$K$310,870-COUNTA(半紙!$B$11:$B$310)),IF(870&lt;=COUNTA(半紙!$B$11:$B$310)+COUNTA(条幅!$B$11:$B$310)+COUNTA(条幅4分の1!$B$11:$B$310),INDEX(条幅4分の1!$K$11:$K$310,870-COUNTA(半紙!$B$11:$B$310)-COUNTA(条幅!$B$11:$B$310)),""))))</f>
        <v/>
      </c>
      <c r="L875" s="48" t="str">
        <f>IF($B875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870))</f>
        <v/>
      </c>
    </row>
    <row r="876" spans="1:12" ht="15" customHeight="1">
      <c r="A876" s="37" t="str">
        <f>IF(871&lt;=COUNTA(半紙!$B$11:$B$310),"半紙",IF(871&lt;=COUNTA(半紙!$B$11:$B$310)+COUNTA(条幅!$B$11:$B$310),"条幅(半切)",IF(871&lt;=COUNTA(半紙!$B$11:$B$310)+COUNTA(条幅!$B$11:$B$310)+COUNTA(条幅4分の1!$B$11:$B$310),"条幅(1/4)","")))</f>
        <v/>
      </c>
      <c r="B876" s="38" t="str">
        <f>IF(IF(871&lt;=COUNTA(半紙!$B$11:$B$310),INDEX(半紙!$B$11:$B$310,871),IF(871&lt;=COUNTA(半紙!$B$11:$B$310)+COUNTA(条幅!$B$11:$B$310),INDEX(条幅!$B$11:$B$310,871-COUNTA(半紙!$B$11:$B$310)),IF(871&lt;=COUNTA(半紙!$B$11:$B$310)+COUNTA(条幅!$B$11:$B$310)+COUNTA(条幅4分の1!$B$11:$B$310),INDEX(条幅4分の1!$B$11:$B$310,871-COUNTA(半紙!$B$11:$B$310)-COUNTA(条幅!$B$11:$B$310)),"")))=0,"",IF(871&lt;=COUNTA(半紙!$B$11:$B$310),INDEX(半紙!$B$11:$B$310,871),IF(871&lt;=COUNTA(半紙!$B$11:$B$310)+COUNTA(条幅!$B$11:$B$310),INDEX(条幅!$B$11:$B$310,871-COUNTA(半紙!$B$11:$B$310)),IF(871&lt;=COUNTA(半紙!$B$11:$B$310)+COUNTA(条幅!$B$11:$B$310)+COUNTA(条幅4分の1!$B$11:$B$310),INDEX(条幅4分の1!$B$11:$B$310,871-COUNTA(半紙!$B$11:$B$310)-COUNTA(条幅!$B$11:$B$310)),""))))</f>
        <v/>
      </c>
      <c r="C876" s="38" t="str">
        <f>IF(IF(871&lt;=COUNTA(半紙!$B$11:$B$310),INDEX(半紙!$C$11:$C$310,871),IF(871&lt;=COUNTA(半紙!$B$11:$B$310)+COUNTA(条幅!$B$11:$B$310),INDEX(条幅!$C$11:$C$310,871-COUNTA(半紙!$B$11:$B$310)),IF(871&lt;=COUNTA(半紙!$B$11:$B$310)+COUNTA(条幅!$B$11:$B$310)+COUNTA(条幅4分の1!$B$11:$B$310),INDEX(条幅4分の1!$C$11:$C$310,871-COUNTA(半紙!$B$11:$B$310)-COUNTA(条幅!$B$11:$B$310)),"")))=0,"",IF(871&lt;=COUNTA(半紙!$B$11:$B$310),INDEX(半紙!$C$11:$C$310,871),IF(871&lt;=COUNTA(半紙!$B$11:$B$310)+COUNTA(条幅!$B$11:$B$310),INDEX(条幅!$C$11:$C$310,871-COUNTA(半紙!$B$11:$B$310)),IF(871&lt;=COUNTA(半紙!$B$11:$B$310)+COUNTA(条幅!$B$11:$B$310)+COUNTA(条幅4分の1!$B$11:$B$310),INDEX(条幅4分の1!$C$11:$C$310,871-COUNTA(半紙!$B$11:$B$310)-COUNTA(条幅!$B$11:$B$310)),""))))</f>
        <v/>
      </c>
      <c r="D876" s="38" t="str">
        <f>IF(IF(871&lt;=COUNTA(半紙!$B$11:$B$310),INDEX(半紙!$D$11:$D$310,871),IF(871&lt;=COUNTA(半紙!$B$11:$B$310)+COUNTA(条幅!$B$11:$B$310),INDEX(条幅!$D$11:$D$310,871-COUNTA(半紙!$B$11:$B$310)),IF(871&lt;=COUNTA(半紙!$B$11:$B$310)+COUNTA(条幅!$B$11:$B$310)+COUNTA(条幅4分の1!$B$11:$B$310),INDEX(条幅4分の1!$D$11:$D$310,871-COUNTA(半紙!$B$11:$B$310)-COUNTA(条幅!$B$11:$B$310)),"")))=0,"",IF(871&lt;=COUNTA(半紙!$B$11:$B$310),INDEX(半紙!$D$11:$D$310,871),IF(871&lt;=COUNTA(半紙!$B$11:$B$310)+COUNTA(条幅!$B$11:$B$310),INDEX(条幅!$D$11:$D$310,871-COUNTA(半紙!$B$11:$B$310)),IF(871&lt;=COUNTA(半紙!$B$11:$B$310)+COUNTA(条幅!$B$11:$B$310)+COUNTA(条幅4分の1!$B$11:$B$310),INDEX(条幅4分の1!$D$11:$D$310,871-COUNTA(半紙!$B$11:$B$310)-COUNTA(条幅!$B$11:$B$310)),""))))</f>
        <v/>
      </c>
      <c r="E876" s="38" t="str">
        <f>IF(IF(871&lt;=COUNTA(半紙!$B$11:$B$310),INDEX(半紙!$E$11:$E$310,871),IF(871&lt;=COUNTA(半紙!$B$11:$B$310)+COUNTA(条幅!$B$11:$B$310),INDEX(条幅!$E$11:$E$310,871-COUNTA(半紙!$B$11:$B$310)),IF(871&lt;=COUNTA(半紙!$B$11:$B$310)+COUNTA(条幅!$B$11:$B$310)+COUNTA(条幅4分の1!$B$11:$B$310),INDEX(条幅4分の1!$E$11:$E$310,871-COUNTA(半紙!$B$11:$B$310)-COUNTA(条幅!$B$11:$B$310)),"")))=0,"",IF(871&lt;=COUNTA(半紙!$B$11:$B$310),INDEX(半紙!$E$11:$E$310,871),IF(871&lt;=COUNTA(半紙!$B$11:$B$310)+COUNTA(条幅!$B$11:$B$310),INDEX(条幅!$E$11:$E$310,871-COUNTA(半紙!$B$11:$B$310)),IF(871&lt;=COUNTA(半紙!$B$11:$B$310)+COUNTA(条幅!$B$11:$B$310)+COUNTA(条幅4分の1!$B$11:$B$310),INDEX(条幅4分の1!$E$11:$E$310,871-COUNTA(半紙!$B$11:$B$310)-COUNTA(条幅!$B$11:$B$310)),""))))</f>
        <v/>
      </c>
      <c r="F876" s="38" t="str">
        <f>IF(IF(871&lt;=COUNTA(半紙!$B$11:$B$310),INDEX(半紙!$F$11:$F$310,871),IF(871&lt;=COUNTA(半紙!$B$11:$B$310)+COUNTA(条幅!$B$11:$B$310),INDEX(条幅!$F$11:$F$310,871-COUNTA(半紙!$B$11:$B$310)),IF(871&lt;=COUNTA(半紙!$B$11:$B$310)+COUNTA(条幅!$B$11:$B$310)+COUNTA(条幅4分の1!$B$11:$B$310),INDEX(条幅4分の1!$F$11:$F$310,871-COUNTA(半紙!$B$11:$B$310)-COUNTA(条幅!$B$11:$B$310)),"")))=0,"",IF(871&lt;=COUNTA(半紙!$B$11:$B$310),INDEX(半紙!$F$11:$F$310,871),IF(871&lt;=COUNTA(半紙!$B$11:$B$310)+COUNTA(条幅!$B$11:$B$310),INDEX(条幅!$F$11:$F$310,871-COUNTA(半紙!$B$11:$B$310)),IF(871&lt;=COUNTA(半紙!$B$11:$B$310)+COUNTA(条幅!$B$11:$B$310)+COUNTA(条幅4分の1!$B$11:$B$310),INDEX(条幅4分の1!$F$11:$F$310,871-COUNTA(半紙!$B$11:$B$310)-COUNTA(条幅!$B$11:$B$310)),""))))</f>
        <v/>
      </c>
      <c r="G876" s="38" t="str">
        <f>IF(IF(871&lt;=COUNTA(半紙!$B$11:$B$310),INDEX(半紙!$G$11:$G$310,871),IF(871&lt;=COUNTA(半紙!$B$11:$B$310)+COUNTA(条幅!$B$11:$B$310),INDEX(条幅!$G$11:$G$310,871-COUNTA(半紙!$B$11:$B$310)),IF(871&lt;=COUNTA(半紙!$B$11:$B$310)+COUNTA(条幅!$B$11:$B$310)+COUNTA(条幅4分の1!$B$11:$B$310),INDEX(条幅4分の1!$G$11:$G$310,871-COUNTA(半紙!$B$11:$B$310)-COUNTA(条幅!$B$11:$B$310)),"")))=0,"",IF(871&lt;=COUNTA(半紙!$B$11:$B$310),INDEX(半紙!$G$11:$G$310,871),IF(871&lt;=COUNTA(半紙!$B$11:$B$310)+COUNTA(条幅!$B$11:$B$310),INDEX(条幅!$G$11:$G$310,871-COUNTA(半紙!$B$11:$B$310)),IF(871&lt;=COUNTA(半紙!$B$11:$B$310)+COUNTA(条幅!$B$11:$B$310)+COUNTA(条幅4分の1!$B$11:$B$310),INDEX(条幅4分の1!$G$11:$G$310,871-COUNTA(半紙!$B$11:$B$310)-COUNTA(条幅!$B$11:$B$310)),""))))</f>
        <v/>
      </c>
      <c r="H876" s="38" t="str">
        <f>IF(IF(871&lt;=COUNTA(半紙!$B$11:$B$310),INDEX(半紙!$H$11:$H$310,871),IF(871&lt;=COUNTA(半紙!$B$11:$B$310)+COUNTA(条幅!$B$11:$B$310),INDEX(条幅!$H$11:$H$310,871-COUNTA(半紙!$B$11:$B$310)),IF(871&lt;=COUNTA(半紙!$B$11:$B$310)+COUNTA(条幅!$B$11:$B$310)+COUNTA(条幅4分の1!$B$11:$B$310),INDEX(条幅4分の1!$H$11:$H$310,871-COUNTA(半紙!$B$11:$B$310)-COUNTA(条幅!$B$11:$B$310)),"")))=0,"",IF(871&lt;=COUNTA(半紙!$B$11:$B$310),INDEX(半紙!$H$11:$H$310,871),IF(871&lt;=COUNTA(半紙!$B$11:$B$310)+COUNTA(条幅!$B$11:$B$310),INDEX(条幅!$H$11:$H$310,871-COUNTA(半紙!$B$11:$B$310)),IF(871&lt;=COUNTA(半紙!$B$11:$B$310)+COUNTA(条幅!$B$11:$B$310)+COUNTA(条幅4分の1!$B$11:$B$310),INDEX(条幅4分の1!$H$11:$H$310,871-COUNTA(半紙!$B$11:$B$310)-COUNTA(条幅!$B$11:$B$310)),""))))</f>
        <v/>
      </c>
      <c r="I876" s="38" t="str">
        <f>IF(IF(871&lt;=COUNTA(半紙!$B$11:$B$310),INDEX(半紙!$I$11:$I$310,871),IF(871&lt;=COUNTA(半紙!$B$11:$B$310)+COUNTA(条幅!$B$11:$B$310),INDEX(条幅!$I$11:$I$310,871-COUNTA(半紙!$B$11:$B$310)),IF(871&lt;=COUNTA(半紙!$B$11:$B$310)+COUNTA(条幅!$B$11:$B$310)+COUNTA(条幅4分の1!$B$11:$B$310),INDEX(条幅4分の1!$I$11:$I$310,871-COUNTA(半紙!$B$11:$B$310)-COUNTA(条幅!$B$11:$B$310)),"")))=0,"",IF(871&lt;=COUNTA(半紙!$B$11:$B$310),INDEX(半紙!$I$11:$I$310,871),IF(871&lt;=COUNTA(半紙!$B$11:$B$310)+COUNTA(条幅!$B$11:$B$310),INDEX(条幅!$I$11:$I$310,871-COUNTA(半紙!$B$11:$B$310)),IF(871&lt;=COUNTA(半紙!$B$11:$B$310)+COUNTA(条幅!$B$11:$B$310)+COUNTA(条幅4分の1!$B$11:$B$310),INDEX(条幅4分の1!$I$11:$I$310,871-COUNTA(半紙!$B$11:$B$310)-COUNTA(条幅!$B$11:$B$310)),""))))</f>
        <v/>
      </c>
      <c r="J876" s="38" t="str">
        <f>IF(IF(871&lt;=COUNTA(半紙!$B$11:$B$310),INDEX(半紙!$J$11:$J$310,871),IF(871&lt;=COUNTA(半紙!$B$11:$B$310)+COUNTA(条幅!$B$11:$B$310),INDEX(条幅!$J$11:$J$310,871-COUNTA(半紙!$B$11:$B$310)),IF(871&lt;=COUNTA(半紙!$B$11:$B$310)+COUNTA(条幅!$B$11:$B$310)+COUNTA(条幅4分の1!$B$11:$B$310),INDEX(条幅4分の1!$J$11:$J$310,871-COUNTA(半紙!$B$11:$B$310)-COUNTA(条幅!$B$11:$B$310)),"")))=0,"",IF(871&lt;=COUNTA(半紙!$B$11:$B$310),INDEX(半紙!$J$11:$J$310,871),IF(871&lt;=COUNTA(半紙!$B$11:$B$310)+COUNTA(条幅!$B$11:$B$310),INDEX(条幅!$J$11:$J$310,871-COUNTA(半紙!$B$11:$B$310)),IF(871&lt;=COUNTA(半紙!$B$11:$B$310)+COUNTA(条幅!$B$11:$B$310)+COUNTA(条幅4分の1!$B$11:$B$310),INDEX(条幅4分の1!$J$11:$J$310,871-COUNTA(半紙!$B$11:$B$310)-COUNTA(条幅!$B$11:$B$310)),""))))</f>
        <v/>
      </c>
      <c r="K876" s="38" t="str">
        <f>IF(IF(871&lt;=COUNTA(半紙!$B$11:$B$310),INDEX(半紙!$K$11:$K$310,871),IF(871&lt;=COUNTA(半紙!$B$11:$B$310)+COUNTA(条幅!$B$11:$B$310),INDEX(条幅!$K$11:$K$310,871-COUNTA(半紙!$B$11:$B$310)),IF(871&lt;=COUNTA(半紙!$B$11:$B$310)+COUNTA(条幅!$B$11:$B$310)+COUNTA(条幅4分の1!$B$11:$B$310),INDEX(条幅4分の1!$K$11:$K$310,871-COUNTA(半紙!$B$11:$B$310)-COUNTA(条幅!$B$11:$B$310)),"")))=0,"",IF(871&lt;=COUNTA(半紙!$B$11:$B$310),INDEX(半紙!$K$11:$K$310,871),IF(871&lt;=COUNTA(半紙!$B$11:$B$310)+COUNTA(条幅!$B$11:$B$310),INDEX(条幅!$K$11:$K$310,871-COUNTA(半紙!$B$11:$B$310)),IF(871&lt;=COUNTA(半紙!$B$11:$B$310)+COUNTA(条幅!$B$11:$B$310)+COUNTA(条幅4分の1!$B$11:$B$310),INDEX(条幅4分の1!$K$11:$K$310,871-COUNTA(半紙!$B$11:$B$310)-COUNTA(条幅!$B$11:$B$310)),""))))</f>
        <v/>
      </c>
      <c r="L876" s="48" t="str">
        <f>IF($B876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871))</f>
        <v/>
      </c>
    </row>
    <row r="877" spans="1:12" ht="15" customHeight="1">
      <c r="A877" s="37" t="str">
        <f>IF(872&lt;=COUNTA(半紙!$B$11:$B$310),"半紙",IF(872&lt;=COUNTA(半紙!$B$11:$B$310)+COUNTA(条幅!$B$11:$B$310),"条幅(半切)",IF(872&lt;=COUNTA(半紙!$B$11:$B$310)+COUNTA(条幅!$B$11:$B$310)+COUNTA(条幅4分の1!$B$11:$B$310),"条幅(1/4)","")))</f>
        <v/>
      </c>
      <c r="B877" s="38" t="str">
        <f>IF(IF(872&lt;=COUNTA(半紙!$B$11:$B$310),INDEX(半紙!$B$11:$B$310,872),IF(872&lt;=COUNTA(半紙!$B$11:$B$310)+COUNTA(条幅!$B$11:$B$310),INDEX(条幅!$B$11:$B$310,872-COUNTA(半紙!$B$11:$B$310)),IF(872&lt;=COUNTA(半紙!$B$11:$B$310)+COUNTA(条幅!$B$11:$B$310)+COUNTA(条幅4分の1!$B$11:$B$310),INDEX(条幅4分の1!$B$11:$B$310,872-COUNTA(半紙!$B$11:$B$310)-COUNTA(条幅!$B$11:$B$310)),"")))=0,"",IF(872&lt;=COUNTA(半紙!$B$11:$B$310),INDEX(半紙!$B$11:$B$310,872),IF(872&lt;=COUNTA(半紙!$B$11:$B$310)+COUNTA(条幅!$B$11:$B$310),INDEX(条幅!$B$11:$B$310,872-COUNTA(半紙!$B$11:$B$310)),IF(872&lt;=COUNTA(半紙!$B$11:$B$310)+COUNTA(条幅!$B$11:$B$310)+COUNTA(条幅4分の1!$B$11:$B$310),INDEX(条幅4分の1!$B$11:$B$310,872-COUNTA(半紙!$B$11:$B$310)-COUNTA(条幅!$B$11:$B$310)),""))))</f>
        <v/>
      </c>
      <c r="C877" s="38" t="str">
        <f>IF(IF(872&lt;=COUNTA(半紙!$B$11:$B$310),INDEX(半紙!$C$11:$C$310,872),IF(872&lt;=COUNTA(半紙!$B$11:$B$310)+COUNTA(条幅!$B$11:$B$310),INDEX(条幅!$C$11:$C$310,872-COUNTA(半紙!$B$11:$B$310)),IF(872&lt;=COUNTA(半紙!$B$11:$B$310)+COUNTA(条幅!$B$11:$B$310)+COUNTA(条幅4分の1!$B$11:$B$310),INDEX(条幅4分の1!$C$11:$C$310,872-COUNTA(半紙!$B$11:$B$310)-COUNTA(条幅!$B$11:$B$310)),"")))=0,"",IF(872&lt;=COUNTA(半紙!$B$11:$B$310),INDEX(半紙!$C$11:$C$310,872),IF(872&lt;=COUNTA(半紙!$B$11:$B$310)+COUNTA(条幅!$B$11:$B$310),INDEX(条幅!$C$11:$C$310,872-COUNTA(半紙!$B$11:$B$310)),IF(872&lt;=COUNTA(半紙!$B$11:$B$310)+COUNTA(条幅!$B$11:$B$310)+COUNTA(条幅4分の1!$B$11:$B$310),INDEX(条幅4分の1!$C$11:$C$310,872-COUNTA(半紙!$B$11:$B$310)-COUNTA(条幅!$B$11:$B$310)),""))))</f>
        <v/>
      </c>
      <c r="D877" s="38" t="str">
        <f>IF(IF(872&lt;=COUNTA(半紙!$B$11:$B$310),INDEX(半紙!$D$11:$D$310,872),IF(872&lt;=COUNTA(半紙!$B$11:$B$310)+COUNTA(条幅!$B$11:$B$310),INDEX(条幅!$D$11:$D$310,872-COUNTA(半紙!$B$11:$B$310)),IF(872&lt;=COUNTA(半紙!$B$11:$B$310)+COUNTA(条幅!$B$11:$B$310)+COUNTA(条幅4分の1!$B$11:$B$310),INDEX(条幅4分の1!$D$11:$D$310,872-COUNTA(半紙!$B$11:$B$310)-COUNTA(条幅!$B$11:$B$310)),"")))=0,"",IF(872&lt;=COUNTA(半紙!$B$11:$B$310),INDEX(半紙!$D$11:$D$310,872),IF(872&lt;=COUNTA(半紙!$B$11:$B$310)+COUNTA(条幅!$B$11:$B$310),INDEX(条幅!$D$11:$D$310,872-COUNTA(半紙!$B$11:$B$310)),IF(872&lt;=COUNTA(半紙!$B$11:$B$310)+COUNTA(条幅!$B$11:$B$310)+COUNTA(条幅4分の1!$B$11:$B$310),INDEX(条幅4分の1!$D$11:$D$310,872-COUNTA(半紙!$B$11:$B$310)-COUNTA(条幅!$B$11:$B$310)),""))))</f>
        <v/>
      </c>
      <c r="E877" s="38" t="str">
        <f>IF(IF(872&lt;=COUNTA(半紙!$B$11:$B$310),INDEX(半紙!$E$11:$E$310,872),IF(872&lt;=COUNTA(半紙!$B$11:$B$310)+COUNTA(条幅!$B$11:$B$310),INDEX(条幅!$E$11:$E$310,872-COUNTA(半紙!$B$11:$B$310)),IF(872&lt;=COUNTA(半紙!$B$11:$B$310)+COUNTA(条幅!$B$11:$B$310)+COUNTA(条幅4分の1!$B$11:$B$310),INDEX(条幅4分の1!$E$11:$E$310,872-COUNTA(半紙!$B$11:$B$310)-COUNTA(条幅!$B$11:$B$310)),"")))=0,"",IF(872&lt;=COUNTA(半紙!$B$11:$B$310),INDEX(半紙!$E$11:$E$310,872),IF(872&lt;=COUNTA(半紙!$B$11:$B$310)+COUNTA(条幅!$B$11:$B$310),INDEX(条幅!$E$11:$E$310,872-COUNTA(半紙!$B$11:$B$310)),IF(872&lt;=COUNTA(半紙!$B$11:$B$310)+COUNTA(条幅!$B$11:$B$310)+COUNTA(条幅4分の1!$B$11:$B$310),INDEX(条幅4分の1!$E$11:$E$310,872-COUNTA(半紙!$B$11:$B$310)-COUNTA(条幅!$B$11:$B$310)),""))))</f>
        <v/>
      </c>
      <c r="F877" s="38" t="str">
        <f>IF(IF(872&lt;=COUNTA(半紙!$B$11:$B$310),INDEX(半紙!$F$11:$F$310,872),IF(872&lt;=COUNTA(半紙!$B$11:$B$310)+COUNTA(条幅!$B$11:$B$310),INDEX(条幅!$F$11:$F$310,872-COUNTA(半紙!$B$11:$B$310)),IF(872&lt;=COUNTA(半紙!$B$11:$B$310)+COUNTA(条幅!$B$11:$B$310)+COUNTA(条幅4分の1!$B$11:$B$310),INDEX(条幅4分の1!$F$11:$F$310,872-COUNTA(半紙!$B$11:$B$310)-COUNTA(条幅!$B$11:$B$310)),"")))=0,"",IF(872&lt;=COUNTA(半紙!$B$11:$B$310),INDEX(半紙!$F$11:$F$310,872),IF(872&lt;=COUNTA(半紙!$B$11:$B$310)+COUNTA(条幅!$B$11:$B$310),INDEX(条幅!$F$11:$F$310,872-COUNTA(半紙!$B$11:$B$310)),IF(872&lt;=COUNTA(半紙!$B$11:$B$310)+COUNTA(条幅!$B$11:$B$310)+COUNTA(条幅4分の1!$B$11:$B$310),INDEX(条幅4分の1!$F$11:$F$310,872-COUNTA(半紙!$B$11:$B$310)-COUNTA(条幅!$B$11:$B$310)),""))))</f>
        <v/>
      </c>
      <c r="G877" s="38" t="str">
        <f>IF(IF(872&lt;=COUNTA(半紙!$B$11:$B$310),INDEX(半紙!$G$11:$G$310,872),IF(872&lt;=COUNTA(半紙!$B$11:$B$310)+COUNTA(条幅!$B$11:$B$310),INDEX(条幅!$G$11:$G$310,872-COUNTA(半紙!$B$11:$B$310)),IF(872&lt;=COUNTA(半紙!$B$11:$B$310)+COUNTA(条幅!$B$11:$B$310)+COUNTA(条幅4分の1!$B$11:$B$310),INDEX(条幅4分の1!$G$11:$G$310,872-COUNTA(半紙!$B$11:$B$310)-COUNTA(条幅!$B$11:$B$310)),"")))=0,"",IF(872&lt;=COUNTA(半紙!$B$11:$B$310),INDEX(半紙!$G$11:$G$310,872),IF(872&lt;=COUNTA(半紙!$B$11:$B$310)+COUNTA(条幅!$B$11:$B$310),INDEX(条幅!$G$11:$G$310,872-COUNTA(半紙!$B$11:$B$310)),IF(872&lt;=COUNTA(半紙!$B$11:$B$310)+COUNTA(条幅!$B$11:$B$310)+COUNTA(条幅4分の1!$B$11:$B$310),INDEX(条幅4分の1!$G$11:$G$310,872-COUNTA(半紙!$B$11:$B$310)-COUNTA(条幅!$B$11:$B$310)),""))))</f>
        <v/>
      </c>
      <c r="H877" s="38" t="str">
        <f>IF(IF(872&lt;=COUNTA(半紙!$B$11:$B$310),INDEX(半紙!$H$11:$H$310,872),IF(872&lt;=COUNTA(半紙!$B$11:$B$310)+COUNTA(条幅!$B$11:$B$310),INDEX(条幅!$H$11:$H$310,872-COUNTA(半紙!$B$11:$B$310)),IF(872&lt;=COUNTA(半紙!$B$11:$B$310)+COUNTA(条幅!$B$11:$B$310)+COUNTA(条幅4分の1!$B$11:$B$310),INDEX(条幅4分の1!$H$11:$H$310,872-COUNTA(半紙!$B$11:$B$310)-COUNTA(条幅!$B$11:$B$310)),"")))=0,"",IF(872&lt;=COUNTA(半紙!$B$11:$B$310),INDEX(半紙!$H$11:$H$310,872),IF(872&lt;=COUNTA(半紙!$B$11:$B$310)+COUNTA(条幅!$B$11:$B$310),INDEX(条幅!$H$11:$H$310,872-COUNTA(半紙!$B$11:$B$310)),IF(872&lt;=COUNTA(半紙!$B$11:$B$310)+COUNTA(条幅!$B$11:$B$310)+COUNTA(条幅4分の1!$B$11:$B$310),INDEX(条幅4分の1!$H$11:$H$310,872-COUNTA(半紙!$B$11:$B$310)-COUNTA(条幅!$B$11:$B$310)),""))))</f>
        <v/>
      </c>
      <c r="I877" s="38" t="str">
        <f>IF(IF(872&lt;=COUNTA(半紙!$B$11:$B$310),INDEX(半紙!$I$11:$I$310,872),IF(872&lt;=COUNTA(半紙!$B$11:$B$310)+COUNTA(条幅!$B$11:$B$310),INDEX(条幅!$I$11:$I$310,872-COUNTA(半紙!$B$11:$B$310)),IF(872&lt;=COUNTA(半紙!$B$11:$B$310)+COUNTA(条幅!$B$11:$B$310)+COUNTA(条幅4分の1!$B$11:$B$310),INDEX(条幅4分の1!$I$11:$I$310,872-COUNTA(半紙!$B$11:$B$310)-COUNTA(条幅!$B$11:$B$310)),"")))=0,"",IF(872&lt;=COUNTA(半紙!$B$11:$B$310),INDEX(半紙!$I$11:$I$310,872),IF(872&lt;=COUNTA(半紙!$B$11:$B$310)+COUNTA(条幅!$B$11:$B$310),INDEX(条幅!$I$11:$I$310,872-COUNTA(半紙!$B$11:$B$310)),IF(872&lt;=COUNTA(半紙!$B$11:$B$310)+COUNTA(条幅!$B$11:$B$310)+COUNTA(条幅4分の1!$B$11:$B$310),INDEX(条幅4分の1!$I$11:$I$310,872-COUNTA(半紙!$B$11:$B$310)-COUNTA(条幅!$B$11:$B$310)),""))))</f>
        <v/>
      </c>
      <c r="J877" s="38" t="str">
        <f>IF(IF(872&lt;=COUNTA(半紙!$B$11:$B$310),INDEX(半紙!$J$11:$J$310,872),IF(872&lt;=COUNTA(半紙!$B$11:$B$310)+COUNTA(条幅!$B$11:$B$310),INDEX(条幅!$J$11:$J$310,872-COUNTA(半紙!$B$11:$B$310)),IF(872&lt;=COUNTA(半紙!$B$11:$B$310)+COUNTA(条幅!$B$11:$B$310)+COUNTA(条幅4分の1!$B$11:$B$310),INDEX(条幅4分の1!$J$11:$J$310,872-COUNTA(半紙!$B$11:$B$310)-COUNTA(条幅!$B$11:$B$310)),"")))=0,"",IF(872&lt;=COUNTA(半紙!$B$11:$B$310),INDEX(半紙!$J$11:$J$310,872),IF(872&lt;=COUNTA(半紙!$B$11:$B$310)+COUNTA(条幅!$B$11:$B$310),INDEX(条幅!$J$11:$J$310,872-COUNTA(半紙!$B$11:$B$310)),IF(872&lt;=COUNTA(半紙!$B$11:$B$310)+COUNTA(条幅!$B$11:$B$310)+COUNTA(条幅4分の1!$B$11:$B$310),INDEX(条幅4分の1!$J$11:$J$310,872-COUNTA(半紙!$B$11:$B$310)-COUNTA(条幅!$B$11:$B$310)),""))))</f>
        <v/>
      </c>
      <c r="K877" s="38" t="str">
        <f>IF(IF(872&lt;=COUNTA(半紙!$B$11:$B$310),INDEX(半紙!$K$11:$K$310,872),IF(872&lt;=COUNTA(半紙!$B$11:$B$310)+COUNTA(条幅!$B$11:$B$310),INDEX(条幅!$K$11:$K$310,872-COUNTA(半紙!$B$11:$B$310)),IF(872&lt;=COUNTA(半紙!$B$11:$B$310)+COUNTA(条幅!$B$11:$B$310)+COUNTA(条幅4分の1!$B$11:$B$310),INDEX(条幅4分の1!$K$11:$K$310,872-COUNTA(半紙!$B$11:$B$310)-COUNTA(条幅!$B$11:$B$310)),"")))=0,"",IF(872&lt;=COUNTA(半紙!$B$11:$B$310),INDEX(半紙!$K$11:$K$310,872),IF(872&lt;=COUNTA(半紙!$B$11:$B$310)+COUNTA(条幅!$B$11:$B$310),INDEX(条幅!$K$11:$K$310,872-COUNTA(半紙!$B$11:$B$310)),IF(872&lt;=COUNTA(半紙!$B$11:$B$310)+COUNTA(条幅!$B$11:$B$310)+COUNTA(条幅4分の1!$B$11:$B$310),INDEX(条幅4分の1!$K$11:$K$310,872-COUNTA(半紙!$B$11:$B$310)-COUNTA(条幅!$B$11:$B$310)),""))))</f>
        <v/>
      </c>
      <c r="L877" s="48" t="str">
        <f>IF($B877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872))</f>
        <v/>
      </c>
    </row>
    <row r="878" spans="1:12" ht="15" customHeight="1">
      <c r="A878" s="37" t="str">
        <f>IF(873&lt;=COUNTA(半紙!$B$11:$B$310),"半紙",IF(873&lt;=COUNTA(半紙!$B$11:$B$310)+COUNTA(条幅!$B$11:$B$310),"条幅(半切)",IF(873&lt;=COUNTA(半紙!$B$11:$B$310)+COUNTA(条幅!$B$11:$B$310)+COUNTA(条幅4分の1!$B$11:$B$310),"条幅(1/4)","")))</f>
        <v/>
      </c>
      <c r="B878" s="38" t="str">
        <f>IF(IF(873&lt;=COUNTA(半紙!$B$11:$B$310),INDEX(半紙!$B$11:$B$310,873),IF(873&lt;=COUNTA(半紙!$B$11:$B$310)+COUNTA(条幅!$B$11:$B$310),INDEX(条幅!$B$11:$B$310,873-COUNTA(半紙!$B$11:$B$310)),IF(873&lt;=COUNTA(半紙!$B$11:$B$310)+COUNTA(条幅!$B$11:$B$310)+COUNTA(条幅4分の1!$B$11:$B$310),INDEX(条幅4分の1!$B$11:$B$310,873-COUNTA(半紙!$B$11:$B$310)-COUNTA(条幅!$B$11:$B$310)),"")))=0,"",IF(873&lt;=COUNTA(半紙!$B$11:$B$310),INDEX(半紙!$B$11:$B$310,873),IF(873&lt;=COUNTA(半紙!$B$11:$B$310)+COUNTA(条幅!$B$11:$B$310),INDEX(条幅!$B$11:$B$310,873-COUNTA(半紙!$B$11:$B$310)),IF(873&lt;=COUNTA(半紙!$B$11:$B$310)+COUNTA(条幅!$B$11:$B$310)+COUNTA(条幅4分の1!$B$11:$B$310),INDEX(条幅4分の1!$B$11:$B$310,873-COUNTA(半紙!$B$11:$B$310)-COUNTA(条幅!$B$11:$B$310)),""))))</f>
        <v/>
      </c>
      <c r="C878" s="38" t="str">
        <f>IF(IF(873&lt;=COUNTA(半紙!$B$11:$B$310),INDEX(半紙!$C$11:$C$310,873),IF(873&lt;=COUNTA(半紙!$B$11:$B$310)+COUNTA(条幅!$B$11:$B$310),INDEX(条幅!$C$11:$C$310,873-COUNTA(半紙!$B$11:$B$310)),IF(873&lt;=COUNTA(半紙!$B$11:$B$310)+COUNTA(条幅!$B$11:$B$310)+COUNTA(条幅4分の1!$B$11:$B$310),INDEX(条幅4分の1!$C$11:$C$310,873-COUNTA(半紙!$B$11:$B$310)-COUNTA(条幅!$B$11:$B$310)),"")))=0,"",IF(873&lt;=COUNTA(半紙!$B$11:$B$310),INDEX(半紙!$C$11:$C$310,873),IF(873&lt;=COUNTA(半紙!$B$11:$B$310)+COUNTA(条幅!$B$11:$B$310),INDEX(条幅!$C$11:$C$310,873-COUNTA(半紙!$B$11:$B$310)),IF(873&lt;=COUNTA(半紙!$B$11:$B$310)+COUNTA(条幅!$B$11:$B$310)+COUNTA(条幅4分の1!$B$11:$B$310),INDEX(条幅4分の1!$C$11:$C$310,873-COUNTA(半紙!$B$11:$B$310)-COUNTA(条幅!$B$11:$B$310)),""))))</f>
        <v/>
      </c>
      <c r="D878" s="38" t="str">
        <f>IF(IF(873&lt;=COUNTA(半紙!$B$11:$B$310),INDEX(半紙!$D$11:$D$310,873),IF(873&lt;=COUNTA(半紙!$B$11:$B$310)+COUNTA(条幅!$B$11:$B$310),INDEX(条幅!$D$11:$D$310,873-COUNTA(半紙!$B$11:$B$310)),IF(873&lt;=COUNTA(半紙!$B$11:$B$310)+COUNTA(条幅!$B$11:$B$310)+COUNTA(条幅4分の1!$B$11:$B$310),INDEX(条幅4分の1!$D$11:$D$310,873-COUNTA(半紙!$B$11:$B$310)-COUNTA(条幅!$B$11:$B$310)),"")))=0,"",IF(873&lt;=COUNTA(半紙!$B$11:$B$310),INDEX(半紙!$D$11:$D$310,873),IF(873&lt;=COUNTA(半紙!$B$11:$B$310)+COUNTA(条幅!$B$11:$B$310),INDEX(条幅!$D$11:$D$310,873-COUNTA(半紙!$B$11:$B$310)),IF(873&lt;=COUNTA(半紙!$B$11:$B$310)+COUNTA(条幅!$B$11:$B$310)+COUNTA(条幅4分の1!$B$11:$B$310),INDEX(条幅4分の1!$D$11:$D$310,873-COUNTA(半紙!$B$11:$B$310)-COUNTA(条幅!$B$11:$B$310)),""))))</f>
        <v/>
      </c>
      <c r="E878" s="38" t="str">
        <f>IF(IF(873&lt;=COUNTA(半紙!$B$11:$B$310),INDEX(半紙!$E$11:$E$310,873),IF(873&lt;=COUNTA(半紙!$B$11:$B$310)+COUNTA(条幅!$B$11:$B$310),INDEX(条幅!$E$11:$E$310,873-COUNTA(半紙!$B$11:$B$310)),IF(873&lt;=COUNTA(半紙!$B$11:$B$310)+COUNTA(条幅!$B$11:$B$310)+COUNTA(条幅4分の1!$B$11:$B$310),INDEX(条幅4分の1!$E$11:$E$310,873-COUNTA(半紙!$B$11:$B$310)-COUNTA(条幅!$B$11:$B$310)),"")))=0,"",IF(873&lt;=COUNTA(半紙!$B$11:$B$310),INDEX(半紙!$E$11:$E$310,873),IF(873&lt;=COUNTA(半紙!$B$11:$B$310)+COUNTA(条幅!$B$11:$B$310),INDEX(条幅!$E$11:$E$310,873-COUNTA(半紙!$B$11:$B$310)),IF(873&lt;=COUNTA(半紙!$B$11:$B$310)+COUNTA(条幅!$B$11:$B$310)+COUNTA(条幅4分の1!$B$11:$B$310),INDEX(条幅4分の1!$E$11:$E$310,873-COUNTA(半紙!$B$11:$B$310)-COUNTA(条幅!$B$11:$B$310)),""))))</f>
        <v/>
      </c>
      <c r="F878" s="38" t="str">
        <f>IF(IF(873&lt;=COUNTA(半紙!$B$11:$B$310),INDEX(半紙!$F$11:$F$310,873),IF(873&lt;=COUNTA(半紙!$B$11:$B$310)+COUNTA(条幅!$B$11:$B$310),INDEX(条幅!$F$11:$F$310,873-COUNTA(半紙!$B$11:$B$310)),IF(873&lt;=COUNTA(半紙!$B$11:$B$310)+COUNTA(条幅!$B$11:$B$310)+COUNTA(条幅4分の1!$B$11:$B$310),INDEX(条幅4分の1!$F$11:$F$310,873-COUNTA(半紙!$B$11:$B$310)-COUNTA(条幅!$B$11:$B$310)),"")))=0,"",IF(873&lt;=COUNTA(半紙!$B$11:$B$310),INDEX(半紙!$F$11:$F$310,873),IF(873&lt;=COUNTA(半紙!$B$11:$B$310)+COUNTA(条幅!$B$11:$B$310),INDEX(条幅!$F$11:$F$310,873-COUNTA(半紙!$B$11:$B$310)),IF(873&lt;=COUNTA(半紙!$B$11:$B$310)+COUNTA(条幅!$B$11:$B$310)+COUNTA(条幅4分の1!$B$11:$B$310),INDEX(条幅4分の1!$F$11:$F$310,873-COUNTA(半紙!$B$11:$B$310)-COUNTA(条幅!$B$11:$B$310)),""))))</f>
        <v/>
      </c>
      <c r="G878" s="38" t="str">
        <f>IF(IF(873&lt;=COUNTA(半紙!$B$11:$B$310),INDEX(半紙!$G$11:$G$310,873),IF(873&lt;=COUNTA(半紙!$B$11:$B$310)+COUNTA(条幅!$B$11:$B$310),INDEX(条幅!$G$11:$G$310,873-COUNTA(半紙!$B$11:$B$310)),IF(873&lt;=COUNTA(半紙!$B$11:$B$310)+COUNTA(条幅!$B$11:$B$310)+COUNTA(条幅4分の1!$B$11:$B$310),INDEX(条幅4分の1!$G$11:$G$310,873-COUNTA(半紙!$B$11:$B$310)-COUNTA(条幅!$B$11:$B$310)),"")))=0,"",IF(873&lt;=COUNTA(半紙!$B$11:$B$310),INDEX(半紙!$G$11:$G$310,873),IF(873&lt;=COUNTA(半紙!$B$11:$B$310)+COUNTA(条幅!$B$11:$B$310),INDEX(条幅!$G$11:$G$310,873-COUNTA(半紙!$B$11:$B$310)),IF(873&lt;=COUNTA(半紙!$B$11:$B$310)+COUNTA(条幅!$B$11:$B$310)+COUNTA(条幅4分の1!$B$11:$B$310),INDEX(条幅4分の1!$G$11:$G$310,873-COUNTA(半紙!$B$11:$B$310)-COUNTA(条幅!$B$11:$B$310)),""))))</f>
        <v/>
      </c>
      <c r="H878" s="38" t="str">
        <f>IF(IF(873&lt;=COUNTA(半紙!$B$11:$B$310),INDEX(半紙!$H$11:$H$310,873),IF(873&lt;=COUNTA(半紙!$B$11:$B$310)+COUNTA(条幅!$B$11:$B$310),INDEX(条幅!$H$11:$H$310,873-COUNTA(半紙!$B$11:$B$310)),IF(873&lt;=COUNTA(半紙!$B$11:$B$310)+COUNTA(条幅!$B$11:$B$310)+COUNTA(条幅4分の1!$B$11:$B$310),INDEX(条幅4分の1!$H$11:$H$310,873-COUNTA(半紙!$B$11:$B$310)-COUNTA(条幅!$B$11:$B$310)),"")))=0,"",IF(873&lt;=COUNTA(半紙!$B$11:$B$310),INDEX(半紙!$H$11:$H$310,873),IF(873&lt;=COUNTA(半紙!$B$11:$B$310)+COUNTA(条幅!$B$11:$B$310),INDEX(条幅!$H$11:$H$310,873-COUNTA(半紙!$B$11:$B$310)),IF(873&lt;=COUNTA(半紙!$B$11:$B$310)+COUNTA(条幅!$B$11:$B$310)+COUNTA(条幅4分の1!$B$11:$B$310),INDEX(条幅4分の1!$H$11:$H$310,873-COUNTA(半紙!$B$11:$B$310)-COUNTA(条幅!$B$11:$B$310)),""))))</f>
        <v/>
      </c>
      <c r="I878" s="38" t="str">
        <f>IF(IF(873&lt;=COUNTA(半紙!$B$11:$B$310),INDEX(半紙!$I$11:$I$310,873),IF(873&lt;=COUNTA(半紙!$B$11:$B$310)+COUNTA(条幅!$B$11:$B$310),INDEX(条幅!$I$11:$I$310,873-COUNTA(半紙!$B$11:$B$310)),IF(873&lt;=COUNTA(半紙!$B$11:$B$310)+COUNTA(条幅!$B$11:$B$310)+COUNTA(条幅4分の1!$B$11:$B$310),INDEX(条幅4分の1!$I$11:$I$310,873-COUNTA(半紙!$B$11:$B$310)-COUNTA(条幅!$B$11:$B$310)),"")))=0,"",IF(873&lt;=COUNTA(半紙!$B$11:$B$310),INDEX(半紙!$I$11:$I$310,873),IF(873&lt;=COUNTA(半紙!$B$11:$B$310)+COUNTA(条幅!$B$11:$B$310),INDEX(条幅!$I$11:$I$310,873-COUNTA(半紙!$B$11:$B$310)),IF(873&lt;=COUNTA(半紙!$B$11:$B$310)+COUNTA(条幅!$B$11:$B$310)+COUNTA(条幅4分の1!$B$11:$B$310),INDEX(条幅4分の1!$I$11:$I$310,873-COUNTA(半紙!$B$11:$B$310)-COUNTA(条幅!$B$11:$B$310)),""))))</f>
        <v/>
      </c>
      <c r="J878" s="38" t="str">
        <f>IF(IF(873&lt;=COUNTA(半紙!$B$11:$B$310),INDEX(半紙!$J$11:$J$310,873),IF(873&lt;=COUNTA(半紙!$B$11:$B$310)+COUNTA(条幅!$B$11:$B$310),INDEX(条幅!$J$11:$J$310,873-COUNTA(半紙!$B$11:$B$310)),IF(873&lt;=COUNTA(半紙!$B$11:$B$310)+COUNTA(条幅!$B$11:$B$310)+COUNTA(条幅4分の1!$B$11:$B$310),INDEX(条幅4分の1!$J$11:$J$310,873-COUNTA(半紙!$B$11:$B$310)-COUNTA(条幅!$B$11:$B$310)),"")))=0,"",IF(873&lt;=COUNTA(半紙!$B$11:$B$310),INDEX(半紙!$J$11:$J$310,873),IF(873&lt;=COUNTA(半紙!$B$11:$B$310)+COUNTA(条幅!$B$11:$B$310),INDEX(条幅!$J$11:$J$310,873-COUNTA(半紙!$B$11:$B$310)),IF(873&lt;=COUNTA(半紙!$B$11:$B$310)+COUNTA(条幅!$B$11:$B$310)+COUNTA(条幅4分の1!$B$11:$B$310),INDEX(条幅4分の1!$J$11:$J$310,873-COUNTA(半紙!$B$11:$B$310)-COUNTA(条幅!$B$11:$B$310)),""))))</f>
        <v/>
      </c>
      <c r="K878" s="38" t="str">
        <f>IF(IF(873&lt;=COUNTA(半紙!$B$11:$B$310),INDEX(半紙!$K$11:$K$310,873),IF(873&lt;=COUNTA(半紙!$B$11:$B$310)+COUNTA(条幅!$B$11:$B$310),INDEX(条幅!$K$11:$K$310,873-COUNTA(半紙!$B$11:$B$310)),IF(873&lt;=COUNTA(半紙!$B$11:$B$310)+COUNTA(条幅!$B$11:$B$310)+COUNTA(条幅4分の1!$B$11:$B$310),INDEX(条幅4分の1!$K$11:$K$310,873-COUNTA(半紙!$B$11:$B$310)-COUNTA(条幅!$B$11:$B$310)),"")))=0,"",IF(873&lt;=COUNTA(半紙!$B$11:$B$310),INDEX(半紙!$K$11:$K$310,873),IF(873&lt;=COUNTA(半紙!$B$11:$B$310)+COUNTA(条幅!$B$11:$B$310),INDEX(条幅!$K$11:$K$310,873-COUNTA(半紙!$B$11:$B$310)),IF(873&lt;=COUNTA(半紙!$B$11:$B$310)+COUNTA(条幅!$B$11:$B$310)+COUNTA(条幅4分の1!$B$11:$B$310),INDEX(条幅4分の1!$K$11:$K$310,873-COUNTA(半紙!$B$11:$B$310)-COUNTA(条幅!$B$11:$B$310)),""))))</f>
        <v/>
      </c>
      <c r="L878" s="48" t="str">
        <f>IF($B878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873))</f>
        <v/>
      </c>
    </row>
    <row r="879" spans="1:12" ht="15" customHeight="1">
      <c r="A879" s="37" t="str">
        <f>IF(874&lt;=COUNTA(半紙!$B$11:$B$310),"半紙",IF(874&lt;=COUNTA(半紙!$B$11:$B$310)+COUNTA(条幅!$B$11:$B$310),"条幅(半切)",IF(874&lt;=COUNTA(半紙!$B$11:$B$310)+COUNTA(条幅!$B$11:$B$310)+COUNTA(条幅4分の1!$B$11:$B$310),"条幅(1/4)","")))</f>
        <v/>
      </c>
      <c r="B879" s="38" t="str">
        <f>IF(IF(874&lt;=COUNTA(半紙!$B$11:$B$310),INDEX(半紙!$B$11:$B$310,874),IF(874&lt;=COUNTA(半紙!$B$11:$B$310)+COUNTA(条幅!$B$11:$B$310),INDEX(条幅!$B$11:$B$310,874-COUNTA(半紙!$B$11:$B$310)),IF(874&lt;=COUNTA(半紙!$B$11:$B$310)+COUNTA(条幅!$B$11:$B$310)+COUNTA(条幅4分の1!$B$11:$B$310),INDEX(条幅4分の1!$B$11:$B$310,874-COUNTA(半紙!$B$11:$B$310)-COUNTA(条幅!$B$11:$B$310)),"")))=0,"",IF(874&lt;=COUNTA(半紙!$B$11:$B$310),INDEX(半紙!$B$11:$B$310,874),IF(874&lt;=COUNTA(半紙!$B$11:$B$310)+COUNTA(条幅!$B$11:$B$310),INDEX(条幅!$B$11:$B$310,874-COUNTA(半紙!$B$11:$B$310)),IF(874&lt;=COUNTA(半紙!$B$11:$B$310)+COUNTA(条幅!$B$11:$B$310)+COUNTA(条幅4分の1!$B$11:$B$310),INDEX(条幅4分の1!$B$11:$B$310,874-COUNTA(半紙!$B$11:$B$310)-COUNTA(条幅!$B$11:$B$310)),""))))</f>
        <v/>
      </c>
      <c r="C879" s="38" t="str">
        <f>IF(IF(874&lt;=COUNTA(半紙!$B$11:$B$310),INDEX(半紙!$C$11:$C$310,874),IF(874&lt;=COUNTA(半紙!$B$11:$B$310)+COUNTA(条幅!$B$11:$B$310),INDEX(条幅!$C$11:$C$310,874-COUNTA(半紙!$B$11:$B$310)),IF(874&lt;=COUNTA(半紙!$B$11:$B$310)+COUNTA(条幅!$B$11:$B$310)+COUNTA(条幅4分の1!$B$11:$B$310),INDEX(条幅4分の1!$C$11:$C$310,874-COUNTA(半紙!$B$11:$B$310)-COUNTA(条幅!$B$11:$B$310)),"")))=0,"",IF(874&lt;=COUNTA(半紙!$B$11:$B$310),INDEX(半紙!$C$11:$C$310,874),IF(874&lt;=COUNTA(半紙!$B$11:$B$310)+COUNTA(条幅!$B$11:$B$310),INDEX(条幅!$C$11:$C$310,874-COUNTA(半紙!$B$11:$B$310)),IF(874&lt;=COUNTA(半紙!$B$11:$B$310)+COUNTA(条幅!$B$11:$B$310)+COUNTA(条幅4分の1!$B$11:$B$310),INDEX(条幅4分の1!$C$11:$C$310,874-COUNTA(半紙!$B$11:$B$310)-COUNTA(条幅!$B$11:$B$310)),""))))</f>
        <v/>
      </c>
      <c r="D879" s="38" t="str">
        <f>IF(IF(874&lt;=COUNTA(半紙!$B$11:$B$310),INDEX(半紙!$D$11:$D$310,874),IF(874&lt;=COUNTA(半紙!$B$11:$B$310)+COUNTA(条幅!$B$11:$B$310),INDEX(条幅!$D$11:$D$310,874-COUNTA(半紙!$B$11:$B$310)),IF(874&lt;=COUNTA(半紙!$B$11:$B$310)+COUNTA(条幅!$B$11:$B$310)+COUNTA(条幅4分の1!$B$11:$B$310),INDEX(条幅4分の1!$D$11:$D$310,874-COUNTA(半紙!$B$11:$B$310)-COUNTA(条幅!$B$11:$B$310)),"")))=0,"",IF(874&lt;=COUNTA(半紙!$B$11:$B$310),INDEX(半紙!$D$11:$D$310,874),IF(874&lt;=COUNTA(半紙!$B$11:$B$310)+COUNTA(条幅!$B$11:$B$310),INDEX(条幅!$D$11:$D$310,874-COUNTA(半紙!$B$11:$B$310)),IF(874&lt;=COUNTA(半紙!$B$11:$B$310)+COUNTA(条幅!$B$11:$B$310)+COUNTA(条幅4分の1!$B$11:$B$310),INDEX(条幅4分の1!$D$11:$D$310,874-COUNTA(半紙!$B$11:$B$310)-COUNTA(条幅!$B$11:$B$310)),""))))</f>
        <v/>
      </c>
      <c r="E879" s="38" t="str">
        <f>IF(IF(874&lt;=COUNTA(半紙!$B$11:$B$310),INDEX(半紙!$E$11:$E$310,874),IF(874&lt;=COUNTA(半紙!$B$11:$B$310)+COUNTA(条幅!$B$11:$B$310),INDEX(条幅!$E$11:$E$310,874-COUNTA(半紙!$B$11:$B$310)),IF(874&lt;=COUNTA(半紙!$B$11:$B$310)+COUNTA(条幅!$B$11:$B$310)+COUNTA(条幅4分の1!$B$11:$B$310),INDEX(条幅4分の1!$E$11:$E$310,874-COUNTA(半紙!$B$11:$B$310)-COUNTA(条幅!$B$11:$B$310)),"")))=0,"",IF(874&lt;=COUNTA(半紙!$B$11:$B$310),INDEX(半紙!$E$11:$E$310,874),IF(874&lt;=COUNTA(半紙!$B$11:$B$310)+COUNTA(条幅!$B$11:$B$310),INDEX(条幅!$E$11:$E$310,874-COUNTA(半紙!$B$11:$B$310)),IF(874&lt;=COUNTA(半紙!$B$11:$B$310)+COUNTA(条幅!$B$11:$B$310)+COUNTA(条幅4分の1!$B$11:$B$310),INDEX(条幅4分の1!$E$11:$E$310,874-COUNTA(半紙!$B$11:$B$310)-COUNTA(条幅!$B$11:$B$310)),""))))</f>
        <v/>
      </c>
      <c r="F879" s="38" t="str">
        <f>IF(IF(874&lt;=COUNTA(半紙!$B$11:$B$310),INDEX(半紙!$F$11:$F$310,874),IF(874&lt;=COUNTA(半紙!$B$11:$B$310)+COUNTA(条幅!$B$11:$B$310),INDEX(条幅!$F$11:$F$310,874-COUNTA(半紙!$B$11:$B$310)),IF(874&lt;=COUNTA(半紙!$B$11:$B$310)+COUNTA(条幅!$B$11:$B$310)+COUNTA(条幅4分の1!$B$11:$B$310),INDEX(条幅4分の1!$F$11:$F$310,874-COUNTA(半紙!$B$11:$B$310)-COUNTA(条幅!$B$11:$B$310)),"")))=0,"",IF(874&lt;=COUNTA(半紙!$B$11:$B$310),INDEX(半紙!$F$11:$F$310,874),IF(874&lt;=COUNTA(半紙!$B$11:$B$310)+COUNTA(条幅!$B$11:$B$310),INDEX(条幅!$F$11:$F$310,874-COUNTA(半紙!$B$11:$B$310)),IF(874&lt;=COUNTA(半紙!$B$11:$B$310)+COUNTA(条幅!$B$11:$B$310)+COUNTA(条幅4分の1!$B$11:$B$310),INDEX(条幅4分の1!$F$11:$F$310,874-COUNTA(半紙!$B$11:$B$310)-COUNTA(条幅!$B$11:$B$310)),""))))</f>
        <v/>
      </c>
      <c r="G879" s="38" t="str">
        <f>IF(IF(874&lt;=COUNTA(半紙!$B$11:$B$310),INDEX(半紙!$G$11:$G$310,874),IF(874&lt;=COUNTA(半紙!$B$11:$B$310)+COUNTA(条幅!$B$11:$B$310),INDEX(条幅!$G$11:$G$310,874-COUNTA(半紙!$B$11:$B$310)),IF(874&lt;=COUNTA(半紙!$B$11:$B$310)+COUNTA(条幅!$B$11:$B$310)+COUNTA(条幅4分の1!$B$11:$B$310),INDEX(条幅4分の1!$G$11:$G$310,874-COUNTA(半紙!$B$11:$B$310)-COUNTA(条幅!$B$11:$B$310)),"")))=0,"",IF(874&lt;=COUNTA(半紙!$B$11:$B$310),INDEX(半紙!$G$11:$G$310,874),IF(874&lt;=COUNTA(半紙!$B$11:$B$310)+COUNTA(条幅!$B$11:$B$310),INDEX(条幅!$G$11:$G$310,874-COUNTA(半紙!$B$11:$B$310)),IF(874&lt;=COUNTA(半紙!$B$11:$B$310)+COUNTA(条幅!$B$11:$B$310)+COUNTA(条幅4分の1!$B$11:$B$310),INDEX(条幅4分の1!$G$11:$G$310,874-COUNTA(半紙!$B$11:$B$310)-COUNTA(条幅!$B$11:$B$310)),""))))</f>
        <v/>
      </c>
      <c r="H879" s="38" t="str">
        <f>IF(IF(874&lt;=COUNTA(半紙!$B$11:$B$310),INDEX(半紙!$H$11:$H$310,874),IF(874&lt;=COUNTA(半紙!$B$11:$B$310)+COUNTA(条幅!$B$11:$B$310),INDEX(条幅!$H$11:$H$310,874-COUNTA(半紙!$B$11:$B$310)),IF(874&lt;=COUNTA(半紙!$B$11:$B$310)+COUNTA(条幅!$B$11:$B$310)+COUNTA(条幅4分の1!$B$11:$B$310),INDEX(条幅4分の1!$H$11:$H$310,874-COUNTA(半紙!$B$11:$B$310)-COUNTA(条幅!$B$11:$B$310)),"")))=0,"",IF(874&lt;=COUNTA(半紙!$B$11:$B$310),INDEX(半紙!$H$11:$H$310,874),IF(874&lt;=COUNTA(半紙!$B$11:$B$310)+COUNTA(条幅!$B$11:$B$310),INDEX(条幅!$H$11:$H$310,874-COUNTA(半紙!$B$11:$B$310)),IF(874&lt;=COUNTA(半紙!$B$11:$B$310)+COUNTA(条幅!$B$11:$B$310)+COUNTA(条幅4分の1!$B$11:$B$310),INDEX(条幅4分の1!$H$11:$H$310,874-COUNTA(半紙!$B$11:$B$310)-COUNTA(条幅!$B$11:$B$310)),""))))</f>
        <v/>
      </c>
      <c r="I879" s="38" t="str">
        <f>IF(IF(874&lt;=COUNTA(半紙!$B$11:$B$310),INDEX(半紙!$I$11:$I$310,874),IF(874&lt;=COUNTA(半紙!$B$11:$B$310)+COUNTA(条幅!$B$11:$B$310),INDEX(条幅!$I$11:$I$310,874-COUNTA(半紙!$B$11:$B$310)),IF(874&lt;=COUNTA(半紙!$B$11:$B$310)+COUNTA(条幅!$B$11:$B$310)+COUNTA(条幅4分の1!$B$11:$B$310),INDEX(条幅4分の1!$I$11:$I$310,874-COUNTA(半紙!$B$11:$B$310)-COUNTA(条幅!$B$11:$B$310)),"")))=0,"",IF(874&lt;=COUNTA(半紙!$B$11:$B$310),INDEX(半紙!$I$11:$I$310,874),IF(874&lt;=COUNTA(半紙!$B$11:$B$310)+COUNTA(条幅!$B$11:$B$310),INDEX(条幅!$I$11:$I$310,874-COUNTA(半紙!$B$11:$B$310)),IF(874&lt;=COUNTA(半紙!$B$11:$B$310)+COUNTA(条幅!$B$11:$B$310)+COUNTA(条幅4分の1!$B$11:$B$310),INDEX(条幅4分の1!$I$11:$I$310,874-COUNTA(半紙!$B$11:$B$310)-COUNTA(条幅!$B$11:$B$310)),""))))</f>
        <v/>
      </c>
      <c r="J879" s="38" t="str">
        <f>IF(IF(874&lt;=COUNTA(半紙!$B$11:$B$310),INDEX(半紙!$J$11:$J$310,874),IF(874&lt;=COUNTA(半紙!$B$11:$B$310)+COUNTA(条幅!$B$11:$B$310),INDEX(条幅!$J$11:$J$310,874-COUNTA(半紙!$B$11:$B$310)),IF(874&lt;=COUNTA(半紙!$B$11:$B$310)+COUNTA(条幅!$B$11:$B$310)+COUNTA(条幅4分の1!$B$11:$B$310),INDEX(条幅4分の1!$J$11:$J$310,874-COUNTA(半紙!$B$11:$B$310)-COUNTA(条幅!$B$11:$B$310)),"")))=0,"",IF(874&lt;=COUNTA(半紙!$B$11:$B$310),INDEX(半紙!$J$11:$J$310,874),IF(874&lt;=COUNTA(半紙!$B$11:$B$310)+COUNTA(条幅!$B$11:$B$310),INDEX(条幅!$J$11:$J$310,874-COUNTA(半紙!$B$11:$B$310)),IF(874&lt;=COUNTA(半紙!$B$11:$B$310)+COUNTA(条幅!$B$11:$B$310)+COUNTA(条幅4分の1!$B$11:$B$310),INDEX(条幅4分の1!$J$11:$J$310,874-COUNTA(半紙!$B$11:$B$310)-COUNTA(条幅!$B$11:$B$310)),""))))</f>
        <v/>
      </c>
      <c r="K879" s="38" t="str">
        <f>IF(IF(874&lt;=COUNTA(半紙!$B$11:$B$310),INDEX(半紙!$K$11:$K$310,874),IF(874&lt;=COUNTA(半紙!$B$11:$B$310)+COUNTA(条幅!$B$11:$B$310),INDEX(条幅!$K$11:$K$310,874-COUNTA(半紙!$B$11:$B$310)),IF(874&lt;=COUNTA(半紙!$B$11:$B$310)+COUNTA(条幅!$B$11:$B$310)+COUNTA(条幅4分の1!$B$11:$B$310),INDEX(条幅4分の1!$K$11:$K$310,874-COUNTA(半紙!$B$11:$B$310)-COUNTA(条幅!$B$11:$B$310)),"")))=0,"",IF(874&lt;=COUNTA(半紙!$B$11:$B$310),INDEX(半紙!$K$11:$K$310,874),IF(874&lt;=COUNTA(半紙!$B$11:$B$310)+COUNTA(条幅!$B$11:$B$310),INDEX(条幅!$K$11:$K$310,874-COUNTA(半紙!$B$11:$B$310)),IF(874&lt;=COUNTA(半紙!$B$11:$B$310)+COUNTA(条幅!$B$11:$B$310)+COUNTA(条幅4分の1!$B$11:$B$310),INDEX(条幅4分の1!$K$11:$K$310,874-COUNTA(半紙!$B$11:$B$310)-COUNTA(条幅!$B$11:$B$310)),""))))</f>
        <v/>
      </c>
      <c r="L879" s="48" t="str">
        <f>IF($B879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874))</f>
        <v/>
      </c>
    </row>
    <row r="880" spans="1:12" ht="15" customHeight="1">
      <c r="A880" s="37" t="str">
        <f>IF(875&lt;=COUNTA(半紙!$B$11:$B$310),"半紙",IF(875&lt;=COUNTA(半紙!$B$11:$B$310)+COUNTA(条幅!$B$11:$B$310),"条幅(半切)",IF(875&lt;=COUNTA(半紙!$B$11:$B$310)+COUNTA(条幅!$B$11:$B$310)+COUNTA(条幅4分の1!$B$11:$B$310),"条幅(1/4)","")))</f>
        <v/>
      </c>
      <c r="B880" s="38" t="str">
        <f>IF(IF(875&lt;=COUNTA(半紙!$B$11:$B$310),INDEX(半紙!$B$11:$B$310,875),IF(875&lt;=COUNTA(半紙!$B$11:$B$310)+COUNTA(条幅!$B$11:$B$310),INDEX(条幅!$B$11:$B$310,875-COUNTA(半紙!$B$11:$B$310)),IF(875&lt;=COUNTA(半紙!$B$11:$B$310)+COUNTA(条幅!$B$11:$B$310)+COUNTA(条幅4分の1!$B$11:$B$310),INDEX(条幅4分の1!$B$11:$B$310,875-COUNTA(半紙!$B$11:$B$310)-COUNTA(条幅!$B$11:$B$310)),"")))=0,"",IF(875&lt;=COUNTA(半紙!$B$11:$B$310),INDEX(半紙!$B$11:$B$310,875),IF(875&lt;=COUNTA(半紙!$B$11:$B$310)+COUNTA(条幅!$B$11:$B$310),INDEX(条幅!$B$11:$B$310,875-COUNTA(半紙!$B$11:$B$310)),IF(875&lt;=COUNTA(半紙!$B$11:$B$310)+COUNTA(条幅!$B$11:$B$310)+COUNTA(条幅4分の1!$B$11:$B$310),INDEX(条幅4分の1!$B$11:$B$310,875-COUNTA(半紙!$B$11:$B$310)-COUNTA(条幅!$B$11:$B$310)),""))))</f>
        <v/>
      </c>
      <c r="C880" s="38" t="str">
        <f>IF(IF(875&lt;=COUNTA(半紙!$B$11:$B$310),INDEX(半紙!$C$11:$C$310,875),IF(875&lt;=COUNTA(半紙!$B$11:$B$310)+COUNTA(条幅!$B$11:$B$310),INDEX(条幅!$C$11:$C$310,875-COUNTA(半紙!$B$11:$B$310)),IF(875&lt;=COUNTA(半紙!$B$11:$B$310)+COUNTA(条幅!$B$11:$B$310)+COUNTA(条幅4分の1!$B$11:$B$310),INDEX(条幅4分の1!$C$11:$C$310,875-COUNTA(半紙!$B$11:$B$310)-COUNTA(条幅!$B$11:$B$310)),"")))=0,"",IF(875&lt;=COUNTA(半紙!$B$11:$B$310),INDEX(半紙!$C$11:$C$310,875),IF(875&lt;=COUNTA(半紙!$B$11:$B$310)+COUNTA(条幅!$B$11:$B$310),INDEX(条幅!$C$11:$C$310,875-COUNTA(半紙!$B$11:$B$310)),IF(875&lt;=COUNTA(半紙!$B$11:$B$310)+COUNTA(条幅!$B$11:$B$310)+COUNTA(条幅4分の1!$B$11:$B$310),INDEX(条幅4分の1!$C$11:$C$310,875-COUNTA(半紙!$B$11:$B$310)-COUNTA(条幅!$B$11:$B$310)),""))))</f>
        <v/>
      </c>
      <c r="D880" s="38" t="str">
        <f>IF(IF(875&lt;=COUNTA(半紙!$B$11:$B$310),INDEX(半紙!$D$11:$D$310,875),IF(875&lt;=COUNTA(半紙!$B$11:$B$310)+COUNTA(条幅!$B$11:$B$310),INDEX(条幅!$D$11:$D$310,875-COUNTA(半紙!$B$11:$B$310)),IF(875&lt;=COUNTA(半紙!$B$11:$B$310)+COUNTA(条幅!$B$11:$B$310)+COUNTA(条幅4分の1!$B$11:$B$310),INDEX(条幅4分の1!$D$11:$D$310,875-COUNTA(半紙!$B$11:$B$310)-COUNTA(条幅!$B$11:$B$310)),"")))=0,"",IF(875&lt;=COUNTA(半紙!$B$11:$B$310),INDEX(半紙!$D$11:$D$310,875),IF(875&lt;=COUNTA(半紙!$B$11:$B$310)+COUNTA(条幅!$B$11:$B$310),INDEX(条幅!$D$11:$D$310,875-COUNTA(半紙!$B$11:$B$310)),IF(875&lt;=COUNTA(半紙!$B$11:$B$310)+COUNTA(条幅!$B$11:$B$310)+COUNTA(条幅4分の1!$B$11:$B$310),INDEX(条幅4分の1!$D$11:$D$310,875-COUNTA(半紙!$B$11:$B$310)-COUNTA(条幅!$B$11:$B$310)),""))))</f>
        <v/>
      </c>
      <c r="E880" s="38" t="str">
        <f>IF(IF(875&lt;=COUNTA(半紙!$B$11:$B$310),INDEX(半紙!$E$11:$E$310,875),IF(875&lt;=COUNTA(半紙!$B$11:$B$310)+COUNTA(条幅!$B$11:$B$310),INDEX(条幅!$E$11:$E$310,875-COUNTA(半紙!$B$11:$B$310)),IF(875&lt;=COUNTA(半紙!$B$11:$B$310)+COUNTA(条幅!$B$11:$B$310)+COUNTA(条幅4分の1!$B$11:$B$310),INDEX(条幅4分の1!$E$11:$E$310,875-COUNTA(半紙!$B$11:$B$310)-COUNTA(条幅!$B$11:$B$310)),"")))=0,"",IF(875&lt;=COUNTA(半紙!$B$11:$B$310),INDEX(半紙!$E$11:$E$310,875),IF(875&lt;=COUNTA(半紙!$B$11:$B$310)+COUNTA(条幅!$B$11:$B$310),INDEX(条幅!$E$11:$E$310,875-COUNTA(半紙!$B$11:$B$310)),IF(875&lt;=COUNTA(半紙!$B$11:$B$310)+COUNTA(条幅!$B$11:$B$310)+COUNTA(条幅4分の1!$B$11:$B$310),INDEX(条幅4分の1!$E$11:$E$310,875-COUNTA(半紙!$B$11:$B$310)-COUNTA(条幅!$B$11:$B$310)),""))))</f>
        <v/>
      </c>
      <c r="F880" s="38" t="str">
        <f>IF(IF(875&lt;=COUNTA(半紙!$B$11:$B$310),INDEX(半紙!$F$11:$F$310,875),IF(875&lt;=COUNTA(半紙!$B$11:$B$310)+COUNTA(条幅!$B$11:$B$310),INDEX(条幅!$F$11:$F$310,875-COUNTA(半紙!$B$11:$B$310)),IF(875&lt;=COUNTA(半紙!$B$11:$B$310)+COUNTA(条幅!$B$11:$B$310)+COUNTA(条幅4分の1!$B$11:$B$310),INDEX(条幅4分の1!$F$11:$F$310,875-COUNTA(半紙!$B$11:$B$310)-COUNTA(条幅!$B$11:$B$310)),"")))=0,"",IF(875&lt;=COUNTA(半紙!$B$11:$B$310),INDEX(半紙!$F$11:$F$310,875),IF(875&lt;=COUNTA(半紙!$B$11:$B$310)+COUNTA(条幅!$B$11:$B$310),INDEX(条幅!$F$11:$F$310,875-COUNTA(半紙!$B$11:$B$310)),IF(875&lt;=COUNTA(半紙!$B$11:$B$310)+COUNTA(条幅!$B$11:$B$310)+COUNTA(条幅4分の1!$B$11:$B$310),INDEX(条幅4分の1!$F$11:$F$310,875-COUNTA(半紙!$B$11:$B$310)-COUNTA(条幅!$B$11:$B$310)),""))))</f>
        <v/>
      </c>
      <c r="G880" s="38" t="str">
        <f>IF(IF(875&lt;=COUNTA(半紙!$B$11:$B$310),INDEX(半紙!$G$11:$G$310,875),IF(875&lt;=COUNTA(半紙!$B$11:$B$310)+COUNTA(条幅!$B$11:$B$310),INDEX(条幅!$G$11:$G$310,875-COUNTA(半紙!$B$11:$B$310)),IF(875&lt;=COUNTA(半紙!$B$11:$B$310)+COUNTA(条幅!$B$11:$B$310)+COUNTA(条幅4分の1!$B$11:$B$310),INDEX(条幅4分の1!$G$11:$G$310,875-COUNTA(半紙!$B$11:$B$310)-COUNTA(条幅!$B$11:$B$310)),"")))=0,"",IF(875&lt;=COUNTA(半紙!$B$11:$B$310),INDEX(半紙!$G$11:$G$310,875),IF(875&lt;=COUNTA(半紙!$B$11:$B$310)+COUNTA(条幅!$B$11:$B$310),INDEX(条幅!$G$11:$G$310,875-COUNTA(半紙!$B$11:$B$310)),IF(875&lt;=COUNTA(半紙!$B$11:$B$310)+COUNTA(条幅!$B$11:$B$310)+COUNTA(条幅4分の1!$B$11:$B$310),INDEX(条幅4分の1!$G$11:$G$310,875-COUNTA(半紙!$B$11:$B$310)-COUNTA(条幅!$B$11:$B$310)),""))))</f>
        <v/>
      </c>
      <c r="H880" s="38" t="str">
        <f>IF(IF(875&lt;=COUNTA(半紙!$B$11:$B$310),INDEX(半紙!$H$11:$H$310,875),IF(875&lt;=COUNTA(半紙!$B$11:$B$310)+COUNTA(条幅!$B$11:$B$310),INDEX(条幅!$H$11:$H$310,875-COUNTA(半紙!$B$11:$B$310)),IF(875&lt;=COUNTA(半紙!$B$11:$B$310)+COUNTA(条幅!$B$11:$B$310)+COUNTA(条幅4分の1!$B$11:$B$310),INDEX(条幅4分の1!$H$11:$H$310,875-COUNTA(半紙!$B$11:$B$310)-COUNTA(条幅!$B$11:$B$310)),"")))=0,"",IF(875&lt;=COUNTA(半紙!$B$11:$B$310),INDEX(半紙!$H$11:$H$310,875),IF(875&lt;=COUNTA(半紙!$B$11:$B$310)+COUNTA(条幅!$B$11:$B$310),INDEX(条幅!$H$11:$H$310,875-COUNTA(半紙!$B$11:$B$310)),IF(875&lt;=COUNTA(半紙!$B$11:$B$310)+COUNTA(条幅!$B$11:$B$310)+COUNTA(条幅4分の1!$B$11:$B$310),INDEX(条幅4分の1!$H$11:$H$310,875-COUNTA(半紙!$B$11:$B$310)-COUNTA(条幅!$B$11:$B$310)),""))))</f>
        <v/>
      </c>
      <c r="I880" s="38" t="str">
        <f>IF(IF(875&lt;=COUNTA(半紙!$B$11:$B$310),INDEX(半紙!$I$11:$I$310,875),IF(875&lt;=COUNTA(半紙!$B$11:$B$310)+COUNTA(条幅!$B$11:$B$310),INDEX(条幅!$I$11:$I$310,875-COUNTA(半紙!$B$11:$B$310)),IF(875&lt;=COUNTA(半紙!$B$11:$B$310)+COUNTA(条幅!$B$11:$B$310)+COUNTA(条幅4分の1!$B$11:$B$310),INDEX(条幅4分の1!$I$11:$I$310,875-COUNTA(半紙!$B$11:$B$310)-COUNTA(条幅!$B$11:$B$310)),"")))=0,"",IF(875&lt;=COUNTA(半紙!$B$11:$B$310),INDEX(半紙!$I$11:$I$310,875),IF(875&lt;=COUNTA(半紙!$B$11:$B$310)+COUNTA(条幅!$B$11:$B$310),INDEX(条幅!$I$11:$I$310,875-COUNTA(半紙!$B$11:$B$310)),IF(875&lt;=COUNTA(半紙!$B$11:$B$310)+COUNTA(条幅!$B$11:$B$310)+COUNTA(条幅4分の1!$B$11:$B$310),INDEX(条幅4分の1!$I$11:$I$310,875-COUNTA(半紙!$B$11:$B$310)-COUNTA(条幅!$B$11:$B$310)),""))))</f>
        <v/>
      </c>
      <c r="J880" s="38" t="str">
        <f>IF(IF(875&lt;=COUNTA(半紙!$B$11:$B$310),INDEX(半紙!$J$11:$J$310,875),IF(875&lt;=COUNTA(半紙!$B$11:$B$310)+COUNTA(条幅!$B$11:$B$310),INDEX(条幅!$J$11:$J$310,875-COUNTA(半紙!$B$11:$B$310)),IF(875&lt;=COUNTA(半紙!$B$11:$B$310)+COUNTA(条幅!$B$11:$B$310)+COUNTA(条幅4分の1!$B$11:$B$310),INDEX(条幅4分の1!$J$11:$J$310,875-COUNTA(半紙!$B$11:$B$310)-COUNTA(条幅!$B$11:$B$310)),"")))=0,"",IF(875&lt;=COUNTA(半紙!$B$11:$B$310),INDEX(半紙!$J$11:$J$310,875),IF(875&lt;=COUNTA(半紙!$B$11:$B$310)+COUNTA(条幅!$B$11:$B$310),INDEX(条幅!$J$11:$J$310,875-COUNTA(半紙!$B$11:$B$310)),IF(875&lt;=COUNTA(半紙!$B$11:$B$310)+COUNTA(条幅!$B$11:$B$310)+COUNTA(条幅4分の1!$B$11:$B$310),INDEX(条幅4分の1!$J$11:$J$310,875-COUNTA(半紙!$B$11:$B$310)-COUNTA(条幅!$B$11:$B$310)),""))))</f>
        <v/>
      </c>
      <c r="K880" s="38" t="str">
        <f>IF(IF(875&lt;=COUNTA(半紙!$B$11:$B$310),INDEX(半紙!$K$11:$K$310,875),IF(875&lt;=COUNTA(半紙!$B$11:$B$310)+COUNTA(条幅!$B$11:$B$310),INDEX(条幅!$K$11:$K$310,875-COUNTA(半紙!$B$11:$B$310)),IF(875&lt;=COUNTA(半紙!$B$11:$B$310)+COUNTA(条幅!$B$11:$B$310)+COUNTA(条幅4分の1!$B$11:$B$310),INDEX(条幅4分の1!$K$11:$K$310,875-COUNTA(半紙!$B$11:$B$310)-COUNTA(条幅!$B$11:$B$310)),"")))=0,"",IF(875&lt;=COUNTA(半紙!$B$11:$B$310),INDEX(半紙!$K$11:$K$310,875),IF(875&lt;=COUNTA(半紙!$B$11:$B$310)+COUNTA(条幅!$B$11:$B$310),INDEX(条幅!$K$11:$K$310,875-COUNTA(半紙!$B$11:$B$310)),IF(875&lt;=COUNTA(半紙!$B$11:$B$310)+COUNTA(条幅!$B$11:$B$310)+COUNTA(条幅4分の1!$B$11:$B$310),INDEX(条幅4分の1!$K$11:$K$310,875-COUNTA(半紙!$B$11:$B$310)-COUNTA(条幅!$B$11:$B$310)),""))))</f>
        <v/>
      </c>
      <c r="L880" s="48" t="str">
        <f>IF($B880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875))</f>
        <v/>
      </c>
    </row>
    <row r="881" spans="1:12" ht="15" customHeight="1">
      <c r="A881" s="37" t="str">
        <f>IF(876&lt;=COUNTA(半紙!$B$11:$B$310),"半紙",IF(876&lt;=COUNTA(半紙!$B$11:$B$310)+COUNTA(条幅!$B$11:$B$310),"条幅(半切)",IF(876&lt;=COUNTA(半紙!$B$11:$B$310)+COUNTA(条幅!$B$11:$B$310)+COUNTA(条幅4分の1!$B$11:$B$310),"条幅(1/4)","")))</f>
        <v/>
      </c>
      <c r="B881" s="38" t="str">
        <f>IF(IF(876&lt;=COUNTA(半紙!$B$11:$B$310),INDEX(半紙!$B$11:$B$310,876),IF(876&lt;=COUNTA(半紙!$B$11:$B$310)+COUNTA(条幅!$B$11:$B$310),INDEX(条幅!$B$11:$B$310,876-COUNTA(半紙!$B$11:$B$310)),IF(876&lt;=COUNTA(半紙!$B$11:$B$310)+COUNTA(条幅!$B$11:$B$310)+COUNTA(条幅4分の1!$B$11:$B$310),INDEX(条幅4分の1!$B$11:$B$310,876-COUNTA(半紙!$B$11:$B$310)-COUNTA(条幅!$B$11:$B$310)),"")))=0,"",IF(876&lt;=COUNTA(半紙!$B$11:$B$310),INDEX(半紙!$B$11:$B$310,876),IF(876&lt;=COUNTA(半紙!$B$11:$B$310)+COUNTA(条幅!$B$11:$B$310),INDEX(条幅!$B$11:$B$310,876-COUNTA(半紙!$B$11:$B$310)),IF(876&lt;=COUNTA(半紙!$B$11:$B$310)+COUNTA(条幅!$B$11:$B$310)+COUNTA(条幅4分の1!$B$11:$B$310),INDEX(条幅4分の1!$B$11:$B$310,876-COUNTA(半紙!$B$11:$B$310)-COUNTA(条幅!$B$11:$B$310)),""))))</f>
        <v/>
      </c>
      <c r="C881" s="38" t="str">
        <f>IF(IF(876&lt;=COUNTA(半紙!$B$11:$B$310),INDEX(半紙!$C$11:$C$310,876),IF(876&lt;=COUNTA(半紙!$B$11:$B$310)+COUNTA(条幅!$B$11:$B$310),INDEX(条幅!$C$11:$C$310,876-COUNTA(半紙!$B$11:$B$310)),IF(876&lt;=COUNTA(半紙!$B$11:$B$310)+COUNTA(条幅!$B$11:$B$310)+COUNTA(条幅4分の1!$B$11:$B$310),INDEX(条幅4分の1!$C$11:$C$310,876-COUNTA(半紙!$B$11:$B$310)-COUNTA(条幅!$B$11:$B$310)),"")))=0,"",IF(876&lt;=COUNTA(半紙!$B$11:$B$310),INDEX(半紙!$C$11:$C$310,876),IF(876&lt;=COUNTA(半紙!$B$11:$B$310)+COUNTA(条幅!$B$11:$B$310),INDEX(条幅!$C$11:$C$310,876-COUNTA(半紙!$B$11:$B$310)),IF(876&lt;=COUNTA(半紙!$B$11:$B$310)+COUNTA(条幅!$B$11:$B$310)+COUNTA(条幅4分の1!$B$11:$B$310),INDEX(条幅4分の1!$C$11:$C$310,876-COUNTA(半紙!$B$11:$B$310)-COUNTA(条幅!$B$11:$B$310)),""))))</f>
        <v/>
      </c>
      <c r="D881" s="38" t="str">
        <f>IF(IF(876&lt;=COUNTA(半紙!$B$11:$B$310),INDEX(半紙!$D$11:$D$310,876),IF(876&lt;=COUNTA(半紙!$B$11:$B$310)+COUNTA(条幅!$B$11:$B$310),INDEX(条幅!$D$11:$D$310,876-COUNTA(半紙!$B$11:$B$310)),IF(876&lt;=COUNTA(半紙!$B$11:$B$310)+COUNTA(条幅!$B$11:$B$310)+COUNTA(条幅4分の1!$B$11:$B$310),INDEX(条幅4分の1!$D$11:$D$310,876-COUNTA(半紙!$B$11:$B$310)-COUNTA(条幅!$B$11:$B$310)),"")))=0,"",IF(876&lt;=COUNTA(半紙!$B$11:$B$310),INDEX(半紙!$D$11:$D$310,876),IF(876&lt;=COUNTA(半紙!$B$11:$B$310)+COUNTA(条幅!$B$11:$B$310),INDEX(条幅!$D$11:$D$310,876-COUNTA(半紙!$B$11:$B$310)),IF(876&lt;=COUNTA(半紙!$B$11:$B$310)+COUNTA(条幅!$B$11:$B$310)+COUNTA(条幅4分の1!$B$11:$B$310),INDEX(条幅4分の1!$D$11:$D$310,876-COUNTA(半紙!$B$11:$B$310)-COUNTA(条幅!$B$11:$B$310)),""))))</f>
        <v/>
      </c>
      <c r="E881" s="38" t="str">
        <f>IF(IF(876&lt;=COUNTA(半紙!$B$11:$B$310),INDEX(半紙!$E$11:$E$310,876),IF(876&lt;=COUNTA(半紙!$B$11:$B$310)+COUNTA(条幅!$B$11:$B$310),INDEX(条幅!$E$11:$E$310,876-COUNTA(半紙!$B$11:$B$310)),IF(876&lt;=COUNTA(半紙!$B$11:$B$310)+COUNTA(条幅!$B$11:$B$310)+COUNTA(条幅4分の1!$B$11:$B$310),INDEX(条幅4分の1!$E$11:$E$310,876-COUNTA(半紙!$B$11:$B$310)-COUNTA(条幅!$B$11:$B$310)),"")))=0,"",IF(876&lt;=COUNTA(半紙!$B$11:$B$310),INDEX(半紙!$E$11:$E$310,876),IF(876&lt;=COUNTA(半紙!$B$11:$B$310)+COUNTA(条幅!$B$11:$B$310),INDEX(条幅!$E$11:$E$310,876-COUNTA(半紙!$B$11:$B$310)),IF(876&lt;=COUNTA(半紙!$B$11:$B$310)+COUNTA(条幅!$B$11:$B$310)+COUNTA(条幅4分の1!$B$11:$B$310),INDEX(条幅4分の1!$E$11:$E$310,876-COUNTA(半紙!$B$11:$B$310)-COUNTA(条幅!$B$11:$B$310)),""))))</f>
        <v/>
      </c>
      <c r="F881" s="38" t="str">
        <f>IF(IF(876&lt;=COUNTA(半紙!$B$11:$B$310),INDEX(半紙!$F$11:$F$310,876),IF(876&lt;=COUNTA(半紙!$B$11:$B$310)+COUNTA(条幅!$B$11:$B$310),INDEX(条幅!$F$11:$F$310,876-COUNTA(半紙!$B$11:$B$310)),IF(876&lt;=COUNTA(半紙!$B$11:$B$310)+COUNTA(条幅!$B$11:$B$310)+COUNTA(条幅4分の1!$B$11:$B$310),INDEX(条幅4分の1!$F$11:$F$310,876-COUNTA(半紙!$B$11:$B$310)-COUNTA(条幅!$B$11:$B$310)),"")))=0,"",IF(876&lt;=COUNTA(半紙!$B$11:$B$310),INDEX(半紙!$F$11:$F$310,876),IF(876&lt;=COUNTA(半紙!$B$11:$B$310)+COUNTA(条幅!$B$11:$B$310),INDEX(条幅!$F$11:$F$310,876-COUNTA(半紙!$B$11:$B$310)),IF(876&lt;=COUNTA(半紙!$B$11:$B$310)+COUNTA(条幅!$B$11:$B$310)+COUNTA(条幅4分の1!$B$11:$B$310),INDEX(条幅4分の1!$F$11:$F$310,876-COUNTA(半紙!$B$11:$B$310)-COUNTA(条幅!$B$11:$B$310)),""))))</f>
        <v/>
      </c>
      <c r="G881" s="38" t="str">
        <f>IF(IF(876&lt;=COUNTA(半紙!$B$11:$B$310),INDEX(半紙!$G$11:$G$310,876),IF(876&lt;=COUNTA(半紙!$B$11:$B$310)+COUNTA(条幅!$B$11:$B$310),INDEX(条幅!$G$11:$G$310,876-COUNTA(半紙!$B$11:$B$310)),IF(876&lt;=COUNTA(半紙!$B$11:$B$310)+COUNTA(条幅!$B$11:$B$310)+COUNTA(条幅4分の1!$B$11:$B$310),INDEX(条幅4分の1!$G$11:$G$310,876-COUNTA(半紙!$B$11:$B$310)-COUNTA(条幅!$B$11:$B$310)),"")))=0,"",IF(876&lt;=COUNTA(半紙!$B$11:$B$310),INDEX(半紙!$G$11:$G$310,876),IF(876&lt;=COUNTA(半紙!$B$11:$B$310)+COUNTA(条幅!$B$11:$B$310),INDEX(条幅!$G$11:$G$310,876-COUNTA(半紙!$B$11:$B$310)),IF(876&lt;=COUNTA(半紙!$B$11:$B$310)+COUNTA(条幅!$B$11:$B$310)+COUNTA(条幅4分の1!$B$11:$B$310),INDEX(条幅4分の1!$G$11:$G$310,876-COUNTA(半紙!$B$11:$B$310)-COUNTA(条幅!$B$11:$B$310)),""))))</f>
        <v/>
      </c>
      <c r="H881" s="38" t="str">
        <f>IF(IF(876&lt;=COUNTA(半紙!$B$11:$B$310),INDEX(半紙!$H$11:$H$310,876),IF(876&lt;=COUNTA(半紙!$B$11:$B$310)+COUNTA(条幅!$B$11:$B$310),INDEX(条幅!$H$11:$H$310,876-COUNTA(半紙!$B$11:$B$310)),IF(876&lt;=COUNTA(半紙!$B$11:$B$310)+COUNTA(条幅!$B$11:$B$310)+COUNTA(条幅4分の1!$B$11:$B$310),INDEX(条幅4分の1!$H$11:$H$310,876-COUNTA(半紙!$B$11:$B$310)-COUNTA(条幅!$B$11:$B$310)),"")))=0,"",IF(876&lt;=COUNTA(半紙!$B$11:$B$310),INDEX(半紙!$H$11:$H$310,876),IF(876&lt;=COUNTA(半紙!$B$11:$B$310)+COUNTA(条幅!$B$11:$B$310),INDEX(条幅!$H$11:$H$310,876-COUNTA(半紙!$B$11:$B$310)),IF(876&lt;=COUNTA(半紙!$B$11:$B$310)+COUNTA(条幅!$B$11:$B$310)+COUNTA(条幅4分の1!$B$11:$B$310),INDEX(条幅4分の1!$H$11:$H$310,876-COUNTA(半紙!$B$11:$B$310)-COUNTA(条幅!$B$11:$B$310)),""))))</f>
        <v/>
      </c>
      <c r="I881" s="38" t="str">
        <f>IF(IF(876&lt;=COUNTA(半紙!$B$11:$B$310),INDEX(半紙!$I$11:$I$310,876),IF(876&lt;=COUNTA(半紙!$B$11:$B$310)+COUNTA(条幅!$B$11:$B$310),INDEX(条幅!$I$11:$I$310,876-COUNTA(半紙!$B$11:$B$310)),IF(876&lt;=COUNTA(半紙!$B$11:$B$310)+COUNTA(条幅!$B$11:$B$310)+COUNTA(条幅4分の1!$B$11:$B$310),INDEX(条幅4分の1!$I$11:$I$310,876-COUNTA(半紙!$B$11:$B$310)-COUNTA(条幅!$B$11:$B$310)),"")))=0,"",IF(876&lt;=COUNTA(半紙!$B$11:$B$310),INDEX(半紙!$I$11:$I$310,876),IF(876&lt;=COUNTA(半紙!$B$11:$B$310)+COUNTA(条幅!$B$11:$B$310),INDEX(条幅!$I$11:$I$310,876-COUNTA(半紙!$B$11:$B$310)),IF(876&lt;=COUNTA(半紙!$B$11:$B$310)+COUNTA(条幅!$B$11:$B$310)+COUNTA(条幅4分の1!$B$11:$B$310),INDEX(条幅4分の1!$I$11:$I$310,876-COUNTA(半紙!$B$11:$B$310)-COUNTA(条幅!$B$11:$B$310)),""))))</f>
        <v/>
      </c>
      <c r="J881" s="38" t="str">
        <f>IF(IF(876&lt;=COUNTA(半紙!$B$11:$B$310),INDEX(半紙!$J$11:$J$310,876),IF(876&lt;=COUNTA(半紙!$B$11:$B$310)+COUNTA(条幅!$B$11:$B$310),INDEX(条幅!$J$11:$J$310,876-COUNTA(半紙!$B$11:$B$310)),IF(876&lt;=COUNTA(半紙!$B$11:$B$310)+COUNTA(条幅!$B$11:$B$310)+COUNTA(条幅4分の1!$B$11:$B$310),INDEX(条幅4分の1!$J$11:$J$310,876-COUNTA(半紙!$B$11:$B$310)-COUNTA(条幅!$B$11:$B$310)),"")))=0,"",IF(876&lt;=COUNTA(半紙!$B$11:$B$310),INDEX(半紙!$J$11:$J$310,876),IF(876&lt;=COUNTA(半紙!$B$11:$B$310)+COUNTA(条幅!$B$11:$B$310),INDEX(条幅!$J$11:$J$310,876-COUNTA(半紙!$B$11:$B$310)),IF(876&lt;=COUNTA(半紙!$B$11:$B$310)+COUNTA(条幅!$B$11:$B$310)+COUNTA(条幅4分の1!$B$11:$B$310),INDEX(条幅4分の1!$J$11:$J$310,876-COUNTA(半紙!$B$11:$B$310)-COUNTA(条幅!$B$11:$B$310)),""))))</f>
        <v/>
      </c>
      <c r="K881" s="38" t="str">
        <f>IF(IF(876&lt;=COUNTA(半紙!$B$11:$B$310),INDEX(半紙!$K$11:$K$310,876),IF(876&lt;=COUNTA(半紙!$B$11:$B$310)+COUNTA(条幅!$B$11:$B$310),INDEX(条幅!$K$11:$K$310,876-COUNTA(半紙!$B$11:$B$310)),IF(876&lt;=COUNTA(半紙!$B$11:$B$310)+COUNTA(条幅!$B$11:$B$310)+COUNTA(条幅4分の1!$B$11:$B$310),INDEX(条幅4分の1!$K$11:$K$310,876-COUNTA(半紙!$B$11:$B$310)-COUNTA(条幅!$B$11:$B$310)),"")))=0,"",IF(876&lt;=COUNTA(半紙!$B$11:$B$310),INDEX(半紙!$K$11:$K$310,876),IF(876&lt;=COUNTA(半紙!$B$11:$B$310)+COUNTA(条幅!$B$11:$B$310),INDEX(条幅!$K$11:$K$310,876-COUNTA(半紙!$B$11:$B$310)),IF(876&lt;=COUNTA(半紙!$B$11:$B$310)+COUNTA(条幅!$B$11:$B$310)+COUNTA(条幅4分の1!$B$11:$B$310),INDEX(条幅4分の1!$K$11:$K$310,876-COUNTA(半紙!$B$11:$B$310)-COUNTA(条幅!$B$11:$B$310)),""))))</f>
        <v/>
      </c>
      <c r="L881" s="48" t="str">
        <f>IF($B881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876))</f>
        <v/>
      </c>
    </row>
    <row r="882" spans="1:12" ht="15" customHeight="1">
      <c r="A882" s="37" t="str">
        <f>IF(877&lt;=COUNTA(半紙!$B$11:$B$310),"半紙",IF(877&lt;=COUNTA(半紙!$B$11:$B$310)+COUNTA(条幅!$B$11:$B$310),"条幅(半切)",IF(877&lt;=COUNTA(半紙!$B$11:$B$310)+COUNTA(条幅!$B$11:$B$310)+COUNTA(条幅4分の1!$B$11:$B$310),"条幅(1/4)","")))</f>
        <v/>
      </c>
      <c r="B882" s="38" t="str">
        <f>IF(IF(877&lt;=COUNTA(半紙!$B$11:$B$310),INDEX(半紙!$B$11:$B$310,877),IF(877&lt;=COUNTA(半紙!$B$11:$B$310)+COUNTA(条幅!$B$11:$B$310),INDEX(条幅!$B$11:$B$310,877-COUNTA(半紙!$B$11:$B$310)),IF(877&lt;=COUNTA(半紙!$B$11:$B$310)+COUNTA(条幅!$B$11:$B$310)+COUNTA(条幅4分の1!$B$11:$B$310),INDEX(条幅4分の1!$B$11:$B$310,877-COUNTA(半紙!$B$11:$B$310)-COUNTA(条幅!$B$11:$B$310)),"")))=0,"",IF(877&lt;=COUNTA(半紙!$B$11:$B$310),INDEX(半紙!$B$11:$B$310,877),IF(877&lt;=COUNTA(半紙!$B$11:$B$310)+COUNTA(条幅!$B$11:$B$310),INDEX(条幅!$B$11:$B$310,877-COUNTA(半紙!$B$11:$B$310)),IF(877&lt;=COUNTA(半紙!$B$11:$B$310)+COUNTA(条幅!$B$11:$B$310)+COUNTA(条幅4分の1!$B$11:$B$310),INDEX(条幅4分の1!$B$11:$B$310,877-COUNTA(半紙!$B$11:$B$310)-COUNTA(条幅!$B$11:$B$310)),""))))</f>
        <v/>
      </c>
      <c r="C882" s="38" t="str">
        <f>IF(IF(877&lt;=COUNTA(半紙!$B$11:$B$310),INDEX(半紙!$C$11:$C$310,877),IF(877&lt;=COUNTA(半紙!$B$11:$B$310)+COUNTA(条幅!$B$11:$B$310),INDEX(条幅!$C$11:$C$310,877-COUNTA(半紙!$B$11:$B$310)),IF(877&lt;=COUNTA(半紙!$B$11:$B$310)+COUNTA(条幅!$B$11:$B$310)+COUNTA(条幅4分の1!$B$11:$B$310),INDEX(条幅4分の1!$C$11:$C$310,877-COUNTA(半紙!$B$11:$B$310)-COUNTA(条幅!$B$11:$B$310)),"")))=0,"",IF(877&lt;=COUNTA(半紙!$B$11:$B$310),INDEX(半紙!$C$11:$C$310,877),IF(877&lt;=COUNTA(半紙!$B$11:$B$310)+COUNTA(条幅!$B$11:$B$310),INDEX(条幅!$C$11:$C$310,877-COUNTA(半紙!$B$11:$B$310)),IF(877&lt;=COUNTA(半紙!$B$11:$B$310)+COUNTA(条幅!$B$11:$B$310)+COUNTA(条幅4分の1!$B$11:$B$310),INDEX(条幅4分の1!$C$11:$C$310,877-COUNTA(半紙!$B$11:$B$310)-COUNTA(条幅!$B$11:$B$310)),""))))</f>
        <v/>
      </c>
      <c r="D882" s="38" t="str">
        <f>IF(IF(877&lt;=COUNTA(半紙!$B$11:$B$310),INDEX(半紙!$D$11:$D$310,877),IF(877&lt;=COUNTA(半紙!$B$11:$B$310)+COUNTA(条幅!$B$11:$B$310),INDEX(条幅!$D$11:$D$310,877-COUNTA(半紙!$B$11:$B$310)),IF(877&lt;=COUNTA(半紙!$B$11:$B$310)+COUNTA(条幅!$B$11:$B$310)+COUNTA(条幅4分の1!$B$11:$B$310),INDEX(条幅4分の1!$D$11:$D$310,877-COUNTA(半紙!$B$11:$B$310)-COUNTA(条幅!$B$11:$B$310)),"")))=0,"",IF(877&lt;=COUNTA(半紙!$B$11:$B$310),INDEX(半紙!$D$11:$D$310,877),IF(877&lt;=COUNTA(半紙!$B$11:$B$310)+COUNTA(条幅!$B$11:$B$310),INDEX(条幅!$D$11:$D$310,877-COUNTA(半紙!$B$11:$B$310)),IF(877&lt;=COUNTA(半紙!$B$11:$B$310)+COUNTA(条幅!$B$11:$B$310)+COUNTA(条幅4分の1!$B$11:$B$310),INDEX(条幅4分の1!$D$11:$D$310,877-COUNTA(半紙!$B$11:$B$310)-COUNTA(条幅!$B$11:$B$310)),""))))</f>
        <v/>
      </c>
      <c r="E882" s="38" t="str">
        <f>IF(IF(877&lt;=COUNTA(半紙!$B$11:$B$310),INDEX(半紙!$E$11:$E$310,877),IF(877&lt;=COUNTA(半紙!$B$11:$B$310)+COUNTA(条幅!$B$11:$B$310),INDEX(条幅!$E$11:$E$310,877-COUNTA(半紙!$B$11:$B$310)),IF(877&lt;=COUNTA(半紙!$B$11:$B$310)+COUNTA(条幅!$B$11:$B$310)+COUNTA(条幅4分の1!$B$11:$B$310),INDEX(条幅4分の1!$E$11:$E$310,877-COUNTA(半紙!$B$11:$B$310)-COUNTA(条幅!$B$11:$B$310)),"")))=0,"",IF(877&lt;=COUNTA(半紙!$B$11:$B$310),INDEX(半紙!$E$11:$E$310,877),IF(877&lt;=COUNTA(半紙!$B$11:$B$310)+COUNTA(条幅!$B$11:$B$310),INDEX(条幅!$E$11:$E$310,877-COUNTA(半紙!$B$11:$B$310)),IF(877&lt;=COUNTA(半紙!$B$11:$B$310)+COUNTA(条幅!$B$11:$B$310)+COUNTA(条幅4分の1!$B$11:$B$310),INDEX(条幅4分の1!$E$11:$E$310,877-COUNTA(半紙!$B$11:$B$310)-COUNTA(条幅!$B$11:$B$310)),""))))</f>
        <v/>
      </c>
      <c r="F882" s="38" t="str">
        <f>IF(IF(877&lt;=COUNTA(半紙!$B$11:$B$310),INDEX(半紙!$F$11:$F$310,877),IF(877&lt;=COUNTA(半紙!$B$11:$B$310)+COUNTA(条幅!$B$11:$B$310),INDEX(条幅!$F$11:$F$310,877-COUNTA(半紙!$B$11:$B$310)),IF(877&lt;=COUNTA(半紙!$B$11:$B$310)+COUNTA(条幅!$B$11:$B$310)+COUNTA(条幅4分の1!$B$11:$B$310),INDEX(条幅4分の1!$F$11:$F$310,877-COUNTA(半紙!$B$11:$B$310)-COUNTA(条幅!$B$11:$B$310)),"")))=0,"",IF(877&lt;=COUNTA(半紙!$B$11:$B$310),INDEX(半紙!$F$11:$F$310,877),IF(877&lt;=COUNTA(半紙!$B$11:$B$310)+COUNTA(条幅!$B$11:$B$310),INDEX(条幅!$F$11:$F$310,877-COUNTA(半紙!$B$11:$B$310)),IF(877&lt;=COUNTA(半紙!$B$11:$B$310)+COUNTA(条幅!$B$11:$B$310)+COUNTA(条幅4分の1!$B$11:$B$310),INDEX(条幅4分の1!$F$11:$F$310,877-COUNTA(半紙!$B$11:$B$310)-COUNTA(条幅!$B$11:$B$310)),""))))</f>
        <v/>
      </c>
      <c r="G882" s="38" t="str">
        <f>IF(IF(877&lt;=COUNTA(半紙!$B$11:$B$310),INDEX(半紙!$G$11:$G$310,877),IF(877&lt;=COUNTA(半紙!$B$11:$B$310)+COUNTA(条幅!$B$11:$B$310),INDEX(条幅!$G$11:$G$310,877-COUNTA(半紙!$B$11:$B$310)),IF(877&lt;=COUNTA(半紙!$B$11:$B$310)+COUNTA(条幅!$B$11:$B$310)+COUNTA(条幅4分の1!$B$11:$B$310),INDEX(条幅4分の1!$G$11:$G$310,877-COUNTA(半紙!$B$11:$B$310)-COUNTA(条幅!$B$11:$B$310)),"")))=0,"",IF(877&lt;=COUNTA(半紙!$B$11:$B$310),INDEX(半紙!$G$11:$G$310,877),IF(877&lt;=COUNTA(半紙!$B$11:$B$310)+COUNTA(条幅!$B$11:$B$310),INDEX(条幅!$G$11:$G$310,877-COUNTA(半紙!$B$11:$B$310)),IF(877&lt;=COUNTA(半紙!$B$11:$B$310)+COUNTA(条幅!$B$11:$B$310)+COUNTA(条幅4分の1!$B$11:$B$310),INDEX(条幅4分の1!$G$11:$G$310,877-COUNTA(半紙!$B$11:$B$310)-COUNTA(条幅!$B$11:$B$310)),""))))</f>
        <v/>
      </c>
      <c r="H882" s="38" t="str">
        <f>IF(IF(877&lt;=COUNTA(半紙!$B$11:$B$310),INDEX(半紙!$H$11:$H$310,877),IF(877&lt;=COUNTA(半紙!$B$11:$B$310)+COUNTA(条幅!$B$11:$B$310),INDEX(条幅!$H$11:$H$310,877-COUNTA(半紙!$B$11:$B$310)),IF(877&lt;=COUNTA(半紙!$B$11:$B$310)+COUNTA(条幅!$B$11:$B$310)+COUNTA(条幅4分の1!$B$11:$B$310),INDEX(条幅4分の1!$H$11:$H$310,877-COUNTA(半紙!$B$11:$B$310)-COUNTA(条幅!$B$11:$B$310)),"")))=0,"",IF(877&lt;=COUNTA(半紙!$B$11:$B$310),INDEX(半紙!$H$11:$H$310,877),IF(877&lt;=COUNTA(半紙!$B$11:$B$310)+COUNTA(条幅!$B$11:$B$310),INDEX(条幅!$H$11:$H$310,877-COUNTA(半紙!$B$11:$B$310)),IF(877&lt;=COUNTA(半紙!$B$11:$B$310)+COUNTA(条幅!$B$11:$B$310)+COUNTA(条幅4分の1!$B$11:$B$310),INDEX(条幅4分の1!$H$11:$H$310,877-COUNTA(半紙!$B$11:$B$310)-COUNTA(条幅!$B$11:$B$310)),""))))</f>
        <v/>
      </c>
      <c r="I882" s="38" t="str">
        <f>IF(IF(877&lt;=COUNTA(半紙!$B$11:$B$310),INDEX(半紙!$I$11:$I$310,877),IF(877&lt;=COUNTA(半紙!$B$11:$B$310)+COUNTA(条幅!$B$11:$B$310),INDEX(条幅!$I$11:$I$310,877-COUNTA(半紙!$B$11:$B$310)),IF(877&lt;=COUNTA(半紙!$B$11:$B$310)+COUNTA(条幅!$B$11:$B$310)+COUNTA(条幅4分の1!$B$11:$B$310),INDEX(条幅4分の1!$I$11:$I$310,877-COUNTA(半紙!$B$11:$B$310)-COUNTA(条幅!$B$11:$B$310)),"")))=0,"",IF(877&lt;=COUNTA(半紙!$B$11:$B$310),INDEX(半紙!$I$11:$I$310,877),IF(877&lt;=COUNTA(半紙!$B$11:$B$310)+COUNTA(条幅!$B$11:$B$310),INDEX(条幅!$I$11:$I$310,877-COUNTA(半紙!$B$11:$B$310)),IF(877&lt;=COUNTA(半紙!$B$11:$B$310)+COUNTA(条幅!$B$11:$B$310)+COUNTA(条幅4分の1!$B$11:$B$310),INDEX(条幅4分の1!$I$11:$I$310,877-COUNTA(半紙!$B$11:$B$310)-COUNTA(条幅!$B$11:$B$310)),""))))</f>
        <v/>
      </c>
      <c r="J882" s="38" t="str">
        <f>IF(IF(877&lt;=COUNTA(半紙!$B$11:$B$310),INDEX(半紙!$J$11:$J$310,877),IF(877&lt;=COUNTA(半紙!$B$11:$B$310)+COUNTA(条幅!$B$11:$B$310),INDEX(条幅!$J$11:$J$310,877-COUNTA(半紙!$B$11:$B$310)),IF(877&lt;=COUNTA(半紙!$B$11:$B$310)+COUNTA(条幅!$B$11:$B$310)+COUNTA(条幅4分の1!$B$11:$B$310),INDEX(条幅4分の1!$J$11:$J$310,877-COUNTA(半紙!$B$11:$B$310)-COUNTA(条幅!$B$11:$B$310)),"")))=0,"",IF(877&lt;=COUNTA(半紙!$B$11:$B$310),INDEX(半紙!$J$11:$J$310,877),IF(877&lt;=COUNTA(半紙!$B$11:$B$310)+COUNTA(条幅!$B$11:$B$310),INDEX(条幅!$J$11:$J$310,877-COUNTA(半紙!$B$11:$B$310)),IF(877&lt;=COUNTA(半紙!$B$11:$B$310)+COUNTA(条幅!$B$11:$B$310)+COUNTA(条幅4分の1!$B$11:$B$310),INDEX(条幅4分の1!$J$11:$J$310,877-COUNTA(半紙!$B$11:$B$310)-COUNTA(条幅!$B$11:$B$310)),""))))</f>
        <v/>
      </c>
      <c r="K882" s="38" t="str">
        <f>IF(IF(877&lt;=COUNTA(半紙!$B$11:$B$310),INDEX(半紙!$K$11:$K$310,877),IF(877&lt;=COUNTA(半紙!$B$11:$B$310)+COUNTA(条幅!$B$11:$B$310),INDEX(条幅!$K$11:$K$310,877-COUNTA(半紙!$B$11:$B$310)),IF(877&lt;=COUNTA(半紙!$B$11:$B$310)+COUNTA(条幅!$B$11:$B$310)+COUNTA(条幅4分の1!$B$11:$B$310),INDEX(条幅4分の1!$K$11:$K$310,877-COUNTA(半紙!$B$11:$B$310)-COUNTA(条幅!$B$11:$B$310)),"")))=0,"",IF(877&lt;=COUNTA(半紙!$B$11:$B$310),INDEX(半紙!$K$11:$K$310,877),IF(877&lt;=COUNTA(半紙!$B$11:$B$310)+COUNTA(条幅!$B$11:$B$310),INDEX(条幅!$K$11:$K$310,877-COUNTA(半紙!$B$11:$B$310)),IF(877&lt;=COUNTA(半紙!$B$11:$B$310)+COUNTA(条幅!$B$11:$B$310)+COUNTA(条幅4分の1!$B$11:$B$310),INDEX(条幅4分の1!$K$11:$K$310,877-COUNTA(半紙!$B$11:$B$310)-COUNTA(条幅!$B$11:$B$310)),""))))</f>
        <v/>
      </c>
      <c r="L882" s="48" t="str">
        <f>IF($B882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877))</f>
        <v/>
      </c>
    </row>
    <row r="883" spans="1:12" ht="15" customHeight="1">
      <c r="A883" s="37" t="str">
        <f>IF(878&lt;=COUNTA(半紙!$B$11:$B$310),"半紙",IF(878&lt;=COUNTA(半紙!$B$11:$B$310)+COUNTA(条幅!$B$11:$B$310),"条幅(半切)",IF(878&lt;=COUNTA(半紙!$B$11:$B$310)+COUNTA(条幅!$B$11:$B$310)+COUNTA(条幅4分の1!$B$11:$B$310),"条幅(1/4)","")))</f>
        <v/>
      </c>
      <c r="B883" s="38" t="str">
        <f>IF(IF(878&lt;=COUNTA(半紙!$B$11:$B$310),INDEX(半紙!$B$11:$B$310,878),IF(878&lt;=COUNTA(半紙!$B$11:$B$310)+COUNTA(条幅!$B$11:$B$310),INDEX(条幅!$B$11:$B$310,878-COUNTA(半紙!$B$11:$B$310)),IF(878&lt;=COUNTA(半紙!$B$11:$B$310)+COUNTA(条幅!$B$11:$B$310)+COUNTA(条幅4分の1!$B$11:$B$310),INDEX(条幅4分の1!$B$11:$B$310,878-COUNTA(半紙!$B$11:$B$310)-COUNTA(条幅!$B$11:$B$310)),"")))=0,"",IF(878&lt;=COUNTA(半紙!$B$11:$B$310),INDEX(半紙!$B$11:$B$310,878),IF(878&lt;=COUNTA(半紙!$B$11:$B$310)+COUNTA(条幅!$B$11:$B$310),INDEX(条幅!$B$11:$B$310,878-COUNTA(半紙!$B$11:$B$310)),IF(878&lt;=COUNTA(半紙!$B$11:$B$310)+COUNTA(条幅!$B$11:$B$310)+COUNTA(条幅4分の1!$B$11:$B$310),INDEX(条幅4分の1!$B$11:$B$310,878-COUNTA(半紙!$B$11:$B$310)-COUNTA(条幅!$B$11:$B$310)),""))))</f>
        <v/>
      </c>
      <c r="C883" s="38" t="str">
        <f>IF(IF(878&lt;=COUNTA(半紙!$B$11:$B$310),INDEX(半紙!$C$11:$C$310,878),IF(878&lt;=COUNTA(半紙!$B$11:$B$310)+COUNTA(条幅!$B$11:$B$310),INDEX(条幅!$C$11:$C$310,878-COUNTA(半紙!$B$11:$B$310)),IF(878&lt;=COUNTA(半紙!$B$11:$B$310)+COUNTA(条幅!$B$11:$B$310)+COUNTA(条幅4分の1!$B$11:$B$310),INDEX(条幅4分の1!$C$11:$C$310,878-COUNTA(半紙!$B$11:$B$310)-COUNTA(条幅!$B$11:$B$310)),"")))=0,"",IF(878&lt;=COUNTA(半紙!$B$11:$B$310),INDEX(半紙!$C$11:$C$310,878),IF(878&lt;=COUNTA(半紙!$B$11:$B$310)+COUNTA(条幅!$B$11:$B$310),INDEX(条幅!$C$11:$C$310,878-COUNTA(半紙!$B$11:$B$310)),IF(878&lt;=COUNTA(半紙!$B$11:$B$310)+COUNTA(条幅!$B$11:$B$310)+COUNTA(条幅4分の1!$B$11:$B$310),INDEX(条幅4分の1!$C$11:$C$310,878-COUNTA(半紙!$B$11:$B$310)-COUNTA(条幅!$B$11:$B$310)),""))))</f>
        <v/>
      </c>
      <c r="D883" s="38" t="str">
        <f>IF(IF(878&lt;=COUNTA(半紙!$B$11:$B$310),INDEX(半紙!$D$11:$D$310,878),IF(878&lt;=COUNTA(半紙!$B$11:$B$310)+COUNTA(条幅!$B$11:$B$310),INDEX(条幅!$D$11:$D$310,878-COUNTA(半紙!$B$11:$B$310)),IF(878&lt;=COUNTA(半紙!$B$11:$B$310)+COUNTA(条幅!$B$11:$B$310)+COUNTA(条幅4分の1!$B$11:$B$310),INDEX(条幅4分の1!$D$11:$D$310,878-COUNTA(半紙!$B$11:$B$310)-COUNTA(条幅!$B$11:$B$310)),"")))=0,"",IF(878&lt;=COUNTA(半紙!$B$11:$B$310),INDEX(半紙!$D$11:$D$310,878),IF(878&lt;=COUNTA(半紙!$B$11:$B$310)+COUNTA(条幅!$B$11:$B$310),INDEX(条幅!$D$11:$D$310,878-COUNTA(半紙!$B$11:$B$310)),IF(878&lt;=COUNTA(半紙!$B$11:$B$310)+COUNTA(条幅!$B$11:$B$310)+COUNTA(条幅4分の1!$B$11:$B$310),INDEX(条幅4分の1!$D$11:$D$310,878-COUNTA(半紙!$B$11:$B$310)-COUNTA(条幅!$B$11:$B$310)),""))))</f>
        <v/>
      </c>
      <c r="E883" s="38" t="str">
        <f>IF(IF(878&lt;=COUNTA(半紙!$B$11:$B$310),INDEX(半紙!$E$11:$E$310,878),IF(878&lt;=COUNTA(半紙!$B$11:$B$310)+COUNTA(条幅!$B$11:$B$310),INDEX(条幅!$E$11:$E$310,878-COUNTA(半紙!$B$11:$B$310)),IF(878&lt;=COUNTA(半紙!$B$11:$B$310)+COUNTA(条幅!$B$11:$B$310)+COUNTA(条幅4分の1!$B$11:$B$310),INDEX(条幅4分の1!$E$11:$E$310,878-COUNTA(半紙!$B$11:$B$310)-COUNTA(条幅!$B$11:$B$310)),"")))=0,"",IF(878&lt;=COUNTA(半紙!$B$11:$B$310),INDEX(半紙!$E$11:$E$310,878),IF(878&lt;=COUNTA(半紙!$B$11:$B$310)+COUNTA(条幅!$B$11:$B$310),INDEX(条幅!$E$11:$E$310,878-COUNTA(半紙!$B$11:$B$310)),IF(878&lt;=COUNTA(半紙!$B$11:$B$310)+COUNTA(条幅!$B$11:$B$310)+COUNTA(条幅4分の1!$B$11:$B$310),INDEX(条幅4分の1!$E$11:$E$310,878-COUNTA(半紙!$B$11:$B$310)-COUNTA(条幅!$B$11:$B$310)),""))))</f>
        <v/>
      </c>
      <c r="F883" s="38" t="str">
        <f>IF(IF(878&lt;=COUNTA(半紙!$B$11:$B$310),INDEX(半紙!$F$11:$F$310,878),IF(878&lt;=COUNTA(半紙!$B$11:$B$310)+COUNTA(条幅!$B$11:$B$310),INDEX(条幅!$F$11:$F$310,878-COUNTA(半紙!$B$11:$B$310)),IF(878&lt;=COUNTA(半紙!$B$11:$B$310)+COUNTA(条幅!$B$11:$B$310)+COUNTA(条幅4分の1!$B$11:$B$310),INDEX(条幅4分の1!$F$11:$F$310,878-COUNTA(半紙!$B$11:$B$310)-COUNTA(条幅!$B$11:$B$310)),"")))=0,"",IF(878&lt;=COUNTA(半紙!$B$11:$B$310),INDEX(半紙!$F$11:$F$310,878),IF(878&lt;=COUNTA(半紙!$B$11:$B$310)+COUNTA(条幅!$B$11:$B$310),INDEX(条幅!$F$11:$F$310,878-COUNTA(半紙!$B$11:$B$310)),IF(878&lt;=COUNTA(半紙!$B$11:$B$310)+COUNTA(条幅!$B$11:$B$310)+COUNTA(条幅4分の1!$B$11:$B$310),INDEX(条幅4分の1!$F$11:$F$310,878-COUNTA(半紙!$B$11:$B$310)-COUNTA(条幅!$B$11:$B$310)),""))))</f>
        <v/>
      </c>
      <c r="G883" s="38" t="str">
        <f>IF(IF(878&lt;=COUNTA(半紙!$B$11:$B$310),INDEX(半紙!$G$11:$G$310,878),IF(878&lt;=COUNTA(半紙!$B$11:$B$310)+COUNTA(条幅!$B$11:$B$310),INDEX(条幅!$G$11:$G$310,878-COUNTA(半紙!$B$11:$B$310)),IF(878&lt;=COUNTA(半紙!$B$11:$B$310)+COUNTA(条幅!$B$11:$B$310)+COUNTA(条幅4分の1!$B$11:$B$310),INDEX(条幅4分の1!$G$11:$G$310,878-COUNTA(半紙!$B$11:$B$310)-COUNTA(条幅!$B$11:$B$310)),"")))=0,"",IF(878&lt;=COUNTA(半紙!$B$11:$B$310),INDEX(半紙!$G$11:$G$310,878),IF(878&lt;=COUNTA(半紙!$B$11:$B$310)+COUNTA(条幅!$B$11:$B$310),INDEX(条幅!$G$11:$G$310,878-COUNTA(半紙!$B$11:$B$310)),IF(878&lt;=COUNTA(半紙!$B$11:$B$310)+COUNTA(条幅!$B$11:$B$310)+COUNTA(条幅4分の1!$B$11:$B$310),INDEX(条幅4分の1!$G$11:$G$310,878-COUNTA(半紙!$B$11:$B$310)-COUNTA(条幅!$B$11:$B$310)),""))))</f>
        <v/>
      </c>
      <c r="H883" s="38" t="str">
        <f>IF(IF(878&lt;=COUNTA(半紙!$B$11:$B$310),INDEX(半紙!$H$11:$H$310,878),IF(878&lt;=COUNTA(半紙!$B$11:$B$310)+COUNTA(条幅!$B$11:$B$310),INDEX(条幅!$H$11:$H$310,878-COUNTA(半紙!$B$11:$B$310)),IF(878&lt;=COUNTA(半紙!$B$11:$B$310)+COUNTA(条幅!$B$11:$B$310)+COUNTA(条幅4分の1!$B$11:$B$310),INDEX(条幅4分の1!$H$11:$H$310,878-COUNTA(半紙!$B$11:$B$310)-COUNTA(条幅!$B$11:$B$310)),"")))=0,"",IF(878&lt;=COUNTA(半紙!$B$11:$B$310),INDEX(半紙!$H$11:$H$310,878),IF(878&lt;=COUNTA(半紙!$B$11:$B$310)+COUNTA(条幅!$B$11:$B$310),INDEX(条幅!$H$11:$H$310,878-COUNTA(半紙!$B$11:$B$310)),IF(878&lt;=COUNTA(半紙!$B$11:$B$310)+COUNTA(条幅!$B$11:$B$310)+COUNTA(条幅4分の1!$B$11:$B$310),INDEX(条幅4分の1!$H$11:$H$310,878-COUNTA(半紙!$B$11:$B$310)-COUNTA(条幅!$B$11:$B$310)),""))))</f>
        <v/>
      </c>
      <c r="I883" s="38" t="str">
        <f>IF(IF(878&lt;=COUNTA(半紙!$B$11:$B$310),INDEX(半紙!$I$11:$I$310,878),IF(878&lt;=COUNTA(半紙!$B$11:$B$310)+COUNTA(条幅!$B$11:$B$310),INDEX(条幅!$I$11:$I$310,878-COUNTA(半紙!$B$11:$B$310)),IF(878&lt;=COUNTA(半紙!$B$11:$B$310)+COUNTA(条幅!$B$11:$B$310)+COUNTA(条幅4分の1!$B$11:$B$310),INDEX(条幅4分の1!$I$11:$I$310,878-COUNTA(半紙!$B$11:$B$310)-COUNTA(条幅!$B$11:$B$310)),"")))=0,"",IF(878&lt;=COUNTA(半紙!$B$11:$B$310),INDEX(半紙!$I$11:$I$310,878),IF(878&lt;=COUNTA(半紙!$B$11:$B$310)+COUNTA(条幅!$B$11:$B$310),INDEX(条幅!$I$11:$I$310,878-COUNTA(半紙!$B$11:$B$310)),IF(878&lt;=COUNTA(半紙!$B$11:$B$310)+COUNTA(条幅!$B$11:$B$310)+COUNTA(条幅4分の1!$B$11:$B$310),INDEX(条幅4分の1!$I$11:$I$310,878-COUNTA(半紙!$B$11:$B$310)-COUNTA(条幅!$B$11:$B$310)),""))))</f>
        <v/>
      </c>
      <c r="J883" s="38" t="str">
        <f>IF(IF(878&lt;=COUNTA(半紙!$B$11:$B$310),INDEX(半紙!$J$11:$J$310,878),IF(878&lt;=COUNTA(半紙!$B$11:$B$310)+COUNTA(条幅!$B$11:$B$310),INDEX(条幅!$J$11:$J$310,878-COUNTA(半紙!$B$11:$B$310)),IF(878&lt;=COUNTA(半紙!$B$11:$B$310)+COUNTA(条幅!$B$11:$B$310)+COUNTA(条幅4分の1!$B$11:$B$310),INDEX(条幅4分の1!$J$11:$J$310,878-COUNTA(半紙!$B$11:$B$310)-COUNTA(条幅!$B$11:$B$310)),"")))=0,"",IF(878&lt;=COUNTA(半紙!$B$11:$B$310),INDEX(半紙!$J$11:$J$310,878),IF(878&lt;=COUNTA(半紙!$B$11:$B$310)+COUNTA(条幅!$B$11:$B$310),INDEX(条幅!$J$11:$J$310,878-COUNTA(半紙!$B$11:$B$310)),IF(878&lt;=COUNTA(半紙!$B$11:$B$310)+COUNTA(条幅!$B$11:$B$310)+COUNTA(条幅4分の1!$B$11:$B$310),INDEX(条幅4分の1!$J$11:$J$310,878-COUNTA(半紙!$B$11:$B$310)-COUNTA(条幅!$B$11:$B$310)),""))))</f>
        <v/>
      </c>
      <c r="K883" s="38" t="str">
        <f>IF(IF(878&lt;=COUNTA(半紙!$B$11:$B$310),INDEX(半紙!$K$11:$K$310,878),IF(878&lt;=COUNTA(半紙!$B$11:$B$310)+COUNTA(条幅!$B$11:$B$310),INDEX(条幅!$K$11:$K$310,878-COUNTA(半紙!$B$11:$B$310)),IF(878&lt;=COUNTA(半紙!$B$11:$B$310)+COUNTA(条幅!$B$11:$B$310)+COUNTA(条幅4分の1!$B$11:$B$310),INDEX(条幅4分の1!$K$11:$K$310,878-COUNTA(半紙!$B$11:$B$310)-COUNTA(条幅!$B$11:$B$310)),"")))=0,"",IF(878&lt;=COUNTA(半紙!$B$11:$B$310),INDEX(半紙!$K$11:$K$310,878),IF(878&lt;=COUNTA(半紙!$B$11:$B$310)+COUNTA(条幅!$B$11:$B$310),INDEX(条幅!$K$11:$K$310,878-COUNTA(半紙!$B$11:$B$310)),IF(878&lt;=COUNTA(半紙!$B$11:$B$310)+COUNTA(条幅!$B$11:$B$310)+COUNTA(条幅4分の1!$B$11:$B$310),INDEX(条幅4分の1!$K$11:$K$310,878-COUNTA(半紙!$B$11:$B$310)-COUNTA(条幅!$B$11:$B$310)),""))))</f>
        <v/>
      </c>
      <c r="L883" s="48" t="str">
        <f>IF($B883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878))</f>
        <v/>
      </c>
    </row>
    <row r="884" spans="1:12" ht="15" customHeight="1">
      <c r="A884" s="37" t="str">
        <f>IF(879&lt;=COUNTA(半紙!$B$11:$B$310),"半紙",IF(879&lt;=COUNTA(半紙!$B$11:$B$310)+COUNTA(条幅!$B$11:$B$310),"条幅(半切)",IF(879&lt;=COUNTA(半紙!$B$11:$B$310)+COUNTA(条幅!$B$11:$B$310)+COUNTA(条幅4分の1!$B$11:$B$310),"条幅(1/4)","")))</f>
        <v/>
      </c>
      <c r="B884" s="38" t="str">
        <f>IF(IF(879&lt;=COUNTA(半紙!$B$11:$B$310),INDEX(半紙!$B$11:$B$310,879),IF(879&lt;=COUNTA(半紙!$B$11:$B$310)+COUNTA(条幅!$B$11:$B$310),INDEX(条幅!$B$11:$B$310,879-COUNTA(半紙!$B$11:$B$310)),IF(879&lt;=COUNTA(半紙!$B$11:$B$310)+COUNTA(条幅!$B$11:$B$310)+COUNTA(条幅4分の1!$B$11:$B$310),INDEX(条幅4分の1!$B$11:$B$310,879-COUNTA(半紙!$B$11:$B$310)-COUNTA(条幅!$B$11:$B$310)),"")))=0,"",IF(879&lt;=COUNTA(半紙!$B$11:$B$310),INDEX(半紙!$B$11:$B$310,879),IF(879&lt;=COUNTA(半紙!$B$11:$B$310)+COUNTA(条幅!$B$11:$B$310),INDEX(条幅!$B$11:$B$310,879-COUNTA(半紙!$B$11:$B$310)),IF(879&lt;=COUNTA(半紙!$B$11:$B$310)+COUNTA(条幅!$B$11:$B$310)+COUNTA(条幅4分の1!$B$11:$B$310),INDEX(条幅4分の1!$B$11:$B$310,879-COUNTA(半紙!$B$11:$B$310)-COUNTA(条幅!$B$11:$B$310)),""))))</f>
        <v/>
      </c>
      <c r="C884" s="38" t="str">
        <f>IF(IF(879&lt;=COUNTA(半紙!$B$11:$B$310),INDEX(半紙!$C$11:$C$310,879),IF(879&lt;=COUNTA(半紙!$B$11:$B$310)+COUNTA(条幅!$B$11:$B$310),INDEX(条幅!$C$11:$C$310,879-COUNTA(半紙!$B$11:$B$310)),IF(879&lt;=COUNTA(半紙!$B$11:$B$310)+COUNTA(条幅!$B$11:$B$310)+COUNTA(条幅4分の1!$B$11:$B$310),INDEX(条幅4分の1!$C$11:$C$310,879-COUNTA(半紙!$B$11:$B$310)-COUNTA(条幅!$B$11:$B$310)),"")))=0,"",IF(879&lt;=COUNTA(半紙!$B$11:$B$310),INDEX(半紙!$C$11:$C$310,879),IF(879&lt;=COUNTA(半紙!$B$11:$B$310)+COUNTA(条幅!$B$11:$B$310),INDEX(条幅!$C$11:$C$310,879-COUNTA(半紙!$B$11:$B$310)),IF(879&lt;=COUNTA(半紙!$B$11:$B$310)+COUNTA(条幅!$B$11:$B$310)+COUNTA(条幅4分の1!$B$11:$B$310),INDEX(条幅4分の1!$C$11:$C$310,879-COUNTA(半紙!$B$11:$B$310)-COUNTA(条幅!$B$11:$B$310)),""))))</f>
        <v/>
      </c>
      <c r="D884" s="38" t="str">
        <f>IF(IF(879&lt;=COUNTA(半紙!$B$11:$B$310),INDEX(半紙!$D$11:$D$310,879),IF(879&lt;=COUNTA(半紙!$B$11:$B$310)+COUNTA(条幅!$B$11:$B$310),INDEX(条幅!$D$11:$D$310,879-COUNTA(半紙!$B$11:$B$310)),IF(879&lt;=COUNTA(半紙!$B$11:$B$310)+COUNTA(条幅!$B$11:$B$310)+COUNTA(条幅4分の1!$B$11:$B$310),INDEX(条幅4分の1!$D$11:$D$310,879-COUNTA(半紙!$B$11:$B$310)-COUNTA(条幅!$B$11:$B$310)),"")))=0,"",IF(879&lt;=COUNTA(半紙!$B$11:$B$310),INDEX(半紙!$D$11:$D$310,879),IF(879&lt;=COUNTA(半紙!$B$11:$B$310)+COUNTA(条幅!$B$11:$B$310),INDEX(条幅!$D$11:$D$310,879-COUNTA(半紙!$B$11:$B$310)),IF(879&lt;=COUNTA(半紙!$B$11:$B$310)+COUNTA(条幅!$B$11:$B$310)+COUNTA(条幅4分の1!$B$11:$B$310),INDEX(条幅4分の1!$D$11:$D$310,879-COUNTA(半紙!$B$11:$B$310)-COUNTA(条幅!$B$11:$B$310)),""))))</f>
        <v/>
      </c>
      <c r="E884" s="38" t="str">
        <f>IF(IF(879&lt;=COUNTA(半紙!$B$11:$B$310),INDEX(半紙!$E$11:$E$310,879),IF(879&lt;=COUNTA(半紙!$B$11:$B$310)+COUNTA(条幅!$B$11:$B$310),INDEX(条幅!$E$11:$E$310,879-COUNTA(半紙!$B$11:$B$310)),IF(879&lt;=COUNTA(半紙!$B$11:$B$310)+COUNTA(条幅!$B$11:$B$310)+COUNTA(条幅4分の1!$B$11:$B$310),INDEX(条幅4分の1!$E$11:$E$310,879-COUNTA(半紙!$B$11:$B$310)-COUNTA(条幅!$B$11:$B$310)),"")))=0,"",IF(879&lt;=COUNTA(半紙!$B$11:$B$310),INDEX(半紙!$E$11:$E$310,879),IF(879&lt;=COUNTA(半紙!$B$11:$B$310)+COUNTA(条幅!$B$11:$B$310),INDEX(条幅!$E$11:$E$310,879-COUNTA(半紙!$B$11:$B$310)),IF(879&lt;=COUNTA(半紙!$B$11:$B$310)+COUNTA(条幅!$B$11:$B$310)+COUNTA(条幅4分の1!$B$11:$B$310),INDEX(条幅4分の1!$E$11:$E$310,879-COUNTA(半紙!$B$11:$B$310)-COUNTA(条幅!$B$11:$B$310)),""))))</f>
        <v/>
      </c>
      <c r="F884" s="38" t="str">
        <f>IF(IF(879&lt;=COUNTA(半紙!$B$11:$B$310),INDEX(半紙!$F$11:$F$310,879),IF(879&lt;=COUNTA(半紙!$B$11:$B$310)+COUNTA(条幅!$B$11:$B$310),INDEX(条幅!$F$11:$F$310,879-COUNTA(半紙!$B$11:$B$310)),IF(879&lt;=COUNTA(半紙!$B$11:$B$310)+COUNTA(条幅!$B$11:$B$310)+COUNTA(条幅4分の1!$B$11:$B$310),INDEX(条幅4分の1!$F$11:$F$310,879-COUNTA(半紙!$B$11:$B$310)-COUNTA(条幅!$B$11:$B$310)),"")))=0,"",IF(879&lt;=COUNTA(半紙!$B$11:$B$310),INDEX(半紙!$F$11:$F$310,879),IF(879&lt;=COUNTA(半紙!$B$11:$B$310)+COUNTA(条幅!$B$11:$B$310),INDEX(条幅!$F$11:$F$310,879-COUNTA(半紙!$B$11:$B$310)),IF(879&lt;=COUNTA(半紙!$B$11:$B$310)+COUNTA(条幅!$B$11:$B$310)+COUNTA(条幅4分の1!$B$11:$B$310),INDEX(条幅4分の1!$F$11:$F$310,879-COUNTA(半紙!$B$11:$B$310)-COUNTA(条幅!$B$11:$B$310)),""))))</f>
        <v/>
      </c>
      <c r="G884" s="38" t="str">
        <f>IF(IF(879&lt;=COUNTA(半紙!$B$11:$B$310),INDEX(半紙!$G$11:$G$310,879),IF(879&lt;=COUNTA(半紙!$B$11:$B$310)+COUNTA(条幅!$B$11:$B$310),INDEX(条幅!$G$11:$G$310,879-COUNTA(半紙!$B$11:$B$310)),IF(879&lt;=COUNTA(半紙!$B$11:$B$310)+COUNTA(条幅!$B$11:$B$310)+COUNTA(条幅4分の1!$B$11:$B$310),INDEX(条幅4分の1!$G$11:$G$310,879-COUNTA(半紙!$B$11:$B$310)-COUNTA(条幅!$B$11:$B$310)),"")))=0,"",IF(879&lt;=COUNTA(半紙!$B$11:$B$310),INDEX(半紙!$G$11:$G$310,879),IF(879&lt;=COUNTA(半紙!$B$11:$B$310)+COUNTA(条幅!$B$11:$B$310),INDEX(条幅!$G$11:$G$310,879-COUNTA(半紙!$B$11:$B$310)),IF(879&lt;=COUNTA(半紙!$B$11:$B$310)+COUNTA(条幅!$B$11:$B$310)+COUNTA(条幅4分の1!$B$11:$B$310),INDEX(条幅4分の1!$G$11:$G$310,879-COUNTA(半紙!$B$11:$B$310)-COUNTA(条幅!$B$11:$B$310)),""))))</f>
        <v/>
      </c>
      <c r="H884" s="38" t="str">
        <f>IF(IF(879&lt;=COUNTA(半紙!$B$11:$B$310),INDEX(半紙!$H$11:$H$310,879),IF(879&lt;=COUNTA(半紙!$B$11:$B$310)+COUNTA(条幅!$B$11:$B$310),INDEX(条幅!$H$11:$H$310,879-COUNTA(半紙!$B$11:$B$310)),IF(879&lt;=COUNTA(半紙!$B$11:$B$310)+COUNTA(条幅!$B$11:$B$310)+COUNTA(条幅4分の1!$B$11:$B$310),INDEX(条幅4分の1!$H$11:$H$310,879-COUNTA(半紙!$B$11:$B$310)-COUNTA(条幅!$B$11:$B$310)),"")))=0,"",IF(879&lt;=COUNTA(半紙!$B$11:$B$310),INDEX(半紙!$H$11:$H$310,879),IF(879&lt;=COUNTA(半紙!$B$11:$B$310)+COUNTA(条幅!$B$11:$B$310),INDEX(条幅!$H$11:$H$310,879-COUNTA(半紙!$B$11:$B$310)),IF(879&lt;=COUNTA(半紙!$B$11:$B$310)+COUNTA(条幅!$B$11:$B$310)+COUNTA(条幅4分の1!$B$11:$B$310),INDEX(条幅4分の1!$H$11:$H$310,879-COUNTA(半紙!$B$11:$B$310)-COUNTA(条幅!$B$11:$B$310)),""))))</f>
        <v/>
      </c>
      <c r="I884" s="38" t="str">
        <f>IF(IF(879&lt;=COUNTA(半紙!$B$11:$B$310),INDEX(半紙!$I$11:$I$310,879),IF(879&lt;=COUNTA(半紙!$B$11:$B$310)+COUNTA(条幅!$B$11:$B$310),INDEX(条幅!$I$11:$I$310,879-COUNTA(半紙!$B$11:$B$310)),IF(879&lt;=COUNTA(半紙!$B$11:$B$310)+COUNTA(条幅!$B$11:$B$310)+COUNTA(条幅4分の1!$B$11:$B$310),INDEX(条幅4分の1!$I$11:$I$310,879-COUNTA(半紙!$B$11:$B$310)-COUNTA(条幅!$B$11:$B$310)),"")))=0,"",IF(879&lt;=COUNTA(半紙!$B$11:$B$310),INDEX(半紙!$I$11:$I$310,879),IF(879&lt;=COUNTA(半紙!$B$11:$B$310)+COUNTA(条幅!$B$11:$B$310),INDEX(条幅!$I$11:$I$310,879-COUNTA(半紙!$B$11:$B$310)),IF(879&lt;=COUNTA(半紙!$B$11:$B$310)+COUNTA(条幅!$B$11:$B$310)+COUNTA(条幅4分の1!$B$11:$B$310),INDEX(条幅4分の1!$I$11:$I$310,879-COUNTA(半紙!$B$11:$B$310)-COUNTA(条幅!$B$11:$B$310)),""))))</f>
        <v/>
      </c>
      <c r="J884" s="38" t="str">
        <f>IF(IF(879&lt;=COUNTA(半紙!$B$11:$B$310),INDEX(半紙!$J$11:$J$310,879),IF(879&lt;=COUNTA(半紙!$B$11:$B$310)+COUNTA(条幅!$B$11:$B$310),INDEX(条幅!$J$11:$J$310,879-COUNTA(半紙!$B$11:$B$310)),IF(879&lt;=COUNTA(半紙!$B$11:$B$310)+COUNTA(条幅!$B$11:$B$310)+COUNTA(条幅4分の1!$B$11:$B$310),INDEX(条幅4分の1!$J$11:$J$310,879-COUNTA(半紙!$B$11:$B$310)-COUNTA(条幅!$B$11:$B$310)),"")))=0,"",IF(879&lt;=COUNTA(半紙!$B$11:$B$310),INDEX(半紙!$J$11:$J$310,879),IF(879&lt;=COUNTA(半紙!$B$11:$B$310)+COUNTA(条幅!$B$11:$B$310),INDEX(条幅!$J$11:$J$310,879-COUNTA(半紙!$B$11:$B$310)),IF(879&lt;=COUNTA(半紙!$B$11:$B$310)+COUNTA(条幅!$B$11:$B$310)+COUNTA(条幅4分の1!$B$11:$B$310),INDEX(条幅4分の1!$J$11:$J$310,879-COUNTA(半紙!$B$11:$B$310)-COUNTA(条幅!$B$11:$B$310)),""))))</f>
        <v/>
      </c>
      <c r="K884" s="38" t="str">
        <f>IF(IF(879&lt;=COUNTA(半紙!$B$11:$B$310),INDEX(半紙!$K$11:$K$310,879),IF(879&lt;=COUNTA(半紙!$B$11:$B$310)+COUNTA(条幅!$B$11:$B$310),INDEX(条幅!$K$11:$K$310,879-COUNTA(半紙!$B$11:$B$310)),IF(879&lt;=COUNTA(半紙!$B$11:$B$310)+COUNTA(条幅!$B$11:$B$310)+COUNTA(条幅4分の1!$B$11:$B$310),INDEX(条幅4分の1!$K$11:$K$310,879-COUNTA(半紙!$B$11:$B$310)-COUNTA(条幅!$B$11:$B$310)),"")))=0,"",IF(879&lt;=COUNTA(半紙!$B$11:$B$310),INDEX(半紙!$K$11:$K$310,879),IF(879&lt;=COUNTA(半紙!$B$11:$B$310)+COUNTA(条幅!$B$11:$B$310),INDEX(条幅!$K$11:$K$310,879-COUNTA(半紙!$B$11:$B$310)),IF(879&lt;=COUNTA(半紙!$B$11:$B$310)+COUNTA(条幅!$B$11:$B$310)+COUNTA(条幅4分の1!$B$11:$B$310),INDEX(条幅4分の1!$K$11:$K$310,879-COUNTA(半紙!$B$11:$B$310)-COUNTA(条幅!$B$11:$B$310)),""))))</f>
        <v/>
      </c>
      <c r="L884" s="48" t="str">
        <f>IF($B884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879))</f>
        <v/>
      </c>
    </row>
    <row r="885" spans="1:12" ht="15" customHeight="1">
      <c r="A885" s="37" t="str">
        <f>IF(880&lt;=COUNTA(半紙!$B$11:$B$310),"半紙",IF(880&lt;=COUNTA(半紙!$B$11:$B$310)+COUNTA(条幅!$B$11:$B$310),"条幅(半切)",IF(880&lt;=COUNTA(半紙!$B$11:$B$310)+COUNTA(条幅!$B$11:$B$310)+COUNTA(条幅4分の1!$B$11:$B$310),"条幅(1/4)","")))</f>
        <v/>
      </c>
      <c r="B885" s="38" t="str">
        <f>IF(IF(880&lt;=COUNTA(半紙!$B$11:$B$310),INDEX(半紙!$B$11:$B$310,880),IF(880&lt;=COUNTA(半紙!$B$11:$B$310)+COUNTA(条幅!$B$11:$B$310),INDEX(条幅!$B$11:$B$310,880-COUNTA(半紙!$B$11:$B$310)),IF(880&lt;=COUNTA(半紙!$B$11:$B$310)+COUNTA(条幅!$B$11:$B$310)+COUNTA(条幅4分の1!$B$11:$B$310),INDEX(条幅4分の1!$B$11:$B$310,880-COUNTA(半紙!$B$11:$B$310)-COUNTA(条幅!$B$11:$B$310)),"")))=0,"",IF(880&lt;=COUNTA(半紙!$B$11:$B$310),INDEX(半紙!$B$11:$B$310,880),IF(880&lt;=COUNTA(半紙!$B$11:$B$310)+COUNTA(条幅!$B$11:$B$310),INDEX(条幅!$B$11:$B$310,880-COUNTA(半紙!$B$11:$B$310)),IF(880&lt;=COUNTA(半紙!$B$11:$B$310)+COUNTA(条幅!$B$11:$B$310)+COUNTA(条幅4分の1!$B$11:$B$310),INDEX(条幅4分の1!$B$11:$B$310,880-COUNTA(半紙!$B$11:$B$310)-COUNTA(条幅!$B$11:$B$310)),""))))</f>
        <v/>
      </c>
      <c r="C885" s="38" t="str">
        <f>IF(IF(880&lt;=COUNTA(半紙!$B$11:$B$310),INDEX(半紙!$C$11:$C$310,880),IF(880&lt;=COUNTA(半紙!$B$11:$B$310)+COUNTA(条幅!$B$11:$B$310),INDEX(条幅!$C$11:$C$310,880-COUNTA(半紙!$B$11:$B$310)),IF(880&lt;=COUNTA(半紙!$B$11:$B$310)+COUNTA(条幅!$B$11:$B$310)+COUNTA(条幅4分の1!$B$11:$B$310),INDEX(条幅4分の1!$C$11:$C$310,880-COUNTA(半紙!$B$11:$B$310)-COUNTA(条幅!$B$11:$B$310)),"")))=0,"",IF(880&lt;=COUNTA(半紙!$B$11:$B$310),INDEX(半紙!$C$11:$C$310,880),IF(880&lt;=COUNTA(半紙!$B$11:$B$310)+COUNTA(条幅!$B$11:$B$310),INDEX(条幅!$C$11:$C$310,880-COUNTA(半紙!$B$11:$B$310)),IF(880&lt;=COUNTA(半紙!$B$11:$B$310)+COUNTA(条幅!$B$11:$B$310)+COUNTA(条幅4分の1!$B$11:$B$310),INDEX(条幅4分の1!$C$11:$C$310,880-COUNTA(半紙!$B$11:$B$310)-COUNTA(条幅!$B$11:$B$310)),""))))</f>
        <v/>
      </c>
      <c r="D885" s="38" t="str">
        <f>IF(IF(880&lt;=COUNTA(半紙!$B$11:$B$310),INDEX(半紙!$D$11:$D$310,880),IF(880&lt;=COUNTA(半紙!$B$11:$B$310)+COUNTA(条幅!$B$11:$B$310),INDEX(条幅!$D$11:$D$310,880-COUNTA(半紙!$B$11:$B$310)),IF(880&lt;=COUNTA(半紙!$B$11:$B$310)+COUNTA(条幅!$B$11:$B$310)+COUNTA(条幅4分の1!$B$11:$B$310),INDEX(条幅4分の1!$D$11:$D$310,880-COUNTA(半紙!$B$11:$B$310)-COUNTA(条幅!$B$11:$B$310)),"")))=0,"",IF(880&lt;=COUNTA(半紙!$B$11:$B$310),INDEX(半紙!$D$11:$D$310,880),IF(880&lt;=COUNTA(半紙!$B$11:$B$310)+COUNTA(条幅!$B$11:$B$310),INDEX(条幅!$D$11:$D$310,880-COUNTA(半紙!$B$11:$B$310)),IF(880&lt;=COUNTA(半紙!$B$11:$B$310)+COUNTA(条幅!$B$11:$B$310)+COUNTA(条幅4分の1!$B$11:$B$310),INDEX(条幅4分の1!$D$11:$D$310,880-COUNTA(半紙!$B$11:$B$310)-COUNTA(条幅!$B$11:$B$310)),""))))</f>
        <v/>
      </c>
      <c r="E885" s="38" t="str">
        <f>IF(IF(880&lt;=COUNTA(半紙!$B$11:$B$310),INDEX(半紙!$E$11:$E$310,880),IF(880&lt;=COUNTA(半紙!$B$11:$B$310)+COUNTA(条幅!$B$11:$B$310),INDEX(条幅!$E$11:$E$310,880-COUNTA(半紙!$B$11:$B$310)),IF(880&lt;=COUNTA(半紙!$B$11:$B$310)+COUNTA(条幅!$B$11:$B$310)+COUNTA(条幅4分の1!$B$11:$B$310),INDEX(条幅4分の1!$E$11:$E$310,880-COUNTA(半紙!$B$11:$B$310)-COUNTA(条幅!$B$11:$B$310)),"")))=0,"",IF(880&lt;=COUNTA(半紙!$B$11:$B$310),INDEX(半紙!$E$11:$E$310,880),IF(880&lt;=COUNTA(半紙!$B$11:$B$310)+COUNTA(条幅!$B$11:$B$310),INDEX(条幅!$E$11:$E$310,880-COUNTA(半紙!$B$11:$B$310)),IF(880&lt;=COUNTA(半紙!$B$11:$B$310)+COUNTA(条幅!$B$11:$B$310)+COUNTA(条幅4分の1!$B$11:$B$310),INDEX(条幅4分の1!$E$11:$E$310,880-COUNTA(半紙!$B$11:$B$310)-COUNTA(条幅!$B$11:$B$310)),""))))</f>
        <v/>
      </c>
      <c r="F885" s="38" t="str">
        <f>IF(IF(880&lt;=COUNTA(半紙!$B$11:$B$310),INDEX(半紙!$F$11:$F$310,880),IF(880&lt;=COUNTA(半紙!$B$11:$B$310)+COUNTA(条幅!$B$11:$B$310),INDEX(条幅!$F$11:$F$310,880-COUNTA(半紙!$B$11:$B$310)),IF(880&lt;=COUNTA(半紙!$B$11:$B$310)+COUNTA(条幅!$B$11:$B$310)+COUNTA(条幅4分の1!$B$11:$B$310),INDEX(条幅4分の1!$F$11:$F$310,880-COUNTA(半紙!$B$11:$B$310)-COUNTA(条幅!$B$11:$B$310)),"")))=0,"",IF(880&lt;=COUNTA(半紙!$B$11:$B$310),INDEX(半紙!$F$11:$F$310,880),IF(880&lt;=COUNTA(半紙!$B$11:$B$310)+COUNTA(条幅!$B$11:$B$310),INDEX(条幅!$F$11:$F$310,880-COUNTA(半紙!$B$11:$B$310)),IF(880&lt;=COUNTA(半紙!$B$11:$B$310)+COUNTA(条幅!$B$11:$B$310)+COUNTA(条幅4分の1!$B$11:$B$310),INDEX(条幅4分の1!$F$11:$F$310,880-COUNTA(半紙!$B$11:$B$310)-COUNTA(条幅!$B$11:$B$310)),""))))</f>
        <v/>
      </c>
      <c r="G885" s="38" t="str">
        <f>IF(IF(880&lt;=COUNTA(半紙!$B$11:$B$310),INDEX(半紙!$G$11:$G$310,880),IF(880&lt;=COUNTA(半紙!$B$11:$B$310)+COUNTA(条幅!$B$11:$B$310),INDEX(条幅!$G$11:$G$310,880-COUNTA(半紙!$B$11:$B$310)),IF(880&lt;=COUNTA(半紙!$B$11:$B$310)+COUNTA(条幅!$B$11:$B$310)+COUNTA(条幅4分の1!$B$11:$B$310),INDEX(条幅4分の1!$G$11:$G$310,880-COUNTA(半紙!$B$11:$B$310)-COUNTA(条幅!$B$11:$B$310)),"")))=0,"",IF(880&lt;=COUNTA(半紙!$B$11:$B$310),INDEX(半紙!$G$11:$G$310,880),IF(880&lt;=COUNTA(半紙!$B$11:$B$310)+COUNTA(条幅!$B$11:$B$310),INDEX(条幅!$G$11:$G$310,880-COUNTA(半紙!$B$11:$B$310)),IF(880&lt;=COUNTA(半紙!$B$11:$B$310)+COUNTA(条幅!$B$11:$B$310)+COUNTA(条幅4分の1!$B$11:$B$310),INDEX(条幅4分の1!$G$11:$G$310,880-COUNTA(半紙!$B$11:$B$310)-COUNTA(条幅!$B$11:$B$310)),""))))</f>
        <v/>
      </c>
      <c r="H885" s="38" t="str">
        <f>IF(IF(880&lt;=COUNTA(半紙!$B$11:$B$310),INDEX(半紙!$H$11:$H$310,880),IF(880&lt;=COUNTA(半紙!$B$11:$B$310)+COUNTA(条幅!$B$11:$B$310),INDEX(条幅!$H$11:$H$310,880-COUNTA(半紙!$B$11:$B$310)),IF(880&lt;=COUNTA(半紙!$B$11:$B$310)+COUNTA(条幅!$B$11:$B$310)+COUNTA(条幅4分の1!$B$11:$B$310),INDEX(条幅4分の1!$H$11:$H$310,880-COUNTA(半紙!$B$11:$B$310)-COUNTA(条幅!$B$11:$B$310)),"")))=0,"",IF(880&lt;=COUNTA(半紙!$B$11:$B$310),INDEX(半紙!$H$11:$H$310,880),IF(880&lt;=COUNTA(半紙!$B$11:$B$310)+COUNTA(条幅!$B$11:$B$310),INDEX(条幅!$H$11:$H$310,880-COUNTA(半紙!$B$11:$B$310)),IF(880&lt;=COUNTA(半紙!$B$11:$B$310)+COUNTA(条幅!$B$11:$B$310)+COUNTA(条幅4分の1!$B$11:$B$310),INDEX(条幅4分の1!$H$11:$H$310,880-COUNTA(半紙!$B$11:$B$310)-COUNTA(条幅!$B$11:$B$310)),""))))</f>
        <v/>
      </c>
      <c r="I885" s="38" t="str">
        <f>IF(IF(880&lt;=COUNTA(半紙!$B$11:$B$310),INDEX(半紙!$I$11:$I$310,880),IF(880&lt;=COUNTA(半紙!$B$11:$B$310)+COUNTA(条幅!$B$11:$B$310),INDEX(条幅!$I$11:$I$310,880-COUNTA(半紙!$B$11:$B$310)),IF(880&lt;=COUNTA(半紙!$B$11:$B$310)+COUNTA(条幅!$B$11:$B$310)+COUNTA(条幅4分の1!$B$11:$B$310),INDEX(条幅4分の1!$I$11:$I$310,880-COUNTA(半紙!$B$11:$B$310)-COUNTA(条幅!$B$11:$B$310)),"")))=0,"",IF(880&lt;=COUNTA(半紙!$B$11:$B$310),INDEX(半紙!$I$11:$I$310,880),IF(880&lt;=COUNTA(半紙!$B$11:$B$310)+COUNTA(条幅!$B$11:$B$310),INDEX(条幅!$I$11:$I$310,880-COUNTA(半紙!$B$11:$B$310)),IF(880&lt;=COUNTA(半紙!$B$11:$B$310)+COUNTA(条幅!$B$11:$B$310)+COUNTA(条幅4分の1!$B$11:$B$310),INDEX(条幅4分の1!$I$11:$I$310,880-COUNTA(半紙!$B$11:$B$310)-COUNTA(条幅!$B$11:$B$310)),""))))</f>
        <v/>
      </c>
      <c r="J885" s="38" t="str">
        <f>IF(IF(880&lt;=COUNTA(半紙!$B$11:$B$310),INDEX(半紙!$J$11:$J$310,880),IF(880&lt;=COUNTA(半紙!$B$11:$B$310)+COUNTA(条幅!$B$11:$B$310),INDEX(条幅!$J$11:$J$310,880-COUNTA(半紙!$B$11:$B$310)),IF(880&lt;=COUNTA(半紙!$B$11:$B$310)+COUNTA(条幅!$B$11:$B$310)+COUNTA(条幅4分の1!$B$11:$B$310),INDEX(条幅4分の1!$J$11:$J$310,880-COUNTA(半紙!$B$11:$B$310)-COUNTA(条幅!$B$11:$B$310)),"")))=0,"",IF(880&lt;=COUNTA(半紙!$B$11:$B$310),INDEX(半紙!$J$11:$J$310,880),IF(880&lt;=COUNTA(半紙!$B$11:$B$310)+COUNTA(条幅!$B$11:$B$310),INDEX(条幅!$J$11:$J$310,880-COUNTA(半紙!$B$11:$B$310)),IF(880&lt;=COUNTA(半紙!$B$11:$B$310)+COUNTA(条幅!$B$11:$B$310)+COUNTA(条幅4分の1!$B$11:$B$310),INDEX(条幅4分の1!$J$11:$J$310,880-COUNTA(半紙!$B$11:$B$310)-COUNTA(条幅!$B$11:$B$310)),""))))</f>
        <v/>
      </c>
      <c r="K885" s="38" t="str">
        <f>IF(IF(880&lt;=COUNTA(半紙!$B$11:$B$310),INDEX(半紙!$K$11:$K$310,880),IF(880&lt;=COUNTA(半紙!$B$11:$B$310)+COUNTA(条幅!$B$11:$B$310),INDEX(条幅!$K$11:$K$310,880-COUNTA(半紙!$B$11:$B$310)),IF(880&lt;=COUNTA(半紙!$B$11:$B$310)+COUNTA(条幅!$B$11:$B$310)+COUNTA(条幅4分の1!$B$11:$B$310),INDEX(条幅4分の1!$K$11:$K$310,880-COUNTA(半紙!$B$11:$B$310)-COUNTA(条幅!$B$11:$B$310)),"")))=0,"",IF(880&lt;=COUNTA(半紙!$B$11:$B$310),INDEX(半紙!$K$11:$K$310,880),IF(880&lt;=COUNTA(半紙!$B$11:$B$310)+COUNTA(条幅!$B$11:$B$310),INDEX(条幅!$K$11:$K$310,880-COUNTA(半紙!$B$11:$B$310)),IF(880&lt;=COUNTA(半紙!$B$11:$B$310)+COUNTA(条幅!$B$11:$B$310)+COUNTA(条幅4分の1!$B$11:$B$310),INDEX(条幅4分の1!$K$11:$K$310,880-COUNTA(半紙!$B$11:$B$310)-COUNTA(条幅!$B$11:$B$310)),""))))</f>
        <v/>
      </c>
      <c r="L885" s="48" t="str">
        <f>IF($B885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880))</f>
        <v/>
      </c>
    </row>
    <row r="886" spans="1:12" ht="15" customHeight="1">
      <c r="A886" s="37" t="str">
        <f>IF(881&lt;=COUNTA(半紙!$B$11:$B$310),"半紙",IF(881&lt;=COUNTA(半紙!$B$11:$B$310)+COUNTA(条幅!$B$11:$B$310),"条幅(半切)",IF(881&lt;=COUNTA(半紙!$B$11:$B$310)+COUNTA(条幅!$B$11:$B$310)+COUNTA(条幅4分の1!$B$11:$B$310),"条幅(1/4)","")))</f>
        <v/>
      </c>
      <c r="B886" s="38" t="str">
        <f>IF(IF(881&lt;=COUNTA(半紙!$B$11:$B$310),INDEX(半紙!$B$11:$B$310,881),IF(881&lt;=COUNTA(半紙!$B$11:$B$310)+COUNTA(条幅!$B$11:$B$310),INDEX(条幅!$B$11:$B$310,881-COUNTA(半紙!$B$11:$B$310)),IF(881&lt;=COUNTA(半紙!$B$11:$B$310)+COUNTA(条幅!$B$11:$B$310)+COUNTA(条幅4分の1!$B$11:$B$310),INDEX(条幅4分の1!$B$11:$B$310,881-COUNTA(半紙!$B$11:$B$310)-COUNTA(条幅!$B$11:$B$310)),"")))=0,"",IF(881&lt;=COUNTA(半紙!$B$11:$B$310),INDEX(半紙!$B$11:$B$310,881),IF(881&lt;=COUNTA(半紙!$B$11:$B$310)+COUNTA(条幅!$B$11:$B$310),INDEX(条幅!$B$11:$B$310,881-COUNTA(半紙!$B$11:$B$310)),IF(881&lt;=COUNTA(半紙!$B$11:$B$310)+COUNTA(条幅!$B$11:$B$310)+COUNTA(条幅4分の1!$B$11:$B$310),INDEX(条幅4分の1!$B$11:$B$310,881-COUNTA(半紙!$B$11:$B$310)-COUNTA(条幅!$B$11:$B$310)),""))))</f>
        <v/>
      </c>
      <c r="C886" s="38" t="str">
        <f>IF(IF(881&lt;=COUNTA(半紙!$B$11:$B$310),INDEX(半紙!$C$11:$C$310,881),IF(881&lt;=COUNTA(半紙!$B$11:$B$310)+COUNTA(条幅!$B$11:$B$310),INDEX(条幅!$C$11:$C$310,881-COUNTA(半紙!$B$11:$B$310)),IF(881&lt;=COUNTA(半紙!$B$11:$B$310)+COUNTA(条幅!$B$11:$B$310)+COUNTA(条幅4分の1!$B$11:$B$310),INDEX(条幅4分の1!$C$11:$C$310,881-COUNTA(半紙!$B$11:$B$310)-COUNTA(条幅!$B$11:$B$310)),"")))=0,"",IF(881&lt;=COUNTA(半紙!$B$11:$B$310),INDEX(半紙!$C$11:$C$310,881),IF(881&lt;=COUNTA(半紙!$B$11:$B$310)+COUNTA(条幅!$B$11:$B$310),INDEX(条幅!$C$11:$C$310,881-COUNTA(半紙!$B$11:$B$310)),IF(881&lt;=COUNTA(半紙!$B$11:$B$310)+COUNTA(条幅!$B$11:$B$310)+COUNTA(条幅4分の1!$B$11:$B$310),INDEX(条幅4分の1!$C$11:$C$310,881-COUNTA(半紙!$B$11:$B$310)-COUNTA(条幅!$B$11:$B$310)),""))))</f>
        <v/>
      </c>
      <c r="D886" s="38" t="str">
        <f>IF(IF(881&lt;=COUNTA(半紙!$B$11:$B$310),INDEX(半紙!$D$11:$D$310,881),IF(881&lt;=COUNTA(半紙!$B$11:$B$310)+COUNTA(条幅!$B$11:$B$310),INDEX(条幅!$D$11:$D$310,881-COUNTA(半紙!$B$11:$B$310)),IF(881&lt;=COUNTA(半紙!$B$11:$B$310)+COUNTA(条幅!$B$11:$B$310)+COUNTA(条幅4分の1!$B$11:$B$310),INDEX(条幅4分の1!$D$11:$D$310,881-COUNTA(半紙!$B$11:$B$310)-COUNTA(条幅!$B$11:$B$310)),"")))=0,"",IF(881&lt;=COUNTA(半紙!$B$11:$B$310),INDEX(半紙!$D$11:$D$310,881),IF(881&lt;=COUNTA(半紙!$B$11:$B$310)+COUNTA(条幅!$B$11:$B$310),INDEX(条幅!$D$11:$D$310,881-COUNTA(半紙!$B$11:$B$310)),IF(881&lt;=COUNTA(半紙!$B$11:$B$310)+COUNTA(条幅!$B$11:$B$310)+COUNTA(条幅4分の1!$B$11:$B$310),INDEX(条幅4分の1!$D$11:$D$310,881-COUNTA(半紙!$B$11:$B$310)-COUNTA(条幅!$B$11:$B$310)),""))))</f>
        <v/>
      </c>
      <c r="E886" s="38" t="str">
        <f>IF(IF(881&lt;=COUNTA(半紙!$B$11:$B$310),INDEX(半紙!$E$11:$E$310,881),IF(881&lt;=COUNTA(半紙!$B$11:$B$310)+COUNTA(条幅!$B$11:$B$310),INDEX(条幅!$E$11:$E$310,881-COUNTA(半紙!$B$11:$B$310)),IF(881&lt;=COUNTA(半紙!$B$11:$B$310)+COUNTA(条幅!$B$11:$B$310)+COUNTA(条幅4分の1!$B$11:$B$310),INDEX(条幅4分の1!$E$11:$E$310,881-COUNTA(半紙!$B$11:$B$310)-COUNTA(条幅!$B$11:$B$310)),"")))=0,"",IF(881&lt;=COUNTA(半紙!$B$11:$B$310),INDEX(半紙!$E$11:$E$310,881),IF(881&lt;=COUNTA(半紙!$B$11:$B$310)+COUNTA(条幅!$B$11:$B$310),INDEX(条幅!$E$11:$E$310,881-COUNTA(半紙!$B$11:$B$310)),IF(881&lt;=COUNTA(半紙!$B$11:$B$310)+COUNTA(条幅!$B$11:$B$310)+COUNTA(条幅4分の1!$B$11:$B$310),INDEX(条幅4分の1!$E$11:$E$310,881-COUNTA(半紙!$B$11:$B$310)-COUNTA(条幅!$B$11:$B$310)),""))))</f>
        <v/>
      </c>
      <c r="F886" s="38" t="str">
        <f>IF(IF(881&lt;=COUNTA(半紙!$B$11:$B$310),INDEX(半紙!$F$11:$F$310,881),IF(881&lt;=COUNTA(半紙!$B$11:$B$310)+COUNTA(条幅!$B$11:$B$310),INDEX(条幅!$F$11:$F$310,881-COUNTA(半紙!$B$11:$B$310)),IF(881&lt;=COUNTA(半紙!$B$11:$B$310)+COUNTA(条幅!$B$11:$B$310)+COUNTA(条幅4分の1!$B$11:$B$310),INDEX(条幅4分の1!$F$11:$F$310,881-COUNTA(半紙!$B$11:$B$310)-COUNTA(条幅!$B$11:$B$310)),"")))=0,"",IF(881&lt;=COUNTA(半紙!$B$11:$B$310),INDEX(半紙!$F$11:$F$310,881),IF(881&lt;=COUNTA(半紙!$B$11:$B$310)+COUNTA(条幅!$B$11:$B$310),INDEX(条幅!$F$11:$F$310,881-COUNTA(半紙!$B$11:$B$310)),IF(881&lt;=COUNTA(半紙!$B$11:$B$310)+COUNTA(条幅!$B$11:$B$310)+COUNTA(条幅4分の1!$B$11:$B$310),INDEX(条幅4分の1!$F$11:$F$310,881-COUNTA(半紙!$B$11:$B$310)-COUNTA(条幅!$B$11:$B$310)),""))))</f>
        <v/>
      </c>
      <c r="G886" s="38" t="str">
        <f>IF(IF(881&lt;=COUNTA(半紙!$B$11:$B$310),INDEX(半紙!$G$11:$G$310,881),IF(881&lt;=COUNTA(半紙!$B$11:$B$310)+COUNTA(条幅!$B$11:$B$310),INDEX(条幅!$G$11:$G$310,881-COUNTA(半紙!$B$11:$B$310)),IF(881&lt;=COUNTA(半紙!$B$11:$B$310)+COUNTA(条幅!$B$11:$B$310)+COUNTA(条幅4分の1!$B$11:$B$310),INDEX(条幅4分の1!$G$11:$G$310,881-COUNTA(半紙!$B$11:$B$310)-COUNTA(条幅!$B$11:$B$310)),"")))=0,"",IF(881&lt;=COUNTA(半紙!$B$11:$B$310),INDEX(半紙!$G$11:$G$310,881),IF(881&lt;=COUNTA(半紙!$B$11:$B$310)+COUNTA(条幅!$B$11:$B$310),INDEX(条幅!$G$11:$G$310,881-COUNTA(半紙!$B$11:$B$310)),IF(881&lt;=COUNTA(半紙!$B$11:$B$310)+COUNTA(条幅!$B$11:$B$310)+COUNTA(条幅4分の1!$B$11:$B$310),INDEX(条幅4分の1!$G$11:$G$310,881-COUNTA(半紙!$B$11:$B$310)-COUNTA(条幅!$B$11:$B$310)),""))))</f>
        <v/>
      </c>
      <c r="H886" s="38" t="str">
        <f>IF(IF(881&lt;=COUNTA(半紙!$B$11:$B$310),INDEX(半紙!$H$11:$H$310,881),IF(881&lt;=COUNTA(半紙!$B$11:$B$310)+COUNTA(条幅!$B$11:$B$310),INDEX(条幅!$H$11:$H$310,881-COUNTA(半紙!$B$11:$B$310)),IF(881&lt;=COUNTA(半紙!$B$11:$B$310)+COUNTA(条幅!$B$11:$B$310)+COUNTA(条幅4分の1!$B$11:$B$310),INDEX(条幅4分の1!$H$11:$H$310,881-COUNTA(半紙!$B$11:$B$310)-COUNTA(条幅!$B$11:$B$310)),"")))=0,"",IF(881&lt;=COUNTA(半紙!$B$11:$B$310),INDEX(半紙!$H$11:$H$310,881),IF(881&lt;=COUNTA(半紙!$B$11:$B$310)+COUNTA(条幅!$B$11:$B$310),INDEX(条幅!$H$11:$H$310,881-COUNTA(半紙!$B$11:$B$310)),IF(881&lt;=COUNTA(半紙!$B$11:$B$310)+COUNTA(条幅!$B$11:$B$310)+COUNTA(条幅4分の1!$B$11:$B$310),INDEX(条幅4分の1!$H$11:$H$310,881-COUNTA(半紙!$B$11:$B$310)-COUNTA(条幅!$B$11:$B$310)),""))))</f>
        <v/>
      </c>
      <c r="I886" s="38" t="str">
        <f>IF(IF(881&lt;=COUNTA(半紙!$B$11:$B$310),INDEX(半紙!$I$11:$I$310,881),IF(881&lt;=COUNTA(半紙!$B$11:$B$310)+COUNTA(条幅!$B$11:$B$310),INDEX(条幅!$I$11:$I$310,881-COUNTA(半紙!$B$11:$B$310)),IF(881&lt;=COUNTA(半紙!$B$11:$B$310)+COUNTA(条幅!$B$11:$B$310)+COUNTA(条幅4分の1!$B$11:$B$310),INDEX(条幅4分の1!$I$11:$I$310,881-COUNTA(半紙!$B$11:$B$310)-COUNTA(条幅!$B$11:$B$310)),"")))=0,"",IF(881&lt;=COUNTA(半紙!$B$11:$B$310),INDEX(半紙!$I$11:$I$310,881),IF(881&lt;=COUNTA(半紙!$B$11:$B$310)+COUNTA(条幅!$B$11:$B$310),INDEX(条幅!$I$11:$I$310,881-COUNTA(半紙!$B$11:$B$310)),IF(881&lt;=COUNTA(半紙!$B$11:$B$310)+COUNTA(条幅!$B$11:$B$310)+COUNTA(条幅4分の1!$B$11:$B$310),INDEX(条幅4分の1!$I$11:$I$310,881-COUNTA(半紙!$B$11:$B$310)-COUNTA(条幅!$B$11:$B$310)),""))))</f>
        <v/>
      </c>
      <c r="J886" s="38" t="str">
        <f>IF(IF(881&lt;=COUNTA(半紙!$B$11:$B$310),INDEX(半紙!$J$11:$J$310,881),IF(881&lt;=COUNTA(半紙!$B$11:$B$310)+COUNTA(条幅!$B$11:$B$310),INDEX(条幅!$J$11:$J$310,881-COUNTA(半紙!$B$11:$B$310)),IF(881&lt;=COUNTA(半紙!$B$11:$B$310)+COUNTA(条幅!$B$11:$B$310)+COUNTA(条幅4分の1!$B$11:$B$310),INDEX(条幅4分の1!$J$11:$J$310,881-COUNTA(半紙!$B$11:$B$310)-COUNTA(条幅!$B$11:$B$310)),"")))=0,"",IF(881&lt;=COUNTA(半紙!$B$11:$B$310),INDEX(半紙!$J$11:$J$310,881),IF(881&lt;=COUNTA(半紙!$B$11:$B$310)+COUNTA(条幅!$B$11:$B$310),INDEX(条幅!$J$11:$J$310,881-COUNTA(半紙!$B$11:$B$310)),IF(881&lt;=COUNTA(半紙!$B$11:$B$310)+COUNTA(条幅!$B$11:$B$310)+COUNTA(条幅4分の1!$B$11:$B$310),INDEX(条幅4分の1!$J$11:$J$310,881-COUNTA(半紙!$B$11:$B$310)-COUNTA(条幅!$B$11:$B$310)),""))))</f>
        <v/>
      </c>
      <c r="K886" s="38" t="str">
        <f>IF(IF(881&lt;=COUNTA(半紙!$B$11:$B$310),INDEX(半紙!$K$11:$K$310,881),IF(881&lt;=COUNTA(半紙!$B$11:$B$310)+COUNTA(条幅!$B$11:$B$310),INDEX(条幅!$K$11:$K$310,881-COUNTA(半紙!$B$11:$B$310)),IF(881&lt;=COUNTA(半紙!$B$11:$B$310)+COUNTA(条幅!$B$11:$B$310)+COUNTA(条幅4分の1!$B$11:$B$310),INDEX(条幅4分の1!$K$11:$K$310,881-COUNTA(半紙!$B$11:$B$310)-COUNTA(条幅!$B$11:$B$310)),"")))=0,"",IF(881&lt;=COUNTA(半紙!$B$11:$B$310),INDEX(半紙!$K$11:$K$310,881),IF(881&lt;=COUNTA(半紙!$B$11:$B$310)+COUNTA(条幅!$B$11:$B$310),INDEX(条幅!$K$11:$K$310,881-COUNTA(半紙!$B$11:$B$310)),IF(881&lt;=COUNTA(半紙!$B$11:$B$310)+COUNTA(条幅!$B$11:$B$310)+COUNTA(条幅4分の1!$B$11:$B$310),INDEX(条幅4分の1!$K$11:$K$310,881-COUNTA(半紙!$B$11:$B$310)-COUNTA(条幅!$B$11:$B$310)),""))))</f>
        <v/>
      </c>
      <c r="L886" s="48" t="str">
        <f>IF($B886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881))</f>
        <v/>
      </c>
    </row>
    <row r="887" spans="1:12" ht="15" customHeight="1">
      <c r="A887" s="37" t="str">
        <f>IF(882&lt;=COUNTA(半紙!$B$11:$B$310),"半紙",IF(882&lt;=COUNTA(半紙!$B$11:$B$310)+COUNTA(条幅!$B$11:$B$310),"条幅(半切)",IF(882&lt;=COUNTA(半紙!$B$11:$B$310)+COUNTA(条幅!$B$11:$B$310)+COUNTA(条幅4分の1!$B$11:$B$310),"条幅(1/4)","")))</f>
        <v/>
      </c>
      <c r="B887" s="38" t="str">
        <f>IF(IF(882&lt;=COUNTA(半紙!$B$11:$B$310),INDEX(半紙!$B$11:$B$310,882),IF(882&lt;=COUNTA(半紙!$B$11:$B$310)+COUNTA(条幅!$B$11:$B$310),INDEX(条幅!$B$11:$B$310,882-COUNTA(半紙!$B$11:$B$310)),IF(882&lt;=COUNTA(半紙!$B$11:$B$310)+COUNTA(条幅!$B$11:$B$310)+COUNTA(条幅4分の1!$B$11:$B$310),INDEX(条幅4分の1!$B$11:$B$310,882-COUNTA(半紙!$B$11:$B$310)-COUNTA(条幅!$B$11:$B$310)),"")))=0,"",IF(882&lt;=COUNTA(半紙!$B$11:$B$310),INDEX(半紙!$B$11:$B$310,882),IF(882&lt;=COUNTA(半紙!$B$11:$B$310)+COUNTA(条幅!$B$11:$B$310),INDEX(条幅!$B$11:$B$310,882-COUNTA(半紙!$B$11:$B$310)),IF(882&lt;=COUNTA(半紙!$B$11:$B$310)+COUNTA(条幅!$B$11:$B$310)+COUNTA(条幅4分の1!$B$11:$B$310),INDEX(条幅4分の1!$B$11:$B$310,882-COUNTA(半紙!$B$11:$B$310)-COUNTA(条幅!$B$11:$B$310)),""))))</f>
        <v/>
      </c>
      <c r="C887" s="38" t="str">
        <f>IF(IF(882&lt;=COUNTA(半紙!$B$11:$B$310),INDEX(半紙!$C$11:$C$310,882),IF(882&lt;=COUNTA(半紙!$B$11:$B$310)+COUNTA(条幅!$B$11:$B$310),INDEX(条幅!$C$11:$C$310,882-COUNTA(半紙!$B$11:$B$310)),IF(882&lt;=COUNTA(半紙!$B$11:$B$310)+COUNTA(条幅!$B$11:$B$310)+COUNTA(条幅4分の1!$B$11:$B$310),INDEX(条幅4分の1!$C$11:$C$310,882-COUNTA(半紙!$B$11:$B$310)-COUNTA(条幅!$B$11:$B$310)),"")))=0,"",IF(882&lt;=COUNTA(半紙!$B$11:$B$310),INDEX(半紙!$C$11:$C$310,882),IF(882&lt;=COUNTA(半紙!$B$11:$B$310)+COUNTA(条幅!$B$11:$B$310),INDEX(条幅!$C$11:$C$310,882-COUNTA(半紙!$B$11:$B$310)),IF(882&lt;=COUNTA(半紙!$B$11:$B$310)+COUNTA(条幅!$B$11:$B$310)+COUNTA(条幅4分の1!$B$11:$B$310),INDEX(条幅4分の1!$C$11:$C$310,882-COUNTA(半紙!$B$11:$B$310)-COUNTA(条幅!$B$11:$B$310)),""))))</f>
        <v/>
      </c>
      <c r="D887" s="38" t="str">
        <f>IF(IF(882&lt;=COUNTA(半紙!$B$11:$B$310),INDEX(半紙!$D$11:$D$310,882),IF(882&lt;=COUNTA(半紙!$B$11:$B$310)+COUNTA(条幅!$B$11:$B$310),INDEX(条幅!$D$11:$D$310,882-COUNTA(半紙!$B$11:$B$310)),IF(882&lt;=COUNTA(半紙!$B$11:$B$310)+COUNTA(条幅!$B$11:$B$310)+COUNTA(条幅4分の1!$B$11:$B$310),INDEX(条幅4分の1!$D$11:$D$310,882-COUNTA(半紙!$B$11:$B$310)-COUNTA(条幅!$B$11:$B$310)),"")))=0,"",IF(882&lt;=COUNTA(半紙!$B$11:$B$310),INDEX(半紙!$D$11:$D$310,882),IF(882&lt;=COUNTA(半紙!$B$11:$B$310)+COUNTA(条幅!$B$11:$B$310),INDEX(条幅!$D$11:$D$310,882-COUNTA(半紙!$B$11:$B$310)),IF(882&lt;=COUNTA(半紙!$B$11:$B$310)+COUNTA(条幅!$B$11:$B$310)+COUNTA(条幅4分の1!$B$11:$B$310),INDEX(条幅4分の1!$D$11:$D$310,882-COUNTA(半紙!$B$11:$B$310)-COUNTA(条幅!$B$11:$B$310)),""))))</f>
        <v/>
      </c>
      <c r="E887" s="38" t="str">
        <f>IF(IF(882&lt;=COUNTA(半紙!$B$11:$B$310),INDEX(半紙!$E$11:$E$310,882),IF(882&lt;=COUNTA(半紙!$B$11:$B$310)+COUNTA(条幅!$B$11:$B$310),INDEX(条幅!$E$11:$E$310,882-COUNTA(半紙!$B$11:$B$310)),IF(882&lt;=COUNTA(半紙!$B$11:$B$310)+COUNTA(条幅!$B$11:$B$310)+COUNTA(条幅4分の1!$B$11:$B$310),INDEX(条幅4分の1!$E$11:$E$310,882-COUNTA(半紙!$B$11:$B$310)-COUNTA(条幅!$B$11:$B$310)),"")))=0,"",IF(882&lt;=COUNTA(半紙!$B$11:$B$310),INDEX(半紙!$E$11:$E$310,882),IF(882&lt;=COUNTA(半紙!$B$11:$B$310)+COUNTA(条幅!$B$11:$B$310),INDEX(条幅!$E$11:$E$310,882-COUNTA(半紙!$B$11:$B$310)),IF(882&lt;=COUNTA(半紙!$B$11:$B$310)+COUNTA(条幅!$B$11:$B$310)+COUNTA(条幅4分の1!$B$11:$B$310),INDEX(条幅4分の1!$E$11:$E$310,882-COUNTA(半紙!$B$11:$B$310)-COUNTA(条幅!$B$11:$B$310)),""))))</f>
        <v/>
      </c>
      <c r="F887" s="38" t="str">
        <f>IF(IF(882&lt;=COUNTA(半紙!$B$11:$B$310),INDEX(半紙!$F$11:$F$310,882),IF(882&lt;=COUNTA(半紙!$B$11:$B$310)+COUNTA(条幅!$B$11:$B$310),INDEX(条幅!$F$11:$F$310,882-COUNTA(半紙!$B$11:$B$310)),IF(882&lt;=COUNTA(半紙!$B$11:$B$310)+COUNTA(条幅!$B$11:$B$310)+COUNTA(条幅4分の1!$B$11:$B$310),INDEX(条幅4分の1!$F$11:$F$310,882-COUNTA(半紙!$B$11:$B$310)-COUNTA(条幅!$B$11:$B$310)),"")))=0,"",IF(882&lt;=COUNTA(半紙!$B$11:$B$310),INDEX(半紙!$F$11:$F$310,882),IF(882&lt;=COUNTA(半紙!$B$11:$B$310)+COUNTA(条幅!$B$11:$B$310),INDEX(条幅!$F$11:$F$310,882-COUNTA(半紙!$B$11:$B$310)),IF(882&lt;=COUNTA(半紙!$B$11:$B$310)+COUNTA(条幅!$B$11:$B$310)+COUNTA(条幅4分の1!$B$11:$B$310),INDEX(条幅4分の1!$F$11:$F$310,882-COUNTA(半紙!$B$11:$B$310)-COUNTA(条幅!$B$11:$B$310)),""))))</f>
        <v/>
      </c>
      <c r="G887" s="38" t="str">
        <f>IF(IF(882&lt;=COUNTA(半紙!$B$11:$B$310),INDEX(半紙!$G$11:$G$310,882),IF(882&lt;=COUNTA(半紙!$B$11:$B$310)+COUNTA(条幅!$B$11:$B$310),INDEX(条幅!$G$11:$G$310,882-COUNTA(半紙!$B$11:$B$310)),IF(882&lt;=COUNTA(半紙!$B$11:$B$310)+COUNTA(条幅!$B$11:$B$310)+COUNTA(条幅4分の1!$B$11:$B$310),INDEX(条幅4分の1!$G$11:$G$310,882-COUNTA(半紙!$B$11:$B$310)-COUNTA(条幅!$B$11:$B$310)),"")))=0,"",IF(882&lt;=COUNTA(半紙!$B$11:$B$310),INDEX(半紙!$G$11:$G$310,882),IF(882&lt;=COUNTA(半紙!$B$11:$B$310)+COUNTA(条幅!$B$11:$B$310),INDEX(条幅!$G$11:$G$310,882-COUNTA(半紙!$B$11:$B$310)),IF(882&lt;=COUNTA(半紙!$B$11:$B$310)+COUNTA(条幅!$B$11:$B$310)+COUNTA(条幅4分の1!$B$11:$B$310),INDEX(条幅4分の1!$G$11:$G$310,882-COUNTA(半紙!$B$11:$B$310)-COUNTA(条幅!$B$11:$B$310)),""))))</f>
        <v/>
      </c>
      <c r="H887" s="38" t="str">
        <f>IF(IF(882&lt;=COUNTA(半紙!$B$11:$B$310),INDEX(半紙!$H$11:$H$310,882),IF(882&lt;=COUNTA(半紙!$B$11:$B$310)+COUNTA(条幅!$B$11:$B$310),INDEX(条幅!$H$11:$H$310,882-COUNTA(半紙!$B$11:$B$310)),IF(882&lt;=COUNTA(半紙!$B$11:$B$310)+COUNTA(条幅!$B$11:$B$310)+COUNTA(条幅4分の1!$B$11:$B$310),INDEX(条幅4分の1!$H$11:$H$310,882-COUNTA(半紙!$B$11:$B$310)-COUNTA(条幅!$B$11:$B$310)),"")))=0,"",IF(882&lt;=COUNTA(半紙!$B$11:$B$310),INDEX(半紙!$H$11:$H$310,882),IF(882&lt;=COUNTA(半紙!$B$11:$B$310)+COUNTA(条幅!$B$11:$B$310),INDEX(条幅!$H$11:$H$310,882-COUNTA(半紙!$B$11:$B$310)),IF(882&lt;=COUNTA(半紙!$B$11:$B$310)+COUNTA(条幅!$B$11:$B$310)+COUNTA(条幅4分の1!$B$11:$B$310),INDEX(条幅4分の1!$H$11:$H$310,882-COUNTA(半紙!$B$11:$B$310)-COUNTA(条幅!$B$11:$B$310)),""))))</f>
        <v/>
      </c>
      <c r="I887" s="38" t="str">
        <f>IF(IF(882&lt;=COUNTA(半紙!$B$11:$B$310),INDEX(半紙!$I$11:$I$310,882),IF(882&lt;=COUNTA(半紙!$B$11:$B$310)+COUNTA(条幅!$B$11:$B$310),INDEX(条幅!$I$11:$I$310,882-COUNTA(半紙!$B$11:$B$310)),IF(882&lt;=COUNTA(半紙!$B$11:$B$310)+COUNTA(条幅!$B$11:$B$310)+COUNTA(条幅4分の1!$B$11:$B$310),INDEX(条幅4分の1!$I$11:$I$310,882-COUNTA(半紙!$B$11:$B$310)-COUNTA(条幅!$B$11:$B$310)),"")))=0,"",IF(882&lt;=COUNTA(半紙!$B$11:$B$310),INDEX(半紙!$I$11:$I$310,882),IF(882&lt;=COUNTA(半紙!$B$11:$B$310)+COUNTA(条幅!$B$11:$B$310),INDEX(条幅!$I$11:$I$310,882-COUNTA(半紙!$B$11:$B$310)),IF(882&lt;=COUNTA(半紙!$B$11:$B$310)+COUNTA(条幅!$B$11:$B$310)+COUNTA(条幅4分の1!$B$11:$B$310),INDEX(条幅4分の1!$I$11:$I$310,882-COUNTA(半紙!$B$11:$B$310)-COUNTA(条幅!$B$11:$B$310)),""))))</f>
        <v/>
      </c>
      <c r="J887" s="38" t="str">
        <f>IF(IF(882&lt;=COUNTA(半紙!$B$11:$B$310),INDEX(半紙!$J$11:$J$310,882),IF(882&lt;=COUNTA(半紙!$B$11:$B$310)+COUNTA(条幅!$B$11:$B$310),INDEX(条幅!$J$11:$J$310,882-COUNTA(半紙!$B$11:$B$310)),IF(882&lt;=COUNTA(半紙!$B$11:$B$310)+COUNTA(条幅!$B$11:$B$310)+COUNTA(条幅4分の1!$B$11:$B$310),INDEX(条幅4分の1!$J$11:$J$310,882-COUNTA(半紙!$B$11:$B$310)-COUNTA(条幅!$B$11:$B$310)),"")))=0,"",IF(882&lt;=COUNTA(半紙!$B$11:$B$310),INDEX(半紙!$J$11:$J$310,882),IF(882&lt;=COUNTA(半紙!$B$11:$B$310)+COUNTA(条幅!$B$11:$B$310),INDEX(条幅!$J$11:$J$310,882-COUNTA(半紙!$B$11:$B$310)),IF(882&lt;=COUNTA(半紙!$B$11:$B$310)+COUNTA(条幅!$B$11:$B$310)+COUNTA(条幅4分の1!$B$11:$B$310),INDEX(条幅4分の1!$J$11:$J$310,882-COUNTA(半紙!$B$11:$B$310)-COUNTA(条幅!$B$11:$B$310)),""))))</f>
        <v/>
      </c>
      <c r="K887" s="38" t="str">
        <f>IF(IF(882&lt;=COUNTA(半紙!$B$11:$B$310),INDEX(半紙!$K$11:$K$310,882),IF(882&lt;=COUNTA(半紙!$B$11:$B$310)+COUNTA(条幅!$B$11:$B$310),INDEX(条幅!$K$11:$K$310,882-COUNTA(半紙!$B$11:$B$310)),IF(882&lt;=COUNTA(半紙!$B$11:$B$310)+COUNTA(条幅!$B$11:$B$310)+COUNTA(条幅4分の1!$B$11:$B$310),INDEX(条幅4分の1!$K$11:$K$310,882-COUNTA(半紙!$B$11:$B$310)-COUNTA(条幅!$B$11:$B$310)),"")))=0,"",IF(882&lt;=COUNTA(半紙!$B$11:$B$310),INDEX(半紙!$K$11:$K$310,882),IF(882&lt;=COUNTA(半紙!$B$11:$B$310)+COUNTA(条幅!$B$11:$B$310),INDEX(条幅!$K$11:$K$310,882-COUNTA(半紙!$B$11:$B$310)),IF(882&lt;=COUNTA(半紙!$B$11:$B$310)+COUNTA(条幅!$B$11:$B$310)+COUNTA(条幅4分の1!$B$11:$B$310),INDEX(条幅4分の1!$K$11:$K$310,882-COUNTA(半紙!$B$11:$B$310)-COUNTA(条幅!$B$11:$B$310)),""))))</f>
        <v/>
      </c>
      <c r="L887" s="48" t="str">
        <f>IF($B887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882))</f>
        <v/>
      </c>
    </row>
    <row r="888" spans="1:12" ht="15" customHeight="1">
      <c r="A888" s="37" t="str">
        <f>IF(883&lt;=COUNTA(半紙!$B$11:$B$310),"半紙",IF(883&lt;=COUNTA(半紙!$B$11:$B$310)+COUNTA(条幅!$B$11:$B$310),"条幅(半切)",IF(883&lt;=COUNTA(半紙!$B$11:$B$310)+COUNTA(条幅!$B$11:$B$310)+COUNTA(条幅4分の1!$B$11:$B$310),"条幅(1/4)","")))</f>
        <v/>
      </c>
      <c r="B888" s="38" t="str">
        <f>IF(IF(883&lt;=COUNTA(半紙!$B$11:$B$310),INDEX(半紙!$B$11:$B$310,883),IF(883&lt;=COUNTA(半紙!$B$11:$B$310)+COUNTA(条幅!$B$11:$B$310),INDEX(条幅!$B$11:$B$310,883-COUNTA(半紙!$B$11:$B$310)),IF(883&lt;=COUNTA(半紙!$B$11:$B$310)+COUNTA(条幅!$B$11:$B$310)+COUNTA(条幅4分の1!$B$11:$B$310),INDEX(条幅4分の1!$B$11:$B$310,883-COUNTA(半紙!$B$11:$B$310)-COUNTA(条幅!$B$11:$B$310)),"")))=0,"",IF(883&lt;=COUNTA(半紙!$B$11:$B$310),INDEX(半紙!$B$11:$B$310,883),IF(883&lt;=COUNTA(半紙!$B$11:$B$310)+COUNTA(条幅!$B$11:$B$310),INDEX(条幅!$B$11:$B$310,883-COUNTA(半紙!$B$11:$B$310)),IF(883&lt;=COUNTA(半紙!$B$11:$B$310)+COUNTA(条幅!$B$11:$B$310)+COUNTA(条幅4分の1!$B$11:$B$310),INDEX(条幅4分の1!$B$11:$B$310,883-COUNTA(半紙!$B$11:$B$310)-COUNTA(条幅!$B$11:$B$310)),""))))</f>
        <v/>
      </c>
      <c r="C888" s="38" t="str">
        <f>IF(IF(883&lt;=COUNTA(半紙!$B$11:$B$310),INDEX(半紙!$C$11:$C$310,883),IF(883&lt;=COUNTA(半紙!$B$11:$B$310)+COUNTA(条幅!$B$11:$B$310),INDEX(条幅!$C$11:$C$310,883-COUNTA(半紙!$B$11:$B$310)),IF(883&lt;=COUNTA(半紙!$B$11:$B$310)+COUNTA(条幅!$B$11:$B$310)+COUNTA(条幅4分の1!$B$11:$B$310),INDEX(条幅4分の1!$C$11:$C$310,883-COUNTA(半紙!$B$11:$B$310)-COUNTA(条幅!$B$11:$B$310)),"")))=0,"",IF(883&lt;=COUNTA(半紙!$B$11:$B$310),INDEX(半紙!$C$11:$C$310,883),IF(883&lt;=COUNTA(半紙!$B$11:$B$310)+COUNTA(条幅!$B$11:$B$310),INDEX(条幅!$C$11:$C$310,883-COUNTA(半紙!$B$11:$B$310)),IF(883&lt;=COUNTA(半紙!$B$11:$B$310)+COUNTA(条幅!$B$11:$B$310)+COUNTA(条幅4分の1!$B$11:$B$310),INDEX(条幅4分の1!$C$11:$C$310,883-COUNTA(半紙!$B$11:$B$310)-COUNTA(条幅!$B$11:$B$310)),""))))</f>
        <v/>
      </c>
      <c r="D888" s="38" t="str">
        <f>IF(IF(883&lt;=COUNTA(半紙!$B$11:$B$310),INDEX(半紙!$D$11:$D$310,883),IF(883&lt;=COUNTA(半紙!$B$11:$B$310)+COUNTA(条幅!$B$11:$B$310),INDEX(条幅!$D$11:$D$310,883-COUNTA(半紙!$B$11:$B$310)),IF(883&lt;=COUNTA(半紙!$B$11:$B$310)+COUNTA(条幅!$B$11:$B$310)+COUNTA(条幅4分の1!$B$11:$B$310),INDEX(条幅4分の1!$D$11:$D$310,883-COUNTA(半紙!$B$11:$B$310)-COUNTA(条幅!$B$11:$B$310)),"")))=0,"",IF(883&lt;=COUNTA(半紙!$B$11:$B$310),INDEX(半紙!$D$11:$D$310,883),IF(883&lt;=COUNTA(半紙!$B$11:$B$310)+COUNTA(条幅!$B$11:$B$310),INDEX(条幅!$D$11:$D$310,883-COUNTA(半紙!$B$11:$B$310)),IF(883&lt;=COUNTA(半紙!$B$11:$B$310)+COUNTA(条幅!$B$11:$B$310)+COUNTA(条幅4分の1!$B$11:$B$310),INDEX(条幅4分の1!$D$11:$D$310,883-COUNTA(半紙!$B$11:$B$310)-COUNTA(条幅!$B$11:$B$310)),""))))</f>
        <v/>
      </c>
      <c r="E888" s="38" t="str">
        <f>IF(IF(883&lt;=COUNTA(半紙!$B$11:$B$310),INDEX(半紙!$E$11:$E$310,883),IF(883&lt;=COUNTA(半紙!$B$11:$B$310)+COUNTA(条幅!$B$11:$B$310),INDEX(条幅!$E$11:$E$310,883-COUNTA(半紙!$B$11:$B$310)),IF(883&lt;=COUNTA(半紙!$B$11:$B$310)+COUNTA(条幅!$B$11:$B$310)+COUNTA(条幅4分の1!$B$11:$B$310),INDEX(条幅4分の1!$E$11:$E$310,883-COUNTA(半紙!$B$11:$B$310)-COUNTA(条幅!$B$11:$B$310)),"")))=0,"",IF(883&lt;=COUNTA(半紙!$B$11:$B$310),INDEX(半紙!$E$11:$E$310,883),IF(883&lt;=COUNTA(半紙!$B$11:$B$310)+COUNTA(条幅!$B$11:$B$310),INDEX(条幅!$E$11:$E$310,883-COUNTA(半紙!$B$11:$B$310)),IF(883&lt;=COUNTA(半紙!$B$11:$B$310)+COUNTA(条幅!$B$11:$B$310)+COUNTA(条幅4分の1!$B$11:$B$310),INDEX(条幅4分の1!$E$11:$E$310,883-COUNTA(半紙!$B$11:$B$310)-COUNTA(条幅!$B$11:$B$310)),""))))</f>
        <v/>
      </c>
      <c r="F888" s="38" t="str">
        <f>IF(IF(883&lt;=COUNTA(半紙!$B$11:$B$310),INDEX(半紙!$F$11:$F$310,883),IF(883&lt;=COUNTA(半紙!$B$11:$B$310)+COUNTA(条幅!$B$11:$B$310),INDEX(条幅!$F$11:$F$310,883-COUNTA(半紙!$B$11:$B$310)),IF(883&lt;=COUNTA(半紙!$B$11:$B$310)+COUNTA(条幅!$B$11:$B$310)+COUNTA(条幅4分の1!$B$11:$B$310),INDEX(条幅4分の1!$F$11:$F$310,883-COUNTA(半紙!$B$11:$B$310)-COUNTA(条幅!$B$11:$B$310)),"")))=0,"",IF(883&lt;=COUNTA(半紙!$B$11:$B$310),INDEX(半紙!$F$11:$F$310,883),IF(883&lt;=COUNTA(半紙!$B$11:$B$310)+COUNTA(条幅!$B$11:$B$310),INDEX(条幅!$F$11:$F$310,883-COUNTA(半紙!$B$11:$B$310)),IF(883&lt;=COUNTA(半紙!$B$11:$B$310)+COUNTA(条幅!$B$11:$B$310)+COUNTA(条幅4分の1!$B$11:$B$310),INDEX(条幅4分の1!$F$11:$F$310,883-COUNTA(半紙!$B$11:$B$310)-COUNTA(条幅!$B$11:$B$310)),""))))</f>
        <v/>
      </c>
      <c r="G888" s="38" t="str">
        <f>IF(IF(883&lt;=COUNTA(半紙!$B$11:$B$310),INDEX(半紙!$G$11:$G$310,883),IF(883&lt;=COUNTA(半紙!$B$11:$B$310)+COUNTA(条幅!$B$11:$B$310),INDEX(条幅!$G$11:$G$310,883-COUNTA(半紙!$B$11:$B$310)),IF(883&lt;=COUNTA(半紙!$B$11:$B$310)+COUNTA(条幅!$B$11:$B$310)+COUNTA(条幅4分の1!$B$11:$B$310),INDEX(条幅4分の1!$G$11:$G$310,883-COUNTA(半紙!$B$11:$B$310)-COUNTA(条幅!$B$11:$B$310)),"")))=0,"",IF(883&lt;=COUNTA(半紙!$B$11:$B$310),INDEX(半紙!$G$11:$G$310,883),IF(883&lt;=COUNTA(半紙!$B$11:$B$310)+COUNTA(条幅!$B$11:$B$310),INDEX(条幅!$G$11:$G$310,883-COUNTA(半紙!$B$11:$B$310)),IF(883&lt;=COUNTA(半紙!$B$11:$B$310)+COUNTA(条幅!$B$11:$B$310)+COUNTA(条幅4分の1!$B$11:$B$310),INDEX(条幅4分の1!$G$11:$G$310,883-COUNTA(半紙!$B$11:$B$310)-COUNTA(条幅!$B$11:$B$310)),""))))</f>
        <v/>
      </c>
      <c r="H888" s="38" t="str">
        <f>IF(IF(883&lt;=COUNTA(半紙!$B$11:$B$310),INDEX(半紙!$H$11:$H$310,883),IF(883&lt;=COUNTA(半紙!$B$11:$B$310)+COUNTA(条幅!$B$11:$B$310),INDEX(条幅!$H$11:$H$310,883-COUNTA(半紙!$B$11:$B$310)),IF(883&lt;=COUNTA(半紙!$B$11:$B$310)+COUNTA(条幅!$B$11:$B$310)+COUNTA(条幅4分の1!$B$11:$B$310),INDEX(条幅4分の1!$H$11:$H$310,883-COUNTA(半紙!$B$11:$B$310)-COUNTA(条幅!$B$11:$B$310)),"")))=0,"",IF(883&lt;=COUNTA(半紙!$B$11:$B$310),INDEX(半紙!$H$11:$H$310,883),IF(883&lt;=COUNTA(半紙!$B$11:$B$310)+COUNTA(条幅!$B$11:$B$310),INDEX(条幅!$H$11:$H$310,883-COUNTA(半紙!$B$11:$B$310)),IF(883&lt;=COUNTA(半紙!$B$11:$B$310)+COUNTA(条幅!$B$11:$B$310)+COUNTA(条幅4分の1!$B$11:$B$310),INDEX(条幅4分の1!$H$11:$H$310,883-COUNTA(半紙!$B$11:$B$310)-COUNTA(条幅!$B$11:$B$310)),""))))</f>
        <v/>
      </c>
      <c r="I888" s="38" t="str">
        <f>IF(IF(883&lt;=COUNTA(半紙!$B$11:$B$310),INDEX(半紙!$I$11:$I$310,883),IF(883&lt;=COUNTA(半紙!$B$11:$B$310)+COUNTA(条幅!$B$11:$B$310),INDEX(条幅!$I$11:$I$310,883-COUNTA(半紙!$B$11:$B$310)),IF(883&lt;=COUNTA(半紙!$B$11:$B$310)+COUNTA(条幅!$B$11:$B$310)+COUNTA(条幅4分の1!$B$11:$B$310),INDEX(条幅4分の1!$I$11:$I$310,883-COUNTA(半紙!$B$11:$B$310)-COUNTA(条幅!$B$11:$B$310)),"")))=0,"",IF(883&lt;=COUNTA(半紙!$B$11:$B$310),INDEX(半紙!$I$11:$I$310,883),IF(883&lt;=COUNTA(半紙!$B$11:$B$310)+COUNTA(条幅!$B$11:$B$310),INDEX(条幅!$I$11:$I$310,883-COUNTA(半紙!$B$11:$B$310)),IF(883&lt;=COUNTA(半紙!$B$11:$B$310)+COUNTA(条幅!$B$11:$B$310)+COUNTA(条幅4分の1!$B$11:$B$310),INDEX(条幅4分の1!$I$11:$I$310,883-COUNTA(半紙!$B$11:$B$310)-COUNTA(条幅!$B$11:$B$310)),""))))</f>
        <v/>
      </c>
      <c r="J888" s="38" t="str">
        <f>IF(IF(883&lt;=COUNTA(半紙!$B$11:$B$310),INDEX(半紙!$J$11:$J$310,883),IF(883&lt;=COUNTA(半紙!$B$11:$B$310)+COUNTA(条幅!$B$11:$B$310),INDEX(条幅!$J$11:$J$310,883-COUNTA(半紙!$B$11:$B$310)),IF(883&lt;=COUNTA(半紙!$B$11:$B$310)+COUNTA(条幅!$B$11:$B$310)+COUNTA(条幅4分の1!$B$11:$B$310),INDEX(条幅4分の1!$J$11:$J$310,883-COUNTA(半紙!$B$11:$B$310)-COUNTA(条幅!$B$11:$B$310)),"")))=0,"",IF(883&lt;=COUNTA(半紙!$B$11:$B$310),INDEX(半紙!$J$11:$J$310,883),IF(883&lt;=COUNTA(半紙!$B$11:$B$310)+COUNTA(条幅!$B$11:$B$310),INDEX(条幅!$J$11:$J$310,883-COUNTA(半紙!$B$11:$B$310)),IF(883&lt;=COUNTA(半紙!$B$11:$B$310)+COUNTA(条幅!$B$11:$B$310)+COUNTA(条幅4分の1!$B$11:$B$310),INDEX(条幅4分の1!$J$11:$J$310,883-COUNTA(半紙!$B$11:$B$310)-COUNTA(条幅!$B$11:$B$310)),""))))</f>
        <v/>
      </c>
      <c r="K888" s="38" t="str">
        <f>IF(IF(883&lt;=COUNTA(半紙!$B$11:$B$310),INDEX(半紙!$K$11:$K$310,883),IF(883&lt;=COUNTA(半紙!$B$11:$B$310)+COUNTA(条幅!$B$11:$B$310),INDEX(条幅!$K$11:$K$310,883-COUNTA(半紙!$B$11:$B$310)),IF(883&lt;=COUNTA(半紙!$B$11:$B$310)+COUNTA(条幅!$B$11:$B$310)+COUNTA(条幅4分の1!$B$11:$B$310),INDEX(条幅4分の1!$K$11:$K$310,883-COUNTA(半紙!$B$11:$B$310)-COUNTA(条幅!$B$11:$B$310)),"")))=0,"",IF(883&lt;=COUNTA(半紙!$B$11:$B$310),INDEX(半紙!$K$11:$K$310,883),IF(883&lt;=COUNTA(半紙!$B$11:$B$310)+COUNTA(条幅!$B$11:$B$310),INDEX(条幅!$K$11:$K$310,883-COUNTA(半紙!$B$11:$B$310)),IF(883&lt;=COUNTA(半紙!$B$11:$B$310)+COUNTA(条幅!$B$11:$B$310)+COUNTA(条幅4分の1!$B$11:$B$310),INDEX(条幅4分の1!$K$11:$K$310,883-COUNTA(半紙!$B$11:$B$310)-COUNTA(条幅!$B$11:$B$310)),""))))</f>
        <v/>
      </c>
      <c r="L888" s="48" t="str">
        <f>IF($B888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883))</f>
        <v/>
      </c>
    </row>
    <row r="889" spans="1:12" ht="15" customHeight="1">
      <c r="A889" s="37" t="str">
        <f>IF(884&lt;=COUNTA(半紙!$B$11:$B$310),"半紙",IF(884&lt;=COUNTA(半紙!$B$11:$B$310)+COUNTA(条幅!$B$11:$B$310),"条幅(半切)",IF(884&lt;=COUNTA(半紙!$B$11:$B$310)+COUNTA(条幅!$B$11:$B$310)+COUNTA(条幅4分の1!$B$11:$B$310),"条幅(1/4)","")))</f>
        <v/>
      </c>
      <c r="B889" s="38" t="str">
        <f>IF(IF(884&lt;=COUNTA(半紙!$B$11:$B$310),INDEX(半紙!$B$11:$B$310,884),IF(884&lt;=COUNTA(半紙!$B$11:$B$310)+COUNTA(条幅!$B$11:$B$310),INDEX(条幅!$B$11:$B$310,884-COUNTA(半紙!$B$11:$B$310)),IF(884&lt;=COUNTA(半紙!$B$11:$B$310)+COUNTA(条幅!$B$11:$B$310)+COUNTA(条幅4分の1!$B$11:$B$310),INDEX(条幅4分の1!$B$11:$B$310,884-COUNTA(半紙!$B$11:$B$310)-COUNTA(条幅!$B$11:$B$310)),"")))=0,"",IF(884&lt;=COUNTA(半紙!$B$11:$B$310),INDEX(半紙!$B$11:$B$310,884),IF(884&lt;=COUNTA(半紙!$B$11:$B$310)+COUNTA(条幅!$B$11:$B$310),INDEX(条幅!$B$11:$B$310,884-COUNTA(半紙!$B$11:$B$310)),IF(884&lt;=COUNTA(半紙!$B$11:$B$310)+COUNTA(条幅!$B$11:$B$310)+COUNTA(条幅4分の1!$B$11:$B$310),INDEX(条幅4分の1!$B$11:$B$310,884-COUNTA(半紙!$B$11:$B$310)-COUNTA(条幅!$B$11:$B$310)),""))))</f>
        <v/>
      </c>
      <c r="C889" s="38" t="str">
        <f>IF(IF(884&lt;=COUNTA(半紙!$B$11:$B$310),INDEX(半紙!$C$11:$C$310,884),IF(884&lt;=COUNTA(半紙!$B$11:$B$310)+COUNTA(条幅!$B$11:$B$310),INDEX(条幅!$C$11:$C$310,884-COUNTA(半紙!$B$11:$B$310)),IF(884&lt;=COUNTA(半紙!$B$11:$B$310)+COUNTA(条幅!$B$11:$B$310)+COUNTA(条幅4分の1!$B$11:$B$310),INDEX(条幅4分の1!$C$11:$C$310,884-COUNTA(半紙!$B$11:$B$310)-COUNTA(条幅!$B$11:$B$310)),"")))=0,"",IF(884&lt;=COUNTA(半紙!$B$11:$B$310),INDEX(半紙!$C$11:$C$310,884),IF(884&lt;=COUNTA(半紙!$B$11:$B$310)+COUNTA(条幅!$B$11:$B$310),INDEX(条幅!$C$11:$C$310,884-COUNTA(半紙!$B$11:$B$310)),IF(884&lt;=COUNTA(半紙!$B$11:$B$310)+COUNTA(条幅!$B$11:$B$310)+COUNTA(条幅4分の1!$B$11:$B$310),INDEX(条幅4分の1!$C$11:$C$310,884-COUNTA(半紙!$B$11:$B$310)-COUNTA(条幅!$B$11:$B$310)),""))))</f>
        <v/>
      </c>
      <c r="D889" s="38" t="str">
        <f>IF(IF(884&lt;=COUNTA(半紙!$B$11:$B$310),INDEX(半紙!$D$11:$D$310,884),IF(884&lt;=COUNTA(半紙!$B$11:$B$310)+COUNTA(条幅!$B$11:$B$310),INDEX(条幅!$D$11:$D$310,884-COUNTA(半紙!$B$11:$B$310)),IF(884&lt;=COUNTA(半紙!$B$11:$B$310)+COUNTA(条幅!$B$11:$B$310)+COUNTA(条幅4分の1!$B$11:$B$310),INDEX(条幅4分の1!$D$11:$D$310,884-COUNTA(半紙!$B$11:$B$310)-COUNTA(条幅!$B$11:$B$310)),"")))=0,"",IF(884&lt;=COUNTA(半紙!$B$11:$B$310),INDEX(半紙!$D$11:$D$310,884),IF(884&lt;=COUNTA(半紙!$B$11:$B$310)+COUNTA(条幅!$B$11:$B$310),INDEX(条幅!$D$11:$D$310,884-COUNTA(半紙!$B$11:$B$310)),IF(884&lt;=COUNTA(半紙!$B$11:$B$310)+COUNTA(条幅!$B$11:$B$310)+COUNTA(条幅4分の1!$B$11:$B$310),INDEX(条幅4分の1!$D$11:$D$310,884-COUNTA(半紙!$B$11:$B$310)-COUNTA(条幅!$B$11:$B$310)),""))))</f>
        <v/>
      </c>
      <c r="E889" s="38" t="str">
        <f>IF(IF(884&lt;=COUNTA(半紙!$B$11:$B$310),INDEX(半紙!$E$11:$E$310,884),IF(884&lt;=COUNTA(半紙!$B$11:$B$310)+COUNTA(条幅!$B$11:$B$310),INDEX(条幅!$E$11:$E$310,884-COUNTA(半紙!$B$11:$B$310)),IF(884&lt;=COUNTA(半紙!$B$11:$B$310)+COUNTA(条幅!$B$11:$B$310)+COUNTA(条幅4分の1!$B$11:$B$310),INDEX(条幅4分の1!$E$11:$E$310,884-COUNTA(半紙!$B$11:$B$310)-COUNTA(条幅!$B$11:$B$310)),"")))=0,"",IF(884&lt;=COUNTA(半紙!$B$11:$B$310),INDEX(半紙!$E$11:$E$310,884),IF(884&lt;=COUNTA(半紙!$B$11:$B$310)+COUNTA(条幅!$B$11:$B$310),INDEX(条幅!$E$11:$E$310,884-COUNTA(半紙!$B$11:$B$310)),IF(884&lt;=COUNTA(半紙!$B$11:$B$310)+COUNTA(条幅!$B$11:$B$310)+COUNTA(条幅4分の1!$B$11:$B$310),INDEX(条幅4分の1!$E$11:$E$310,884-COUNTA(半紙!$B$11:$B$310)-COUNTA(条幅!$B$11:$B$310)),""))))</f>
        <v/>
      </c>
      <c r="F889" s="38" t="str">
        <f>IF(IF(884&lt;=COUNTA(半紙!$B$11:$B$310),INDEX(半紙!$F$11:$F$310,884),IF(884&lt;=COUNTA(半紙!$B$11:$B$310)+COUNTA(条幅!$B$11:$B$310),INDEX(条幅!$F$11:$F$310,884-COUNTA(半紙!$B$11:$B$310)),IF(884&lt;=COUNTA(半紙!$B$11:$B$310)+COUNTA(条幅!$B$11:$B$310)+COUNTA(条幅4分の1!$B$11:$B$310),INDEX(条幅4分の1!$F$11:$F$310,884-COUNTA(半紙!$B$11:$B$310)-COUNTA(条幅!$B$11:$B$310)),"")))=0,"",IF(884&lt;=COUNTA(半紙!$B$11:$B$310),INDEX(半紙!$F$11:$F$310,884),IF(884&lt;=COUNTA(半紙!$B$11:$B$310)+COUNTA(条幅!$B$11:$B$310),INDEX(条幅!$F$11:$F$310,884-COUNTA(半紙!$B$11:$B$310)),IF(884&lt;=COUNTA(半紙!$B$11:$B$310)+COUNTA(条幅!$B$11:$B$310)+COUNTA(条幅4分の1!$B$11:$B$310),INDEX(条幅4分の1!$F$11:$F$310,884-COUNTA(半紙!$B$11:$B$310)-COUNTA(条幅!$B$11:$B$310)),""))))</f>
        <v/>
      </c>
      <c r="G889" s="38" t="str">
        <f>IF(IF(884&lt;=COUNTA(半紙!$B$11:$B$310),INDEX(半紙!$G$11:$G$310,884),IF(884&lt;=COUNTA(半紙!$B$11:$B$310)+COUNTA(条幅!$B$11:$B$310),INDEX(条幅!$G$11:$G$310,884-COUNTA(半紙!$B$11:$B$310)),IF(884&lt;=COUNTA(半紙!$B$11:$B$310)+COUNTA(条幅!$B$11:$B$310)+COUNTA(条幅4分の1!$B$11:$B$310),INDEX(条幅4分の1!$G$11:$G$310,884-COUNTA(半紙!$B$11:$B$310)-COUNTA(条幅!$B$11:$B$310)),"")))=0,"",IF(884&lt;=COUNTA(半紙!$B$11:$B$310),INDEX(半紙!$G$11:$G$310,884),IF(884&lt;=COUNTA(半紙!$B$11:$B$310)+COUNTA(条幅!$B$11:$B$310),INDEX(条幅!$G$11:$G$310,884-COUNTA(半紙!$B$11:$B$310)),IF(884&lt;=COUNTA(半紙!$B$11:$B$310)+COUNTA(条幅!$B$11:$B$310)+COUNTA(条幅4分の1!$B$11:$B$310),INDEX(条幅4分の1!$G$11:$G$310,884-COUNTA(半紙!$B$11:$B$310)-COUNTA(条幅!$B$11:$B$310)),""))))</f>
        <v/>
      </c>
      <c r="H889" s="38" t="str">
        <f>IF(IF(884&lt;=COUNTA(半紙!$B$11:$B$310),INDEX(半紙!$H$11:$H$310,884),IF(884&lt;=COUNTA(半紙!$B$11:$B$310)+COUNTA(条幅!$B$11:$B$310),INDEX(条幅!$H$11:$H$310,884-COUNTA(半紙!$B$11:$B$310)),IF(884&lt;=COUNTA(半紙!$B$11:$B$310)+COUNTA(条幅!$B$11:$B$310)+COUNTA(条幅4分の1!$B$11:$B$310),INDEX(条幅4分の1!$H$11:$H$310,884-COUNTA(半紙!$B$11:$B$310)-COUNTA(条幅!$B$11:$B$310)),"")))=0,"",IF(884&lt;=COUNTA(半紙!$B$11:$B$310),INDEX(半紙!$H$11:$H$310,884),IF(884&lt;=COUNTA(半紙!$B$11:$B$310)+COUNTA(条幅!$B$11:$B$310),INDEX(条幅!$H$11:$H$310,884-COUNTA(半紙!$B$11:$B$310)),IF(884&lt;=COUNTA(半紙!$B$11:$B$310)+COUNTA(条幅!$B$11:$B$310)+COUNTA(条幅4分の1!$B$11:$B$310),INDEX(条幅4分の1!$H$11:$H$310,884-COUNTA(半紙!$B$11:$B$310)-COUNTA(条幅!$B$11:$B$310)),""))))</f>
        <v/>
      </c>
      <c r="I889" s="38" t="str">
        <f>IF(IF(884&lt;=COUNTA(半紙!$B$11:$B$310),INDEX(半紙!$I$11:$I$310,884),IF(884&lt;=COUNTA(半紙!$B$11:$B$310)+COUNTA(条幅!$B$11:$B$310),INDEX(条幅!$I$11:$I$310,884-COUNTA(半紙!$B$11:$B$310)),IF(884&lt;=COUNTA(半紙!$B$11:$B$310)+COUNTA(条幅!$B$11:$B$310)+COUNTA(条幅4分の1!$B$11:$B$310),INDEX(条幅4分の1!$I$11:$I$310,884-COUNTA(半紙!$B$11:$B$310)-COUNTA(条幅!$B$11:$B$310)),"")))=0,"",IF(884&lt;=COUNTA(半紙!$B$11:$B$310),INDEX(半紙!$I$11:$I$310,884),IF(884&lt;=COUNTA(半紙!$B$11:$B$310)+COUNTA(条幅!$B$11:$B$310),INDEX(条幅!$I$11:$I$310,884-COUNTA(半紙!$B$11:$B$310)),IF(884&lt;=COUNTA(半紙!$B$11:$B$310)+COUNTA(条幅!$B$11:$B$310)+COUNTA(条幅4分の1!$B$11:$B$310),INDEX(条幅4分の1!$I$11:$I$310,884-COUNTA(半紙!$B$11:$B$310)-COUNTA(条幅!$B$11:$B$310)),""))))</f>
        <v/>
      </c>
      <c r="J889" s="38" t="str">
        <f>IF(IF(884&lt;=COUNTA(半紙!$B$11:$B$310),INDEX(半紙!$J$11:$J$310,884),IF(884&lt;=COUNTA(半紙!$B$11:$B$310)+COUNTA(条幅!$B$11:$B$310),INDEX(条幅!$J$11:$J$310,884-COUNTA(半紙!$B$11:$B$310)),IF(884&lt;=COUNTA(半紙!$B$11:$B$310)+COUNTA(条幅!$B$11:$B$310)+COUNTA(条幅4分の1!$B$11:$B$310),INDEX(条幅4分の1!$J$11:$J$310,884-COUNTA(半紙!$B$11:$B$310)-COUNTA(条幅!$B$11:$B$310)),"")))=0,"",IF(884&lt;=COUNTA(半紙!$B$11:$B$310),INDEX(半紙!$J$11:$J$310,884),IF(884&lt;=COUNTA(半紙!$B$11:$B$310)+COUNTA(条幅!$B$11:$B$310),INDEX(条幅!$J$11:$J$310,884-COUNTA(半紙!$B$11:$B$310)),IF(884&lt;=COUNTA(半紙!$B$11:$B$310)+COUNTA(条幅!$B$11:$B$310)+COUNTA(条幅4分の1!$B$11:$B$310),INDEX(条幅4分の1!$J$11:$J$310,884-COUNTA(半紙!$B$11:$B$310)-COUNTA(条幅!$B$11:$B$310)),""))))</f>
        <v/>
      </c>
      <c r="K889" s="38" t="str">
        <f>IF(IF(884&lt;=COUNTA(半紙!$B$11:$B$310),INDEX(半紙!$K$11:$K$310,884),IF(884&lt;=COUNTA(半紙!$B$11:$B$310)+COUNTA(条幅!$B$11:$B$310),INDEX(条幅!$K$11:$K$310,884-COUNTA(半紙!$B$11:$B$310)),IF(884&lt;=COUNTA(半紙!$B$11:$B$310)+COUNTA(条幅!$B$11:$B$310)+COUNTA(条幅4分の1!$B$11:$B$310),INDEX(条幅4分の1!$K$11:$K$310,884-COUNTA(半紙!$B$11:$B$310)-COUNTA(条幅!$B$11:$B$310)),"")))=0,"",IF(884&lt;=COUNTA(半紙!$B$11:$B$310),INDEX(半紙!$K$11:$K$310,884),IF(884&lt;=COUNTA(半紙!$B$11:$B$310)+COUNTA(条幅!$B$11:$B$310),INDEX(条幅!$K$11:$K$310,884-COUNTA(半紙!$B$11:$B$310)),IF(884&lt;=COUNTA(半紙!$B$11:$B$310)+COUNTA(条幅!$B$11:$B$310)+COUNTA(条幅4分の1!$B$11:$B$310),INDEX(条幅4分の1!$K$11:$K$310,884-COUNTA(半紙!$B$11:$B$310)-COUNTA(条幅!$B$11:$B$310)),""))))</f>
        <v/>
      </c>
      <c r="L889" s="48" t="str">
        <f>IF($B889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884))</f>
        <v/>
      </c>
    </row>
    <row r="890" spans="1:12" ht="15" customHeight="1">
      <c r="A890" s="37" t="str">
        <f>IF(885&lt;=COUNTA(半紙!$B$11:$B$310),"半紙",IF(885&lt;=COUNTA(半紙!$B$11:$B$310)+COUNTA(条幅!$B$11:$B$310),"条幅(半切)",IF(885&lt;=COUNTA(半紙!$B$11:$B$310)+COUNTA(条幅!$B$11:$B$310)+COUNTA(条幅4分の1!$B$11:$B$310),"条幅(1/4)","")))</f>
        <v/>
      </c>
      <c r="B890" s="38" t="str">
        <f>IF(IF(885&lt;=COUNTA(半紙!$B$11:$B$310),INDEX(半紙!$B$11:$B$310,885),IF(885&lt;=COUNTA(半紙!$B$11:$B$310)+COUNTA(条幅!$B$11:$B$310),INDEX(条幅!$B$11:$B$310,885-COUNTA(半紙!$B$11:$B$310)),IF(885&lt;=COUNTA(半紙!$B$11:$B$310)+COUNTA(条幅!$B$11:$B$310)+COUNTA(条幅4分の1!$B$11:$B$310),INDEX(条幅4分の1!$B$11:$B$310,885-COUNTA(半紙!$B$11:$B$310)-COUNTA(条幅!$B$11:$B$310)),"")))=0,"",IF(885&lt;=COUNTA(半紙!$B$11:$B$310),INDEX(半紙!$B$11:$B$310,885),IF(885&lt;=COUNTA(半紙!$B$11:$B$310)+COUNTA(条幅!$B$11:$B$310),INDEX(条幅!$B$11:$B$310,885-COUNTA(半紙!$B$11:$B$310)),IF(885&lt;=COUNTA(半紙!$B$11:$B$310)+COUNTA(条幅!$B$11:$B$310)+COUNTA(条幅4分の1!$B$11:$B$310),INDEX(条幅4分の1!$B$11:$B$310,885-COUNTA(半紙!$B$11:$B$310)-COUNTA(条幅!$B$11:$B$310)),""))))</f>
        <v/>
      </c>
      <c r="C890" s="38" t="str">
        <f>IF(IF(885&lt;=COUNTA(半紙!$B$11:$B$310),INDEX(半紙!$C$11:$C$310,885),IF(885&lt;=COUNTA(半紙!$B$11:$B$310)+COUNTA(条幅!$B$11:$B$310),INDEX(条幅!$C$11:$C$310,885-COUNTA(半紙!$B$11:$B$310)),IF(885&lt;=COUNTA(半紙!$B$11:$B$310)+COUNTA(条幅!$B$11:$B$310)+COUNTA(条幅4分の1!$B$11:$B$310),INDEX(条幅4分の1!$C$11:$C$310,885-COUNTA(半紙!$B$11:$B$310)-COUNTA(条幅!$B$11:$B$310)),"")))=0,"",IF(885&lt;=COUNTA(半紙!$B$11:$B$310),INDEX(半紙!$C$11:$C$310,885),IF(885&lt;=COUNTA(半紙!$B$11:$B$310)+COUNTA(条幅!$B$11:$B$310),INDEX(条幅!$C$11:$C$310,885-COUNTA(半紙!$B$11:$B$310)),IF(885&lt;=COUNTA(半紙!$B$11:$B$310)+COUNTA(条幅!$B$11:$B$310)+COUNTA(条幅4分の1!$B$11:$B$310),INDEX(条幅4分の1!$C$11:$C$310,885-COUNTA(半紙!$B$11:$B$310)-COUNTA(条幅!$B$11:$B$310)),""))))</f>
        <v/>
      </c>
      <c r="D890" s="38" t="str">
        <f>IF(IF(885&lt;=COUNTA(半紙!$B$11:$B$310),INDEX(半紙!$D$11:$D$310,885),IF(885&lt;=COUNTA(半紙!$B$11:$B$310)+COUNTA(条幅!$B$11:$B$310),INDEX(条幅!$D$11:$D$310,885-COUNTA(半紙!$B$11:$B$310)),IF(885&lt;=COUNTA(半紙!$B$11:$B$310)+COUNTA(条幅!$B$11:$B$310)+COUNTA(条幅4分の1!$B$11:$B$310),INDEX(条幅4分の1!$D$11:$D$310,885-COUNTA(半紙!$B$11:$B$310)-COUNTA(条幅!$B$11:$B$310)),"")))=0,"",IF(885&lt;=COUNTA(半紙!$B$11:$B$310),INDEX(半紙!$D$11:$D$310,885),IF(885&lt;=COUNTA(半紙!$B$11:$B$310)+COUNTA(条幅!$B$11:$B$310),INDEX(条幅!$D$11:$D$310,885-COUNTA(半紙!$B$11:$B$310)),IF(885&lt;=COUNTA(半紙!$B$11:$B$310)+COUNTA(条幅!$B$11:$B$310)+COUNTA(条幅4分の1!$B$11:$B$310),INDEX(条幅4分の1!$D$11:$D$310,885-COUNTA(半紙!$B$11:$B$310)-COUNTA(条幅!$B$11:$B$310)),""))))</f>
        <v/>
      </c>
      <c r="E890" s="38" t="str">
        <f>IF(IF(885&lt;=COUNTA(半紙!$B$11:$B$310),INDEX(半紙!$E$11:$E$310,885),IF(885&lt;=COUNTA(半紙!$B$11:$B$310)+COUNTA(条幅!$B$11:$B$310),INDEX(条幅!$E$11:$E$310,885-COUNTA(半紙!$B$11:$B$310)),IF(885&lt;=COUNTA(半紙!$B$11:$B$310)+COUNTA(条幅!$B$11:$B$310)+COUNTA(条幅4分の1!$B$11:$B$310),INDEX(条幅4分の1!$E$11:$E$310,885-COUNTA(半紙!$B$11:$B$310)-COUNTA(条幅!$B$11:$B$310)),"")))=0,"",IF(885&lt;=COUNTA(半紙!$B$11:$B$310),INDEX(半紙!$E$11:$E$310,885),IF(885&lt;=COUNTA(半紙!$B$11:$B$310)+COUNTA(条幅!$B$11:$B$310),INDEX(条幅!$E$11:$E$310,885-COUNTA(半紙!$B$11:$B$310)),IF(885&lt;=COUNTA(半紙!$B$11:$B$310)+COUNTA(条幅!$B$11:$B$310)+COUNTA(条幅4分の1!$B$11:$B$310),INDEX(条幅4分の1!$E$11:$E$310,885-COUNTA(半紙!$B$11:$B$310)-COUNTA(条幅!$B$11:$B$310)),""))))</f>
        <v/>
      </c>
      <c r="F890" s="38" t="str">
        <f>IF(IF(885&lt;=COUNTA(半紙!$B$11:$B$310),INDEX(半紙!$F$11:$F$310,885),IF(885&lt;=COUNTA(半紙!$B$11:$B$310)+COUNTA(条幅!$B$11:$B$310),INDEX(条幅!$F$11:$F$310,885-COUNTA(半紙!$B$11:$B$310)),IF(885&lt;=COUNTA(半紙!$B$11:$B$310)+COUNTA(条幅!$B$11:$B$310)+COUNTA(条幅4分の1!$B$11:$B$310),INDEX(条幅4分の1!$F$11:$F$310,885-COUNTA(半紙!$B$11:$B$310)-COUNTA(条幅!$B$11:$B$310)),"")))=0,"",IF(885&lt;=COUNTA(半紙!$B$11:$B$310),INDEX(半紙!$F$11:$F$310,885),IF(885&lt;=COUNTA(半紙!$B$11:$B$310)+COUNTA(条幅!$B$11:$B$310),INDEX(条幅!$F$11:$F$310,885-COUNTA(半紙!$B$11:$B$310)),IF(885&lt;=COUNTA(半紙!$B$11:$B$310)+COUNTA(条幅!$B$11:$B$310)+COUNTA(条幅4分の1!$B$11:$B$310),INDEX(条幅4分の1!$F$11:$F$310,885-COUNTA(半紙!$B$11:$B$310)-COUNTA(条幅!$B$11:$B$310)),""))))</f>
        <v/>
      </c>
      <c r="G890" s="38" t="str">
        <f>IF(IF(885&lt;=COUNTA(半紙!$B$11:$B$310),INDEX(半紙!$G$11:$G$310,885),IF(885&lt;=COUNTA(半紙!$B$11:$B$310)+COUNTA(条幅!$B$11:$B$310),INDEX(条幅!$G$11:$G$310,885-COUNTA(半紙!$B$11:$B$310)),IF(885&lt;=COUNTA(半紙!$B$11:$B$310)+COUNTA(条幅!$B$11:$B$310)+COUNTA(条幅4分の1!$B$11:$B$310),INDEX(条幅4分の1!$G$11:$G$310,885-COUNTA(半紙!$B$11:$B$310)-COUNTA(条幅!$B$11:$B$310)),"")))=0,"",IF(885&lt;=COUNTA(半紙!$B$11:$B$310),INDEX(半紙!$G$11:$G$310,885),IF(885&lt;=COUNTA(半紙!$B$11:$B$310)+COUNTA(条幅!$B$11:$B$310),INDEX(条幅!$G$11:$G$310,885-COUNTA(半紙!$B$11:$B$310)),IF(885&lt;=COUNTA(半紙!$B$11:$B$310)+COUNTA(条幅!$B$11:$B$310)+COUNTA(条幅4分の1!$B$11:$B$310),INDEX(条幅4分の1!$G$11:$G$310,885-COUNTA(半紙!$B$11:$B$310)-COUNTA(条幅!$B$11:$B$310)),""))))</f>
        <v/>
      </c>
      <c r="H890" s="38" t="str">
        <f>IF(IF(885&lt;=COUNTA(半紙!$B$11:$B$310),INDEX(半紙!$H$11:$H$310,885),IF(885&lt;=COUNTA(半紙!$B$11:$B$310)+COUNTA(条幅!$B$11:$B$310),INDEX(条幅!$H$11:$H$310,885-COUNTA(半紙!$B$11:$B$310)),IF(885&lt;=COUNTA(半紙!$B$11:$B$310)+COUNTA(条幅!$B$11:$B$310)+COUNTA(条幅4分の1!$B$11:$B$310),INDEX(条幅4分の1!$H$11:$H$310,885-COUNTA(半紙!$B$11:$B$310)-COUNTA(条幅!$B$11:$B$310)),"")))=0,"",IF(885&lt;=COUNTA(半紙!$B$11:$B$310),INDEX(半紙!$H$11:$H$310,885),IF(885&lt;=COUNTA(半紙!$B$11:$B$310)+COUNTA(条幅!$B$11:$B$310),INDEX(条幅!$H$11:$H$310,885-COUNTA(半紙!$B$11:$B$310)),IF(885&lt;=COUNTA(半紙!$B$11:$B$310)+COUNTA(条幅!$B$11:$B$310)+COUNTA(条幅4分の1!$B$11:$B$310),INDEX(条幅4分の1!$H$11:$H$310,885-COUNTA(半紙!$B$11:$B$310)-COUNTA(条幅!$B$11:$B$310)),""))))</f>
        <v/>
      </c>
      <c r="I890" s="38" t="str">
        <f>IF(IF(885&lt;=COUNTA(半紙!$B$11:$B$310),INDEX(半紙!$I$11:$I$310,885),IF(885&lt;=COUNTA(半紙!$B$11:$B$310)+COUNTA(条幅!$B$11:$B$310),INDEX(条幅!$I$11:$I$310,885-COUNTA(半紙!$B$11:$B$310)),IF(885&lt;=COUNTA(半紙!$B$11:$B$310)+COUNTA(条幅!$B$11:$B$310)+COUNTA(条幅4分の1!$B$11:$B$310),INDEX(条幅4分の1!$I$11:$I$310,885-COUNTA(半紙!$B$11:$B$310)-COUNTA(条幅!$B$11:$B$310)),"")))=0,"",IF(885&lt;=COUNTA(半紙!$B$11:$B$310),INDEX(半紙!$I$11:$I$310,885),IF(885&lt;=COUNTA(半紙!$B$11:$B$310)+COUNTA(条幅!$B$11:$B$310),INDEX(条幅!$I$11:$I$310,885-COUNTA(半紙!$B$11:$B$310)),IF(885&lt;=COUNTA(半紙!$B$11:$B$310)+COUNTA(条幅!$B$11:$B$310)+COUNTA(条幅4分の1!$B$11:$B$310),INDEX(条幅4分の1!$I$11:$I$310,885-COUNTA(半紙!$B$11:$B$310)-COUNTA(条幅!$B$11:$B$310)),""))))</f>
        <v/>
      </c>
      <c r="J890" s="38" t="str">
        <f>IF(IF(885&lt;=COUNTA(半紙!$B$11:$B$310),INDEX(半紙!$J$11:$J$310,885),IF(885&lt;=COUNTA(半紙!$B$11:$B$310)+COUNTA(条幅!$B$11:$B$310),INDEX(条幅!$J$11:$J$310,885-COUNTA(半紙!$B$11:$B$310)),IF(885&lt;=COUNTA(半紙!$B$11:$B$310)+COUNTA(条幅!$B$11:$B$310)+COUNTA(条幅4分の1!$B$11:$B$310),INDEX(条幅4分の1!$J$11:$J$310,885-COUNTA(半紙!$B$11:$B$310)-COUNTA(条幅!$B$11:$B$310)),"")))=0,"",IF(885&lt;=COUNTA(半紙!$B$11:$B$310),INDEX(半紙!$J$11:$J$310,885),IF(885&lt;=COUNTA(半紙!$B$11:$B$310)+COUNTA(条幅!$B$11:$B$310),INDEX(条幅!$J$11:$J$310,885-COUNTA(半紙!$B$11:$B$310)),IF(885&lt;=COUNTA(半紙!$B$11:$B$310)+COUNTA(条幅!$B$11:$B$310)+COUNTA(条幅4分の1!$B$11:$B$310),INDEX(条幅4分の1!$J$11:$J$310,885-COUNTA(半紙!$B$11:$B$310)-COUNTA(条幅!$B$11:$B$310)),""))))</f>
        <v/>
      </c>
      <c r="K890" s="38" t="str">
        <f>IF(IF(885&lt;=COUNTA(半紙!$B$11:$B$310),INDEX(半紙!$K$11:$K$310,885),IF(885&lt;=COUNTA(半紙!$B$11:$B$310)+COUNTA(条幅!$B$11:$B$310),INDEX(条幅!$K$11:$K$310,885-COUNTA(半紙!$B$11:$B$310)),IF(885&lt;=COUNTA(半紙!$B$11:$B$310)+COUNTA(条幅!$B$11:$B$310)+COUNTA(条幅4分の1!$B$11:$B$310),INDEX(条幅4分の1!$K$11:$K$310,885-COUNTA(半紙!$B$11:$B$310)-COUNTA(条幅!$B$11:$B$310)),"")))=0,"",IF(885&lt;=COUNTA(半紙!$B$11:$B$310),INDEX(半紙!$K$11:$K$310,885),IF(885&lt;=COUNTA(半紙!$B$11:$B$310)+COUNTA(条幅!$B$11:$B$310),INDEX(条幅!$K$11:$K$310,885-COUNTA(半紙!$B$11:$B$310)),IF(885&lt;=COUNTA(半紙!$B$11:$B$310)+COUNTA(条幅!$B$11:$B$310)+COUNTA(条幅4分の1!$B$11:$B$310),INDEX(条幅4分の1!$K$11:$K$310,885-COUNTA(半紙!$B$11:$B$310)-COUNTA(条幅!$B$11:$B$310)),""))))</f>
        <v/>
      </c>
      <c r="L890" s="48" t="str">
        <f>IF($B890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885))</f>
        <v/>
      </c>
    </row>
    <row r="891" spans="1:12" ht="15" customHeight="1">
      <c r="A891" s="37" t="str">
        <f>IF(886&lt;=COUNTA(半紙!$B$11:$B$310),"半紙",IF(886&lt;=COUNTA(半紙!$B$11:$B$310)+COUNTA(条幅!$B$11:$B$310),"条幅(半切)",IF(886&lt;=COUNTA(半紙!$B$11:$B$310)+COUNTA(条幅!$B$11:$B$310)+COUNTA(条幅4分の1!$B$11:$B$310),"条幅(1/4)","")))</f>
        <v/>
      </c>
      <c r="B891" s="38" t="str">
        <f>IF(IF(886&lt;=COUNTA(半紙!$B$11:$B$310),INDEX(半紙!$B$11:$B$310,886),IF(886&lt;=COUNTA(半紙!$B$11:$B$310)+COUNTA(条幅!$B$11:$B$310),INDEX(条幅!$B$11:$B$310,886-COUNTA(半紙!$B$11:$B$310)),IF(886&lt;=COUNTA(半紙!$B$11:$B$310)+COUNTA(条幅!$B$11:$B$310)+COUNTA(条幅4分の1!$B$11:$B$310),INDEX(条幅4分の1!$B$11:$B$310,886-COUNTA(半紙!$B$11:$B$310)-COUNTA(条幅!$B$11:$B$310)),"")))=0,"",IF(886&lt;=COUNTA(半紙!$B$11:$B$310),INDEX(半紙!$B$11:$B$310,886),IF(886&lt;=COUNTA(半紙!$B$11:$B$310)+COUNTA(条幅!$B$11:$B$310),INDEX(条幅!$B$11:$B$310,886-COUNTA(半紙!$B$11:$B$310)),IF(886&lt;=COUNTA(半紙!$B$11:$B$310)+COUNTA(条幅!$B$11:$B$310)+COUNTA(条幅4分の1!$B$11:$B$310),INDEX(条幅4分の1!$B$11:$B$310,886-COUNTA(半紙!$B$11:$B$310)-COUNTA(条幅!$B$11:$B$310)),""))))</f>
        <v/>
      </c>
      <c r="C891" s="38" t="str">
        <f>IF(IF(886&lt;=COUNTA(半紙!$B$11:$B$310),INDEX(半紙!$C$11:$C$310,886),IF(886&lt;=COUNTA(半紙!$B$11:$B$310)+COUNTA(条幅!$B$11:$B$310),INDEX(条幅!$C$11:$C$310,886-COUNTA(半紙!$B$11:$B$310)),IF(886&lt;=COUNTA(半紙!$B$11:$B$310)+COUNTA(条幅!$B$11:$B$310)+COUNTA(条幅4分の1!$B$11:$B$310),INDEX(条幅4分の1!$C$11:$C$310,886-COUNTA(半紙!$B$11:$B$310)-COUNTA(条幅!$B$11:$B$310)),"")))=0,"",IF(886&lt;=COUNTA(半紙!$B$11:$B$310),INDEX(半紙!$C$11:$C$310,886),IF(886&lt;=COUNTA(半紙!$B$11:$B$310)+COUNTA(条幅!$B$11:$B$310),INDEX(条幅!$C$11:$C$310,886-COUNTA(半紙!$B$11:$B$310)),IF(886&lt;=COUNTA(半紙!$B$11:$B$310)+COUNTA(条幅!$B$11:$B$310)+COUNTA(条幅4分の1!$B$11:$B$310),INDEX(条幅4分の1!$C$11:$C$310,886-COUNTA(半紙!$B$11:$B$310)-COUNTA(条幅!$B$11:$B$310)),""))))</f>
        <v/>
      </c>
      <c r="D891" s="38" t="str">
        <f>IF(IF(886&lt;=COUNTA(半紙!$B$11:$B$310),INDEX(半紙!$D$11:$D$310,886),IF(886&lt;=COUNTA(半紙!$B$11:$B$310)+COUNTA(条幅!$B$11:$B$310),INDEX(条幅!$D$11:$D$310,886-COUNTA(半紙!$B$11:$B$310)),IF(886&lt;=COUNTA(半紙!$B$11:$B$310)+COUNTA(条幅!$B$11:$B$310)+COUNTA(条幅4分の1!$B$11:$B$310),INDEX(条幅4分の1!$D$11:$D$310,886-COUNTA(半紙!$B$11:$B$310)-COUNTA(条幅!$B$11:$B$310)),"")))=0,"",IF(886&lt;=COUNTA(半紙!$B$11:$B$310),INDEX(半紙!$D$11:$D$310,886),IF(886&lt;=COUNTA(半紙!$B$11:$B$310)+COUNTA(条幅!$B$11:$B$310),INDEX(条幅!$D$11:$D$310,886-COUNTA(半紙!$B$11:$B$310)),IF(886&lt;=COUNTA(半紙!$B$11:$B$310)+COUNTA(条幅!$B$11:$B$310)+COUNTA(条幅4分の1!$B$11:$B$310),INDEX(条幅4分の1!$D$11:$D$310,886-COUNTA(半紙!$B$11:$B$310)-COUNTA(条幅!$B$11:$B$310)),""))))</f>
        <v/>
      </c>
      <c r="E891" s="38" t="str">
        <f>IF(IF(886&lt;=COUNTA(半紙!$B$11:$B$310),INDEX(半紙!$E$11:$E$310,886),IF(886&lt;=COUNTA(半紙!$B$11:$B$310)+COUNTA(条幅!$B$11:$B$310),INDEX(条幅!$E$11:$E$310,886-COUNTA(半紙!$B$11:$B$310)),IF(886&lt;=COUNTA(半紙!$B$11:$B$310)+COUNTA(条幅!$B$11:$B$310)+COUNTA(条幅4分の1!$B$11:$B$310),INDEX(条幅4分の1!$E$11:$E$310,886-COUNTA(半紙!$B$11:$B$310)-COUNTA(条幅!$B$11:$B$310)),"")))=0,"",IF(886&lt;=COUNTA(半紙!$B$11:$B$310),INDEX(半紙!$E$11:$E$310,886),IF(886&lt;=COUNTA(半紙!$B$11:$B$310)+COUNTA(条幅!$B$11:$B$310),INDEX(条幅!$E$11:$E$310,886-COUNTA(半紙!$B$11:$B$310)),IF(886&lt;=COUNTA(半紙!$B$11:$B$310)+COUNTA(条幅!$B$11:$B$310)+COUNTA(条幅4分の1!$B$11:$B$310),INDEX(条幅4分の1!$E$11:$E$310,886-COUNTA(半紙!$B$11:$B$310)-COUNTA(条幅!$B$11:$B$310)),""))))</f>
        <v/>
      </c>
      <c r="F891" s="38" t="str">
        <f>IF(IF(886&lt;=COUNTA(半紙!$B$11:$B$310),INDEX(半紙!$F$11:$F$310,886),IF(886&lt;=COUNTA(半紙!$B$11:$B$310)+COUNTA(条幅!$B$11:$B$310),INDEX(条幅!$F$11:$F$310,886-COUNTA(半紙!$B$11:$B$310)),IF(886&lt;=COUNTA(半紙!$B$11:$B$310)+COUNTA(条幅!$B$11:$B$310)+COUNTA(条幅4分の1!$B$11:$B$310),INDEX(条幅4分の1!$F$11:$F$310,886-COUNTA(半紙!$B$11:$B$310)-COUNTA(条幅!$B$11:$B$310)),"")))=0,"",IF(886&lt;=COUNTA(半紙!$B$11:$B$310),INDEX(半紙!$F$11:$F$310,886),IF(886&lt;=COUNTA(半紙!$B$11:$B$310)+COUNTA(条幅!$B$11:$B$310),INDEX(条幅!$F$11:$F$310,886-COUNTA(半紙!$B$11:$B$310)),IF(886&lt;=COUNTA(半紙!$B$11:$B$310)+COUNTA(条幅!$B$11:$B$310)+COUNTA(条幅4分の1!$B$11:$B$310),INDEX(条幅4分の1!$F$11:$F$310,886-COUNTA(半紙!$B$11:$B$310)-COUNTA(条幅!$B$11:$B$310)),""))))</f>
        <v/>
      </c>
      <c r="G891" s="38" t="str">
        <f>IF(IF(886&lt;=COUNTA(半紙!$B$11:$B$310),INDEX(半紙!$G$11:$G$310,886),IF(886&lt;=COUNTA(半紙!$B$11:$B$310)+COUNTA(条幅!$B$11:$B$310),INDEX(条幅!$G$11:$G$310,886-COUNTA(半紙!$B$11:$B$310)),IF(886&lt;=COUNTA(半紙!$B$11:$B$310)+COUNTA(条幅!$B$11:$B$310)+COUNTA(条幅4分の1!$B$11:$B$310),INDEX(条幅4分の1!$G$11:$G$310,886-COUNTA(半紙!$B$11:$B$310)-COUNTA(条幅!$B$11:$B$310)),"")))=0,"",IF(886&lt;=COUNTA(半紙!$B$11:$B$310),INDEX(半紙!$G$11:$G$310,886),IF(886&lt;=COUNTA(半紙!$B$11:$B$310)+COUNTA(条幅!$B$11:$B$310),INDEX(条幅!$G$11:$G$310,886-COUNTA(半紙!$B$11:$B$310)),IF(886&lt;=COUNTA(半紙!$B$11:$B$310)+COUNTA(条幅!$B$11:$B$310)+COUNTA(条幅4分の1!$B$11:$B$310),INDEX(条幅4分の1!$G$11:$G$310,886-COUNTA(半紙!$B$11:$B$310)-COUNTA(条幅!$B$11:$B$310)),""))))</f>
        <v/>
      </c>
      <c r="H891" s="38" t="str">
        <f>IF(IF(886&lt;=COUNTA(半紙!$B$11:$B$310),INDEX(半紙!$H$11:$H$310,886),IF(886&lt;=COUNTA(半紙!$B$11:$B$310)+COUNTA(条幅!$B$11:$B$310),INDEX(条幅!$H$11:$H$310,886-COUNTA(半紙!$B$11:$B$310)),IF(886&lt;=COUNTA(半紙!$B$11:$B$310)+COUNTA(条幅!$B$11:$B$310)+COUNTA(条幅4分の1!$B$11:$B$310),INDEX(条幅4分の1!$H$11:$H$310,886-COUNTA(半紙!$B$11:$B$310)-COUNTA(条幅!$B$11:$B$310)),"")))=0,"",IF(886&lt;=COUNTA(半紙!$B$11:$B$310),INDEX(半紙!$H$11:$H$310,886),IF(886&lt;=COUNTA(半紙!$B$11:$B$310)+COUNTA(条幅!$B$11:$B$310),INDEX(条幅!$H$11:$H$310,886-COUNTA(半紙!$B$11:$B$310)),IF(886&lt;=COUNTA(半紙!$B$11:$B$310)+COUNTA(条幅!$B$11:$B$310)+COUNTA(条幅4分の1!$B$11:$B$310),INDEX(条幅4分の1!$H$11:$H$310,886-COUNTA(半紙!$B$11:$B$310)-COUNTA(条幅!$B$11:$B$310)),""))))</f>
        <v/>
      </c>
      <c r="I891" s="38" t="str">
        <f>IF(IF(886&lt;=COUNTA(半紙!$B$11:$B$310),INDEX(半紙!$I$11:$I$310,886),IF(886&lt;=COUNTA(半紙!$B$11:$B$310)+COUNTA(条幅!$B$11:$B$310),INDEX(条幅!$I$11:$I$310,886-COUNTA(半紙!$B$11:$B$310)),IF(886&lt;=COUNTA(半紙!$B$11:$B$310)+COUNTA(条幅!$B$11:$B$310)+COUNTA(条幅4分の1!$B$11:$B$310),INDEX(条幅4分の1!$I$11:$I$310,886-COUNTA(半紙!$B$11:$B$310)-COUNTA(条幅!$B$11:$B$310)),"")))=0,"",IF(886&lt;=COUNTA(半紙!$B$11:$B$310),INDEX(半紙!$I$11:$I$310,886),IF(886&lt;=COUNTA(半紙!$B$11:$B$310)+COUNTA(条幅!$B$11:$B$310),INDEX(条幅!$I$11:$I$310,886-COUNTA(半紙!$B$11:$B$310)),IF(886&lt;=COUNTA(半紙!$B$11:$B$310)+COUNTA(条幅!$B$11:$B$310)+COUNTA(条幅4分の1!$B$11:$B$310),INDEX(条幅4分の1!$I$11:$I$310,886-COUNTA(半紙!$B$11:$B$310)-COUNTA(条幅!$B$11:$B$310)),""))))</f>
        <v/>
      </c>
      <c r="J891" s="38" t="str">
        <f>IF(IF(886&lt;=COUNTA(半紙!$B$11:$B$310),INDEX(半紙!$J$11:$J$310,886),IF(886&lt;=COUNTA(半紙!$B$11:$B$310)+COUNTA(条幅!$B$11:$B$310),INDEX(条幅!$J$11:$J$310,886-COUNTA(半紙!$B$11:$B$310)),IF(886&lt;=COUNTA(半紙!$B$11:$B$310)+COUNTA(条幅!$B$11:$B$310)+COUNTA(条幅4分の1!$B$11:$B$310),INDEX(条幅4分の1!$J$11:$J$310,886-COUNTA(半紙!$B$11:$B$310)-COUNTA(条幅!$B$11:$B$310)),"")))=0,"",IF(886&lt;=COUNTA(半紙!$B$11:$B$310),INDEX(半紙!$J$11:$J$310,886),IF(886&lt;=COUNTA(半紙!$B$11:$B$310)+COUNTA(条幅!$B$11:$B$310),INDEX(条幅!$J$11:$J$310,886-COUNTA(半紙!$B$11:$B$310)),IF(886&lt;=COUNTA(半紙!$B$11:$B$310)+COUNTA(条幅!$B$11:$B$310)+COUNTA(条幅4分の1!$B$11:$B$310),INDEX(条幅4分の1!$J$11:$J$310,886-COUNTA(半紙!$B$11:$B$310)-COUNTA(条幅!$B$11:$B$310)),""))))</f>
        <v/>
      </c>
      <c r="K891" s="38" t="str">
        <f>IF(IF(886&lt;=COUNTA(半紙!$B$11:$B$310),INDEX(半紙!$K$11:$K$310,886),IF(886&lt;=COUNTA(半紙!$B$11:$B$310)+COUNTA(条幅!$B$11:$B$310),INDEX(条幅!$K$11:$K$310,886-COUNTA(半紙!$B$11:$B$310)),IF(886&lt;=COUNTA(半紙!$B$11:$B$310)+COUNTA(条幅!$B$11:$B$310)+COUNTA(条幅4分の1!$B$11:$B$310),INDEX(条幅4分の1!$K$11:$K$310,886-COUNTA(半紙!$B$11:$B$310)-COUNTA(条幅!$B$11:$B$310)),"")))=0,"",IF(886&lt;=COUNTA(半紙!$B$11:$B$310),INDEX(半紙!$K$11:$K$310,886),IF(886&lt;=COUNTA(半紙!$B$11:$B$310)+COUNTA(条幅!$B$11:$B$310),INDEX(条幅!$K$11:$K$310,886-COUNTA(半紙!$B$11:$B$310)),IF(886&lt;=COUNTA(半紙!$B$11:$B$310)+COUNTA(条幅!$B$11:$B$310)+COUNTA(条幅4分の1!$B$11:$B$310),INDEX(条幅4分の1!$K$11:$K$310,886-COUNTA(半紙!$B$11:$B$310)-COUNTA(条幅!$B$11:$B$310)),""))))</f>
        <v/>
      </c>
      <c r="L891" s="48" t="str">
        <f>IF($B891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886))</f>
        <v/>
      </c>
    </row>
    <row r="892" spans="1:12" ht="15" customHeight="1">
      <c r="A892" s="37" t="str">
        <f>IF(887&lt;=COUNTA(半紙!$B$11:$B$310),"半紙",IF(887&lt;=COUNTA(半紙!$B$11:$B$310)+COUNTA(条幅!$B$11:$B$310),"条幅(半切)",IF(887&lt;=COUNTA(半紙!$B$11:$B$310)+COUNTA(条幅!$B$11:$B$310)+COUNTA(条幅4分の1!$B$11:$B$310),"条幅(1/4)","")))</f>
        <v/>
      </c>
      <c r="B892" s="38" t="str">
        <f>IF(IF(887&lt;=COUNTA(半紙!$B$11:$B$310),INDEX(半紙!$B$11:$B$310,887),IF(887&lt;=COUNTA(半紙!$B$11:$B$310)+COUNTA(条幅!$B$11:$B$310),INDEX(条幅!$B$11:$B$310,887-COUNTA(半紙!$B$11:$B$310)),IF(887&lt;=COUNTA(半紙!$B$11:$B$310)+COUNTA(条幅!$B$11:$B$310)+COUNTA(条幅4分の1!$B$11:$B$310),INDEX(条幅4分の1!$B$11:$B$310,887-COUNTA(半紙!$B$11:$B$310)-COUNTA(条幅!$B$11:$B$310)),"")))=0,"",IF(887&lt;=COUNTA(半紙!$B$11:$B$310),INDEX(半紙!$B$11:$B$310,887),IF(887&lt;=COUNTA(半紙!$B$11:$B$310)+COUNTA(条幅!$B$11:$B$310),INDEX(条幅!$B$11:$B$310,887-COUNTA(半紙!$B$11:$B$310)),IF(887&lt;=COUNTA(半紙!$B$11:$B$310)+COUNTA(条幅!$B$11:$B$310)+COUNTA(条幅4分の1!$B$11:$B$310),INDEX(条幅4分の1!$B$11:$B$310,887-COUNTA(半紙!$B$11:$B$310)-COUNTA(条幅!$B$11:$B$310)),""))))</f>
        <v/>
      </c>
      <c r="C892" s="38" t="str">
        <f>IF(IF(887&lt;=COUNTA(半紙!$B$11:$B$310),INDEX(半紙!$C$11:$C$310,887),IF(887&lt;=COUNTA(半紙!$B$11:$B$310)+COUNTA(条幅!$B$11:$B$310),INDEX(条幅!$C$11:$C$310,887-COUNTA(半紙!$B$11:$B$310)),IF(887&lt;=COUNTA(半紙!$B$11:$B$310)+COUNTA(条幅!$B$11:$B$310)+COUNTA(条幅4分の1!$B$11:$B$310),INDEX(条幅4分の1!$C$11:$C$310,887-COUNTA(半紙!$B$11:$B$310)-COUNTA(条幅!$B$11:$B$310)),"")))=0,"",IF(887&lt;=COUNTA(半紙!$B$11:$B$310),INDEX(半紙!$C$11:$C$310,887),IF(887&lt;=COUNTA(半紙!$B$11:$B$310)+COUNTA(条幅!$B$11:$B$310),INDEX(条幅!$C$11:$C$310,887-COUNTA(半紙!$B$11:$B$310)),IF(887&lt;=COUNTA(半紙!$B$11:$B$310)+COUNTA(条幅!$B$11:$B$310)+COUNTA(条幅4分の1!$B$11:$B$310),INDEX(条幅4分の1!$C$11:$C$310,887-COUNTA(半紙!$B$11:$B$310)-COUNTA(条幅!$B$11:$B$310)),""))))</f>
        <v/>
      </c>
      <c r="D892" s="38" t="str">
        <f>IF(IF(887&lt;=COUNTA(半紙!$B$11:$B$310),INDEX(半紙!$D$11:$D$310,887),IF(887&lt;=COUNTA(半紙!$B$11:$B$310)+COUNTA(条幅!$B$11:$B$310),INDEX(条幅!$D$11:$D$310,887-COUNTA(半紙!$B$11:$B$310)),IF(887&lt;=COUNTA(半紙!$B$11:$B$310)+COUNTA(条幅!$B$11:$B$310)+COUNTA(条幅4分の1!$B$11:$B$310),INDEX(条幅4分の1!$D$11:$D$310,887-COUNTA(半紙!$B$11:$B$310)-COUNTA(条幅!$B$11:$B$310)),"")))=0,"",IF(887&lt;=COUNTA(半紙!$B$11:$B$310),INDEX(半紙!$D$11:$D$310,887),IF(887&lt;=COUNTA(半紙!$B$11:$B$310)+COUNTA(条幅!$B$11:$B$310),INDEX(条幅!$D$11:$D$310,887-COUNTA(半紙!$B$11:$B$310)),IF(887&lt;=COUNTA(半紙!$B$11:$B$310)+COUNTA(条幅!$B$11:$B$310)+COUNTA(条幅4分の1!$B$11:$B$310),INDEX(条幅4分の1!$D$11:$D$310,887-COUNTA(半紙!$B$11:$B$310)-COUNTA(条幅!$B$11:$B$310)),""))))</f>
        <v/>
      </c>
      <c r="E892" s="38" t="str">
        <f>IF(IF(887&lt;=COUNTA(半紙!$B$11:$B$310),INDEX(半紙!$E$11:$E$310,887),IF(887&lt;=COUNTA(半紙!$B$11:$B$310)+COUNTA(条幅!$B$11:$B$310),INDEX(条幅!$E$11:$E$310,887-COUNTA(半紙!$B$11:$B$310)),IF(887&lt;=COUNTA(半紙!$B$11:$B$310)+COUNTA(条幅!$B$11:$B$310)+COUNTA(条幅4分の1!$B$11:$B$310),INDEX(条幅4分の1!$E$11:$E$310,887-COUNTA(半紙!$B$11:$B$310)-COUNTA(条幅!$B$11:$B$310)),"")))=0,"",IF(887&lt;=COUNTA(半紙!$B$11:$B$310),INDEX(半紙!$E$11:$E$310,887),IF(887&lt;=COUNTA(半紙!$B$11:$B$310)+COUNTA(条幅!$B$11:$B$310),INDEX(条幅!$E$11:$E$310,887-COUNTA(半紙!$B$11:$B$310)),IF(887&lt;=COUNTA(半紙!$B$11:$B$310)+COUNTA(条幅!$B$11:$B$310)+COUNTA(条幅4分の1!$B$11:$B$310),INDEX(条幅4分の1!$E$11:$E$310,887-COUNTA(半紙!$B$11:$B$310)-COUNTA(条幅!$B$11:$B$310)),""))))</f>
        <v/>
      </c>
      <c r="F892" s="38" t="str">
        <f>IF(IF(887&lt;=COUNTA(半紙!$B$11:$B$310),INDEX(半紙!$F$11:$F$310,887),IF(887&lt;=COUNTA(半紙!$B$11:$B$310)+COUNTA(条幅!$B$11:$B$310),INDEX(条幅!$F$11:$F$310,887-COUNTA(半紙!$B$11:$B$310)),IF(887&lt;=COUNTA(半紙!$B$11:$B$310)+COUNTA(条幅!$B$11:$B$310)+COUNTA(条幅4分の1!$B$11:$B$310),INDEX(条幅4分の1!$F$11:$F$310,887-COUNTA(半紙!$B$11:$B$310)-COUNTA(条幅!$B$11:$B$310)),"")))=0,"",IF(887&lt;=COUNTA(半紙!$B$11:$B$310),INDEX(半紙!$F$11:$F$310,887),IF(887&lt;=COUNTA(半紙!$B$11:$B$310)+COUNTA(条幅!$B$11:$B$310),INDEX(条幅!$F$11:$F$310,887-COUNTA(半紙!$B$11:$B$310)),IF(887&lt;=COUNTA(半紙!$B$11:$B$310)+COUNTA(条幅!$B$11:$B$310)+COUNTA(条幅4分の1!$B$11:$B$310),INDEX(条幅4分の1!$F$11:$F$310,887-COUNTA(半紙!$B$11:$B$310)-COUNTA(条幅!$B$11:$B$310)),""))))</f>
        <v/>
      </c>
      <c r="G892" s="38" t="str">
        <f>IF(IF(887&lt;=COUNTA(半紙!$B$11:$B$310),INDEX(半紙!$G$11:$G$310,887),IF(887&lt;=COUNTA(半紙!$B$11:$B$310)+COUNTA(条幅!$B$11:$B$310),INDEX(条幅!$G$11:$G$310,887-COUNTA(半紙!$B$11:$B$310)),IF(887&lt;=COUNTA(半紙!$B$11:$B$310)+COUNTA(条幅!$B$11:$B$310)+COUNTA(条幅4分の1!$B$11:$B$310),INDEX(条幅4分の1!$G$11:$G$310,887-COUNTA(半紙!$B$11:$B$310)-COUNTA(条幅!$B$11:$B$310)),"")))=0,"",IF(887&lt;=COUNTA(半紙!$B$11:$B$310),INDEX(半紙!$G$11:$G$310,887),IF(887&lt;=COUNTA(半紙!$B$11:$B$310)+COUNTA(条幅!$B$11:$B$310),INDEX(条幅!$G$11:$G$310,887-COUNTA(半紙!$B$11:$B$310)),IF(887&lt;=COUNTA(半紙!$B$11:$B$310)+COUNTA(条幅!$B$11:$B$310)+COUNTA(条幅4分の1!$B$11:$B$310),INDEX(条幅4分の1!$G$11:$G$310,887-COUNTA(半紙!$B$11:$B$310)-COUNTA(条幅!$B$11:$B$310)),""))))</f>
        <v/>
      </c>
      <c r="H892" s="38" t="str">
        <f>IF(IF(887&lt;=COUNTA(半紙!$B$11:$B$310),INDEX(半紙!$H$11:$H$310,887),IF(887&lt;=COUNTA(半紙!$B$11:$B$310)+COUNTA(条幅!$B$11:$B$310),INDEX(条幅!$H$11:$H$310,887-COUNTA(半紙!$B$11:$B$310)),IF(887&lt;=COUNTA(半紙!$B$11:$B$310)+COUNTA(条幅!$B$11:$B$310)+COUNTA(条幅4分の1!$B$11:$B$310),INDEX(条幅4分の1!$H$11:$H$310,887-COUNTA(半紙!$B$11:$B$310)-COUNTA(条幅!$B$11:$B$310)),"")))=0,"",IF(887&lt;=COUNTA(半紙!$B$11:$B$310),INDEX(半紙!$H$11:$H$310,887),IF(887&lt;=COUNTA(半紙!$B$11:$B$310)+COUNTA(条幅!$B$11:$B$310),INDEX(条幅!$H$11:$H$310,887-COUNTA(半紙!$B$11:$B$310)),IF(887&lt;=COUNTA(半紙!$B$11:$B$310)+COUNTA(条幅!$B$11:$B$310)+COUNTA(条幅4分の1!$B$11:$B$310),INDEX(条幅4分の1!$H$11:$H$310,887-COUNTA(半紙!$B$11:$B$310)-COUNTA(条幅!$B$11:$B$310)),""))))</f>
        <v/>
      </c>
      <c r="I892" s="38" t="str">
        <f>IF(IF(887&lt;=COUNTA(半紙!$B$11:$B$310),INDEX(半紙!$I$11:$I$310,887),IF(887&lt;=COUNTA(半紙!$B$11:$B$310)+COUNTA(条幅!$B$11:$B$310),INDEX(条幅!$I$11:$I$310,887-COUNTA(半紙!$B$11:$B$310)),IF(887&lt;=COUNTA(半紙!$B$11:$B$310)+COUNTA(条幅!$B$11:$B$310)+COUNTA(条幅4分の1!$B$11:$B$310),INDEX(条幅4分の1!$I$11:$I$310,887-COUNTA(半紙!$B$11:$B$310)-COUNTA(条幅!$B$11:$B$310)),"")))=0,"",IF(887&lt;=COUNTA(半紙!$B$11:$B$310),INDEX(半紙!$I$11:$I$310,887),IF(887&lt;=COUNTA(半紙!$B$11:$B$310)+COUNTA(条幅!$B$11:$B$310),INDEX(条幅!$I$11:$I$310,887-COUNTA(半紙!$B$11:$B$310)),IF(887&lt;=COUNTA(半紙!$B$11:$B$310)+COUNTA(条幅!$B$11:$B$310)+COUNTA(条幅4分の1!$B$11:$B$310),INDEX(条幅4分の1!$I$11:$I$310,887-COUNTA(半紙!$B$11:$B$310)-COUNTA(条幅!$B$11:$B$310)),""))))</f>
        <v/>
      </c>
      <c r="J892" s="38" t="str">
        <f>IF(IF(887&lt;=COUNTA(半紙!$B$11:$B$310),INDEX(半紙!$J$11:$J$310,887),IF(887&lt;=COUNTA(半紙!$B$11:$B$310)+COUNTA(条幅!$B$11:$B$310),INDEX(条幅!$J$11:$J$310,887-COUNTA(半紙!$B$11:$B$310)),IF(887&lt;=COUNTA(半紙!$B$11:$B$310)+COUNTA(条幅!$B$11:$B$310)+COUNTA(条幅4分の1!$B$11:$B$310),INDEX(条幅4分の1!$J$11:$J$310,887-COUNTA(半紙!$B$11:$B$310)-COUNTA(条幅!$B$11:$B$310)),"")))=0,"",IF(887&lt;=COUNTA(半紙!$B$11:$B$310),INDEX(半紙!$J$11:$J$310,887),IF(887&lt;=COUNTA(半紙!$B$11:$B$310)+COUNTA(条幅!$B$11:$B$310),INDEX(条幅!$J$11:$J$310,887-COUNTA(半紙!$B$11:$B$310)),IF(887&lt;=COUNTA(半紙!$B$11:$B$310)+COUNTA(条幅!$B$11:$B$310)+COUNTA(条幅4分の1!$B$11:$B$310),INDEX(条幅4分の1!$J$11:$J$310,887-COUNTA(半紙!$B$11:$B$310)-COUNTA(条幅!$B$11:$B$310)),""))))</f>
        <v/>
      </c>
      <c r="K892" s="38" t="str">
        <f>IF(IF(887&lt;=COUNTA(半紙!$B$11:$B$310),INDEX(半紙!$K$11:$K$310,887),IF(887&lt;=COUNTA(半紙!$B$11:$B$310)+COUNTA(条幅!$B$11:$B$310),INDEX(条幅!$K$11:$K$310,887-COUNTA(半紙!$B$11:$B$310)),IF(887&lt;=COUNTA(半紙!$B$11:$B$310)+COUNTA(条幅!$B$11:$B$310)+COUNTA(条幅4分の1!$B$11:$B$310),INDEX(条幅4分の1!$K$11:$K$310,887-COUNTA(半紙!$B$11:$B$310)-COUNTA(条幅!$B$11:$B$310)),"")))=0,"",IF(887&lt;=COUNTA(半紙!$B$11:$B$310),INDEX(半紙!$K$11:$K$310,887),IF(887&lt;=COUNTA(半紙!$B$11:$B$310)+COUNTA(条幅!$B$11:$B$310),INDEX(条幅!$K$11:$K$310,887-COUNTA(半紙!$B$11:$B$310)),IF(887&lt;=COUNTA(半紙!$B$11:$B$310)+COUNTA(条幅!$B$11:$B$310)+COUNTA(条幅4分の1!$B$11:$B$310),INDEX(条幅4分の1!$K$11:$K$310,887-COUNTA(半紙!$B$11:$B$310)-COUNTA(条幅!$B$11:$B$310)),""))))</f>
        <v/>
      </c>
      <c r="L892" s="48" t="str">
        <f>IF($B892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887))</f>
        <v/>
      </c>
    </row>
    <row r="893" spans="1:12" ht="15" customHeight="1">
      <c r="A893" s="37" t="str">
        <f>IF(888&lt;=COUNTA(半紙!$B$11:$B$310),"半紙",IF(888&lt;=COUNTA(半紙!$B$11:$B$310)+COUNTA(条幅!$B$11:$B$310),"条幅(半切)",IF(888&lt;=COUNTA(半紙!$B$11:$B$310)+COUNTA(条幅!$B$11:$B$310)+COUNTA(条幅4分の1!$B$11:$B$310),"条幅(1/4)","")))</f>
        <v/>
      </c>
      <c r="B893" s="38" t="str">
        <f>IF(IF(888&lt;=COUNTA(半紙!$B$11:$B$310),INDEX(半紙!$B$11:$B$310,888),IF(888&lt;=COUNTA(半紙!$B$11:$B$310)+COUNTA(条幅!$B$11:$B$310),INDEX(条幅!$B$11:$B$310,888-COUNTA(半紙!$B$11:$B$310)),IF(888&lt;=COUNTA(半紙!$B$11:$B$310)+COUNTA(条幅!$B$11:$B$310)+COUNTA(条幅4分の1!$B$11:$B$310),INDEX(条幅4分の1!$B$11:$B$310,888-COUNTA(半紙!$B$11:$B$310)-COUNTA(条幅!$B$11:$B$310)),"")))=0,"",IF(888&lt;=COUNTA(半紙!$B$11:$B$310),INDEX(半紙!$B$11:$B$310,888),IF(888&lt;=COUNTA(半紙!$B$11:$B$310)+COUNTA(条幅!$B$11:$B$310),INDEX(条幅!$B$11:$B$310,888-COUNTA(半紙!$B$11:$B$310)),IF(888&lt;=COUNTA(半紙!$B$11:$B$310)+COUNTA(条幅!$B$11:$B$310)+COUNTA(条幅4分の1!$B$11:$B$310),INDEX(条幅4分の1!$B$11:$B$310,888-COUNTA(半紙!$B$11:$B$310)-COUNTA(条幅!$B$11:$B$310)),""))))</f>
        <v/>
      </c>
      <c r="C893" s="38" t="str">
        <f>IF(IF(888&lt;=COUNTA(半紙!$B$11:$B$310),INDEX(半紙!$C$11:$C$310,888),IF(888&lt;=COUNTA(半紙!$B$11:$B$310)+COUNTA(条幅!$B$11:$B$310),INDEX(条幅!$C$11:$C$310,888-COUNTA(半紙!$B$11:$B$310)),IF(888&lt;=COUNTA(半紙!$B$11:$B$310)+COUNTA(条幅!$B$11:$B$310)+COUNTA(条幅4分の1!$B$11:$B$310),INDEX(条幅4分の1!$C$11:$C$310,888-COUNTA(半紙!$B$11:$B$310)-COUNTA(条幅!$B$11:$B$310)),"")))=0,"",IF(888&lt;=COUNTA(半紙!$B$11:$B$310),INDEX(半紙!$C$11:$C$310,888),IF(888&lt;=COUNTA(半紙!$B$11:$B$310)+COUNTA(条幅!$B$11:$B$310),INDEX(条幅!$C$11:$C$310,888-COUNTA(半紙!$B$11:$B$310)),IF(888&lt;=COUNTA(半紙!$B$11:$B$310)+COUNTA(条幅!$B$11:$B$310)+COUNTA(条幅4分の1!$B$11:$B$310),INDEX(条幅4分の1!$C$11:$C$310,888-COUNTA(半紙!$B$11:$B$310)-COUNTA(条幅!$B$11:$B$310)),""))))</f>
        <v/>
      </c>
      <c r="D893" s="38" t="str">
        <f>IF(IF(888&lt;=COUNTA(半紙!$B$11:$B$310),INDEX(半紙!$D$11:$D$310,888),IF(888&lt;=COUNTA(半紙!$B$11:$B$310)+COUNTA(条幅!$B$11:$B$310),INDEX(条幅!$D$11:$D$310,888-COUNTA(半紙!$B$11:$B$310)),IF(888&lt;=COUNTA(半紙!$B$11:$B$310)+COUNTA(条幅!$B$11:$B$310)+COUNTA(条幅4分の1!$B$11:$B$310),INDEX(条幅4分の1!$D$11:$D$310,888-COUNTA(半紙!$B$11:$B$310)-COUNTA(条幅!$B$11:$B$310)),"")))=0,"",IF(888&lt;=COUNTA(半紙!$B$11:$B$310),INDEX(半紙!$D$11:$D$310,888),IF(888&lt;=COUNTA(半紙!$B$11:$B$310)+COUNTA(条幅!$B$11:$B$310),INDEX(条幅!$D$11:$D$310,888-COUNTA(半紙!$B$11:$B$310)),IF(888&lt;=COUNTA(半紙!$B$11:$B$310)+COUNTA(条幅!$B$11:$B$310)+COUNTA(条幅4分の1!$B$11:$B$310),INDEX(条幅4分の1!$D$11:$D$310,888-COUNTA(半紙!$B$11:$B$310)-COUNTA(条幅!$B$11:$B$310)),""))))</f>
        <v/>
      </c>
      <c r="E893" s="38" t="str">
        <f>IF(IF(888&lt;=COUNTA(半紙!$B$11:$B$310),INDEX(半紙!$E$11:$E$310,888),IF(888&lt;=COUNTA(半紙!$B$11:$B$310)+COUNTA(条幅!$B$11:$B$310),INDEX(条幅!$E$11:$E$310,888-COUNTA(半紙!$B$11:$B$310)),IF(888&lt;=COUNTA(半紙!$B$11:$B$310)+COUNTA(条幅!$B$11:$B$310)+COUNTA(条幅4分の1!$B$11:$B$310),INDEX(条幅4分の1!$E$11:$E$310,888-COUNTA(半紙!$B$11:$B$310)-COUNTA(条幅!$B$11:$B$310)),"")))=0,"",IF(888&lt;=COUNTA(半紙!$B$11:$B$310),INDEX(半紙!$E$11:$E$310,888),IF(888&lt;=COUNTA(半紙!$B$11:$B$310)+COUNTA(条幅!$B$11:$B$310),INDEX(条幅!$E$11:$E$310,888-COUNTA(半紙!$B$11:$B$310)),IF(888&lt;=COUNTA(半紙!$B$11:$B$310)+COUNTA(条幅!$B$11:$B$310)+COUNTA(条幅4分の1!$B$11:$B$310),INDEX(条幅4分の1!$E$11:$E$310,888-COUNTA(半紙!$B$11:$B$310)-COUNTA(条幅!$B$11:$B$310)),""))))</f>
        <v/>
      </c>
      <c r="F893" s="38" t="str">
        <f>IF(IF(888&lt;=COUNTA(半紙!$B$11:$B$310),INDEX(半紙!$F$11:$F$310,888),IF(888&lt;=COUNTA(半紙!$B$11:$B$310)+COUNTA(条幅!$B$11:$B$310),INDEX(条幅!$F$11:$F$310,888-COUNTA(半紙!$B$11:$B$310)),IF(888&lt;=COUNTA(半紙!$B$11:$B$310)+COUNTA(条幅!$B$11:$B$310)+COUNTA(条幅4分の1!$B$11:$B$310),INDEX(条幅4分の1!$F$11:$F$310,888-COUNTA(半紙!$B$11:$B$310)-COUNTA(条幅!$B$11:$B$310)),"")))=0,"",IF(888&lt;=COUNTA(半紙!$B$11:$B$310),INDEX(半紙!$F$11:$F$310,888),IF(888&lt;=COUNTA(半紙!$B$11:$B$310)+COUNTA(条幅!$B$11:$B$310),INDEX(条幅!$F$11:$F$310,888-COUNTA(半紙!$B$11:$B$310)),IF(888&lt;=COUNTA(半紙!$B$11:$B$310)+COUNTA(条幅!$B$11:$B$310)+COUNTA(条幅4分の1!$B$11:$B$310),INDEX(条幅4分の1!$F$11:$F$310,888-COUNTA(半紙!$B$11:$B$310)-COUNTA(条幅!$B$11:$B$310)),""))))</f>
        <v/>
      </c>
      <c r="G893" s="38" t="str">
        <f>IF(IF(888&lt;=COUNTA(半紙!$B$11:$B$310),INDEX(半紙!$G$11:$G$310,888),IF(888&lt;=COUNTA(半紙!$B$11:$B$310)+COUNTA(条幅!$B$11:$B$310),INDEX(条幅!$G$11:$G$310,888-COUNTA(半紙!$B$11:$B$310)),IF(888&lt;=COUNTA(半紙!$B$11:$B$310)+COUNTA(条幅!$B$11:$B$310)+COUNTA(条幅4分の1!$B$11:$B$310),INDEX(条幅4分の1!$G$11:$G$310,888-COUNTA(半紙!$B$11:$B$310)-COUNTA(条幅!$B$11:$B$310)),"")))=0,"",IF(888&lt;=COUNTA(半紙!$B$11:$B$310),INDEX(半紙!$G$11:$G$310,888),IF(888&lt;=COUNTA(半紙!$B$11:$B$310)+COUNTA(条幅!$B$11:$B$310),INDEX(条幅!$G$11:$G$310,888-COUNTA(半紙!$B$11:$B$310)),IF(888&lt;=COUNTA(半紙!$B$11:$B$310)+COUNTA(条幅!$B$11:$B$310)+COUNTA(条幅4分の1!$B$11:$B$310),INDEX(条幅4分の1!$G$11:$G$310,888-COUNTA(半紙!$B$11:$B$310)-COUNTA(条幅!$B$11:$B$310)),""))))</f>
        <v/>
      </c>
      <c r="H893" s="38" t="str">
        <f>IF(IF(888&lt;=COUNTA(半紙!$B$11:$B$310),INDEX(半紙!$H$11:$H$310,888),IF(888&lt;=COUNTA(半紙!$B$11:$B$310)+COUNTA(条幅!$B$11:$B$310),INDEX(条幅!$H$11:$H$310,888-COUNTA(半紙!$B$11:$B$310)),IF(888&lt;=COUNTA(半紙!$B$11:$B$310)+COUNTA(条幅!$B$11:$B$310)+COUNTA(条幅4分の1!$B$11:$B$310),INDEX(条幅4分の1!$H$11:$H$310,888-COUNTA(半紙!$B$11:$B$310)-COUNTA(条幅!$B$11:$B$310)),"")))=0,"",IF(888&lt;=COUNTA(半紙!$B$11:$B$310),INDEX(半紙!$H$11:$H$310,888),IF(888&lt;=COUNTA(半紙!$B$11:$B$310)+COUNTA(条幅!$B$11:$B$310),INDEX(条幅!$H$11:$H$310,888-COUNTA(半紙!$B$11:$B$310)),IF(888&lt;=COUNTA(半紙!$B$11:$B$310)+COUNTA(条幅!$B$11:$B$310)+COUNTA(条幅4分の1!$B$11:$B$310),INDEX(条幅4分の1!$H$11:$H$310,888-COUNTA(半紙!$B$11:$B$310)-COUNTA(条幅!$B$11:$B$310)),""))))</f>
        <v/>
      </c>
      <c r="I893" s="38" t="str">
        <f>IF(IF(888&lt;=COUNTA(半紙!$B$11:$B$310),INDEX(半紙!$I$11:$I$310,888),IF(888&lt;=COUNTA(半紙!$B$11:$B$310)+COUNTA(条幅!$B$11:$B$310),INDEX(条幅!$I$11:$I$310,888-COUNTA(半紙!$B$11:$B$310)),IF(888&lt;=COUNTA(半紙!$B$11:$B$310)+COUNTA(条幅!$B$11:$B$310)+COUNTA(条幅4分の1!$B$11:$B$310),INDEX(条幅4分の1!$I$11:$I$310,888-COUNTA(半紙!$B$11:$B$310)-COUNTA(条幅!$B$11:$B$310)),"")))=0,"",IF(888&lt;=COUNTA(半紙!$B$11:$B$310),INDEX(半紙!$I$11:$I$310,888),IF(888&lt;=COUNTA(半紙!$B$11:$B$310)+COUNTA(条幅!$B$11:$B$310),INDEX(条幅!$I$11:$I$310,888-COUNTA(半紙!$B$11:$B$310)),IF(888&lt;=COUNTA(半紙!$B$11:$B$310)+COUNTA(条幅!$B$11:$B$310)+COUNTA(条幅4分の1!$B$11:$B$310),INDEX(条幅4分の1!$I$11:$I$310,888-COUNTA(半紙!$B$11:$B$310)-COUNTA(条幅!$B$11:$B$310)),""))))</f>
        <v/>
      </c>
      <c r="J893" s="38" t="str">
        <f>IF(IF(888&lt;=COUNTA(半紙!$B$11:$B$310),INDEX(半紙!$J$11:$J$310,888),IF(888&lt;=COUNTA(半紙!$B$11:$B$310)+COUNTA(条幅!$B$11:$B$310),INDEX(条幅!$J$11:$J$310,888-COUNTA(半紙!$B$11:$B$310)),IF(888&lt;=COUNTA(半紙!$B$11:$B$310)+COUNTA(条幅!$B$11:$B$310)+COUNTA(条幅4分の1!$B$11:$B$310),INDEX(条幅4分の1!$J$11:$J$310,888-COUNTA(半紙!$B$11:$B$310)-COUNTA(条幅!$B$11:$B$310)),"")))=0,"",IF(888&lt;=COUNTA(半紙!$B$11:$B$310),INDEX(半紙!$J$11:$J$310,888),IF(888&lt;=COUNTA(半紙!$B$11:$B$310)+COUNTA(条幅!$B$11:$B$310),INDEX(条幅!$J$11:$J$310,888-COUNTA(半紙!$B$11:$B$310)),IF(888&lt;=COUNTA(半紙!$B$11:$B$310)+COUNTA(条幅!$B$11:$B$310)+COUNTA(条幅4分の1!$B$11:$B$310),INDEX(条幅4分の1!$J$11:$J$310,888-COUNTA(半紙!$B$11:$B$310)-COUNTA(条幅!$B$11:$B$310)),""))))</f>
        <v/>
      </c>
      <c r="K893" s="38" t="str">
        <f>IF(IF(888&lt;=COUNTA(半紙!$B$11:$B$310),INDEX(半紙!$K$11:$K$310,888),IF(888&lt;=COUNTA(半紙!$B$11:$B$310)+COUNTA(条幅!$B$11:$B$310),INDEX(条幅!$K$11:$K$310,888-COUNTA(半紙!$B$11:$B$310)),IF(888&lt;=COUNTA(半紙!$B$11:$B$310)+COUNTA(条幅!$B$11:$B$310)+COUNTA(条幅4分の1!$B$11:$B$310),INDEX(条幅4分の1!$K$11:$K$310,888-COUNTA(半紙!$B$11:$B$310)-COUNTA(条幅!$B$11:$B$310)),"")))=0,"",IF(888&lt;=COUNTA(半紙!$B$11:$B$310),INDEX(半紙!$K$11:$K$310,888),IF(888&lt;=COUNTA(半紙!$B$11:$B$310)+COUNTA(条幅!$B$11:$B$310),INDEX(条幅!$K$11:$K$310,888-COUNTA(半紙!$B$11:$B$310)),IF(888&lt;=COUNTA(半紙!$B$11:$B$310)+COUNTA(条幅!$B$11:$B$310)+COUNTA(条幅4分の1!$B$11:$B$310),INDEX(条幅4分の1!$K$11:$K$310,888-COUNTA(半紙!$B$11:$B$310)-COUNTA(条幅!$B$11:$B$310)),""))))</f>
        <v/>
      </c>
      <c r="L893" s="48" t="str">
        <f>IF($B893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888))</f>
        <v/>
      </c>
    </row>
    <row r="894" spans="1:12" ht="15" customHeight="1">
      <c r="A894" s="37" t="str">
        <f>IF(889&lt;=COUNTA(半紙!$B$11:$B$310),"半紙",IF(889&lt;=COUNTA(半紙!$B$11:$B$310)+COUNTA(条幅!$B$11:$B$310),"条幅(半切)",IF(889&lt;=COUNTA(半紙!$B$11:$B$310)+COUNTA(条幅!$B$11:$B$310)+COUNTA(条幅4分の1!$B$11:$B$310),"条幅(1/4)","")))</f>
        <v/>
      </c>
      <c r="B894" s="38" t="str">
        <f>IF(IF(889&lt;=COUNTA(半紙!$B$11:$B$310),INDEX(半紙!$B$11:$B$310,889),IF(889&lt;=COUNTA(半紙!$B$11:$B$310)+COUNTA(条幅!$B$11:$B$310),INDEX(条幅!$B$11:$B$310,889-COUNTA(半紙!$B$11:$B$310)),IF(889&lt;=COUNTA(半紙!$B$11:$B$310)+COUNTA(条幅!$B$11:$B$310)+COUNTA(条幅4分の1!$B$11:$B$310),INDEX(条幅4分の1!$B$11:$B$310,889-COUNTA(半紙!$B$11:$B$310)-COUNTA(条幅!$B$11:$B$310)),"")))=0,"",IF(889&lt;=COUNTA(半紙!$B$11:$B$310),INDEX(半紙!$B$11:$B$310,889),IF(889&lt;=COUNTA(半紙!$B$11:$B$310)+COUNTA(条幅!$B$11:$B$310),INDEX(条幅!$B$11:$B$310,889-COUNTA(半紙!$B$11:$B$310)),IF(889&lt;=COUNTA(半紙!$B$11:$B$310)+COUNTA(条幅!$B$11:$B$310)+COUNTA(条幅4分の1!$B$11:$B$310),INDEX(条幅4分の1!$B$11:$B$310,889-COUNTA(半紙!$B$11:$B$310)-COUNTA(条幅!$B$11:$B$310)),""))))</f>
        <v/>
      </c>
      <c r="C894" s="38" t="str">
        <f>IF(IF(889&lt;=COUNTA(半紙!$B$11:$B$310),INDEX(半紙!$C$11:$C$310,889),IF(889&lt;=COUNTA(半紙!$B$11:$B$310)+COUNTA(条幅!$B$11:$B$310),INDEX(条幅!$C$11:$C$310,889-COUNTA(半紙!$B$11:$B$310)),IF(889&lt;=COUNTA(半紙!$B$11:$B$310)+COUNTA(条幅!$B$11:$B$310)+COUNTA(条幅4分の1!$B$11:$B$310),INDEX(条幅4分の1!$C$11:$C$310,889-COUNTA(半紙!$B$11:$B$310)-COUNTA(条幅!$B$11:$B$310)),"")))=0,"",IF(889&lt;=COUNTA(半紙!$B$11:$B$310),INDEX(半紙!$C$11:$C$310,889),IF(889&lt;=COUNTA(半紙!$B$11:$B$310)+COUNTA(条幅!$B$11:$B$310),INDEX(条幅!$C$11:$C$310,889-COUNTA(半紙!$B$11:$B$310)),IF(889&lt;=COUNTA(半紙!$B$11:$B$310)+COUNTA(条幅!$B$11:$B$310)+COUNTA(条幅4分の1!$B$11:$B$310),INDEX(条幅4分の1!$C$11:$C$310,889-COUNTA(半紙!$B$11:$B$310)-COUNTA(条幅!$B$11:$B$310)),""))))</f>
        <v/>
      </c>
      <c r="D894" s="38" t="str">
        <f>IF(IF(889&lt;=COUNTA(半紙!$B$11:$B$310),INDEX(半紙!$D$11:$D$310,889),IF(889&lt;=COUNTA(半紙!$B$11:$B$310)+COUNTA(条幅!$B$11:$B$310),INDEX(条幅!$D$11:$D$310,889-COUNTA(半紙!$B$11:$B$310)),IF(889&lt;=COUNTA(半紙!$B$11:$B$310)+COUNTA(条幅!$B$11:$B$310)+COUNTA(条幅4分の1!$B$11:$B$310),INDEX(条幅4分の1!$D$11:$D$310,889-COUNTA(半紙!$B$11:$B$310)-COUNTA(条幅!$B$11:$B$310)),"")))=0,"",IF(889&lt;=COUNTA(半紙!$B$11:$B$310),INDEX(半紙!$D$11:$D$310,889),IF(889&lt;=COUNTA(半紙!$B$11:$B$310)+COUNTA(条幅!$B$11:$B$310),INDEX(条幅!$D$11:$D$310,889-COUNTA(半紙!$B$11:$B$310)),IF(889&lt;=COUNTA(半紙!$B$11:$B$310)+COUNTA(条幅!$B$11:$B$310)+COUNTA(条幅4分の1!$B$11:$B$310),INDEX(条幅4分の1!$D$11:$D$310,889-COUNTA(半紙!$B$11:$B$310)-COUNTA(条幅!$B$11:$B$310)),""))))</f>
        <v/>
      </c>
      <c r="E894" s="38" t="str">
        <f>IF(IF(889&lt;=COUNTA(半紙!$B$11:$B$310),INDEX(半紙!$E$11:$E$310,889),IF(889&lt;=COUNTA(半紙!$B$11:$B$310)+COUNTA(条幅!$B$11:$B$310),INDEX(条幅!$E$11:$E$310,889-COUNTA(半紙!$B$11:$B$310)),IF(889&lt;=COUNTA(半紙!$B$11:$B$310)+COUNTA(条幅!$B$11:$B$310)+COUNTA(条幅4分の1!$B$11:$B$310),INDEX(条幅4分の1!$E$11:$E$310,889-COUNTA(半紙!$B$11:$B$310)-COUNTA(条幅!$B$11:$B$310)),"")))=0,"",IF(889&lt;=COUNTA(半紙!$B$11:$B$310),INDEX(半紙!$E$11:$E$310,889),IF(889&lt;=COUNTA(半紙!$B$11:$B$310)+COUNTA(条幅!$B$11:$B$310),INDEX(条幅!$E$11:$E$310,889-COUNTA(半紙!$B$11:$B$310)),IF(889&lt;=COUNTA(半紙!$B$11:$B$310)+COUNTA(条幅!$B$11:$B$310)+COUNTA(条幅4分の1!$B$11:$B$310),INDEX(条幅4分の1!$E$11:$E$310,889-COUNTA(半紙!$B$11:$B$310)-COUNTA(条幅!$B$11:$B$310)),""))))</f>
        <v/>
      </c>
      <c r="F894" s="38" t="str">
        <f>IF(IF(889&lt;=COUNTA(半紙!$B$11:$B$310),INDEX(半紙!$F$11:$F$310,889),IF(889&lt;=COUNTA(半紙!$B$11:$B$310)+COUNTA(条幅!$B$11:$B$310),INDEX(条幅!$F$11:$F$310,889-COUNTA(半紙!$B$11:$B$310)),IF(889&lt;=COUNTA(半紙!$B$11:$B$310)+COUNTA(条幅!$B$11:$B$310)+COUNTA(条幅4分の1!$B$11:$B$310),INDEX(条幅4分の1!$F$11:$F$310,889-COUNTA(半紙!$B$11:$B$310)-COUNTA(条幅!$B$11:$B$310)),"")))=0,"",IF(889&lt;=COUNTA(半紙!$B$11:$B$310),INDEX(半紙!$F$11:$F$310,889),IF(889&lt;=COUNTA(半紙!$B$11:$B$310)+COUNTA(条幅!$B$11:$B$310),INDEX(条幅!$F$11:$F$310,889-COUNTA(半紙!$B$11:$B$310)),IF(889&lt;=COUNTA(半紙!$B$11:$B$310)+COUNTA(条幅!$B$11:$B$310)+COUNTA(条幅4分の1!$B$11:$B$310),INDEX(条幅4分の1!$F$11:$F$310,889-COUNTA(半紙!$B$11:$B$310)-COUNTA(条幅!$B$11:$B$310)),""))))</f>
        <v/>
      </c>
      <c r="G894" s="38" t="str">
        <f>IF(IF(889&lt;=COUNTA(半紙!$B$11:$B$310),INDEX(半紙!$G$11:$G$310,889),IF(889&lt;=COUNTA(半紙!$B$11:$B$310)+COUNTA(条幅!$B$11:$B$310),INDEX(条幅!$G$11:$G$310,889-COUNTA(半紙!$B$11:$B$310)),IF(889&lt;=COUNTA(半紙!$B$11:$B$310)+COUNTA(条幅!$B$11:$B$310)+COUNTA(条幅4分の1!$B$11:$B$310),INDEX(条幅4分の1!$G$11:$G$310,889-COUNTA(半紙!$B$11:$B$310)-COUNTA(条幅!$B$11:$B$310)),"")))=0,"",IF(889&lt;=COUNTA(半紙!$B$11:$B$310),INDEX(半紙!$G$11:$G$310,889),IF(889&lt;=COUNTA(半紙!$B$11:$B$310)+COUNTA(条幅!$B$11:$B$310),INDEX(条幅!$G$11:$G$310,889-COUNTA(半紙!$B$11:$B$310)),IF(889&lt;=COUNTA(半紙!$B$11:$B$310)+COUNTA(条幅!$B$11:$B$310)+COUNTA(条幅4分の1!$B$11:$B$310),INDEX(条幅4分の1!$G$11:$G$310,889-COUNTA(半紙!$B$11:$B$310)-COUNTA(条幅!$B$11:$B$310)),""))))</f>
        <v/>
      </c>
      <c r="H894" s="38" t="str">
        <f>IF(IF(889&lt;=COUNTA(半紙!$B$11:$B$310),INDEX(半紙!$H$11:$H$310,889),IF(889&lt;=COUNTA(半紙!$B$11:$B$310)+COUNTA(条幅!$B$11:$B$310),INDEX(条幅!$H$11:$H$310,889-COUNTA(半紙!$B$11:$B$310)),IF(889&lt;=COUNTA(半紙!$B$11:$B$310)+COUNTA(条幅!$B$11:$B$310)+COUNTA(条幅4分の1!$B$11:$B$310),INDEX(条幅4分の1!$H$11:$H$310,889-COUNTA(半紙!$B$11:$B$310)-COUNTA(条幅!$B$11:$B$310)),"")))=0,"",IF(889&lt;=COUNTA(半紙!$B$11:$B$310),INDEX(半紙!$H$11:$H$310,889),IF(889&lt;=COUNTA(半紙!$B$11:$B$310)+COUNTA(条幅!$B$11:$B$310),INDEX(条幅!$H$11:$H$310,889-COUNTA(半紙!$B$11:$B$310)),IF(889&lt;=COUNTA(半紙!$B$11:$B$310)+COUNTA(条幅!$B$11:$B$310)+COUNTA(条幅4分の1!$B$11:$B$310),INDEX(条幅4分の1!$H$11:$H$310,889-COUNTA(半紙!$B$11:$B$310)-COUNTA(条幅!$B$11:$B$310)),""))))</f>
        <v/>
      </c>
      <c r="I894" s="38" t="str">
        <f>IF(IF(889&lt;=COUNTA(半紙!$B$11:$B$310),INDEX(半紙!$I$11:$I$310,889),IF(889&lt;=COUNTA(半紙!$B$11:$B$310)+COUNTA(条幅!$B$11:$B$310),INDEX(条幅!$I$11:$I$310,889-COUNTA(半紙!$B$11:$B$310)),IF(889&lt;=COUNTA(半紙!$B$11:$B$310)+COUNTA(条幅!$B$11:$B$310)+COUNTA(条幅4分の1!$B$11:$B$310),INDEX(条幅4分の1!$I$11:$I$310,889-COUNTA(半紙!$B$11:$B$310)-COUNTA(条幅!$B$11:$B$310)),"")))=0,"",IF(889&lt;=COUNTA(半紙!$B$11:$B$310),INDEX(半紙!$I$11:$I$310,889),IF(889&lt;=COUNTA(半紙!$B$11:$B$310)+COUNTA(条幅!$B$11:$B$310),INDEX(条幅!$I$11:$I$310,889-COUNTA(半紙!$B$11:$B$310)),IF(889&lt;=COUNTA(半紙!$B$11:$B$310)+COUNTA(条幅!$B$11:$B$310)+COUNTA(条幅4分の1!$B$11:$B$310),INDEX(条幅4分の1!$I$11:$I$310,889-COUNTA(半紙!$B$11:$B$310)-COUNTA(条幅!$B$11:$B$310)),""))))</f>
        <v/>
      </c>
      <c r="J894" s="38" t="str">
        <f>IF(IF(889&lt;=COUNTA(半紙!$B$11:$B$310),INDEX(半紙!$J$11:$J$310,889),IF(889&lt;=COUNTA(半紙!$B$11:$B$310)+COUNTA(条幅!$B$11:$B$310),INDEX(条幅!$J$11:$J$310,889-COUNTA(半紙!$B$11:$B$310)),IF(889&lt;=COUNTA(半紙!$B$11:$B$310)+COUNTA(条幅!$B$11:$B$310)+COUNTA(条幅4分の1!$B$11:$B$310),INDEX(条幅4分の1!$J$11:$J$310,889-COUNTA(半紙!$B$11:$B$310)-COUNTA(条幅!$B$11:$B$310)),"")))=0,"",IF(889&lt;=COUNTA(半紙!$B$11:$B$310),INDEX(半紙!$J$11:$J$310,889),IF(889&lt;=COUNTA(半紙!$B$11:$B$310)+COUNTA(条幅!$B$11:$B$310),INDEX(条幅!$J$11:$J$310,889-COUNTA(半紙!$B$11:$B$310)),IF(889&lt;=COUNTA(半紙!$B$11:$B$310)+COUNTA(条幅!$B$11:$B$310)+COUNTA(条幅4分の1!$B$11:$B$310),INDEX(条幅4分の1!$J$11:$J$310,889-COUNTA(半紙!$B$11:$B$310)-COUNTA(条幅!$B$11:$B$310)),""))))</f>
        <v/>
      </c>
      <c r="K894" s="38" t="str">
        <f>IF(IF(889&lt;=COUNTA(半紙!$B$11:$B$310),INDEX(半紙!$K$11:$K$310,889),IF(889&lt;=COUNTA(半紙!$B$11:$B$310)+COUNTA(条幅!$B$11:$B$310),INDEX(条幅!$K$11:$K$310,889-COUNTA(半紙!$B$11:$B$310)),IF(889&lt;=COUNTA(半紙!$B$11:$B$310)+COUNTA(条幅!$B$11:$B$310)+COUNTA(条幅4分の1!$B$11:$B$310),INDEX(条幅4分の1!$K$11:$K$310,889-COUNTA(半紙!$B$11:$B$310)-COUNTA(条幅!$B$11:$B$310)),"")))=0,"",IF(889&lt;=COUNTA(半紙!$B$11:$B$310),INDEX(半紙!$K$11:$K$310,889),IF(889&lt;=COUNTA(半紙!$B$11:$B$310)+COUNTA(条幅!$B$11:$B$310),INDEX(条幅!$K$11:$K$310,889-COUNTA(半紙!$B$11:$B$310)),IF(889&lt;=COUNTA(半紙!$B$11:$B$310)+COUNTA(条幅!$B$11:$B$310)+COUNTA(条幅4分の1!$B$11:$B$310),INDEX(条幅4分の1!$K$11:$K$310,889-COUNTA(半紙!$B$11:$B$310)-COUNTA(条幅!$B$11:$B$310)),""))))</f>
        <v/>
      </c>
      <c r="L894" s="48" t="str">
        <f>IF($B894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889))</f>
        <v/>
      </c>
    </row>
    <row r="895" spans="1:12" ht="15" customHeight="1">
      <c r="A895" s="37" t="str">
        <f>IF(890&lt;=COUNTA(半紙!$B$11:$B$310),"半紙",IF(890&lt;=COUNTA(半紙!$B$11:$B$310)+COUNTA(条幅!$B$11:$B$310),"条幅(半切)",IF(890&lt;=COUNTA(半紙!$B$11:$B$310)+COUNTA(条幅!$B$11:$B$310)+COUNTA(条幅4分の1!$B$11:$B$310),"条幅(1/4)","")))</f>
        <v/>
      </c>
      <c r="B895" s="38" t="str">
        <f>IF(IF(890&lt;=COUNTA(半紙!$B$11:$B$310),INDEX(半紙!$B$11:$B$310,890),IF(890&lt;=COUNTA(半紙!$B$11:$B$310)+COUNTA(条幅!$B$11:$B$310),INDEX(条幅!$B$11:$B$310,890-COUNTA(半紙!$B$11:$B$310)),IF(890&lt;=COUNTA(半紙!$B$11:$B$310)+COUNTA(条幅!$B$11:$B$310)+COUNTA(条幅4分の1!$B$11:$B$310),INDEX(条幅4分の1!$B$11:$B$310,890-COUNTA(半紙!$B$11:$B$310)-COUNTA(条幅!$B$11:$B$310)),"")))=0,"",IF(890&lt;=COUNTA(半紙!$B$11:$B$310),INDEX(半紙!$B$11:$B$310,890),IF(890&lt;=COUNTA(半紙!$B$11:$B$310)+COUNTA(条幅!$B$11:$B$310),INDEX(条幅!$B$11:$B$310,890-COUNTA(半紙!$B$11:$B$310)),IF(890&lt;=COUNTA(半紙!$B$11:$B$310)+COUNTA(条幅!$B$11:$B$310)+COUNTA(条幅4分の1!$B$11:$B$310),INDEX(条幅4分の1!$B$11:$B$310,890-COUNTA(半紙!$B$11:$B$310)-COUNTA(条幅!$B$11:$B$310)),""))))</f>
        <v/>
      </c>
      <c r="C895" s="38" t="str">
        <f>IF(IF(890&lt;=COUNTA(半紙!$B$11:$B$310),INDEX(半紙!$C$11:$C$310,890),IF(890&lt;=COUNTA(半紙!$B$11:$B$310)+COUNTA(条幅!$B$11:$B$310),INDEX(条幅!$C$11:$C$310,890-COUNTA(半紙!$B$11:$B$310)),IF(890&lt;=COUNTA(半紙!$B$11:$B$310)+COUNTA(条幅!$B$11:$B$310)+COUNTA(条幅4分の1!$B$11:$B$310),INDEX(条幅4分の1!$C$11:$C$310,890-COUNTA(半紙!$B$11:$B$310)-COUNTA(条幅!$B$11:$B$310)),"")))=0,"",IF(890&lt;=COUNTA(半紙!$B$11:$B$310),INDEX(半紙!$C$11:$C$310,890),IF(890&lt;=COUNTA(半紙!$B$11:$B$310)+COUNTA(条幅!$B$11:$B$310),INDEX(条幅!$C$11:$C$310,890-COUNTA(半紙!$B$11:$B$310)),IF(890&lt;=COUNTA(半紙!$B$11:$B$310)+COUNTA(条幅!$B$11:$B$310)+COUNTA(条幅4分の1!$B$11:$B$310),INDEX(条幅4分の1!$C$11:$C$310,890-COUNTA(半紙!$B$11:$B$310)-COUNTA(条幅!$B$11:$B$310)),""))))</f>
        <v/>
      </c>
      <c r="D895" s="38" t="str">
        <f>IF(IF(890&lt;=COUNTA(半紙!$B$11:$B$310),INDEX(半紙!$D$11:$D$310,890),IF(890&lt;=COUNTA(半紙!$B$11:$B$310)+COUNTA(条幅!$B$11:$B$310),INDEX(条幅!$D$11:$D$310,890-COUNTA(半紙!$B$11:$B$310)),IF(890&lt;=COUNTA(半紙!$B$11:$B$310)+COUNTA(条幅!$B$11:$B$310)+COUNTA(条幅4分の1!$B$11:$B$310),INDEX(条幅4分の1!$D$11:$D$310,890-COUNTA(半紙!$B$11:$B$310)-COUNTA(条幅!$B$11:$B$310)),"")))=0,"",IF(890&lt;=COUNTA(半紙!$B$11:$B$310),INDEX(半紙!$D$11:$D$310,890),IF(890&lt;=COUNTA(半紙!$B$11:$B$310)+COUNTA(条幅!$B$11:$B$310),INDEX(条幅!$D$11:$D$310,890-COUNTA(半紙!$B$11:$B$310)),IF(890&lt;=COUNTA(半紙!$B$11:$B$310)+COUNTA(条幅!$B$11:$B$310)+COUNTA(条幅4分の1!$B$11:$B$310),INDEX(条幅4分の1!$D$11:$D$310,890-COUNTA(半紙!$B$11:$B$310)-COUNTA(条幅!$B$11:$B$310)),""))))</f>
        <v/>
      </c>
      <c r="E895" s="38" t="str">
        <f>IF(IF(890&lt;=COUNTA(半紙!$B$11:$B$310),INDEX(半紙!$E$11:$E$310,890),IF(890&lt;=COUNTA(半紙!$B$11:$B$310)+COUNTA(条幅!$B$11:$B$310),INDEX(条幅!$E$11:$E$310,890-COUNTA(半紙!$B$11:$B$310)),IF(890&lt;=COUNTA(半紙!$B$11:$B$310)+COUNTA(条幅!$B$11:$B$310)+COUNTA(条幅4分の1!$B$11:$B$310),INDEX(条幅4分の1!$E$11:$E$310,890-COUNTA(半紙!$B$11:$B$310)-COUNTA(条幅!$B$11:$B$310)),"")))=0,"",IF(890&lt;=COUNTA(半紙!$B$11:$B$310),INDEX(半紙!$E$11:$E$310,890),IF(890&lt;=COUNTA(半紙!$B$11:$B$310)+COUNTA(条幅!$B$11:$B$310),INDEX(条幅!$E$11:$E$310,890-COUNTA(半紙!$B$11:$B$310)),IF(890&lt;=COUNTA(半紙!$B$11:$B$310)+COUNTA(条幅!$B$11:$B$310)+COUNTA(条幅4分の1!$B$11:$B$310),INDEX(条幅4分の1!$E$11:$E$310,890-COUNTA(半紙!$B$11:$B$310)-COUNTA(条幅!$B$11:$B$310)),""))))</f>
        <v/>
      </c>
      <c r="F895" s="38" t="str">
        <f>IF(IF(890&lt;=COUNTA(半紙!$B$11:$B$310),INDEX(半紙!$F$11:$F$310,890),IF(890&lt;=COUNTA(半紙!$B$11:$B$310)+COUNTA(条幅!$B$11:$B$310),INDEX(条幅!$F$11:$F$310,890-COUNTA(半紙!$B$11:$B$310)),IF(890&lt;=COUNTA(半紙!$B$11:$B$310)+COUNTA(条幅!$B$11:$B$310)+COUNTA(条幅4分の1!$B$11:$B$310),INDEX(条幅4分の1!$F$11:$F$310,890-COUNTA(半紙!$B$11:$B$310)-COUNTA(条幅!$B$11:$B$310)),"")))=0,"",IF(890&lt;=COUNTA(半紙!$B$11:$B$310),INDEX(半紙!$F$11:$F$310,890),IF(890&lt;=COUNTA(半紙!$B$11:$B$310)+COUNTA(条幅!$B$11:$B$310),INDEX(条幅!$F$11:$F$310,890-COUNTA(半紙!$B$11:$B$310)),IF(890&lt;=COUNTA(半紙!$B$11:$B$310)+COUNTA(条幅!$B$11:$B$310)+COUNTA(条幅4分の1!$B$11:$B$310),INDEX(条幅4分の1!$F$11:$F$310,890-COUNTA(半紙!$B$11:$B$310)-COUNTA(条幅!$B$11:$B$310)),""))))</f>
        <v/>
      </c>
      <c r="G895" s="38" t="str">
        <f>IF(IF(890&lt;=COUNTA(半紙!$B$11:$B$310),INDEX(半紙!$G$11:$G$310,890),IF(890&lt;=COUNTA(半紙!$B$11:$B$310)+COUNTA(条幅!$B$11:$B$310),INDEX(条幅!$G$11:$G$310,890-COUNTA(半紙!$B$11:$B$310)),IF(890&lt;=COUNTA(半紙!$B$11:$B$310)+COUNTA(条幅!$B$11:$B$310)+COUNTA(条幅4分の1!$B$11:$B$310),INDEX(条幅4分の1!$G$11:$G$310,890-COUNTA(半紙!$B$11:$B$310)-COUNTA(条幅!$B$11:$B$310)),"")))=0,"",IF(890&lt;=COUNTA(半紙!$B$11:$B$310),INDEX(半紙!$G$11:$G$310,890),IF(890&lt;=COUNTA(半紙!$B$11:$B$310)+COUNTA(条幅!$B$11:$B$310),INDEX(条幅!$G$11:$G$310,890-COUNTA(半紙!$B$11:$B$310)),IF(890&lt;=COUNTA(半紙!$B$11:$B$310)+COUNTA(条幅!$B$11:$B$310)+COUNTA(条幅4分の1!$B$11:$B$310),INDEX(条幅4分の1!$G$11:$G$310,890-COUNTA(半紙!$B$11:$B$310)-COUNTA(条幅!$B$11:$B$310)),""))))</f>
        <v/>
      </c>
      <c r="H895" s="38" t="str">
        <f>IF(IF(890&lt;=COUNTA(半紙!$B$11:$B$310),INDEX(半紙!$H$11:$H$310,890),IF(890&lt;=COUNTA(半紙!$B$11:$B$310)+COUNTA(条幅!$B$11:$B$310),INDEX(条幅!$H$11:$H$310,890-COUNTA(半紙!$B$11:$B$310)),IF(890&lt;=COUNTA(半紙!$B$11:$B$310)+COUNTA(条幅!$B$11:$B$310)+COUNTA(条幅4分の1!$B$11:$B$310),INDEX(条幅4分の1!$H$11:$H$310,890-COUNTA(半紙!$B$11:$B$310)-COUNTA(条幅!$B$11:$B$310)),"")))=0,"",IF(890&lt;=COUNTA(半紙!$B$11:$B$310),INDEX(半紙!$H$11:$H$310,890),IF(890&lt;=COUNTA(半紙!$B$11:$B$310)+COUNTA(条幅!$B$11:$B$310),INDEX(条幅!$H$11:$H$310,890-COUNTA(半紙!$B$11:$B$310)),IF(890&lt;=COUNTA(半紙!$B$11:$B$310)+COUNTA(条幅!$B$11:$B$310)+COUNTA(条幅4分の1!$B$11:$B$310),INDEX(条幅4分の1!$H$11:$H$310,890-COUNTA(半紙!$B$11:$B$310)-COUNTA(条幅!$B$11:$B$310)),""))))</f>
        <v/>
      </c>
      <c r="I895" s="38" t="str">
        <f>IF(IF(890&lt;=COUNTA(半紙!$B$11:$B$310),INDEX(半紙!$I$11:$I$310,890),IF(890&lt;=COUNTA(半紙!$B$11:$B$310)+COUNTA(条幅!$B$11:$B$310),INDEX(条幅!$I$11:$I$310,890-COUNTA(半紙!$B$11:$B$310)),IF(890&lt;=COUNTA(半紙!$B$11:$B$310)+COUNTA(条幅!$B$11:$B$310)+COUNTA(条幅4分の1!$B$11:$B$310),INDEX(条幅4分の1!$I$11:$I$310,890-COUNTA(半紙!$B$11:$B$310)-COUNTA(条幅!$B$11:$B$310)),"")))=0,"",IF(890&lt;=COUNTA(半紙!$B$11:$B$310),INDEX(半紙!$I$11:$I$310,890),IF(890&lt;=COUNTA(半紙!$B$11:$B$310)+COUNTA(条幅!$B$11:$B$310),INDEX(条幅!$I$11:$I$310,890-COUNTA(半紙!$B$11:$B$310)),IF(890&lt;=COUNTA(半紙!$B$11:$B$310)+COUNTA(条幅!$B$11:$B$310)+COUNTA(条幅4分の1!$B$11:$B$310),INDEX(条幅4分の1!$I$11:$I$310,890-COUNTA(半紙!$B$11:$B$310)-COUNTA(条幅!$B$11:$B$310)),""))))</f>
        <v/>
      </c>
      <c r="J895" s="38" t="str">
        <f>IF(IF(890&lt;=COUNTA(半紙!$B$11:$B$310),INDEX(半紙!$J$11:$J$310,890),IF(890&lt;=COUNTA(半紙!$B$11:$B$310)+COUNTA(条幅!$B$11:$B$310),INDEX(条幅!$J$11:$J$310,890-COUNTA(半紙!$B$11:$B$310)),IF(890&lt;=COUNTA(半紙!$B$11:$B$310)+COUNTA(条幅!$B$11:$B$310)+COUNTA(条幅4分の1!$B$11:$B$310),INDEX(条幅4分の1!$J$11:$J$310,890-COUNTA(半紙!$B$11:$B$310)-COUNTA(条幅!$B$11:$B$310)),"")))=0,"",IF(890&lt;=COUNTA(半紙!$B$11:$B$310),INDEX(半紙!$J$11:$J$310,890),IF(890&lt;=COUNTA(半紙!$B$11:$B$310)+COUNTA(条幅!$B$11:$B$310),INDEX(条幅!$J$11:$J$310,890-COUNTA(半紙!$B$11:$B$310)),IF(890&lt;=COUNTA(半紙!$B$11:$B$310)+COUNTA(条幅!$B$11:$B$310)+COUNTA(条幅4分の1!$B$11:$B$310),INDEX(条幅4分の1!$J$11:$J$310,890-COUNTA(半紙!$B$11:$B$310)-COUNTA(条幅!$B$11:$B$310)),""))))</f>
        <v/>
      </c>
      <c r="K895" s="38" t="str">
        <f>IF(IF(890&lt;=COUNTA(半紙!$B$11:$B$310),INDEX(半紙!$K$11:$K$310,890),IF(890&lt;=COUNTA(半紙!$B$11:$B$310)+COUNTA(条幅!$B$11:$B$310),INDEX(条幅!$K$11:$K$310,890-COUNTA(半紙!$B$11:$B$310)),IF(890&lt;=COUNTA(半紙!$B$11:$B$310)+COUNTA(条幅!$B$11:$B$310)+COUNTA(条幅4分の1!$B$11:$B$310),INDEX(条幅4分の1!$K$11:$K$310,890-COUNTA(半紙!$B$11:$B$310)-COUNTA(条幅!$B$11:$B$310)),"")))=0,"",IF(890&lt;=COUNTA(半紙!$B$11:$B$310),INDEX(半紙!$K$11:$K$310,890),IF(890&lt;=COUNTA(半紙!$B$11:$B$310)+COUNTA(条幅!$B$11:$B$310),INDEX(条幅!$K$11:$K$310,890-COUNTA(半紙!$B$11:$B$310)),IF(890&lt;=COUNTA(半紙!$B$11:$B$310)+COUNTA(条幅!$B$11:$B$310)+COUNTA(条幅4分の1!$B$11:$B$310),INDEX(条幅4分の1!$K$11:$K$310,890-COUNTA(半紙!$B$11:$B$310)-COUNTA(条幅!$B$11:$B$310)),""))))</f>
        <v/>
      </c>
      <c r="L895" s="48" t="str">
        <f>IF($B895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890))</f>
        <v/>
      </c>
    </row>
    <row r="896" spans="1:12" ht="15" customHeight="1">
      <c r="A896" s="37" t="str">
        <f>IF(891&lt;=COUNTA(半紙!$B$11:$B$310),"半紙",IF(891&lt;=COUNTA(半紙!$B$11:$B$310)+COUNTA(条幅!$B$11:$B$310),"条幅(半切)",IF(891&lt;=COUNTA(半紙!$B$11:$B$310)+COUNTA(条幅!$B$11:$B$310)+COUNTA(条幅4分の1!$B$11:$B$310),"条幅(1/4)","")))</f>
        <v/>
      </c>
      <c r="B896" s="38" t="str">
        <f>IF(IF(891&lt;=COUNTA(半紙!$B$11:$B$310),INDEX(半紙!$B$11:$B$310,891),IF(891&lt;=COUNTA(半紙!$B$11:$B$310)+COUNTA(条幅!$B$11:$B$310),INDEX(条幅!$B$11:$B$310,891-COUNTA(半紙!$B$11:$B$310)),IF(891&lt;=COUNTA(半紙!$B$11:$B$310)+COUNTA(条幅!$B$11:$B$310)+COUNTA(条幅4分の1!$B$11:$B$310),INDEX(条幅4分の1!$B$11:$B$310,891-COUNTA(半紙!$B$11:$B$310)-COUNTA(条幅!$B$11:$B$310)),"")))=0,"",IF(891&lt;=COUNTA(半紙!$B$11:$B$310),INDEX(半紙!$B$11:$B$310,891),IF(891&lt;=COUNTA(半紙!$B$11:$B$310)+COUNTA(条幅!$B$11:$B$310),INDEX(条幅!$B$11:$B$310,891-COUNTA(半紙!$B$11:$B$310)),IF(891&lt;=COUNTA(半紙!$B$11:$B$310)+COUNTA(条幅!$B$11:$B$310)+COUNTA(条幅4分の1!$B$11:$B$310),INDEX(条幅4分の1!$B$11:$B$310,891-COUNTA(半紙!$B$11:$B$310)-COUNTA(条幅!$B$11:$B$310)),""))))</f>
        <v/>
      </c>
      <c r="C896" s="38" t="str">
        <f>IF(IF(891&lt;=COUNTA(半紙!$B$11:$B$310),INDEX(半紙!$C$11:$C$310,891),IF(891&lt;=COUNTA(半紙!$B$11:$B$310)+COUNTA(条幅!$B$11:$B$310),INDEX(条幅!$C$11:$C$310,891-COUNTA(半紙!$B$11:$B$310)),IF(891&lt;=COUNTA(半紙!$B$11:$B$310)+COUNTA(条幅!$B$11:$B$310)+COUNTA(条幅4分の1!$B$11:$B$310),INDEX(条幅4分の1!$C$11:$C$310,891-COUNTA(半紙!$B$11:$B$310)-COUNTA(条幅!$B$11:$B$310)),"")))=0,"",IF(891&lt;=COUNTA(半紙!$B$11:$B$310),INDEX(半紙!$C$11:$C$310,891),IF(891&lt;=COUNTA(半紙!$B$11:$B$310)+COUNTA(条幅!$B$11:$B$310),INDEX(条幅!$C$11:$C$310,891-COUNTA(半紙!$B$11:$B$310)),IF(891&lt;=COUNTA(半紙!$B$11:$B$310)+COUNTA(条幅!$B$11:$B$310)+COUNTA(条幅4分の1!$B$11:$B$310),INDEX(条幅4分の1!$C$11:$C$310,891-COUNTA(半紙!$B$11:$B$310)-COUNTA(条幅!$B$11:$B$310)),""))))</f>
        <v/>
      </c>
      <c r="D896" s="38" t="str">
        <f>IF(IF(891&lt;=COUNTA(半紙!$B$11:$B$310),INDEX(半紙!$D$11:$D$310,891),IF(891&lt;=COUNTA(半紙!$B$11:$B$310)+COUNTA(条幅!$B$11:$B$310),INDEX(条幅!$D$11:$D$310,891-COUNTA(半紙!$B$11:$B$310)),IF(891&lt;=COUNTA(半紙!$B$11:$B$310)+COUNTA(条幅!$B$11:$B$310)+COUNTA(条幅4分の1!$B$11:$B$310),INDEX(条幅4分の1!$D$11:$D$310,891-COUNTA(半紙!$B$11:$B$310)-COUNTA(条幅!$B$11:$B$310)),"")))=0,"",IF(891&lt;=COUNTA(半紙!$B$11:$B$310),INDEX(半紙!$D$11:$D$310,891),IF(891&lt;=COUNTA(半紙!$B$11:$B$310)+COUNTA(条幅!$B$11:$B$310),INDEX(条幅!$D$11:$D$310,891-COUNTA(半紙!$B$11:$B$310)),IF(891&lt;=COUNTA(半紙!$B$11:$B$310)+COUNTA(条幅!$B$11:$B$310)+COUNTA(条幅4分の1!$B$11:$B$310),INDEX(条幅4分の1!$D$11:$D$310,891-COUNTA(半紙!$B$11:$B$310)-COUNTA(条幅!$B$11:$B$310)),""))))</f>
        <v/>
      </c>
      <c r="E896" s="38" t="str">
        <f>IF(IF(891&lt;=COUNTA(半紙!$B$11:$B$310),INDEX(半紙!$E$11:$E$310,891),IF(891&lt;=COUNTA(半紙!$B$11:$B$310)+COUNTA(条幅!$B$11:$B$310),INDEX(条幅!$E$11:$E$310,891-COUNTA(半紙!$B$11:$B$310)),IF(891&lt;=COUNTA(半紙!$B$11:$B$310)+COUNTA(条幅!$B$11:$B$310)+COUNTA(条幅4分の1!$B$11:$B$310),INDEX(条幅4分の1!$E$11:$E$310,891-COUNTA(半紙!$B$11:$B$310)-COUNTA(条幅!$B$11:$B$310)),"")))=0,"",IF(891&lt;=COUNTA(半紙!$B$11:$B$310),INDEX(半紙!$E$11:$E$310,891),IF(891&lt;=COUNTA(半紙!$B$11:$B$310)+COUNTA(条幅!$B$11:$B$310),INDEX(条幅!$E$11:$E$310,891-COUNTA(半紙!$B$11:$B$310)),IF(891&lt;=COUNTA(半紙!$B$11:$B$310)+COUNTA(条幅!$B$11:$B$310)+COUNTA(条幅4分の1!$B$11:$B$310),INDEX(条幅4分の1!$E$11:$E$310,891-COUNTA(半紙!$B$11:$B$310)-COUNTA(条幅!$B$11:$B$310)),""))))</f>
        <v/>
      </c>
      <c r="F896" s="38" t="str">
        <f>IF(IF(891&lt;=COUNTA(半紙!$B$11:$B$310),INDEX(半紙!$F$11:$F$310,891),IF(891&lt;=COUNTA(半紙!$B$11:$B$310)+COUNTA(条幅!$B$11:$B$310),INDEX(条幅!$F$11:$F$310,891-COUNTA(半紙!$B$11:$B$310)),IF(891&lt;=COUNTA(半紙!$B$11:$B$310)+COUNTA(条幅!$B$11:$B$310)+COUNTA(条幅4分の1!$B$11:$B$310),INDEX(条幅4分の1!$F$11:$F$310,891-COUNTA(半紙!$B$11:$B$310)-COUNTA(条幅!$B$11:$B$310)),"")))=0,"",IF(891&lt;=COUNTA(半紙!$B$11:$B$310),INDEX(半紙!$F$11:$F$310,891),IF(891&lt;=COUNTA(半紙!$B$11:$B$310)+COUNTA(条幅!$B$11:$B$310),INDEX(条幅!$F$11:$F$310,891-COUNTA(半紙!$B$11:$B$310)),IF(891&lt;=COUNTA(半紙!$B$11:$B$310)+COUNTA(条幅!$B$11:$B$310)+COUNTA(条幅4分の1!$B$11:$B$310),INDEX(条幅4分の1!$F$11:$F$310,891-COUNTA(半紙!$B$11:$B$310)-COUNTA(条幅!$B$11:$B$310)),""))))</f>
        <v/>
      </c>
      <c r="G896" s="38" t="str">
        <f>IF(IF(891&lt;=COUNTA(半紙!$B$11:$B$310),INDEX(半紙!$G$11:$G$310,891),IF(891&lt;=COUNTA(半紙!$B$11:$B$310)+COUNTA(条幅!$B$11:$B$310),INDEX(条幅!$G$11:$G$310,891-COUNTA(半紙!$B$11:$B$310)),IF(891&lt;=COUNTA(半紙!$B$11:$B$310)+COUNTA(条幅!$B$11:$B$310)+COUNTA(条幅4分の1!$B$11:$B$310),INDEX(条幅4分の1!$G$11:$G$310,891-COUNTA(半紙!$B$11:$B$310)-COUNTA(条幅!$B$11:$B$310)),"")))=0,"",IF(891&lt;=COUNTA(半紙!$B$11:$B$310),INDEX(半紙!$G$11:$G$310,891),IF(891&lt;=COUNTA(半紙!$B$11:$B$310)+COUNTA(条幅!$B$11:$B$310),INDEX(条幅!$G$11:$G$310,891-COUNTA(半紙!$B$11:$B$310)),IF(891&lt;=COUNTA(半紙!$B$11:$B$310)+COUNTA(条幅!$B$11:$B$310)+COUNTA(条幅4分の1!$B$11:$B$310),INDEX(条幅4分の1!$G$11:$G$310,891-COUNTA(半紙!$B$11:$B$310)-COUNTA(条幅!$B$11:$B$310)),""))))</f>
        <v/>
      </c>
      <c r="H896" s="38" t="str">
        <f>IF(IF(891&lt;=COUNTA(半紙!$B$11:$B$310),INDEX(半紙!$H$11:$H$310,891),IF(891&lt;=COUNTA(半紙!$B$11:$B$310)+COUNTA(条幅!$B$11:$B$310),INDEX(条幅!$H$11:$H$310,891-COUNTA(半紙!$B$11:$B$310)),IF(891&lt;=COUNTA(半紙!$B$11:$B$310)+COUNTA(条幅!$B$11:$B$310)+COUNTA(条幅4分の1!$B$11:$B$310),INDEX(条幅4分の1!$H$11:$H$310,891-COUNTA(半紙!$B$11:$B$310)-COUNTA(条幅!$B$11:$B$310)),"")))=0,"",IF(891&lt;=COUNTA(半紙!$B$11:$B$310),INDEX(半紙!$H$11:$H$310,891),IF(891&lt;=COUNTA(半紙!$B$11:$B$310)+COUNTA(条幅!$B$11:$B$310),INDEX(条幅!$H$11:$H$310,891-COUNTA(半紙!$B$11:$B$310)),IF(891&lt;=COUNTA(半紙!$B$11:$B$310)+COUNTA(条幅!$B$11:$B$310)+COUNTA(条幅4分の1!$B$11:$B$310),INDEX(条幅4分の1!$H$11:$H$310,891-COUNTA(半紙!$B$11:$B$310)-COUNTA(条幅!$B$11:$B$310)),""))))</f>
        <v/>
      </c>
      <c r="I896" s="38" t="str">
        <f>IF(IF(891&lt;=COUNTA(半紙!$B$11:$B$310),INDEX(半紙!$I$11:$I$310,891),IF(891&lt;=COUNTA(半紙!$B$11:$B$310)+COUNTA(条幅!$B$11:$B$310),INDEX(条幅!$I$11:$I$310,891-COUNTA(半紙!$B$11:$B$310)),IF(891&lt;=COUNTA(半紙!$B$11:$B$310)+COUNTA(条幅!$B$11:$B$310)+COUNTA(条幅4分の1!$B$11:$B$310),INDEX(条幅4分の1!$I$11:$I$310,891-COUNTA(半紙!$B$11:$B$310)-COUNTA(条幅!$B$11:$B$310)),"")))=0,"",IF(891&lt;=COUNTA(半紙!$B$11:$B$310),INDEX(半紙!$I$11:$I$310,891),IF(891&lt;=COUNTA(半紙!$B$11:$B$310)+COUNTA(条幅!$B$11:$B$310),INDEX(条幅!$I$11:$I$310,891-COUNTA(半紙!$B$11:$B$310)),IF(891&lt;=COUNTA(半紙!$B$11:$B$310)+COUNTA(条幅!$B$11:$B$310)+COUNTA(条幅4分の1!$B$11:$B$310),INDEX(条幅4分の1!$I$11:$I$310,891-COUNTA(半紙!$B$11:$B$310)-COUNTA(条幅!$B$11:$B$310)),""))))</f>
        <v/>
      </c>
      <c r="J896" s="38" t="str">
        <f>IF(IF(891&lt;=COUNTA(半紙!$B$11:$B$310),INDEX(半紙!$J$11:$J$310,891),IF(891&lt;=COUNTA(半紙!$B$11:$B$310)+COUNTA(条幅!$B$11:$B$310),INDEX(条幅!$J$11:$J$310,891-COUNTA(半紙!$B$11:$B$310)),IF(891&lt;=COUNTA(半紙!$B$11:$B$310)+COUNTA(条幅!$B$11:$B$310)+COUNTA(条幅4分の1!$B$11:$B$310),INDEX(条幅4分の1!$J$11:$J$310,891-COUNTA(半紙!$B$11:$B$310)-COUNTA(条幅!$B$11:$B$310)),"")))=0,"",IF(891&lt;=COUNTA(半紙!$B$11:$B$310),INDEX(半紙!$J$11:$J$310,891),IF(891&lt;=COUNTA(半紙!$B$11:$B$310)+COUNTA(条幅!$B$11:$B$310),INDEX(条幅!$J$11:$J$310,891-COUNTA(半紙!$B$11:$B$310)),IF(891&lt;=COUNTA(半紙!$B$11:$B$310)+COUNTA(条幅!$B$11:$B$310)+COUNTA(条幅4分の1!$B$11:$B$310),INDEX(条幅4分の1!$J$11:$J$310,891-COUNTA(半紙!$B$11:$B$310)-COUNTA(条幅!$B$11:$B$310)),""))))</f>
        <v/>
      </c>
      <c r="K896" s="38" t="str">
        <f>IF(IF(891&lt;=COUNTA(半紙!$B$11:$B$310),INDEX(半紙!$K$11:$K$310,891),IF(891&lt;=COUNTA(半紙!$B$11:$B$310)+COUNTA(条幅!$B$11:$B$310),INDEX(条幅!$K$11:$K$310,891-COUNTA(半紙!$B$11:$B$310)),IF(891&lt;=COUNTA(半紙!$B$11:$B$310)+COUNTA(条幅!$B$11:$B$310)+COUNTA(条幅4分の1!$B$11:$B$310),INDEX(条幅4分の1!$K$11:$K$310,891-COUNTA(半紙!$B$11:$B$310)-COUNTA(条幅!$B$11:$B$310)),"")))=0,"",IF(891&lt;=COUNTA(半紙!$B$11:$B$310),INDEX(半紙!$K$11:$K$310,891),IF(891&lt;=COUNTA(半紙!$B$11:$B$310)+COUNTA(条幅!$B$11:$B$310),INDEX(条幅!$K$11:$K$310,891-COUNTA(半紙!$B$11:$B$310)),IF(891&lt;=COUNTA(半紙!$B$11:$B$310)+COUNTA(条幅!$B$11:$B$310)+COUNTA(条幅4分の1!$B$11:$B$310),INDEX(条幅4分の1!$K$11:$K$310,891-COUNTA(半紙!$B$11:$B$310)-COUNTA(条幅!$B$11:$B$310)),""))))</f>
        <v/>
      </c>
      <c r="L896" s="48" t="str">
        <f>IF($B896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891))</f>
        <v/>
      </c>
    </row>
    <row r="897" spans="1:12" ht="15" customHeight="1">
      <c r="A897" s="37" t="str">
        <f>IF(892&lt;=COUNTA(半紙!$B$11:$B$310),"半紙",IF(892&lt;=COUNTA(半紙!$B$11:$B$310)+COUNTA(条幅!$B$11:$B$310),"条幅(半切)",IF(892&lt;=COUNTA(半紙!$B$11:$B$310)+COUNTA(条幅!$B$11:$B$310)+COUNTA(条幅4分の1!$B$11:$B$310),"条幅(1/4)","")))</f>
        <v/>
      </c>
      <c r="B897" s="38" t="str">
        <f>IF(IF(892&lt;=COUNTA(半紙!$B$11:$B$310),INDEX(半紙!$B$11:$B$310,892),IF(892&lt;=COUNTA(半紙!$B$11:$B$310)+COUNTA(条幅!$B$11:$B$310),INDEX(条幅!$B$11:$B$310,892-COUNTA(半紙!$B$11:$B$310)),IF(892&lt;=COUNTA(半紙!$B$11:$B$310)+COUNTA(条幅!$B$11:$B$310)+COUNTA(条幅4分の1!$B$11:$B$310),INDEX(条幅4分の1!$B$11:$B$310,892-COUNTA(半紙!$B$11:$B$310)-COUNTA(条幅!$B$11:$B$310)),"")))=0,"",IF(892&lt;=COUNTA(半紙!$B$11:$B$310),INDEX(半紙!$B$11:$B$310,892),IF(892&lt;=COUNTA(半紙!$B$11:$B$310)+COUNTA(条幅!$B$11:$B$310),INDEX(条幅!$B$11:$B$310,892-COUNTA(半紙!$B$11:$B$310)),IF(892&lt;=COUNTA(半紙!$B$11:$B$310)+COUNTA(条幅!$B$11:$B$310)+COUNTA(条幅4分の1!$B$11:$B$310),INDEX(条幅4分の1!$B$11:$B$310,892-COUNTA(半紙!$B$11:$B$310)-COUNTA(条幅!$B$11:$B$310)),""))))</f>
        <v/>
      </c>
      <c r="C897" s="38" t="str">
        <f>IF(IF(892&lt;=COUNTA(半紙!$B$11:$B$310),INDEX(半紙!$C$11:$C$310,892),IF(892&lt;=COUNTA(半紙!$B$11:$B$310)+COUNTA(条幅!$B$11:$B$310),INDEX(条幅!$C$11:$C$310,892-COUNTA(半紙!$B$11:$B$310)),IF(892&lt;=COUNTA(半紙!$B$11:$B$310)+COUNTA(条幅!$B$11:$B$310)+COUNTA(条幅4分の1!$B$11:$B$310),INDEX(条幅4分の1!$C$11:$C$310,892-COUNTA(半紙!$B$11:$B$310)-COUNTA(条幅!$B$11:$B$310)),"")))=0,"",IF(892&lt;=COUNTA(半紙!$B$11:$B$310),INDEX(半紙!$C$11:$C$310,892),IF(892&lt;=COUNTA(半紙!$B$11:$B$310)+COUNTA(条幅!$B$11:$B$310),INDEX(条幅!$C$11:$C$310,892-COUNTA(半紙!$B$11:$B$310)),IF(892&lt;=COUNTA(半紙!$B$11:$B$310)+COUNTA(条幅!$B$11:$B$310)+COUNTA(条幅4分の1!$B$11:$B$310),INDEX(条幅4分の1!$C$11:$C$310,892-COUNTA(半紙!$B$11:$B$310)-COUNTA(条幅!$B$11:$B$310)),""))))</f>
        <v/>
      </c>
      <c r="D897" s="38" t="str">
        <f>IF(IF(892&lt;=COUNTA(半紙!$B$11:$B$310),INDEX(半紙!$D$11:$D$310,892),IF(892&lt;=COUNTA(半紙!$B$11:$B$310)+COUNTA(条幅!$B$11:$B$310),INDEX(条幅!$D$11:$D$310,892-COUNTA(半紙!$B$11:$B$310)),IF(892&lt;=COUNTA(半紙!$B$11:$B$310)+COUNTA(条幅!$B$11:$B$310)+COUNTA(条幅4分の1!$B$11:$B$310),INDEX(条幅4分の1!$D$11:$D$310,892-COUNTA(半紙!$B$11:$B$310)-COUNTA(条幅!$B$11:$B$310)),"")))=0,"",IF(892&lt;=COUNTA(半紙!$B$11:$B$310),INDEX(半紙!$D$11:$D$310,892),IF(892&lt;=COUNTA(半紙!$B$11:$B$310)+COUNTA(条幅!$B$11:$B$310),INDEX(条幅!$D$11:$D$310,892-COUNTA(半紙!$B$11:$B$310)),IF(892&lt;=COUNTA(半紙!$B$11:$B$310)+COUNTA(条幅!$B$11:$B$310)+COUNTA(条幅4分の1!$B$11:$B$310),INDEX(条幅4分の1!$D$11:$D$310,892-COUNTA(半紙!$B$11:$B$310)-COUNTA(条幅!$B$11:$B$310)),""))))</f>
        <v/>
      </c>
      <c r="E897" s="38" t="str">
        <f>IF(IF(892&lt;=COUNTA(半紙!$B$11:$B$310),INDEX(半紙!$E$11:$E$310,892),IF(892&lt;=COUNTA(半紙!$B$11:$B$310)+COUNTA(条幅!$B$11:$B$310),INDEX(条幅!$E$11:$E$310,892-COUNTA(半紙!$B$11:$B$310)),IF(892&lt;=COUNTA(半紙!$B$11:$B$310)+COUNTA(条幅!$B$11:$B$310)+COUNTA(条幅4分の1!$B$11:$B$310),INDEX(条幅4分の1!$E$11:$E$310,892-COUNTA(半紙!$B$11:$B$310)-COUNTA(条幅!$B$11:$B$310)),"")))=0,"",IF(892&lt;=COUNTA(半紙!$B$11:$B$310),INDEX(半紙!$E$11:$E$310,892),IF(892&lt;=COUNTA(半紙!$B$11:$B$310)+COUNTA(条幅!$B$11:$B$310),INDEX(条幅!$E$11:$E$310,892-COUNTA(半紙!$B$11:$B$310)),IF(892&lt;=COUNTA(半紙!$B$11:$B$310)+COUNTA(条幅!$B$11:$B$310)+COUNTA(条幅4分の1!$B$11:$B$310),INDEX(条幅4分の1!$E$11:$E$310,892-COUNTA(半紙!$B$11:$B$310)-COUNTA(条幅!$B$11:$B$310)),""))))</f>
        <v/>
      </c>
      <c r="F897" s="38" t="str">
        <f>IF(IF(892&lt;=COUNTA(半紙!$B$11:$B$310),INDEX(半紙!$F$11:$F$310,892),IF(892&lt;=COUNTA(半紙!$B$11:$B$310)+COUNTA(条幅!$B$11:$B$310),INDEX(条幅!$F$11:$F$310,892-COUNTA(半紙!$B$11:$B$310)),IF(892&lt;=COUNTA(半紙!$B$11:$B$310)+COUNTA(条幅!$B$11:$B$310)+COUNTA(条幅4分の1!$B$11:$B$310),INDEX(条幅4分の1!$F$11:$F$310,892-COUNTA(半紙!$B$11:$B$310)-COUNTA(条幅!$B$11:$B$310)),"")))=0,"",IF(892&lt;=COUNTA(半紙!$B$11:$B$310),INDEX(半紙!$F$11:$F$310,892),IF(892&lt;=COUNTA(半紙!$B$11:$B$310)+COUNTA(条幅!$B$11:$B$310),INDEX(条幅!$F$11:$F$310,892-COUNTA(半紙!$B$11:$B$310)),IF(892&lt;=COUNTA(半紙!$B$11:$B$310)+COUNTA(条幅!$B$11:$B$310)+COUNTA(条幅4分の1!$B$11:$B$310),INDEX(条幅4分の1!$F$11:$F$310,892-COUNTA(半紙!$B$11:$B$310)-COUNTA(条幅!$B$11:$B$310)),""))))</f>
        <v/>
      </c>
      <c r="G897" s="38" t="str">
        <f>IF(IF(892&lt;=COUNTA(半紙!$B$11:$B$310),INDEX(半紙!$G$11:$G$310,892),IF(892&lt;=COUNTA(半紙!$B$11:$B$310)+COUNTA(条幅!$B$11:$B$310),INDEX(条幅!$G$11:$G$310,892-COUNTA(半紙!$B$11:$B$310)),IF(892&lt;=COUNTA(半紙!$B$11:$B$310)+COUNTA(条幅!$B$11:$B$310)+COUNTA(条幅4分の1!$B$11:$B$310),INDEX(条幅4分の1!$G$11:$G$310,892-COUNTA(半紙!$B$11:$B$310)-COUNTA(条幅!$B$11:$B$310)),"")))=0,"",IF(892&lt;=COUNTA(半紙!$B$11:$B$310),INDEX(半紙!$G$11:$G$310,892),IF(892&lt;=COUNTA(半紙!$B$11:$B$310)+COUNTA(条幅!$B$11:$B$310),INDEX(条幅!$G$11:$G$310,892-COUNTA(半紙!$B$11:$B$310)),IF(892&lt;=COUNTA(半紙!$B$11:$B$310)+COUNTA(条幅!$B$11:$B$310)+COUNTA(条幅4分の1!$B$11:$B$310),INDEX(条幅4分の1!$G$11:$G$310,892-COUNTA(半紙!$B$11:$B$310)-COUNTA(条幅!$B$11:$B$310)),""))))</f>
        <v/>
      </c>
      <c r="H897" s="38" t="str">
        <f>IF(IF(892&lt;=COUNTA(半紙!$B$11:$B$310),INDEX(半紙!$H$11:$H$310,892),IF(892&lt;=COUNTA(半紙!$B$11:$B$310)+COUNTA(条幅!$B$11:$B$310),INDEX(条幅!$H$11:$H$310,892-COUNTA(半紙!$B$11:$B$310)),IF(892&lt;=COUNTA(半紙!$B$11:$B$310)+COUNTA(条幅!$B$11:$B$310)+COUNTA(条幅4分の1!$B$11:$B$310),INDEX(条幅4分の1!$H$11:$H$310,892-COUNTA(半紙!$B$11:$B$310)-COUNTA(条幅!$B$11:$B$310)),"")))=0,"",IF(892&lt;=COUNTA(半紙!$B$11:$B$310),INDEX(半紙!$H$11:$H$310,892),IF(892&lt;=COUNTA(半紙!$B$11:$B$310)+COUNTA(条幅!$B$11:$B$310),INDEX(条幅!$H$11:$H$310,892-COUNTA(半紙!$B$11:$B$310)),IF(892&lt;=COUNTA(半紙!$B$11:$B$310)+COUNTA(条幅!$B$11:$B$310)+COUNTA(条幅4分の1!$B$11:$B$310),INDEX(条幅4分の1!$H$11:$H$310,892-COUNTA(半紙!$B$11:$B$310)-COUNTA(条幅!$B$11:$B$310)),""))))</f>
        <v/>
      </c>
      <c r="I897" s="38" t="str">
        <f>IF(IF(892&lt;=COUNTA(半紙!$B$11:$B$310),INDEX(半紙!$I$11:$I$310,892),IF(892&lt;=COUNTA(半紙!$B$11:$B$310)+COUNTA(条幅!$B$11:$B$310),INDEX(条幅!$I$11:$I$310,892-COUNTA(半紙!$B$11:$B$310)),IF(892&lt;=COUNTA(半紙!$B$11:$B$310)+COUNTA(条幅!$B$11:$B$310)+COUNTA(条幅4分の1!$B$11:$B$310),INDEX(条幅4分の1!$I$11:$I$310,892-COUNTA(半紙!$B$11:$B$310)-COUNTA(条幅!$B$11:$B$310)),"")))=0,"",IF(892&lt;=COUNTA(半紙!$B$11:$B$310),INDEX(半紙!$I$11:$I$310,892),IF(892&lt;=COUNTA(半紙!$B$11:$B$310)+COUNTA(条幅!$B$11:$B$310),INDEX(条幅!$I$11:$I$310,892-COUNTA(半紙!$B$11:$B$310)),IF(892&lt;=COUNTA(半紙!$B$11:$B$310)+COUNTA(条幅!$B$11:$B$310)+COUNTA(条幅4分の1!$B$11:$B$310),INDEX(条幅4分の1!$I$11:$I$310,892-COUNTA(半紙!$B$11:$B$310)-COUNTA(条幅!$B$11:$B$310)),""))))</f>
        <v/>
      </c>
      <c r="J897" s="38" t="str">
        <f>IF(IF(892&lt;=COUNTA(半紙!$B$11:$B$310),INDEX(半紙!$J$11:$J$310,892),IF(892&lt;=COUNTA(半紙!$B$11:$B$310)+COUNTA(条幅!$B$11:$B$310),INDEX(条幅!$J$11:$J$310,892-COUNTA(半紙!$B$11:$B$310)),IF(892&lt;=COUNTA(半紙!$B$11:$B$310)+COUNTA(条幅!$B$11:$B$310)+COUNTA(条幅4分の1!$B$11:$B$310),INDEX(条幅4分の1!$J$11:$J$310,892-COUNTA(半紙!$B$11:$B$310)-COUNTA(条幅!$B$11:$B$310)),"")))=0,"",IF(892&lt;=COUNTA(半紙!$B$11:$B$310),INDEX(半紙!$J$11:$J$310,892),IF(892&lt;=COUNTA(半紙!$B$11:$B$310)+COUNTA(条幅!$B$11:$B$310),INDEX(条幅!$J$11:$J$310,892-COUNTA(半紙!$B$11:$B$310)),IF(892&lt;=COUNTA(半紙!$B$11:$B$310)+COUNTA(条幅!$B$11:$B$310)+COUNTA(条幅4分の1!$B$11:$B$310),INDEX(条幅4分の1!$J$11:$J$310,892-COUNTA(半紙!$B$11:$B$310)-COUNTA(条幅!$B$11:$B$310)),""))))</f>
        <v/>
      </c>
      <c r="K897" s="38" t="str">
        <f>IF(IF(892&lt;=COUNTA(半紙!$B$11:$B$310),INDEX(半紙!$K$11:$K$310,892),IF(892&lt;=COUNTA(半紙!$B$11:$B$310)+COUNTA(条幅!$B$11:$B$310),INDEX(条幅!$K$11:$K$310,892-COUNTA(半紙!$B$11:$B$310)),IF(892&lt;=COUNTA(半紙!$B$11:$B$310)+COUNTA(条幅!$B$11:$B$310)+COUNTA(条幅4分の1!$B$11:$B$310),INDEX(条幅4分の1!$K$11:$K$310,892-COUNTA(半紙!$B$11:$B$310)-COUNTA(条幅!$B$11:$B$310)),"")))=0,"",IF(892&lt;=COUNTA(半紙!$B$11:$B$310),INDEX(半紙!$K$11:$K$310,892),IF(892&lt;=COUNTA(半紙!$B$11:$B$310)+COUNTA(条幅!$B$11:$B$310),INDEX(条幅!$K$11:$K$310,892-COUNTA(半紙!$B$11:$B$310)),IF(892&lt;=COUNTA(半紙!$B$11:$B$310)+COUNTA(条幅!$B$11:$B$310)+COUNTA(条幅4分の1!$B$11:$B$310),INDEX(条幅4分の1!$K$11:$K$310,892-COUNTA(半紙!$B$11:$B$310)-COUNTA(条幅!$B$11:$B$310)),""))))</f>
        <v/>
      </c>
      <c r="L897" s="48" t="str">
        <f>IF($B897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892))</f>
        <v/>
      </c>
    </row>
    <row r="898" spans="1:12" ht="15" customHeight="1">
      <c r="A898" s="37" t="str">
        <f>IF(893&lt;=COUNTA(半紙!$B$11:$B$310),"半紙",IF(893&lt;=COUNTA(半紙!$B$11:$B$310)+COUNTA(条幅!$B$11:$B$310),"条幅(半切)",IF(893&lt;=COUNTA(半紙!$B$11:$B$310)+COUNTA(条幅!$B$11:$B$310)+COUNTA(条幅4分の1!$B$11:$B$310),"条幅(1/4)","")))</f>
        <v/>
      </c>
      <c r="B898" s="38" t="str">
        <f>IF(IF(893&lt;=COUNTA(半紙!$B$11:$B$310),INDEX(半紙!$B$11:$B$310,893),IF(893&lt;=COUNTA(半紙!$B$11:$B$310)+COUNTA(条幅!$B$11:$B$310),INDEX(条幅!$B$11:$B$310,893-COUNTA(半紙!$B$11:$B$310)),IF(893&lt;=COUNTA(半紙!$B$11:$B$310)+COUNTA(条幅!$B$11:$B$310)+COUNTA(条幅4分の1!$B$11:$B$310),INDEX(条幅4分の1!$B$11:$B$310,893-COUNTA(半紙!$B$11:$B$310)-COUNTA(条幅!$B$11:$B$310)),"")))=0,"",IF(893&lt;=COUNTA(半紙!$B$11:$B$310),INDEX(半紙!$B$11:$B$310,893),IF(893&lt;=COUNTA(半紙!$B$11:$B$310)+COUNTA(条幅!$B$11:$B$310),INDEX(条幅!$B$11:$B$310,893-COUNTA(半紙!$B$11:$B$310)),IF(893&lt;=COUNTA(半紙!$B$11:$B$310)+COUNTA(条幅!$B$11:$B$310)+COUNTA(条幅4分の1!$B$11:$B$310),INDEX(条幅4分の1!$B$11:$B$310,893-COUNTA(半紙!$B$11:$B$310)-COUNTA(条幅!$B$11:$B$310)),""))))</f>
        <v/>
      </c>
      <c r="C898" s="38" t="str">
        <f>IF(IF(893&lt;=COUNTA(半紙!$B$11:$B$310),INDEX(半紙!$C$11:$C$310,893),IF(893&lt;=COUNTA(半紙!$B$11:$B$310)+COUNTA(条幅!$B$11:$B$310),INDEX(条幅!$C$11:$C$310,893-COUNTA(半紙!$B$11:$B$310)),IF(893&lt;=COUNTA(半紙!$B$11:$B$310)+COUNTA(条幅!$B$11:$B$310)+COUNTA(条幅4分の1!$B$11:$B$310),INDEX(条幅4分の1!$C$11:$C$310,893-COUNTA(半紙!$B$11:$B$310)-COUNTA(条幅!$B$11:$B$310)),"")))=0,"",IF(893&lt;=COUNTA(半紙!$B$11:$B$310),INDEX(半紙!$C$11:$C$310,893),IF(893&lt;=COUNTA(半紙!$B$11:$B$310)+COUNTA(条幅!$B$11:$B$310),INDEX(条幅!$C$11:$C$310,893-COUNTA(半紙!$B$11:$B$310)),IF(893&lt;=COUNTA(半紙!$B$11:$B$310)+COUNTA(条幅!$B$11:$B$310)+COUNTA(条幅4分の1!$B$11:$B$310),INDEX(条幅4分の1!$C$11:$C$310,893-COUNTA(半紙!$B$11:$B$310)-COUNTA(条幅!$B$11:$B$310)),""))))</f>
        <v/>
      </c>
      <c r="D898" s="38" t="str">
        <f>IF(IF(893&lt;=COUNTA(半紙!$B$11:$B$310),INDEX(半紙!$D$11:$D$310,893),IF(893&lt;=COUNTA(半紙!$B$11:$B$310)+COUNTA(条幅!$B$11:$B$310),INDEX(条幅!$D$11:$D$310,893-COUNTA(半紙!$B$11:$B$310)),IF(893&lt;=COUNTA(半紙!$B$11:$B$310)+COUNTA(条幅!$B$11:$B$310)+COUNTA(条幅4分の1!$B$11:$B$310),INDEX(条幅4分の1!$D$11:$D$310,893-COUNTA(半紙!$B$11:$B$310)-COUNTA(条幅!$B$11:$B$310)),"")))=0,"",IF(893&lt;=COUNTA(半紙!$B$11:$B$310),INDEX(半紙!$D$11:$D$310,893),IF(893&lt;=COUNTA(半紙!$B$11:$B$310)+COUNTA(条幅!$B$11:$B$310),INDEX(条幅!$D$11:$D$310,893-COUNTA(半紙!$B$11:$B$310)),IF(893&lt;=COUNTA(半紙!$B$11:$B$310)+COUNTA(条幅!$B$11:$B$310)+COUNTA(条幅4分の1!$B$11:$B$310),INDEX(条幅4分の1!$D$11:$D$310,893-COUNTA(半紙!$B$11:$B$310)-COUNTA(条幅!$B$11:$B$310)),""))))</f>
        <v/>
      </c>
      <c r="E898" s="38" t="str">
        <f>IF(IF(893&lt;=COUNTA(半紙!$B$11:$B$310),INDEX(半紙!$E$11:$E$310,893),IF(893&lt;=COUNTA(半紙!$B$11:$B$310)+COUNTA(条幅!$B$11:$B$310),INDEX(条幅!$E$11:$E$310,893-COUNTA(半紙!$B$11:$B$310)),IF(893&lt;=COUNTA(半紙!$B$11:$B$310)+COUNTA(条幅!$B$11:$B$310)+COUNTA(条幅4分の1!$B$11:$B$310),INDEX(条幅4分の1!$E$11:$E$310,893-COUNTA(半紙!$B$11:$B$310)-COUNTA(条幅!$B$11:$B$310)),"")))=0,"",IF(893&lt;=COUNTA(半紙!$B$11:$B$310),INDEX(半紙!$E$11:$E$310,893),IF(893&lt;=COUNTA(半紙!$B$11:$B$310)+COUNTA(条幅!$B$11:$B$310),INDEX(条幅!$E$11:$E$310,893-COUNTA(半紙!$B$11:$B$310)),IF(893&lt;=COUNTA(半紙!$B$11:$B$310)+COUNTA(条幅!$B$11:$B$310)+COUNTA(条幅4分の1!$B$11:$B$310),INDEX(条幅4分の1!$E$11:$E$310,893-COUNTA(半紙!$B$11:$B$310)-COUNTA(条幅!$B$11:$B$310)),""))))</f>
        <v/>
      </c>
      <c r="F898" s="38" t="str">
        <f>IF(IF(893&lt;=COUNTA(半紙!$B$11:$B$310),INDEX(半紙!$F$11:$F$310,893),IF(893&lt;=COUNTA(半紙!$B$11:$B$310)+COUNTA(条幅!$B$11:$B$310),INDEX(条幅!$F$11:$F$310,893-COUNTA(半紙!$B$11:$B$310)),IF(893&lt;=COUNTA(半紙!$B$11:$B$310)+COUNTA(条幅!$B$11:$B$310)+COUNTA(条幅4分の1!$B$11:$B$310),INDEX(条幅4分の1!$F$11:$F$310,893-COUNTA(半紙!$B$11:$B$310)-COUNTA(条幅!$B$11:$B$310)),"")))=0,"",IF(893&lt;=COUNTA(半紙!$B$11:$B$310),INDEX(半紙!$F$11:$F$310,893),IF(893&lt;=COUNTA(半紙!$B$11:$B$310)+COUNTA(条幅!$B$11:$B$310),INDEX(条幅!$F$11:$F$310,893-COUNTA(半紙!$B$11:$B$310)),IF(893&lt;=COUNTA(半紙!$B$11:$B$310)+COUNTA(条幅!$B$11:$B$310)+COUNTA(条幅4分の1!$B$11:$B$310),INDEX(条幅4分の1!$F$11:$F$310,893-COUNTA(半紙!$B$11:$B$310)-COUNTA(条幅!$B$11:$B$310)),""))))</f>
        <v/>
      </c>
      <c r="G898" s="38" t="str">
        <f>IF(IF(893&lt;=COUNTA(半紙!$B$11:$B$310),INDEX(半紙!$G$11:$G$310,893),IF(893&lt;=COUNTA(半紙!$B$11:$B$310)+COUNTA(条幅!$B$11:$B$310),INDEX(条幅!$G$11:$G$310,893-COUNTA(半紙!$B$11:$B$310)),IF(893&lt;=COUNTA(半紙!$B$11:$B$310)+COUNTA(条幅!$B$11:$B$310)+COUNTA(条幅4分の1!$B$11:$B$310),INDEX(条幅4分の1!$G$11:$G$310,893-COUNTA(半紙!$B$11:$B$310)-COUNTA(条幅!$B$11:$B$310)),"")))=0,"",IF(893&lt;=COUNTA(半紙!$B$11:$B$310),INDEX(半紙!$G$11:$G$310,893),IF(893&lt;=COUNTA(半紙!$B$11:$B$310)+COUNTA(条幅!$B$11:$B$310),INDEX(条幅!$G$11:$G$310,893-COUNTA(半紙!$B$11:$B$310)),IF(893&lt;=COUNTA(半紙!$B$11:$B$310)+COUNTA(条幅!$B$11:$B$310)+COUNTA(条幅4分の1!$B$11:$B$310),INDEX(条幅4分の1!$G$11:$G$310,893-COUNTA(半紙!$B$11:$B$310)-COUNTA(条幅!$B$11:$B$310)),""))))</f>
        <v/>
      </c>
      <c r="H898" s="38" t="str">
        <f>IF(IF(893&lt;=COUNTA(半紙!$B$11:$B$310),INDEX(半紙!$H$11:$H$310,893),IF(893&lt;=COUNTA(半紙!$B$11:$B$310)+COUNTA(条幅!$B$11:$B$310),INDEX(条幅!$H$11:$H$310,893-COUNTA(半紙!$B$11:$B$310)),IF(893&lt;=COUNTA(半紙!$B$11:$B$310)+COUNTA(条幅!$B$11:$B$310)+COUNTA(条幅4分の1!$B$11:$B$310),INDEX(条幅4分の1!$H$11:$H$310,893-COUNTA(半紙!$B$11:$B$310)-COUNTA(条幅!$B$11:$B$310)),"")))=0,"",IF(893&lt;=COUNTA(半紙!$B$11:$B$310),INDEX(半紙!$H$11:$H$310,893),IF(893&lt;=COUNTA(半紙!$B$11:$B$310)+COUNTA(条幅!$B$11:$B$310),INDEX(条幅!$H$11:$H$310,893-COUNTA(半紙!$B$11:$B$310)),IF(893&lt;=COUNTA(半紙!$B$11:$B$310)+COUNTA(条幅!$B$11:$B$310)+COUNTA(条幅4分の1!$B$11:$B$310),INDEX(条幅4分の1!$H$11:$H$310,893-COUNTA(半紙!$B$11:$B$310)-COUNTA(条幅!$B$11:$B$310)),""))))</f>
        <v/>
      </c>
      <c r="I898" s="38" t="str">
        <f>IF(IF(893&lt;=COUNTA(半紙!$B$11:$B$310),INDEX(半紙!$I$11:$I$310,893),IF(893&lt;=COUNTA(半紙!$B$11:$B$310)+COUNTA(条幅!$B$11:$B$310),INDEX(条幅!$I$11:$I$310,893-COUNTA(半紙!$B$11:$B$310)),IF(893&lt;=COUNTA(半紙!$B$11:$B$310)+COUNTA(条幅!$B$11:$B$310)+COUNTA(条幅4分の1!$B$11:$B$310),INDEX(条幅4分の1!$I$11:$I$310,893-COUNTA(半紙!$B$11:$B$310)-COUNTA(条幅!$B$11:$B$310)),"")))=0,"",IF(893&lt;=COUNTA(半紙!$B$11:$B$310),INDEX(半紙!$I$11:$I$310,893),IF(893&lt;=COUNTA(半紙!$B$11:$B$310)+COUNTA(条幅!$B$11:$B$310),INDEX(条幅!$I$11:$I$310,893-COUNTA(半紙!$B$11:$B$310)),IF(893&lt;=COUNTA(半紙!$B$11:$B$310)+COUNTA(条幅!$B$11:$B$310)+COUNTA(条幅4分の1!$B$11:$B$310),INDEX(条幅4分の1!$I$11:$I$310,893-COUNTA(半紙!$B$11:$B$310)-COUNTA(条幅!$B$11:$B$310)),""))))</f>
        <v/>
      </c>
      <c r="J898" s="38" t="str">
        <f>IF(IF(893&lt;=COUNTA(半紙!$B$11:$B$310),INDEX(半紙!$J$11:$J$310,893),IF(893&lt;=COUNTA(半紙!$B$11:$B$310)+COUNTA(条幅!$B$11:$B$310),INDEX(条幅!$J$11:$J$310,893-COUNTA(半紙!$B$11:$B$310)),IF(893&lt;=COUNTA(半紙!$B$11:$B$310)+COUNTA(条幅!$B$11:$B$310)+COUNTA(条幅4分の1!$B$11:$B$310),INDEX(条幅4分の1!$J$11:$J$310,893-COUNTA(半紙!$B$11:$B$310)-COUNTA(条幅!$B$11:$B$310)),"")))=0,"",IF(893&lt;=COUNTA(半紙!$B$11:$B$310),INDEX(半紙!$J$11:$J$310,893),IF(893&lt;=COUNTA(半紙!$B$11:$B$310)+COUNTA(条幅!$B$11:$B$310),INDEX(条幅!$J$11:$J$310,893-COUNTA(半紙!$B$11:$B$310)),IF(893&lt;=COUNTA(半紙!$B$11:$B$310)+COUNTA(条幅!$B$11:$B$310)+COUNTA(条幅4分の1!$B$11:$B$310),INDEX(条幅4分の1!$J$11:$J$310,893-COUNTA(半紙!$B$11:$B$310)-COUNTA(条幅!$B$11:$B$310)),""))))</f>
        <v/>
      </c>
      <c r="K898" s="38" t="str">
        <f>IF(IF(893&lt;=COUNTA(半紙!$B$11:$B$310),INDEX(半紙!$K$11:$K$310,893),IF(893&lt;=COUNTA(半紙!$B$11:$B$310)+COUNTA(条幅!$B$11:$B$310),INDEX(条幅!$K$11:$K$310,893-COUNTA(半紙!$B$11:$B$310)),IF(893&lt;=COUNTA(半紙!$B$11:$B$310)+COUNTA(条幅!$B$11:$B$310)+COUNTA(条幅4分の1!$B$11:$B$310),INDEX(条幅4分の1!$K$11:$K$310,893-COUNTA(半紙!$B$11:$B$310)-COUNTA(条幅!$B$11:$B$310)),"")))=0,"",IF(893&lt;=COUNTA(半紙!$B$11:$B$310),INDEX(半紙!$K$11:$K$310,893),IF(893&lt;=COUNTA(半紙!$B$11:$B$310)+COUNTA(条幅!$B$11:$B$310),INDEX(条幅!$K$11:$K$310,893-COUNTA(半紙!$B$11:$B$310)),IF(893&lt;=COUNTA(半紙!$B$11:$B$310)+COUNTA(条幅!$B$11:$B$310)+COUNTA(条幅4分の1!$B$11:$B$310),INDEX(条幅4分の1!$K$11:$K$310,893-COUNTA(半紙!$B$11:$B$310)-COUNTA(条幅!$B$11:$B$310)),""))))</f>
        <v/>
      </c>
      <c r="L898" s="48" t="str">
        <f>IF($B898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893))</f>
        <v/>
      </c>
    </row>
    <row r="899" spans="1:12" ht="15" customHeight="1">
      <c r="A899" s="37" t="str">
        <f>IF(894&lt;=COUNTA(半紙!$B$11:$B$310),"半紙",IF(894&lt;=COUNTA(半紙!$B$11:$B$310)+COUNTA(条幅!$B$11:$B$310),"条幅(半切)",IF(894&lt;=COUNTA(半紙!$B$11:$B$310)+COUNTA(条幅!$B$11:$B$310)+COUNTA(条幅4分の1!$B$11:$B$310),"条幅(1/4)","")))</f>
        <v/>
      </c>
      <c r="B899" s="38" t="str">
        <f>IF(IF(894&lt;=COUNTA(半紙!$B$11:$B$310),INDEX(半紙!$B$11:$B$310,894),IF(894&lt;=COUNTA(半紙!$B$11:$B$310)+COUNTA(条幅!$B$11:$B$310),INDEX(条幅!$B$11:$B$310,894-COUNTA(半紙!$B$11:$B$310)),IF(894&lt;=COUNTA(半紙!$B$11:$B$310)+COUNTA(条幅!$B$11:$B$310)+COUNTA(条幅4分の1!$B$11:$B$310),INDEX(条幅4分の1!$B$11:$B$310,894-COUNTA(半紙!$B$11:$B$310)-COUNTA(条幅!$B$11:$B$310)),"")))=0,"",IF(894&lt;=COUNTA(半紙!$B$11:$B$310),INDEX(半紙!$B$11:$B$310,894),IF(894&lt;=COUNTA(半紙!$B$11:$B$310)+COUNTA(条幅!$B$11:$B$310),INDEX(条幅!$B$11:$B$310,894-COUNTA(半紙!$B$11:$B$310)),IF(894&lt;=COUNTA(半紙!$B$11:$B$310)+COUNTA(条幅!$B$11:$B$310)+COUNTA(条幅4分の1!$B$11:$B$310),INDEX(条幅4分の1!$B$11:$B$310,894-COUNTA(半紙!$B$11:$B$310)-COUNTA(条幅!$B$11:$B$310)),""))))</f>
        <v/>
      </c>
      <c r="C899" s="38" t="str">
        <f>IF(IF(894&lt;=COUNTA(半紙!$B$11:$B$310),INDEX(半紙!$C$11:$C$310,894),IF(894&lt;=COUNTA(半紙!$B$11:$B$310)+COUNTA(条幅!$B$11:$B$310),INDEX(条幅!$C$11:$C$310,894-COUNTA(半紙!$B$11:$B$310)),IF(894&lt;=COUNTA(半紙!$B$11:$B$310)+COUNTA(条幅!$B$11:$B$310)+COUNTA(条幅4分の1!$B$11:$B$310),INDEX(条幅4分の1!$C$11:$C$310,894-COUNTA(半紙!$B$11:$B$310)-COUNTA(条幅!$B$11:$B$310)),"")))=0,"",IF(894&lt;=COUNTA(半紙!$B$11:$B$310),INDEX(半紙!$C$11:$C$310,894),IF(894&lt;=COUNTA(半紙!$B$11:$B$310)+COUNTA(条幅!$B$11:$B$310),INDEX(条幅!$C$11:$C$310,894-COUNTA(半紙!$B$11:$B$310)),IF(894&lt;=COUNTA(半紙!$B$11:$B$310)+COUNTA(条幅!$B$11:$B$310)+COUNTA(条幅4分の1!$B$11:$B$310),INDEX(条幅4分の1!$C$11:$C$310,894-COUNTA(半紙!$B$11:$B$310)-COUNTA(条幅!$B$11:$B$310)),""))))</f>
        <v/>
      </c>
      <c r="D899" s="38" t="str">
        <f>IF(IF(894&lt;=COUNTA(半紙!$B$11:$B$310),INDEX(半紙!$D$11:$D$310,894),IF(894&lt;=COUNTA(半紙!$B$11:$B$310)+COUNTA(条幅!$B$11:$B$310),INDEX(条幅!$D$11:$D$310,894-COUNTA(半紙!$B$11:$B$310)),IF(894&lt;=COUNTA(半紙!$B$11:$B$310)+COUNTA(条幅!$B$11:$B$310)+COUNTA(条幅4分の1!$B$11:$B$310),INDEX(条幅4分の1!$D$11:$D$310,894-COUNTA(半紙!$B$11:$B$310)-COUNTA(条幅!$B$11:$B$310)),"")))=0,"",IF(894&lt;=COUNTA(半紙!$B$11:$B$310),INDEX(半紙!$D$11:$D$310,894),IF(894&lt;=COUNTA(半紙!$B$11:$B$310)+COUNTA(条幅!$B$11:$B$310),INDEX(条幅!$D$11:$D$310,894-COUNTA(半紙!$B$11:$B$310)),IF(894&lt;=COUNTA(半紙!$B$11:$B$310)+COUNTA(条幅!$B$11:$B$310)+COUNTA(条幅4分の1!$B$11:$B$310),INDEX(条幅4分の1!$D$11:$D$310,894-COUNTA(半紙!$B$11:$B$310)-COUNTA(条幅!$B$11:$B$310)),""))))</f>
        <v/>
      </c>
      <c r="E899" s="38" t="str">
        <f>IF(IF(894&lt;=COUNTA(半紙!$B$11:$B$310),INDEX(半紙!$E$11:$E$310,894),IF(894&lt;=COUNTA(半紙!$B$11:$B$310)+COUNTA(条幅!$B$11:$B$310),INDEX(条幅!$E$11:$E$310,894-COUNTA(半紙!$B$11:$B$310)),IF(894&lt;=COUNTA(半紙!$B$11:$B$310)+COUNTA(条幅!$B$11:$B$310)+COUNTA(条幅4分の1!$B$11:$B$310),INDEX(条幅4分の1!$E$11:$E$310,894-COUNTA(半紙!$B$11:$B$310)-COUNTA(条幅!$B$11:$B$310)),"")))=0,"",IF(894&lt;=COUNTA(半紙!$B$11:$B$310),INDEX(半紙!$E$11:$E$310,894),IF(894&lt;=COUNTA(半紙!$B$11:$B$310)+COUNTA(条幅!$B$11:$B$310),INDEX(条幅!$E$11:$E$310,894-COUNTA(半紙!$B$11:$B$310)),IF(894&lt;=COUNTA(半紙!$B$11:$B$310)+COUNTA(条幅!$B$11:$B$310)+COUNTA(条幅4分の1!$B$11:$B$310),INDEX(条幅4分の1!$E$11:$E$310,894-COUNTA(半紙!$B$11:$B$310)-COUNTA(条幅!$B$11:$B$310)),""))))</f>
        <v/>
      </c>
      <c r="F899" s="38" t="str">
        <f>IF(IF(894&lt;=COUNTA(半紙!$B$11:$B$310),INDEX(半紙!$F$11:$F$310,894),IF(894&lt;=COUNTA(半紙!$B$11:$B$310)+COUNTA(条幅!$B$11:$B$310),INDEX(条幅!$F$11:$F$310,894-COUNTA(半紙!$B$11:$B$310)),IF(894&lt;=COUNTA(半紙!$B$11:$B$310)+COUNTA(条幅!$B$11:$B$310)+COUNTA(条幅4分の1!$B$11:$B$310),INDEX(条幅4分の1!$F$11:$F$310,894-COUNTA(半紙!$B$11:$B$310)-COUNTA(条幅!$B$11:$B$310)),"")))=0,"",IF(894&lt;=COUNTA(半紙!$B$11:$B$310),INDEX(半紙!$F$11:$F$310,894),IF(894&lt;=COUNTA(半紙!$B$11:$B$310)+COUNTA(条幅!$B$11:$B$310),INDEX(条幅!$F$11:$F$310,894-COUNTA(半紙!$B$11:$B$310)),IF(894&lt;=COUNTA(半紙!$B$11:$B$310)+COUNTA(条幅!$B$11:$B$310)+COUNTA(条幅4分の1!$B$11:$B$310),INDEX(条幅4分の1!$F$11:$F$310,894-COUNTA(半紙!$B$11:$B$310)-COUNTA(条幅!$B$11:$B$310)),""))))</f>
        <v/>
      </c>
      <c r="G899" s="38" t="str">
        <f>IF(IF(894&lt;=COUNTA(半紙!$B$11:$B$310),INDEX(半紙!$G$11:$G$310,894),IF(894&lt;=COUNTA(半紙!$B$11:$B$310)+COUNTA(条幅!$B$11:$B$310),INDEX(条幅!$G$11:$G$310,894-COUNTA(半紙!$B$11:$B$310)),IF(894&lt;=COUNTA(半紙!$B$11:$B$310)+COUNTA(条幅!$B$11:$B$310)+COUNTA(条幅4分の1!$B$11:$B$310),INDEX(条幅4分の1!$G$11:$G$310,894-COUNTA(半紙!$B$11:$B$310)-COUNTA(条幅!$B$11:$B$310)),"")))=0,"",IF(894&lt;=COUNTA(半紙!$B$11:$B$310),INDEX(半紙!$G$11:$G$310,894),IF(894&lt;=COUNTA(半紙!$B$11:$B$310)+COUNTA(条幅!$B$11:$B$310),INDEX(条幅!$G$11:$G$310,894-COUNTA(半紙!$B$11:$B$310)),IF(894&lt;=COUNTA(半紙!$B$11:$B$310)+COUNTA(条幅!$B$11:$B$310)+COUNTA(条幅4分の1!$B$11:$B$310),INDEX(条幅4分の1!$G$11:$G$310,894-COUNTA(半紙!$B$11:$B$310)-COUNTA(条幅!$B$11:$B$310)),""))))</f>
        <v/>
      </c>
      <c r="H899" s="38" t="str">
        <f>IF(IF(894&lt;=COUNTA(半紙!$B$11:$B$310),INDEX(半紙!$H$11:$H$310,894),IF(894&lt;=COUNTA(半紙!$B$11:$B$310)+COUNTA(条幅!$B$11:$B$310),INDEX(条幅!$H$11:$H$310,894-COUNTA(半紙!$B$11:$B$310)),IF(894&lt;=COUNTA(半紙!$B$11:$B$310)+COUNTA(条幅!$B$11:$B$310)+COUNTA(条幅4分の1!$B$11:$B$310),INDEX(条幅4分の1!$H$11:$H$310,894-COUNTA(半紙!$B$11:$B$310)-COUNTA(条幅!$B$11:$B$310)),"")))=0,"",IF(894&lt;=COUNTA(半紙!$B$11:$B$310),INDEX(半紙!$H$11:$H$310,894),IF(894&lt;=COUNTA(半紙!$B$11:$B$310)+COUNTA(条幅!$B$11:$B$310),INDEX(条幅!$H$11:$H$310,894-COUNTA(半紙!$B$11:$B$310)),IF(894&lt;=COUNTA(半紙!$B$11:$B$310)+COUNTA(条幅!$B$11:$B$310)+COUNTA(条幅4分の1!$B$11:$B$310),INDEX(条幅4分の1!$H$11:$H$310,894-COUNTA(半紙!$B$11:$B$310)-COUNTA(条幅!$B$11:$B$310)),""))))</f>
        <v/>
      </c>
      <c r="I899" s="38" t="str">
        <f>IF(IF(894&lt;=COUNTA(半紙!$B$11:$B$310),INDEX(半紙!$I$11:$I$310,894),IF(894&lt;=COUNTA(半紙!$B$11:$B$310)+COUNTA(条幅!$B$11:$B$310),INDEX(条幅!$I$11:$I$310,894-COUNTA(半紙!$B$11:$B$310)),IF(894&lt;=COUNTA(半紙!$B$11:$B$310)+COUNTA(条幅!$B$11:$B$310)+COUNTA(条幅4分の1!$B$11:$B$310),INDEX(条幅4分の1!$I$11:$I$310,894-COUNTA(半紙!$B$11:$B$310)-COUNTA(条幅!$B$11:$B$310)),"")))=0,"",IF(894&lt;=COUNTA(半紙!$B$11:$B$310),INDEX(半紙!$I$11:$I$310,894),IF(894&lt;=COUNTA(半紙!$B$11:$B$310)+COUNTA(条幅!$B$11:$B$310),INDEX(条幅!$I$11:$I$310,894-COUNTA(半紙!$B$11:$B$310)),IF(894&lt;=COUNTA(半紙!$B$11:$B$310)+COUNTA(条幅!$B$11:$B$310)+COUNTA(条幅4分の1!$B$11:$B$310),INDEX(条幅4分の1!$I$11:$I$310,894-COUNTA(半紙!$B$11:$B$310)-COUNTA(条幅!$B$11:$B$310)),""))))</f>
        <v/>
      </c>
      <c r="J899" s="38" t="str">
        <f>IF(IF(894&lt;=COUNTA(半紙!$B$11:$B$310),INDEX(半紙!$J$11:$J$310,894),IF(894&lt;=COUNTA(半紙!$B$11:$B$310)+COUNTA(条幅!$B$11:$B$310),INDEX(条幅!$J$11:$J$310,894-COUNTA(半紙!$B$11:$B$310)),IF(894&lt;=COUNTA(半紙!$B$11:$B$310)+COUNTA(条幅!$B$11:$B$310)+COUNTA(条幅4分の1!$B$11:$B$310),INDEX(条幅4分の1!$J$11:$J$310,894-COUNTA(半紙!$B$11:$B$310)-COUNTA(条幅!$B$11:$B$310)),"")))=0,"",IF(894&lt;=COUNTA(半紙!$B$11:$B$310),INDEX(半紙!$J$11:$J$310,894),IF(894&lt;=COUNTA(半紙!$B$11:$B$310)+COUNTA(条幅!$B$11:$B$310),INDEX(条幅!$J$11:$J$310,894-COUNTA(半紙!$B$11:$B$310)),IF(894&lt;=COUNTA(半紙!$B$11:$B$310)+COUNTA(条幅!$B$11:$B$310)+COUNTA(条幅4分の1!$B$11:$B$310),INDEX(条幅4分の1!$J$11:$J$310,894-COUNTA(半紙!$B$11:$B$310)-COUNTA(条幅!$B$11:$B$310)),""))))</f>
        <v/>
      </c>
      <c r="K899" s="38" t="str">
        <f>IF(IF(894&lt;=COUNTA(半紙!$B$11:$B$310),INDEX(半紙!$K$11:$K$310,894),IF(894&lt;=COUNTA(半紙!$B$11:$B$310)+COUNTA(条幅!$B$11:$B$310),INDEX(条幅!$K$11:$K$310,894-COUNTA(半紙!$B$11:$B$310)),IF(894&lt;=COUNTA(半紙!$B$11:$B$310)+COUNTA(条幅!$B$11:$B$310)+COUNTA(条幅4分の1!$B$11:$B$310),INDEX(条幅4分の1!$K$11:$K$310,894-COUNTA(半紙!$B$11:$B$310)-COUNTA(条幅!$B$11:$B$310)),"")))=0,"",IF(894&lt;=COUNTA(半紙!$B$11:$B$310),INDEX(半紙!$K$11:$K$310,894),IF(894&lt;=COUNTA(半紙!$B$11:$B$310)+COUNTA(条幅!$B$11:$B$310),INDEX(条幅!$K$11:$K$310,894-COUNTA(半紙!$B$11:$B$310)),IF(894&lt;=COUNTA(半紙!$B$11:$B$310)+COUNTA(条幅!$B$11:$B$310)+COUNTA(条幅4分の1!$B$11:$B$310),INDEX(条幅4分の1!$K$11:$K$310,894-COUNTA(半紙!$B$11:$B$310)-COUNTA(条幅!$B$11:$B$310)),""))))</f>
        <v/>
      </c>
      <c r="L899" s="48" t="str">
        <f>IF($B899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894))</f>
        <v/>
      </c>
    </row>
    <row r="900" spans="1:12" ht="15" customHeight="1">
      <c r="A900" s="37" t="str">
        <f>IF(895&lt;=COUNTA(半紙!$B$11:$B$310),"半紙",IF(895&lt;=COUNTA(半紙!$B$11:$B$310)+COUNTA(条幅!$B$11:$B$310),"条幅(半切)",IF(895&lt;=COUNTA(半紙!$B$11:$B$310)+COUNTA(条幅!$B$11:$B$310)+COUNTA(条幅4分の1!$B$11:$B$310),"条幅(1/4)","")))</f>
        <v/>
      </c>
      <c r="B900" s="38" t="str">
        <f>IF(IF(895&lt;=COUNTA(半紙!$B$11:$B$310),INDEX(半紙!$B$11:$B$310,895),IF(895&lt;=COUNTA(半紙!$B$11:$B$310)+COUNTA(条幅!$B$11:$B$310),INDEX(条幅!$B$11:$B$310,895-COUNTA(半紙!$B$11:$B$310)),IF(895&lt;=COUNTA(半紙!$B$11:$B$310)+COUNTA(条幅!$B$11:$B$310)+COUNTA(条幅4分の1!$B$11:$B$310),INDEX(条幅4分の1!$B$11:$B$310,895-COUNTA(半紙!$B$11:$B$310)-COUNTA(条幅!$B$11:$B$310)),"")))=0,"",IF(895&lt;=COUNTA(半紙!$B$11:$B$310),INDEX(半紙!$B$11:$B$310,895),IF(895&lt;=COUNTA(半紙!$B$11:$B$310)+COUNTA(条幅!$B$11:$B$310),INDEX(条幅!$B$11:$B$310,895-COUNTA(半紙!$B$11:$B$310)),IF(895&lt;=COUNTA(半紙!$B$11:$B$310)+COUNTA(条幅!$B$11:$B$310)+COUNTA(条幅4分の1!$B$11:$B$310),INDEX(条幅4分の1!$B$11:$B$310,895-COUNTA(半紙!$B$11:$B$310)-COUNTA(条幅!$B$11:$B$310)),""))))</f>
        <v/>
      </c>
      <c r="C900" s="38" t="str">
        <f>IF(IF(895&lt;=COUNTA(半紙!$B$11:$B$310),INDEX(半紙!$C$11:$C$310,895),IF(895&lt;=COUNTA(半紙!$B$11:$B$310)+COUNTA(条幅!$B$11:$B$310),INDEX(条幅!$C$11:$C$310,895-COUNTA(半紙!$B$11:$B$310)),IF(895&lt;=COUNTA(半紙!$B$11:$B$310)+COUNTA(条幅!$B$11:$B$310)+COUNTA(条幅4分の1!$B$11:$B$310),INDEX(条幅4分の1!$C$11:$C$310,895-COUNTA(半紙!$B$11:$B$310)-COUNTA(条幅!$B$11:$B$310)),"")))=0,"",IF(895&lt;=COUNTA(半紙!$B$11:$B$310),INDEX(半紙!$C$11:$C$310,895),IF(895&lt;=COUNTA(半紙!$B$11:$B$310)+COUNTA(条幅!$B$11:$B$310),INDEX(条幅!$C$11:$C$310,895-COUNTA(半紙!$B$11:$B$310)),IF(895&lt;=COUNTA(半紙!$B$11:$B$310)+COUNTA(条幅!$B$11:$B$310)+COUNTA(条幅4分の1!$B$11:$B$310),INDEX(条幅4分の1!$C$11:$C$310,895-COUNTA(半紙!$B$11:$B$310)-COUNTA(条幅!$B$11:$B$310)),""))))</f>
        <v/>
      </c>
      <c r="D900" s="38" t="str">
        <f>IF(IF(895&lt;=COUNTA(半紙!$B$11:$B$310),INDEX(半紙!$D$11:$D$310,895),IF(895&lt;=COUNTA(半紙!$B$11:$B$310)+COUNTA(条幅!$B$11:$B$310),INDEX(条幅!$D$11:$D$310,895-COUNTA(半紙!$B$11:$B$310)),IF(895&lt;=COUNTA(半紙!$B$11:$B$310)+COUNTA(条幅!$B$11:$B$310)+COUNTA(条幅4分の1!$B$11:$B$310),INDEX(条幅4分の1!$D$11:$D$310,895-COUNTA(半紙!$B$11:$B$310)-COUNTA(条幅!$B$11:$B$310)),"")))=0,"",IF(895&lt;=COUNTA(半紙!$B$11:$B$310),INDEX(半紙!$D$11:$D$310,895),IF(895&lt;=COUNTA(半紙!$B$11:$B$310)+COUNTA(条幅!$B$11:$B$310),INDEX(条幅!$D$11:$D$310,895-COUNTA(半紙!$B$11:$B$310)),IF(895&lt;=COUNTA(半紙!$B$11:$B$310)+COUNTA(条幅!$B$11:$B$310)+COUNTA(条幅4分の1!$B$11:$B$310),INDEX(条幅4分の1!$D$11:$D$310,895-COUNTA(半紙!$B$11:$B$310)-COUNTA(条幅!$B$11:$B$310)),""))))</f>
        <v/>
      </c>
      <c r="E900" s="38" t="str">
        <f>IF(IF(895&lt;=COUNTA(半紙!$B$11:$B$310),INDEX(半紙!$E$11:$E$310,895),IF(895&lt;=COUNTA(半紙!$B$11:$B$310)+COUNTA(条幅!$B$11:$B$310),INDEX(条幅!$E$11:$E$310,895-COUNTA(半紙!$B$11:$B$310)),IF(895&lt;=COUNTA(半紙!$B$11:$B$310)+COUNTA(条幅!$B$11:$B$310)+COUNTA(条幅4分の1!$B$11:$B$310),INDEX(条幅4分の1!$E$11:$E$310,895-COUNTA(半紙!$B$11:$B$310)-COUNTA(条幅!$B$11:$B$310)),"")))=0,"",IF(895&lt;=COUNTA(半紙!$B$11:$B$310),INDEX(半紙!$E$11:$E$310,895),IF(895&lt;=COUNTA(半紙!$B$11:$B$310)+COUNTA(条幅!$B$11:$B$310),INDEX(条幅!$E$11:$E$310,895-COUNTA(半紙!$B$11:$B$310)),IF(895&lt;=COUNTA(半紙!$B$11:$B$310)+COUNTA(条幅!$B$11:$B$310)+COUNTA(条幅4分の1!$B$11:$B$310),INDEX(条幅4分の1!$E$11:$E$310,895-COUNTA(半紙!$B$11:$B$310)-COUNTA(条幅!$B$11:$B$310)),""))))</f>
        <v/>
      </c>
      <c r="F900" s="38" t="str">
        <f>IF(IF(895&lt;=COUNTA(半紙!$B$11:$B$310),INDEX(半紙!$F$11:$F$310,895),IF(895&lt;=COUNTA(半紙!$B$11:$B$310)+COUNTA(条幅!$B$11:$B$310),INDEX(条幅!$F$11:$F$310,895-COUNTA(半紙!$B$11:$B$310)),IF(895&lt;=COUNTA(半紙!$B$11:$B$310)+COUNTA(条幅!$B$11:$B$310)+COUNTA(条幅4分の1!$B$11:$B$310),INDEX(条幅4分の1!$F$11:$F$310,895-COUNTA(半紙!$B$11:$B$310)-COUNTA(条幅!$B$11:$B$310)),"")))=0,"",IF(895&lt;=COUNTA(半紙!$B$11:$B$310),INDEX(半紙!$F$11:$F$310,895),IF(895&lt;=COUNTA(半紙!$B$11:$B$310)+COUNTA(条幅!$B$11:$B$310),INDEX(条幅!$F$11:$F$310,895-COUNTA(半紙!$B$11:$B$310)),IF(895&lt;=COUNTA(半紙!$B$11:$B$310)+COUNTA(条幅!$B$11:$B$310)+COUNTA(条幅4分の1!$B$11:$B$310),INDEX(条幅4分の1!$F$11:$F$310,895-COUNTA(半紙!$B$11:$B$310)-COUNTA(条幅!$B$11:$B$310)),""))))</f>
        <v/>
      </c>
      <c r="G900" s="38" t="str">
        <f>IF(IF(895&lt;=COUNTA(半紙!$B$11:$B$310),INDEX(半紙!$G$11:$G$310,895),IF(895&lt;=COUNTA(半紙!$B$11:$B$310)+COUNTA(条幅!$B$11:$B$310),INDEX(条幅!$G$11:$G$310,895-COUNTA(半紙!$B$11:$B$310)),IF(895&lt;=COUNTA(半紙!$B$11:$B$310)+COUNTA(条幅!$B$11:$B$310)+COUNTA(条幅4分の1!$B$11:$B$310),INDEX(条幅4分の1!$G$11:$G$310,895-COUNTA(半紙!$B$11:$B$310)-COUNTA(条幅!$B$11:$B$310)),"")))=0,"",IF(895&lt;=COUNTA(半紙!$B$11:$B$310),INDEX(半紙!$G$11:$G$310,895),IF(895&lt;=COUNTA(半紙!$B$11:$B$310)+COUNTA(条幅!$B$11:$B$310),INDEX(条幅!$G$11:$G$310,895-COUNTA(半紙!$B$11:$B$310)),IF(895&lt;=COUNTA(半紙!$B$11:$B$310)+COUNTA(条幅!$B$11:$B$310)+COUNTA(条幅4分の1!$B$11:$B$310),INDEX(条幅4分の1!$G$11:$G$310,895-COUNTA(半紙!$B$11:$B$310)-COUNTA(条幅!$B$11:$B$310)),""))))</f>
        <v/>
      </c>
      <c r="H900" s="38" t="str">
        <f>IF(IF(895&lt;=COUNTA(半紙!$B$11:$B$310),INDEX(半紙!$H$11:$H$310,895),IF(895&lt;=COUNTA(半紙!$B$11:$B$310)+COUNTA(条幅!$B$11:$B$310),INDEX(条幅!$H$11:$H$310,895-COUNTA(半紙!$B$11:$B$310)),IF(895&lt;=COUNTA(半紙!$B$11:$B$310)+COUNTA(条幅!$B$11:$B$310)+COUNTA(条幅4分の1!$B$11:$B$310),INDEX(条幅4分の1!$H$11:$H$310,895-COUNTA(半紙!$B$11:$B$310)-COUNTA(条幅!$B$11:$B$310)),"")))=0,"",IF(895&lt;=COUNTA(半紙!$B$11:$B$310),INDEX(半紙!$H$11:$H$310,895),IF(895&lt;=COUNTA(半紙!$B$11:$B$310)+COUNTA(条幅!$B$11:$B$310),INDEX(条幅!$H$11:$H$310,895-COUNTA(半紙!$B$11:$B$310)),IF(895&lt;=COUNTA(半紙!$B$11:$B$310)+COUNTA(条幅!$B$11:$B$310)+COUNTA(条幅4分の1!$B$11:$B$310),INDEX(条幅4分の1!$H$11:$H$310,895-COUNTA(半紙!$B$11:$B$310)-COUNTA(条幅!$B$11:$B$310)),""))))</f>
        <v/>
      </c>
      <c r="I900" s="38" t="str">
        <f>IF(IF(895&lt;=COUNTA(半紙!$B$11:$B$310),INDEX(半紙!$I$11:$I$310,895),IF(895&lt;=COUNTA(半紙!$B$11:$B$310)+COUNTA(条幅!$B$11:$B$310),INDEX(条幅!$I$11:$I$310,895-COUNTA(半紙!$B$11:$B$310)),IF(895&lt;=COUNTA(半紙!$B$11:$B$310)+COUNTA(条幅!$B$11:$B$310)+COUNTA(条幅4分の1!$B$11:$B$310),INDEX(条幅4分の1!$I$11:$I$310,895-COUNTA(半紙!$B$11:$B$310)-COUNTA(条幅!$B$11:$B$310)),"")))=0,"",IF(895&lt;=COUNTA(半紙!$B$11:$B$310),INDEX(半紙!$I$11:$I$310,895),IF(895&lt;=COUNTA(半紙!$B$11:$B$310)+COUNTA(条幅!$B$11:$B$310),INDEX(条幅!$I$11:$I$310,895-COUNTA(半紙!$B$11:$B$310)),IF(895&lt;=COUNTA(半紙!$B$11:$B$310)+COUNTA(条幅!$B$11:$B$310)+COUNTA(条幅4分の1!$B$11:$B$310),INDEX(条幅4分の1!$I$11:$I$310,895-COUNTA(半紙!$B$11:$B$310)-COUNTA(条幅!$B$11:$B$310)),""))))</f>
        <v/>
      </c>
      <c r="J900" s="38" t="str">
        <f>IF(IF(895&lt;=COUNTA(半紙!$B$11:$B$310),INDEX(半紙!$J$11:$J$310,895),IF(895&lt;=COUNTA(半紙!$B$11:$B$310)+COUNTA(条幅!$B$11:$B$310),INDEX(条幅!$J$11:$J$310,895-COUNTA(半紙!$B$11:$B$310)),IF(895&lt;=COUNTA(半紙!$B$11:$B$310)+COUNTA(条幅!$B$11:$B$310)+COUNTA(条幅4分の1!$B$11:$B$310),INDEX(条幅4分の1!$J$11:$J$310,895-COUNTA(半紙!$B$11:$B$310)-COUNTA(条幅!$B$11:$B$310)),"")))=0,"",IF(895&lt;=COUNTA(半紙!$B$11:$B$310),INDEX(半紙!$J$11:$J$310,895),IF(895&lt;=COUNTA(半紙!$B$11:$B$310)+COUNTA(条幅!$B$11:$B$310),INDEX(条幅!$J$11:$J$310,895-COUNTA(半紙!$B$11:$B$310)),IF(895&lt;=COUNTA(半紙!$B$11:$B$310)+COUNTA(条幅!$B$11:$B$310)+COUNTA(条幅4分の1!$B$11:$B$310),INDEX(条幅4分の1!$J$11:$J$310,895-COUNTA(半紙!$B$11:$B$310)-COUNTA(条幅!$B$11:$B$310)),""))))</f>
        <v/>
      </c>
      <c r="K900" s="38" t="str">
        <f>IF(IF(895&lt;=COUNTA(半紙!$B$11:$B$310),INDEX(半紙!$K$11:$K$310,895),IF(895&lt;=COUNTA(半紙!$B$11:$B$310)+COUNTA(条幅!$B$11:$B$310),INDEX(条幅!$K$11:$K$310,895-COUNTA(半紙!$B$11:$B$310)),IF(895&lt;=COUNTA(半紙!$B$11:$B$310)+COUNTA(条幅!$B$11:$B$310)+COUNTA(条幅4分の1!$B$11:$B$310),INDEX(条幅4分の1!$K$11:$K$310,895-COUNTA(半紙!$B$11:$B$310)-COUNTA(条幅!$B$11:$B$310)),"")))=0,"",IF(895&lt;=COUNTA(半紙!$B$11:$B$310),INDEX(半紙!$K$11:$K$310,895),IF(895&lt;=COUNTA(半紙!$B$11:$B$310)+COUNTA(条幅!$B$11:$B$310),INDEX(条幅!$K$11:$K$310,895-COUNTA(半紙!$B$11:$B$310)),IF(895&lt;=COUNTA(半紙!$B$11:$B$310)+COUNTA(条幅!$B$11:$B$310)+COUNTA(条幅4分の1!$B$11:$B$310),INDEX(条幅4分の1!$K$11:$K$310,895-COUNTA(半紙!$B$11:$B$310)-COUNTA(条幅!$B$11:$B$310)),""))))</f>
        <v/>
      </c>
      <c r="L900" s="48" t="str">
        <f>IF($B900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895))</f>
        <v/>
      </c>
    </row>
    <row r="901" spans="1:12" ht="15" customHeight="1">
      <c r="A901" s="37" t="str">
        <f>IF(896&lt;=COUNTA(半紙!$B$11:$B$310),"半紙",IF(896&lt;=COUNTA(半紙!$B$11:$B$310)+COUNTA(条幅!$B$11:$B$310),"条幅(半切)",IF(896&lt;=COUNTA(半紙!$B$11:$B$310)+COUNTA(条幅!$B$11:$B$310)+COUNTA(条幅4分の1!$B$11:$B$310),"条幅(1/4)","")))</f>
        <v/>
      </c>
      <c r="B901" s="38" t="str">
        <f>IF(IF(896&lt;=COUNTA(半紙!$B$11:$B$310),INDEX(半紙!$B$11:$B$310,896),IF(896&lt;=COUNTA(半紙!$B$11:$B$310)+COUNTA(条幅!$B$11:$B$310),INDEX(条幅!$B$11:$B$310,896-COUNTA(半紙!$B$11:$B$310)),IF(896&lt;=COUNTA(半紙!$B$11:$B$310)+COUNTA(条幅!$B$11:$B$310)+COUNTA(条幅4分の1!$B$11:$B$310),INDEX(条幅4分の1!$B$11:$B$310,896-COUNTA(半紙!$B$11:$B$310)-COUNTA(条幅!$B$11:$B$310)),"")))=0,"",IF(896&lt;=COUNTA(半紙!$B$11:$B$310),INDEX(半紙!$B$11:$B$310,896),IF(896&lt;=COUNTA(半紙!$B$11:$B$310)+COUNTA(条幅!$B$11:$B$310),INDEX(条幅!$B$11:$B$310,896-COUNTA(半紙!$B$11:$B$310)),IF(896&lt;=COUNTA(半紙!$B$11:$B$310)+COUNTA(条幅!$B$11:$B$310)+COUNTA(条幅4分の1!$B$11:$B$310),INDEX(条幅4分の1!$B$11:$B$310,896-COUNTA(半紙!$B$11:$B$310)-COUNTA(条幅!$B$11:$B$310)),""))))</f>
        <v/>
      </c>
      <c r="C901" s="38" t="str">
        <f>IF(IF(896&lt;=COUNTA(半紙!$B$11:$B$310),INDEX(半紙!$C$11:$C$310,896),IF(896&lt;=COUNTA(半紙!$B$11:$B$310)+COUNTA(条幅!$B$11:$B$310),INDEX(条幅!$C$11:$C$310,896-COUNTA(半紙!$B$11:$B$310)),IF(896&lt;=COUNTA(半紙!$B$11:$B$310)+COUNTA(条幅!$B$11:$B$310)+COUNTA(条幅4分の1!$B$11:$B$310),INDEX(条幅4分の1!$C$11:$C$310,896-COUNTA(半紙!$B$11:$B$310)-COUNTA(条幅!$B$11:$B$310)),"")))=0,"",IF(896&lt;=COUNTA(半紙!$B$11:$B$310),INDEX(半紙!$C$11:$C$310,896),IF(896&lt;=COUNTA(半紙!$B$11:$B$310)+COUNTA(条幅!$B$11:$B$310),INDEX(条幅!$C$11:$C$310,896-COUNTA(半紙!$B$11:$B$310)),IF(896&lt;=COUNTA(半紙!$B$11:$B$310)+COUNTA(条幅!$B$11:$B$310)+COUNTA(条幅4分の1!$B$11:$B$310),INDEX(条幅4分の1!$C$11:$C$310,896-COUNTA(半紙!$B$11:$B$310)-COUNTA(条幅!$B$11:$B$310)),""))))</f>
        <v/>
      </c>
      <c r="D901" s="38" t="str">
        <f>IF(IF(896&lt;=COUNTA(半紙!$B$11:$B$310),INDEX(半紙!$D$11:$D$310,896),IF(896&lt;=COUNTA(半紙!$B$11:$B$310)+COUNTA(条幅!$B$11:$B$310),INDEX(条幅!$D$11:$D$310,896-COUNTA(半紙!$B$11:$B$310)),IF(896&lt;=COUNTA(半紙!$B$11:$B$310)+COUNTA(条幅!$B$11:$B$310)+COUNTA(条幅4分の1!$B$11:$B$310),INDEX(条幅4分の1!$D$11:$D$310,896-COUNTA(半紙!$B$11:$B$310)-COUNTA(条幅!$B$11:$B$310)),"")))=0,"",IF(896&lt;=COUNTA(半紙!$B$11:$B$310),INDEX(半紙!$D$11:$D$310,896),IF(896&lt;=COUNTA(半紙!$B$11:$B$310)+COUNTA(条幅!$B$11:$B$310),INDEX(条幅!$D$11:$D$310,896-COUNTA(半紙!$B$11:$B$310)),IF(896&lt;=COUNTA(半紙!$B$11:$B$310)+COUNTA(条幅!$B$11:$B$310)+COUNTA(条幅4分の1!$B$11:$B$310),INDEX(条幅4分の1!$D$11:$D$310,896-COUNTA(半紙!$B$11:$B$310)-COUNTA(条幅!$B$11:$B$310)),""))))</f>
        <v/>
      </c>
      <c r="E901" s="38" t="str">
        <f>IF(IF(896&lt;=COUNTA(半紙!$B$11:$B$310),INDEX(半紙!$E$11:$E$310,896),IF(896&lt;=COUNTA(半紙!$B$11:$B$310)+COUNTA(条幅!$B$11:$B$310),INDEX(条幅!$E$11:$E$310,896-COUNTA(半紙!$B$11:$B$310)),IF(896&lt;=COUNTA(半紙!$B$11:$B$310)+COUNTA(条幅!$B$11:$B$310)+COUNTA(条幅4分の1!$B$11:$B$310),INDEX(条幅4分の1!$E$11:$E$310,896-COUNTA(半紙!$B$11:$B$310)-COUNTA(条幅!$B$11:$B$310)),"")))=0,"",IF(896&lt;=COUNTA(半紙!$B$11:$B$310),INDEX(半紙!$E$11:$E$310,896),IF(896&lt;=COUNTA(半紙!$B$11:$B$310)+COUNTA(条幅!$B$11:$B$310),INDEX(条幅!$E$11:$E$310,896-COUNTA(半紙!$B$11:$B$310)),IF(896&lt;=COUNTA(半紙!$B$11:$B$310)+COUNTA(条幅!$B$11:$B$310)+COUNTA(条幅4分の1!$B$11:$B$310),INDEX(条幅4分の1!$E$11:$E$310,896-COUNTA(半紙!$B$11:$B$310)-COUNTA(条幅!$B$11:$B$310)),""))))</f>
        <v/>
      </c>
      <c r="F901" s="38" t="str">
        <f>IF(IF(896&lt;=COUNTA(半紙!$B$11:$B$310),INDEX(半紙!$F$11:$F$310,896),IF(896&lt;=COUNTA(半紙!$B$11:$B$310)+COUNTA(条幅!$B$11:$B$310),INDEX(条幅!$F$11:$F$310,896-COUNTA(半紙!$B$11:$B$310)),IF(896&lt;=COUNTA(半紙!$B$11:$B$310)+COUNTA(条幅!$B$11:$B$310)+COUNTA(条幅4分の1!$B$11:$B$310),INDEX(条幅4分の1!$F$11:$F$310,896-COUNTA(半紙!$B$11:$B$310)-COUNTA(条幅!$B$11:$B$310)),"")))=0,"",IF(896&lt;=COUNTA(半紙!$B$11:$B$310),INDEX(半紙!$F$11:$F$310,896),IF(896&lt;=COUNTA(半紙!$B$11:$B$310)+COUNTA(条幅!$B$11:$B$310),INDEX(条幅!$F$11:$F$310,896-COUNTA(半紙!$B$11:$B$310)),IF(896&lt;=COUNTA(半紙!$B$11:$B$310)+COUNTA(条幅!$B$11:$B$310)+COUNTA(条幅4分の1!$B$11:$B$310),INDEX(条幅4分の1!$F$11:$F$310,896-COUNTA(半紙!$B$11:$B$310)-COUNTA(条幅!$B$11:$B$310)),""))))</f>
        <v/>
      </c>
      <c r="G901" s="38" t="str">
        <f>IF(IF(896&lt;=COUNTA(半紙!$B$11:$B$310),INDEX(半紙!$G$11:$G$310,896),IF(896&lt;=COUNTA(半紙!$B$11:$B$310)+COUNTA(条幅!$B$11:$B$310),INDEX(条幅!$G$11:$G$310,896-COUNTA(半紙!$B$11:$B$310)),IF(896&lt;=COUNTA(半紙!$B$11:$B$310)+COUNTA(条幅!$B$11:$B$310)+COUNTA(条幅4分の1!$B$11:$B$310),INDEX(条幅4分の1!$G$11:$G$310,896-COUNTA(半紙!$B$11:$B$310)-COUNTA(条幅!$B$11:$B$310)),"")))=0,"",IF(896&lt;=COUNTA(半紙!$B$11:$B$310),INDEX(半紙!$G$11:$G$310,896),IF(896&lt;=COUNTA(半紙!$B$11:$B$310)+COUNTA(条幅!$B$11:$B$310),INDEX(条幅!$G$11:$G$310,896-COUNTA(半紙!$B$11:$B$310)),IF(896&lt;=COUNTA(半紙!$B$11:$B$310)+COUNTA(条幅!$B$11:$B$310)+COUNTA(条幅4分の1!$B$11:$B$310),INDEX(条幅4分の1!$G$11:$G$310,896-COUNTA(半紙!$B$11:$B$310)-COUNTA(条幅!$B$11:$B$310)),""))))</f>
        <v/>
      </c>
      <c r="H901" s="38" t="str">
        <f>IF(IF(896&lt;=COUNTA(半紙!$B$11:$B$310),INDEX(半紙!$H$11:$H$310,896),IF(896&lt;=COUNTA(半紙!$B$11:$B$310)+COUNTA(条幅!$B$11:$B$310),INDEX(条幅!$H$11:$H$310,896-COUNTA(半紙!$B$11:$B$310)),IF(896&lt;=COUNTA(半紙!$B$11:$B$310)+COUNTA(条幅!$B$11:$B$310)+COUNTA(条幅4分の1!$B$11:$B$310),INDEX(条幅4分の1!$H$11:$H$310,896-COUNTA(半紙!$B$11:$B$310)-COUNTA(条幅!$B$11:$B$310)),"")))=0,"",IF(896&lt;=COUNTA(半紙!$B$11:$B$310),INDEX(半紙!$H$11:$H$310,896),IF(896&lt;=COUNTA(半紙!$B$11:$B$310)+COUNTA(条幅!$B$11:$B$310),INDEX(条幅!$H$11:$H$310,896-COUNTA(半紙!$B$11:$B$310)),IF(896&lt;=COUNTA(半紙!$B$11:$B$310)+COUNTA(条幅!$B$11:$B$310)+COUNTA(条幅4分の1!$B$11:$B$310),INDEX(条幅4分の1!$H$11:$H$310,896-COUNTA(半紙!$B$11:$B$310)-COUNTA(条幅!$B$11:$B$310)),""))))</f>
        <v/>
      </c>
      <c r="I901" s="38" t="str">
        <f>IF(IF(896&lt;=COUNTA(半紙!$B$11:$B$310),INDEX(半紙!$I$11:$I$310,896),IF(896&lt;=COUNTA(半紙!$B$11:$B$310)+COUNTA(条幅!$B$11:$B$310),INDEX(条幅!$I$11:$I$310,896-COUNTA(半紙!$B$11:$B$310)),IF(896&lt;=COUNTA(半紙!$B$11:$B$310)+COUNTA(条幅!$B$11:$B$310)+COUNTA(条幅4分の1!$B$11:$B$310),INDEX(条幅4分の1!$I$11:$I$310,896-COUNTA(半紙!$B$11:$B$310)-COUNTA(条幅!$B$11:$B$310)),"")))=0,"",IF(896&lt;=COUNTA(半紙!$B$11:$B$310),INDEX(半紙!$I$11:$I$310,896),IF(896&lt;=COUNTA(半紙!$B$11:$B$310)+COUNTA(条幅!$B$11:$B$310),INDEX(条幅!$I$11:$I$310,896-COUNTA(半紙!$B$11:$B$310)),IF(896&lt;=COUNTA(半紙!$B$11:$B$310)+COUNTA(条幅!$B$11:$B$310)+COUNTA(条幅4分の1!$B$11:$B$310),INDEX(条幅4分の1!$I$11:$I$310,896-COUNTA(半紙!$B$11:$B$310)-COUNTA(条幅!$B$11:$B$310)),""))))</f>
        <v/>
      </c>
      <c r="J901" s="38" t="str">
        <f>IF(IF(896&lt;=COUNTA(半紙!$B$11:$B$310),INDEX(半紙!$J$11:$J$310,896),IF(896&lt;=COUNTA(半紙!$B$11:$B$310)+COUNTA(条幅!$B$11:$B$310),INDEX(条幅!$J$11:$J$310,896-COUNTA(半紙!$B$11:$B$310)),IF(896&lt;=COUNTA(半紙!$B$11:$B$310)+COUNTA(条幅!$B$11:$B$310)+COUNTA(条幅4分の1!$B$11:$B$310),INDEX(条幅4分の1!$J$11:$J$310,896-COUNTA(半紙!$B$11:$B$310)-COUNTA(条幅!$B$11:$B$310)),"")))=0,"",IF(896&lt;=COUNTA(半紙!$B$11:$B$310),INDEX(半紙!$J$11:$J$310,896),IF(896&lt;=COUNTA(半紙!$B$11:$B$310)+COUNTA(条幅!$B$11:$B$310),INDEX(条幅!$J$11:$J$310,896-COUNTA(半紙!$B$11:$B$310)),IF(896&lt;=COUNTA(半紙!$B$11:$B$310)+COUNTA(条幅!$B$11:$B$310)+COUNTA(条幅4分の1!$B$11:$B$310),INDEX(条幅4分の1!$J$11:$J$310,896-COUNTA(半紙!$B$11:$B$310)-COUNTA(条幅!$B$11:$B$310)),""))))</f>
        <v/>
      </c>
      <c r="K901" s="38" t="str">
        <f>IF(IF(896&lt;=COUNTA(半紙!$B$11:$B$310),INDEX(半紙!$K$11:$K$310,896),IF(896&lt;=COUNTA(半紙!$B$11:$B$310)+COUNTA(条幅!$B$11:$B$310),INDEX(条幅!$K$11:$K$310,896-COUNTA(半紙!$B$11:$B$310)),IF(896&lt;=COUNTA(半紙!$B$11:$B$310)+COUNTA(条幅!$B$11:$B$310)+COUNTA(条幅4分の1!$B$11:$B$310),INDEX(条幅4分の1!$K$11:$K$310,896-COUNTA(半紙!$B$11:$B$310)-COUNTA(条幅!$B$11:$B$310)),"")))=0,"",IF(896&lt;=COUNTA(半紙!$B$11:$B$310),INDEX(半紙!$K$11:$K$310,896),IF(896&lt;=COUNTA(半紙!$B$11:$B$310)+COUNTA(条幅!$B$11:$B$310),INDEX(条幅!$K$11:$K$310,896-COUNTA(半紙!$B$11:$B$310)),IF(896&lt;=COUNTA(半紙!$B$11:$B$310)+COUNTA(条幅!$B$11:$B$310)+COUNTA(条幅4分の1!$B$11:$B$310),INDEX(条幅4分の1!$K$11:$K$310,896-COUNTA(半紙!$B$11:$B$310)-COUNTA(条幅!$B$11:$B$310)),""))))</f>
        <v/>
      </c>
      <c r="L901" s="48" t="str">
        <f>IF($B901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896))</f>
        <v/>
      </c>
    </row>
    <row r="902" spans="1:12" ht="15" customHeight="1">
      <c r="A902" s="37" t="str">
        <f>IF(897&lt;=COUNTA(半紙!$B$11:$B$310),"半紙",IF(897&lt;=COUNTA(半紙!$B$11:$B$310)+COUNTA(条幅!$B$11:$B$310),"条幅(半切)",IF(897&lt;=COUNTA(半紙!$B$11:$B$310)+COUNTA(条幅!$B$11:$B$310)+COUNTA(条幅4分の1!$B$11:$B$310),"条幅(1/4)","")))</f>
        <v/>
      </c>
      <c r="B902" s="38" t="str">
        <f>IF(IF(897&lt;=COUNTA(半紙!$B$11:$B$310),INDEX(半紙!$B$11:$B$310,897),IF(897&lt;=COUNTA(半紙!$B$11:$B$310)+COUNTA(条幅!$B$11:$B$310),INDEX(条幅!$B$11:$B$310,897-COUNTA(半紙!$B$11:$B$310)),IF(897&lt;=COUNTA(半紙!$B$11:$B$310)+COUNTA(条幅!$B$11:$B$310)+COUNTA(条幅4分の1!$B$11:$B$310),INDEX(条幅4分の1!$B$11:$B$310,897-COUNTA(半紙!$B$11:$B$310)-COUNTA(条幅!$B$11:$B$310)),"")))=0,"",IF(897&lt;=COUNTA(半紙!$B$11:$B$310),INDEX(半紙!$B$11:$B$310,897),IF(897&lt;=COUNTA(半紙!$B$11:$B$310)+COUNTA(条幅!$B$11:$B$310),INDEX(条幅!$B$11:$B$310,897-COUNTA(半紙!$B$11:$B$310)),IF(897&lt;=COUNTA(半紙!$B$11:$B$310)+COUNTA(条幅!$B$11:$B$310)+COUNTA(条幅4分の1!$B$11:$B$310),INDEX(条幅4分の1!$B$11:$B$310,897-COUNTA(半紙!$B$11:$B$310)-COUNTA(条幅!$B$11:$B$310)),""))))</f>
        <v/>
      </c>
      <c r="C902" s="38" t="str">
        <f>IF(IF(897&lt;=COUNTA(半紙!$B$11:$B$310),INDEX(半紙!$C$11:$C$310,897),IF(897&lt;=COUNTA(半紙!$B$11:$B$310)+COUNTA(条幅!$B$11:$B$310),INDEX(条幅!$C$11:$C$310,897-COUNTA(半紙!$B$11:$B$310)),IF(897&lt;=COUNTA(半紙!$B$11:$B$310)+COUNTA(条幅!$B$11:$B$310)+COUNTA(条幅4分の1!$B$11:$B$310),INDEX(条幅4分の1!$C$11:$C$310,897-COUNTA(半紙!$B$11:$B$310)-COUNTA(条幅!$B$11:$B$310)),"")))=0,"",IF(897&lt;=COUNTA(半紙!$B$11:$B$310),INDEX(半紙!$C$11:$C$310,897),IF(897&lt;=COUNTA(半紙!$B$11:$B$310)+COUNTA(条幅!$B$11:$B$310),INDEX(条幅!$C$11:$C$310,897-COUNTA(半紙!$B$11:$B$310)),IF(897&lt;=COUNTA(半紙!$B$11:$B$310)+COUNTA(条幅!$B$11:$B$310)+COUNTA(条幅4分の1!$B$11:$B$310),INDEX(条幅4分の1!$C$11:$C$310,897-COUNTA(半紙!$B$11:$B$310)-COUNTA(条幅!$B$11:$B$310)),""))))</f>
        <v/>
      </c>
      <c r="D902" s="38" t="str">
        <f>IF(IF(897&lt;=COUNTA(半紙!$B$11:$B$310),INDEX(半紙!$D$11:$D$310,897),IF(897&lt;=COUNTA(半紙!$B$11:$B$310)+COUNTA(条幅!$B$11:$B$310),INDEX(条幅!$D$11:$D$310,897-COUNTA(半紙!$B$11:$B$310)),IF(897&lt;=COUNTA(半紙!$B$11:$B$310)+COUNTA(条幅!$B$11:$B$310)+COUNTA(条幅4分の1!$B$11:$B$310),INDEX(条幅4分の1!$D$11:$D$310,897-COUNTA(半紙!$B$11:$B$310)-COUNTA(条幅!$B$11:$B$310)),"")))=0,"",IF(897&lt;=COUNTA(半紙!$B$11:$B$310),INDEX(半紙!$D$11:$D$310,897),IF(897&lt;=COUNTA(半紙!$B$11:$B$310)+COUNTA(条幅!$B$11:$B$310),INDEX(条幅!$D$11:$D$310,897-COUNTA(半紙!$B$11:$B$310)),IF(897&lt;=COUNTA(半紙!$B$11:$B$310)+COUNTA(条幅!$B$11:$B$310)+COUNTA(条幅4分の1!$B$11:$B$310),INDEX(条幅4分の1!$D$11:$D$310,897-COUNTA(半紙!$B$11:$B$310)-COUNTA(条幅!$B$11:$B$310)),""))))</f>
        <v/>
      </c>
      <c r="E902" s="38" t="str">
        <f>IF(IF(897&lt;=COUNTA(半紙!$B$11:$B$310),INDEX(半紙!$E$11:$E$310,897),IF(897&lt;=COUNTA(半紙!$B$11:$B$310)+COUNTA(条幅!$B$11:$B$310),INDEX(条幅!$E$11:$E$310,897-COUNTA(半紙!$B$11:$B$310)),IF(897&lt;=COUNTA(半紙!$B$11:$B$310)+COUNTA(条幅!$B$11:$B$310)+COUNTA(条幅4分の1!$B$11:$B$310),INDEX(条幅4分の1!$E$11:$E$310,897-COUNTA(半紙!$B$11:$B$310)-COUNTA(条幅!$B$11:$B$310)),"")))=0,"",IF(897&lt;=COUNTA(半紙!$B$11:$B$310),INDEX(半紙!$E$11:$E$310,897),IF(897&lt;=COUNTA(半紙!$B$11:$B$310)+COUNTA(条幅!$B$11:$B$310),INDEX(条幅!$E$11:$E$310,897-COUNTA(半紙!$B$11:$B$310)),IF(897&lt;=COUNTA(半紙!$B$11:$B$310)+COUNTA(条幅!$B$11:$B$310)+COUNTA(条幅4分の1!$B$11:$B$310),INDEX(条幅4分の1!$E$11:$E$310,897-COUNTA(半紙!$B$11:$B$310)-COUNTA(条幅!$B$11:$B$310)),""))))</f>
        <v/>
      </c>
      <c r="F902" s="38" t="str">
        <f>IF(IF(897&lt;=COUNTA(半紙!$B$11:$B$310),INDEX(半紙!$F$11:$F$310,897),IF(897&lt;=COUNTA(半紙!$B$11:$B$310)+COUNTA(条幅!$B$11:$B$310),INDEX(条幅!$F$11:$F$310,897-COUNTA(半紙!$B$11:$B$310)),IF(897&lt;=COUNTA(半紙!$B$11:$B$310)+COUNTA(条幅!$B$11:$B$310)+COUNTA(条幅4分の1!$B$11:$B$310),INDEX(条幅4分の1!$F$11:$F$310,897-COUNTA(半紙!$B$11:$B$310)-COUNTA(条幅!$B$11:$B$310)),"")))=0,"",IF(897&lt;=COUNTA(半紙!$B$11:$B$310),INDEX(半紙!$F$11:$F$310,897),IF(897&lt;=COUNTA(半紙!$B$11:$B$310)+COUNTA(条幅!$B$11:$B$310),INDEX(条幅!$F$11:$F$310,897-COUNTA(半紙!$B$11:$B$310)),IF(897&lt;=COUNTA(半紙!$B$11:$B$310)+COUNTA(条幅!$B$11:$B$310)+COUNTA(条幅4分の1!$B$11:$B$310),INDEX(条幅4分の1!$F$11:$F$310,897-COUNTA(半紙!$B$11:$B$310)-COUNTA(条幅!$B$11:$B$310)),""))))</f>
        <v/>
      </c>
      <c r="G902" s="38" t="str">
        <f>IF(IF(897&lt;=COUNTA(半紙!$B$11:$B$310),INDEX(半紙!$G$11:$G$310,897),IF(897&lt;=COUNTA(半紙!$B$11:$B$310)+COUNTA(条幅!$B$11:$B$310),INDEX(条幅!$G$11:$G$310,897-COUNTA(半紙!$B$11:$B$310)),IF(897&lt;=COUNTA(半紙!$B$11:$B$310)+COUNTA(条幅!$B$11:$B$310)+COUNTA(条幅4分の1!$B$11:$B$310),INDEX(条幅4分の1!$G$11:$G$310,897-COUNTA(半紙!$B$11:$B$310)-COUNTA(条幅!$B$11:$B$310)),"")))=0,"",IF(897&lt;=COUNTA(半紙!$B$11:$B$310),INDEX(半紙!$G$11:$G$310,897),IF(897&lt;=COUNTA(半紙!$B$11:$B$310)+COUNTA(条幅!$B$11:$B$310),INDEX(条幅!$G$11:$G$310,897-COUNTA(半紙!$B$11:$B$310)),IF(897&lt;=COUNTA(半紙!$B$11:$B$310)+COUNTA(条幅!$B$11:$B$310)+COUNTA(条幅4分の1!$B$11:$B$310),INDEX(条幅4分の1!$G$11:$G$310,897-COUNTA(半紙!$B$11:$B$310)-COUNTA(条幅!$B$11:$B$310)),""))))</f>
        <v/>
      </c>
      <c r="H902" s="38" t="str">
        <f>IF(IF(897&lt;=COUNTA(半紙!$B$11:$B$310),INDEX(半紙!$H$11:$H$310,897),IF(897&lt;=COUNTA(半紙!$B$11:$B$310)+COUNTA(条幅!$B$11:$B$310),INDEX(条幅!$H$11:$H$310,897-COUNTA(半紙!$B$11:$B$310)),IF(897&lt;=COUNTA(半紙!$B$11:$B$310)+COUNTA(条幅!$B$11:$B$310)+COUNTA(条幅4分の1!$B$11:$B$310),INDEX(条幅4分の1!$H$11:$H$310,897-COUNTA(半紙!$B$11:$B$310)-COUNTA(条幅!$B$11:$B$310)),"")))=0,"",IF(897&lt;=COUNTA(半紙!$B$11:$B$310),INDEX(半紙!$H$11:$H$310,897),IF(897&lt;=COUNTA(半紙!$B$11:$B$310)+COUNTA(条幅!$B$11:$B$310),INDEX(条幅!$H$11:$H$310,897-COUNTA(半紙!$B$11:$B$310)),IF(897&lt;=COUNTA(半紙!$B$11:$B$310)+COUNTA(条幅!$B$11:$B$310)+COUNTA(条幅4分の1!$B$11:$B$310),INDEX(条幅4分の1!$H$11:$H$310,897-COUNTA(半紙!$B$11:$B$310)-COUNTA(条幅!$B$11:$B$310)),""))))</f>
        <v/>
      </c>
      <c r="I902" s="38" t="str">
        <f>IF(IF(897&lt;=COUNTA(半紙!$B$11:$B$310),INDEX(半紙!$I$11:$I$310,897),IF(897&lt;=COUNTA(半紙!$B$11:$B$310)+COUNTA(条幅!$B$11:$B$310),INDEX(条幅!$I$11:$I$310,897-COUNTA(半紙!$B$11:$B$310)),IF(897&lt;=COUNTA(半紙!$B$11:$B$310)+COUNTA(条幅!$B$11:$B$310)+COUNTA(条幅4分の1!$B$11:$B$310),INDEX(条幅4分の1!$I$11:$I$310,897-COUNTA(半紙!$B$11:$B$310)-COUNTA(条幅!$B$11:$B$310)),"")))=0,"",IF(897&lt;=COUNTA(半紙!$B$11:$B$310),INDEX(半紙!$I$11:$I$310,897),IF(897&lt;=COUNTA(半紙!$B$11:$B$310)+COUNTA(条幅!$B$11:$B$310),INDEX(条幅!$I$11:$I$310,897-COUNTA(半紙!$B$11:$B$310)),IF(897&lt;=COUNTA(半紙!$B$11:$B$310)+COUNTA(条幅!$B$11:$B$310)+COUNTA(条幅4分の1!$B$11:$B$310),INDEX(条幅4分の1!$I$11:$I$310,897-COUNTA(半紙!$B$11:$B$310)-COUNTA(条幅!$B$11:$B$310)),""))))</f>
        <v/>
      </c>
      <c r="J902" s="38" t="str">
        <f>IF(IF(897&lt;=COUNTA(半紙!$B$11:$B$310),INDEX(半紙!$J$11:$J$310,897),IF(897&lt;=COUNTA(半紙!$B$11:$B$310)+COUNTA(条幅!$B$11:$B$310),INDEX(条幅!$J$11:$J$310,897-COUNTA(半紙!$B$11:$B$310)),IF(897&lt;=COUNTA(半紙!$B$11:$B$310)+COUNTA(条幅!$B$11:$B$310)+COUNTA(条幅4分の1!$B$11:$B$310),INDEX(条幅4分の1!$J$11:$J$310,897-COUNTA(半紙!$B$11:$B$310)-COUNTA(条幅!$B$11:$B$310)),"")))=0,"",IF(897&lt;=COUNTA(半紙!$B$11:$B$310),INDEX(半紙!$J$11:$J$310,897),IF(897&lt;=COUNTA(半紙!$B$11:$B$310)+COUNTA(条幅!$B$11:$B$310),INDEX(条幅!$J$11:$J$310,897-COUNTA(半紙!$B$11:$B$310)),IF(897&lt;=COUNTA(半紙!$B$11:$B$310)+COUNTA(条幅!$B$11:$B$310)+COUNTA(条幅4分の1!$B$11:$B$310),INDEX(条幅4分の1!$J$11:$J$310,897-COUNTA(半紙!$B$11:$B$310)-COUNTA(条幅!$B$11:$B$310)),""))))</f>
        <v/>
      </c>
      <c r="K902" s="38" t="str">
        <f>IF(IF(897&lt;=COUNTA(半紙!$B$11:$B$310),INDEX(半紙!$K$11:$K$310,897),IF(897&lt;=COUNTA(半紙!$B$11:$B$310)+COUNTA(条幅!$B$11:$B$310),INDEX(条幅!$K$11:$K$310,897-COUNTA(半紙!$B$11:$B$310)),IF(897&lt;=COUNTA(半紙!$B$11:$B$310)+COUNTA(条幅!$B$11:$B$310)+COUNTA(条幅4分の1!$B$11:$B$310),INDEX(条幅4分の1!$K$11:$K$310,897-COUNTA(半紙!$B$11:$B$310)-COUNTA(条幅!$B$11:$B$310)),"")))=0,"",IF(897&lt;=COUNTA(半紙!$B$11:$B$310),INDEX(半紙!$K$11:$K$310,897),IF(897&lt;=COUNTA(半紙!$B$11:$B$310)+COUNTA(条幅!$B$11:$B$310),INDEX(条幅!$K$11:$K$310,897-COUNTA(半紙!$B$11:$B$310)),IF(897&lt;=COUNTA(半紙!$B$11:$B$310)+COUNTA(条幅!$B$11:$B$310)+COUNTA(条幅4分の1!$B$11:$B$310),INDEX(条幅4分の1!$K$11:$K$310,897-COUNTA(半紙!$B$11:$B$310)-COUNTA(条幅!$B$11:$B$310)),""))))</f>
        <v/>
      </c>
      <c r="L902" s="48" t="str">
        <f>IF($B902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897))</f>
        <v/>
      </c>
    </row>
    <row r="903" spans="1:12" ht="15" customHeight="1">
      <c r="A903" s="37" t="str">
        <f>IF(898&lt;=COUNTA(半紙!$B$11:$B$310),"半紙",IF(898&lt;=COUNTA(半紙!$B$11:$B$310)+COUNTA(条幅!$B$11:$B$310),"条幅(半切)",IF(898&lt;=COUNTA(半紙!$B$11:$B$310)+COUNTA(条幅!$B$11:$B$310)+COUNTA(条幅4分の1!$B$11:$B$310),"条幅(1/4)","")))</f>
        <v/>
      </c>
      <c r="B903" s="38" t="str">
        <f>IF(IF(898&lt;=COUNTA(半紙!$B$11:$B$310),INDEX(半紙!$B$11:$B$310,898),IF(898&lt;=COUNTA(半紙!$B$11:$B$310)+COUNTA(条幅!$B$11:$B$310),INDEX(条幅!$B$11:$B$310,898-COUNTA(半紙!$B$11:$B$310)),IF(898&lt;=COUNTA(半紙!$B$11:$B$310)+COUNTA(条幅!$B$11:$B$310)+COUNTA(条幅4分の1!$B$11:$B$310),INDEX(条幅4分の1!$B$11:$B$310,898-COUNTA(半紙!$B$11:$B$310)-COUNTA(条幅!$B$11:$B$310)),"")))=0,"",IF(898&lt;=COUNTA(半紙!$B$11:$B$310),INDEX(半紙!$B$11:$B$310,898),IF(898&lt;=COUNTA(半紙!$B$11:$B$310)+COUNTA(条幅!$B$11:$B$310),INDEX(条幅!$B$11:$B$310,898-COUNTA(半紙!$B$11:$B$310)),IF(898&lt;=COUNTA(半紙!$B$11:$B$310)+COUNTA(条幅!$B$11:$B$310)+COUNTA(条幅4分の1!$B$11:$B$310),INDEX(条幅4分の1!$B$11:$B$310,898-COUNTA(半紙!$B$11:$B$310)-COUNTA(条幅!$B$11:$B$310)),""))))</f>
        <v/>
      </c>
      <c r="C903" s="38" t="str">
        <f>IF(IF(898&lt;=COUNTA(半紙!$B$11:$B$310),INDEX(半紙!$C$11:$C$310,898),IF(898&lt;=COUNTA(半紙!$B$11:$B$310)+COUNTA(条幅!$B$11:$B$310),INDEX(条幅!$C$11:$C$310,898-COUNTA(半紙!$B$11:$B$310)),IF(898&lt;=COUNTA(半紙!$B$11:$B$310)+COUNTA(条幅!$B$11:$B$310)+COUNTA(条幅4分の1!$B$11:$B$310),INDEX(条幅4分の1!$C$11:$C$310,898-COUNTA(半紙!$B$11:$B$310)-COUNTA(条幅!$B$11:$B$310)),"")))=0,"",IF(898&lt;=COUNTA(半紙!$B$11:$B$310),INDEX(半紙!$C$11:$C$310,898),IF(898&lt;=COUNTA(半紙!$B$11:$B$310)+COUNTA(条幅!$B$11:$B$310),INDEX(条幅!$C$11:$C$310,898-COUNTA(半紙!$B$11:$B$310)),IF(898&lt;=COUNTA(半紙!$B$11:$B$310)+COUNTA(条幅!$B$11:$B$310)+COUNTA(条幅4分の1!$B$11:$B$310),INDEX(条幅4分の1!$C$11:$C$310,898-COUNTA(半紙!$B$11:$B$310)-COUNTA(条幅!$B$11:$B$310)),""))))</f>
        <v/>
      </c>
      <c r="D903" s="38" t="str">
        <f>IF(IF(898&lt;=COUNTA(半紙!$B$11:$B$310),INDEX(半紙!$D$11:$D$310,898),IF(898&lt;=COUNTA(半紙!$B$11:$B$310)+COUNTA(条幅!$B$11:$B$310),INDEX(条幅!$D$11:$D$310,898-COUNTA(半紙!$B$11:$B$310)),IF(898&lt;=COUNTA(半紙!$B$11:$B$310)+COUNTA(条幅!$B$11:$B$310)+COUNTA(条幅4分の1!$B$11:$B$310),INDEX(条幅4分の1!$D$11:$D$310,898-COUNTA(半紙!$B$11:$B$310)-COUNTA(条幅!$B$11:$B$310)),"")))=0,"",IF(898&lt;=COUNTA(半紙!$B$11:$B$310),INDEX(半紙!$D$11:$D$310,898),IF(898&lt;=COUNTA(半紙!$B$11:$B$310)+COUNTA(条幅!$B$11:$B$310),INDEX(条幅!$D$11:$D$310,898-COUNTA(半紙!$B$11:$B$310)),IF(898&lt;=COUNTA(半紙!$B$11:$B$310)+COUNTA(条幅!$B$11:$B$310)+COUNTA(条幅4分の1!$B$11:$B$310),INDEX(条幅4分の1!$D$11:$D$310,898-COUNTA(半紙!$B$11:$B$310)-COUNTA(条幅!$B$11:$B$310)),""))))</f>
        <v/>
      </c>
      <c r="E903" s="38" t="str">
        <f>IF(IF(898&lt;=COUNTA(半紙!$B$11:$B$310),INDEX(半紙!$E$11:$E$310,898),IF(898&lt;=COUNTA(半紙!$B$11:$B$310)+COUNTA(条幅!$B$11:$B$310),INDEX(条幅!$E$11:$E$310,898-COUNTA(半紙!$B$11:$B$310)),IF(898&lt;=COUNTA(半紙!$B$11:$B$310)+COUNTA(条幅!$B$11:$B$310)+COUNTA(条幅4分の1!$B$11:$B$310),INDEX(条幅4分の1!$E$11:$E$310,898-COUNTA(半紙!$B$11:$B$310)-COUNTA(条幅!$B$11:$B$310)),"")))=0,"",IF(898&lt;=COUNTA(半紙!$B$11:$B$310),INDEX(半紙!$E$11:$E$310,898),IF(898&lt;=COUNTA(半紙!$B$11:$B$310)+COUNTA(条幅!$B$11:$B$310),INDEX(条幅!$E$11:$E$310,898-COUNTA(半紙!$B$11:$B$310)),IF(898&lt;=COUNTA(半紙!$B$11:$B$310)+COUNTA(条幅!$B$11:$B$310)+COUNTA(条幅4分の1!$B$11:$B$310),INDEX(条幅4分の1!$E$11:$E$310,898-COUNTA(半紙!$B$11:$B$310)-COUNTA(条幅!$B$11:$B$310)),""))))</f>
        <v/>
      </c>
      <c r="F903" s="38" t="str">
        <f>IF(IF(898&lt;=COUNTA(半紙!$B$11:$B$310),INDEX(半紙!$F$11:$F$310,898),IF(898&lt;=COUNTA(半紙!$B$11:$B$310)+COUNTA(条幅!$B$11:$B$310),INDEX(条幅!$F$11:$F$310,898-COUNTA(半紙!$B$11:$B$310)),IF(898&lt;=COUNTA(半紙!$B$11:$B$310)+COUNTA(条幅!$B$11:$B$310)+COUNTA(条幅4分の1!$B$11:$B$310),INDEX(条幅4分の1!$F$11:$F$310,898-COUNTA(半紙!$B$11:$B$310)-COUNTA(条幅!$B$11:$B$310)),"")))=0,"",IF(898&lt;=COUNTA(半紙!$B$11:$B$310),INDEX(半紙!$F$11:$F$310,898),IF(898&lt;=COUNTA(半紙!$B$11:$B$310)+COUNTA(条幅!$B$11:$B$310),INDEX(条幅!$F$11:$F$310,898-COUNTA(半紙!$B$11:$B$310)),IF(898&lt;=COUNTA(半紙!$B$11:$B$310)+COUNTA(条幅!$B$11:$B$310)+COUNTA(条幅4分の1!$B$11:$B$310),INDEX(条幅4分の1!$F$11:$F$310,898-COUNTA(半紙!$B$11:$B$310)-COUNTA(条幅!$B$11:$B$310)),""))))</f>
        <v/>
      </c>
      <c r="G903" s="38" t="str">
        <f>IF(IF(898&lt;=COUNTA(半紙!$B$11:$B$310),INDEX(半紙!$G$11:$G$310,898),IF(898&lt;=COUNTA(半紙!$B$11:$B$310)+COUNTA(条幅!$B$11:$B$310),INDEX(条幅!$G$11:$G$310,898-COUNTA(半紙!$B$11:$B$310)),IF(898&lt;=COUNTA(半紙!$B$11:$B$310)+COUNTA(条幅!$B$11:$B$310)+COUNTA(条幅4分の1!$B$11:$B$310),INDEX(条幅4分の1!$G$11:$G$310,898-COUNTA(半紙!$B$11:$B$310)-COUNTA(条幅!$B$11:$B$310)),"")))=0,"",IF(898&lt;=COUNTA(半紙!$B$11:$B$310),INDEX(半紙!$G$11:$G$310,898),IF(898&lt;=COUNTA(半紙!$B$11:$B$310)+COUNTA(条幅!$B$11:$B$310),INDEX(条幅!$G$11:$G$310,898-COUNTA(半紙!$B$11:$B$310)),IF(898&lt;=COUNTA(半紙!$B$11:$B$310)+COUNTA(条幅!$B$11:$B$310)+COUNTA(条幅4分の1!$B$11:$B$310),INDEX(条幅4分の1!$G$11:$G$310,898-COUNTA(半紙!$B$11:$B$310)-COUNTA(条幅!$B$11:$B$310)),""))))</f>
        <v/>
      </c>
      <c r="H903" s="38" t="str">
        <f>IF(IF(898&lt;=COUNTA(半紙!$B$11:$B$310),INDEX(半紙!$H$11:$H$310,898),IF(898&lt;=COUNTA(半紙!$B$11:$B$310)+COUNTA(条幅!$B$11:$B$310),INDEX(条幅!$H$11:$H$310,898-COUNTA(半紙!$B$11:$B$310)),IF(898&lt;=COUNTA(半紙!$B$11:$B$310)+COUNTA(条幅!$B$11:$B$310)+COUNTA(条幅4分の1!$B$11:$B$310),INDEX(条幅4分の1!$H$11:$H$310,898-COUNTA(半紙!$B$11:$B$310)-COUNTA(条幅!$B$11:$B$310)),"")))=0,"",IF(898&lt;=COUNTA(半紙!$B$11:$B$310),INDEX(半紙!$H$11:$H$310,898),IF(898&lt;=COUNTA(半紙!$B$11:$B$310)+COUNTA(条幅!$B$11:$B$310),INDEX(条幅!$H$11:$H$310,898-COUNTA(半紙!$B$11:$B$310)),IF(898&lt;=COUNTA(半紙!$B$11:$B$310)+COUNTA(条幅!$B$11:$B$310)+COUNTA(条幅4分の1!$B$11:$B$310),INDEX(条幅4分の1!$H$11:$H$310,898-COUNTA(半紙!$B$11:$B$310)-COUNTA(条幅!$B$11:$B$310)),""))))</f>
        <v/>
      </c>
      <c r="I903" s="38" t="str">
        <f>IF(IF(898&lt;=COUNTA(半紙!$B$11:$B$310),INDEX(半紙!$I$11:$I$310,898),IF(898&lt;=COUNTA(半紙!$B$11:$B$310)+COUNTA(条幅!$B$11:$B$310),INDEX(条幅!$I$11:$I$310,898-COUNTA(半紙!$B$11:$B$310)),IF(898&lt;=COUNTA(半紙!$B$11:$B$310)+COUNTA(条幅!$B$11:$B$310)+COUNTA(条幅4分の1!$B$11:$B$310),INDEX(条幅4分の1!$I$11:$I$310,898-COUNTA(半紙!$B$11:$B$310)-COUNTA(条幅!$B$11:$B$310)),"")))=0,"",IF(898&lt;=COUNTA(半紙!$B$11:$B$310),INDEX(半紙!$I$11:$I$310,898),IF(898&lt;=COUNTA(半紙!$B$11:$B$310)+COUNTA(条幅!$B$11:$B$310),INDEX(条幅!$I$11:$I$310,898-COUNTA(半紙!$B$11:$B$310)),IF(898&lt;=COUNTA(半紙!$B$11:$B$310)+COUNTA(条幅!$B$11:$B$310)+COUNTA(条幅4分の1!$B$11:$B$310),INDEX(条幅4分の1!$I$11:$I$310,898-COUNTA(半紙!$B$11:$B$310)-COUNTA(条幅!$B$11:$B$310)),""))))</f>
        <v/>
      </c>
      <c r="J903" s="38" t="str">
        <f>IF(IF(898&lt;=COUNTA(半紙!$B$11:$B$310),INDEX(半紙!$J$11:$J$310,898),IF(898&lt;=COUNTA(半紙!$B$11:$B$310)+COUNTA(条幅!$B$11:$B$310),INDEX(条幅!$J$11:$J$310,898-COUNTA(半紙!$B$11:$B$310)),IF(898&lt;=COUNTA(半紙!$B$11:$B$310)+COUNTA(条幅!$B$11:$B$310)+COUNTA(条幅4分の1!$B$11:$B$310),INDEX(条幅4分の1!$J$11:$J$310,898-COUNTA(半紙!$B$11:$B$310)-COUNTA(条幅!$B$11:$B$310)),"")))=0,"",IF(898&lt;=COUNTA(半紙!$B$11:$B$310),INDEX(半紙!$J$11:$J$310,898),IF(898&lt;=COUNTA(半紙!$B$11:$B$310)+COUNTA(条幅!$B$11:$B$310),INDEX(条幅!$J$11:$J$310,898-COUNTA(半紙!$B$11:$B$310)),IF(898&lt;=COUNTA(半紙!$B$11:$B$310)+COUNTA(条幅!$B$11:$B$310)+COUNTA(条幅4分の1!$B$11:$B$310),INDEX(条幅4分の1!$J$11:$J$310,898-COUNTA(半紙!$B$11:$B$310)-COUNTA(条幅!$B$11:$B$310)),""))))</f>
        <v/>
      </c>
      <c r="K903" s="38" t="str">
        <f>IF(IF(898&lt;=COUNTA(半紙!$B$11:$B$310),INDEX(半紙!$K$11:$K$310,898),IF(898&lt;=COUNTA(半紙!$B$11:$B$310)+COUNTA(条幅!$B$11:$B$310),INDEX(条幅!$K$11:$K$310,898-COUNTA(半紙!$B$11:$B$310)),IF(898&lt;=COUNTA(半紙!$B$11:$B$310)+COUNTA(条幅!$B$11:$B$310)+COUNTA(条幅4分の1!$B$11:$B$310),INDEX(条幅4分の1!$K$11:$K$310,898-COUNTA(半紙!$B$11:$B$310)-COUNTA(条幅!$B$11:$B$310)),"")))=0,"",IF(898&lt;=COUNTA(半紙!$B$11:$B$310),INDEX(半紙!$K$11:$K$310,898),IF(898&lt;=COUNTA(半紙!$B$11:$B$310)+COUNTA(条幅!$B$11:$B$310),INDEX(条幅!$K$11:$K$310,898-COUNTA(半紙!$B$11:$B$310)),IF(898&lt;=COUNTA(半紙!$B$11:$B$310)+COUNTA(条幅!$B$11:$B$310)+COUNTA(条幅4分の1!$B$11:$B$310),INDEX(条幅4分の1!$K$11:$K$310,898-COUNTA(半紙!$B$11:$B$310)-COUNTA(条幅!$B$11:$B$310)),""))))</f>
        <v/>
      </c>
      <c r="L903" s="48" t="str">
        <f>IF($B903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898))</f>
        <v/>
      </c>
    </row>
    <row r="904" spans="1:12" ht="15" customHeight="1">
      <c r="A904" s="37" t="str">
        <f>IF(899&lt;=COUNTA(半紙!$B$11:$B$310),"半紙",IF(899&lt;=COUNTA(半紙!$B$11:$B$310)+COUNTA(条幅!$B$11:$B$310),"条幅(半切)",IF(899&lt;=COUNTA(半紙!$B$11:$B$310)+COUNTA(条幅!$B$11:$B$310)+COUNTA(条幅4分の1!$B$11:$B$310),"条幅(1/4)","")))</f>
        <v/>
      </c>
      <c r="B904" s="38" t="str">
        <f>IF(IF(899&lt;=COUNTA(半紙!$B$11:$B$310),INDEX(半紙!$B$11:$B$310,899),IF(899&lt;=COUNTA(半紙!$B$11:$B$310)+COUNTA(条幅!$B$11:$B$310),INDEX(条幅!$B$11:$B$310,899-COUNTA(半紙!$B$11:$B$310)),IF(899&lt;=COUNTA(半紙!$B$11:$B$310)+COUNTA(条幅!$B$11:$B$310)+COUNTA(条幅4分の1!$B$11:$B$310),INDEX(条幅4分の1!$B$11:$B$310,899-COUNTA(半紙!$B$11:$B$310)-COUNTA(条幅!$B$11:$B$310)),"")))=0,"",IF(899&lt;=COUNTA(半紙!$B$11:$B$310),INDEX(半紙!$B$11:$B$310,899),IF(899&lt;=COUNTA(半紙!$B$11:$B$310)+COUNTA(条幅!$B$11:$B$310),INDEX(条幅!$B$11:$B$310,899-COUNTA(半紙!$B$11:$B$310)),IF(899&lt;=COUNTA(半紙!$B$11:$B$310)+COUNTA(条幅!$B$11:$B$310)+COUNTA(条幅4分の1!$B$11:$B$310),INDEX(条幅4分の1!$B$11:$B$310,899-COUNTA(半紙!$B$11:$B$310)-COUNTA(条幅!$B$11:$B$310)),""))))</f>
        <v/>
      </c>
      <c r="C904" s="38" t="str">
        <f>IF(IF(899&lt;=COUNTA(半紙!$B$11:$B$310),INDEX(半紙!$C$11:$C$310,899),IF(899&lt;=COUNTA(半紙!$B$11:$B$310)+COUNTA(条幅!$B$11:$B$310),INDEX(条幅!$C$11:$C$310,899-COUNTA(半紙!$B$11:$B$310)),IF(899&lt;=COUNTA(半紙!$B$11:$B$310)+COUNTA(条幅!$B$11:$B$310)+COUNTA(条幅4分の1!$B$11:$B$310),INDEX(条幅4分の1!$C$11:$C$310,899-COUNTA(半紙!$B$11:$B$310)-COUNTA(条幅!$B$11:$B$310)),"")))=0,"",IF(899&lt;=COUNTA(半紙!$B$11:$B$310),INDEX(半紙!$C$11:$C$310,899),IF(899&lt;=COUNTA(半紙!$B$11:$B$310)+COUNTA(条幅!$B$11:$B$310),INDEX(条幅!$C$11:$C$310,899-COUNTA(半紙!$B$11:$B$310)),IF(899&lt;=COUNTA(半紙!$B$11:$B$310)+COUNTA(条幅!$B$11:$B$310)+COUNTA(条幅4分の1!$B$11:$B$310),INDEX(条幅4分の1!$C$11:$C$310,899-COUNTA(半紙!$B$11:$B$310)-COUNTA(条幅!$B$11:$B$310)),""))))</f>
        <v/>
      </c>
      <c r="D904" s="38" t="str">
        <f>IF(IF(899&lt;=COUNTA(半紙!$B$11:$B$310),INDEX(半紙!$D$11:$D$310,899),IF(899&lt;=COUNTA(半紙!$B$11:$B$310)+COUNTA(条幅!$B$11:$B$310),INDEX(条幅!$D$11:$D$310,899-COUNTA(半紙!$B$11:$B$310)),IF(899&lt;=COUNTA(半紙!$B$11:$B$310)+COUNTA(条幅!$B$11:$B$310)+COUNTA(条幅4分の1!$B$11:$B$310),INDEX(条幅4分の1!$D$11:$D$310,899-COUNTA(半紙!$B$11:$B$310)-COUNTA(条幅!$B$11:$B$310)),"")))=0,"",IF(899&lt;=COUNTA(半紙!$B$11:$B$310),INDEX(半紙!$D$11:$D$310,899),IF(899&lt;=COUNTA(半紙!$B$11:$B$310)+COUNTA(条幅!$B$11:$B$310),INDEX(条幅!$D$11:$D$310,899-COUNTA(半紙!$B$11:$B$310)),IF(899&lt;=COUNTA(半紙!$B$11:$B$310)+COUNTA(条幅!$B$11:$B$310)+COUNTA(条幅4分の1!$B$11:$B$310),INDEX(条幅4分の1!$D$11:$D$310,899-COUNTA(半紙!$B$11:$B$310)-COUNTA(条幅!$B$11:$B$310)),""))))</f>
        <v/>
      </c>
      <c r="E904" s="38" t="str">
        <f>IF(IF(899&lt;=COUNTA(半紙!$B$11:$B$310),INDEX(半紙!$E$11:$E$310,899),IF(899&lt;=COUNTA(半紙!$B$11:$B$310)+COUNTA(条幅!$B$11:$B$310),INDEX(条幅!$E$11:$E$310,899-COUNTA(半紙!$B$11:$B$310)),IF(899&lt;=COUNTA(半紙!$B$11:$B$310)+COUNTA(条幅!$B$11:$B$310)+COUNTA(条幅4分の1!$B$11:$B$310),INDEX(条幅4分の1!$E$11:$E$310,899-COUNTA(半紙!$B$11:$B$310)-COUNTA(条幅!$B$11:$B$310)),"")))=0,"",IF(899&lt;=COUNTA(半紙!$B$11:$B$310),INDEX(半紙!$E$11:$E$310,899),IF(899&lt;=COUNTA(半紙!$B$11:$B$310)+COUNTA(条幅!$B$11:$B$310),INDEX(条幅!$E$11:$E$310,899-COUNTA(半紙!$B$11:$B$310)),IF(899&lt;=COUNTA(半紙!$B$11:$B$310)+COUNTA(条幅!$B$11:$B$310)+COUNTA(条幅4分の1!$B$11:$B$310),INDEX(条幅4分の1!$E$11:$E$310,899-COUNTA(半紙!$B$11:$B$310)-COUNTA(条幅!$B$11:$B$310)),""))))</f>
        <v/>
      </c>
      <c r="F904" s="38" t="str">
        <f>IF(IF(899&lt;=COUNTA(半紙!$B$11:$B$310),INDEX(半紙!$F$11:$F$310,899),IF(899&lt;=COUNTA(半紙!$B$11:$B$310)+COUNTA(条幅!$B$11:$B$310),INDEX(条幅!$F$11:$F$310,899-COUNTA(半紙!$B$11:$B$310)),IF(899&lt;=COUNTA(半紙!$B$11:$B$310)+COUNTA(条幅!$B$11:$B$310)+COUNTA(条幅4分の1!$B$11:$B$310),INDEX(条幅4分の1!$F$11:$F$310,899-COUNTA(半紙!$B$11:$B$310)-COUNTA(条幅!$B$11:$B$310)),"")))=0,"",IF(899&lt;=COUNTA(半紙!$B$11:$B$310),INDEX(半紙!$F$11:$F$310,899),IF(899&lt;=COUNTA(半紙!$B$11:$B$310)+COUNTA(条幅!$B$11:$B$310),INDEX(条幅!$F$11:$F$310,899-COUNTA(半紙!$B$11:$B$310)),IF(899&lt;=COUNTA(半紙!$B$11:$B$310)+COUNTA(条幅!$B$11:$B$310)+COUNTA(条幅4分の1!$B$11:$B$310),INDEX(条幅4分の1!$F$11:$F$310,899-COUNTA(半紙!$B$11:$B$310)-COUNTA(条幅!$B$11:$B$310)),""))))</f>
        <v/>
      </c>
      <c r="G904" s="38" t="str">
        <f>IF(IF(899&lt;=COUNTA(半紙!$B$11:$B$310),INDEX(半紙!$G$11:$G$310,899),IF(899&lt;=COUNTA(半紙!$B$11:$B$310)+COUNTA(条幅!$B$11:$B$310),INDEX(条幅!$G$11:$G$310,899-COUNTA(半紙!$B$11:$B$310)),IF(899&lt;=COUNTA(半紙!$B$11:$B$310)+COUNTA(条幅!$B$11:$B$310)+COUNTA(条幅4分の1!$B$11:$B$310),INDEX(条幅4分の1!$G$11:$G$310,899-COUNTA(半紙!$B$11:$B$310)-COUNTA(条幅!$B$11:$B$310)),"")))=0,"",IF(899&lt;=COUNTA(半紙!$B$11:$B$310),INDEX(半紙!$G$11:$G$310,899),IF(899&lt;=COUNTA(半紙!$B$11:$B$310)+COUNTA(条幅!$B$11:$B$310),INDEX(条幅!$G$11:$G$310,899-COUNTA(半紙!$B$11:$B$310)),IF(899&lt;=COUNTA(半紙!$B$11:$B$310)+COUNTA(条幅!$B$11:$B$310)+COUNTA(条幅4分の1!$B$11:$B$310),INDEX(条幅4分の1!$G$11:$G$310,899-COUNTA(半紙!$B$11:$B$310)-COUNTA(条幅!$B$11:$B$310)),""))))</f>
        <v/>
      </c>
      <c r="H904" s="38" t="str">
        <f>IF(IF(899&lt;=COUNTA(半紙!$B$11:$B$310),INDEX(半紙!$H$11:$H$310,899),IF(899&lt;=COUNTA(半紙!$B$11:$B$310)+COUNTA(条幅!$B$11:$B$310),INDEX(条幅!$H$11:$H$310,899-COUNTA(半紙!$B$11:$B$310)),IF(899&lt;=COUNTA(半紙!$B$11:$B$310)+COUNTA(条幅!$B$11:$B$310)+COUNTA(条幅4分の1!$B$11:$B$310),INDEX(条幅4分の1!$H$11:$H$310,899-COUNTA(半紙!$B$11:$B$310)-COUNTA(条幅!$B$11:$B$310)),"")))=0,"",IF(899&lt;=COUNTA(半紙!$B$11:$B$310),INDEX(半紙!$H$11:$H$310,899),IF(899&lt;=COUNTA(半紙!$B$11:$B$310)+COUNTA(条幅!$B$11:$B$310),INDEX(条幅!$H$11:$H$310,899-COUNTA(半紙!$B$11:$B$310)),IF(899&lt;=COUNTA(半紙!$B$11:$B$310)+COUNTA(条幅!$B$11:$B$310)+COUNTA(条幅4分の1!$B$11:$B$310),INDEX(条幅4分の1!$H$11:$H$310,899-COUNTA(半紙!$B$11:$B$310)-COUNTA(条幅!$B$11:$B$310)),""))))</f>
        <v/>
      </c>
      <c r="I904" s="38" t="str">
        <f>IF(IF(899&lt;=COUNTA(半紙!$B$11:$B$310),INDEX(半紙!$I$11:$I$310,899),IF(899&lt;=COUNTA(半紙!$B$11:$B$310)+COUNTA(条幅!$B$11:$B$310),INDEX(条幅!$I$11:$I$310,899-COUNTA(半紙!$B$11:$B$310)),IF(899&lt;=COUNTA(半紙!$B$11:$B$310)+COUNTA(条幅!$B$11:$B$310)+COUNTA(条幅4分の1!$B$11:$B$310),INDEX(条幅4分の1!$I$11:$I$310,899-COUNTA(半紙!$B$11:$B$310)-COUNTA(条幅!$B$11:$B$310)),"")))=0,"",IF(899&lt;=COUNTA(半紙!$B$11:$B$310),INDEX(半紙!$I$11:$I$310,899),IF(899&lt;=COUNTA(半紙!$B$11:$B$310)+COUNTA(条幅!$B$11:$B$310),INDEX(条幅!$I$11:$I$310,899-COUNTA(半紙!$B$11:$B$310)),IF(899&lt;=COUNTA(半紙!$B$11:$B$310)+COUNTA(条幅!$B$11:$B$310)+COUNTA(条幅4分の1!$B$11:$B$310),INDEX(条幅4分の1!$I$11:$I$310,899-COUNTA(半紙!$B$11:$B$310)-COUNTA(条幅!$B$11:$B$310)),""))))</f>
        <v/>
      </c>
      <c r="J904" s="38" t="str">
        <f>IF(IF(899&lt;=COUNTA(半紙!$B$11:$B$310),INDEX(半紙!$J$11:$J$310,899),IF(899&lt;=COUNTA(半紙!$B$11:$B$310)+COUNTA(条幅!$B$11:$B$310),INDEX(条幅!$J$11:$J$310,899-COUNTA(半紙!$B$11:$B$310)),IF(899&lt;=COUNTA(半紙!$B$11:$B$310)+COUNTA(条幅!$B$11:$B$310)+COUNTA(条幅4分の1!$B$11:$B$310),INDEX(条幅4分の1!$J$11:$J$310,899-COUNTA(半紙!$B$11:$B$310)-COUNTA(条幅!$B$11:$B$310)),"")))=0,"",IF(899&lt;=COUNTA(半紙!$B$11:$B$310),INDEX(半紙!$J$11:$J$310,899),IF(899&lt;=COUNTA(半紙!$B$11:$B$310)+COUNTA(条幅!$B$11:$B$310),INDEX(条幅!$J$11:$J$310,899-COUNTA(半紙!$B$11:$B$310)),IF(899&lt;=COUNTA(半紙!$B$11:$B$310)+COUNTA(条幅!$B$11:$B$310)+COUNTA(条幅4分の1!$B$11:$B$310),INDEX(条幅4分の1!$J$11:$J$310,899-COUNTA(半紙!$B$11:$B$310)-COUNTA(条幅!$B$11:$B$310)),""))))</f>
        <v/>
      </c>
      <c r="K904" s="38" t="str">
        <f>IF(IF(899&lt;=COUNTA(半紙!$B$11:$B$310),INDEX(半紙!$K$11:$K$310,899),IF(899&lt;=COUNTA(半紙!$B$11:$B$310)+COUNTA(条幅!$B$11:$B$310),INDEX(条幅!$K$11:$K$310,899-COUNTA(半紙!$B$11:$B$310)),IF(899&lt;=COUNTA(半紙!$B$11:$B$310)+COUNTA(条幅!$B$11:$B$310)+COUNTA(条幅4分の1!$B$11:$B$310),INDEX(条幅4分の1!$K$11:$K$310,899-COUNTA(半紙!$B$11:$B$310)-COUNTA(条幅!$B$11:$B$310)),"")))=0,"",IF(899&lt;=COUNTA(半紙!$B$11:$B$310),INDEX(半紙!$K$11:$K$310,899),IF(899&lt;=COUNTA(半紙!$B$11:$B$310)+COUNTA(条幅!$B$11:$B$310),INDEX(条幅!$K$11:$K$310,899-COUNTA(半紙!$B$11:$B$310)),IF(899&lt;=COUNTA(半紙!$B$11:$B$310)+COUNTA(条幅!$B$11:$B$310)+COUNTA(条幅4分の1!$B$11:$B$310),INDEX(条幅4分の1!$K$11:$K$310,899-COUNTA(半紙!$B$11:$B$310)-COUNTA(条幅!$B$11:$B$310)),""))))</f>
        <v/>
      </c>
      <c r="L904" s="48" t="str">
        <f>IF($B904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899))</f>
        <v/>
      </c>
    </row>
    <row r="905" spans="1:12" ht="15" customHeight="1">
      <c r="A905" s="37" t="str">
        <f>IF(900&lt;=COUNTA(半紙!$B$11:$B$310),"半紙",IF(900&lt;=COUNTA(半紙!$B$11:$B$310)+COUNTA(条幅!$B$11:$B$310),"条幅(半切)",IF(900&lt;=COUNTA(半紙!$B$11:$B$310)+COUNTA(条幅!$B$11:$B$310)+COUNTA(条幅4分の1!$B$11:$B$310),"条幅(1/4)","")))</f>
        <v/>
      </c>
      <c r="B905" s="38" t="str">
        <f>IF(IF(900&lt;=COUNTA(半紙!$B$11:$B$310),INDEX(半紙!$B$11:$B$310,900),IF(900&lt;=COUNTA(半紙!$B$11:$B$310)+COUNTA(条幅!$B$11:$B$310),INDEX(条幅!$B$11:$B$310,900-COUNTA(半紙!$B$11:$B$310)),IF(900&lt;=COUNTA(半紙!$B$11:$B$310)+COUNTA(条幅!$B$11:$B$310)+COUNTA(条幅4分の1!$B$11:$B$310),INDEX(条幅4分の1!$B$11:$B$310,900-COUNTA(半紙!$B$11:$B$310)-COUNTA(条幅!$B$11:$B$310)),"")))=0,"",IF(900&lt;=COUNTA(半紙!$B$11:$B$310),INDEX(半紙!$B$11:$B$310,900),IF(900&lt;=COUNTA(半紙!$B$11:$B$310)+COUNTA(条幅!$B$11:$B$310),INDEX(条幅!$B$11:$B$310,900-COUNTA(半紙!$B$11:$B$310)),IF(900&lt;=COUNTA(半紙!$B$11:$B$310)+COUNTA(条幅!$B$11:$B$310)+COUNTA(条幅4分の1!$B$11:$B$310),INDEX(条幅4分の1!$B$11:$B$310,900-COUNTA(半紙!$B$11:$B$310)-COUNTA(条幅!$B$11:$B$310)),""))))</f>
        <v/>
      </c>
      <c r="C905" s="38" t="str">
        <f>IF(IF(900&lt;=COUNTA(半紙!$B$11:$B$310),INDEX(半紙!$C$11:$C$310,900),IF(900&lt;=COUNTA(半紙!$B$11:$B$310)+COUNTA(条幅!$B$11:$B$310),INDEX(条幅!$C$11:$C$310,900-COUNTA(半紙!$B$11:$B$310)),IF(900&lt;=COUNTA(半紙!$B$11:$B$310)+COUNTA(条幅!$B$11:$B$310)+COUNTA(条幅4分の1!$B$11:$B$310),INDEX(条幅4分の1!$C$11:$C$310,900-COUNTA(半紙!$B$11:$B$310)-COUNTA(条幅!$B$11:$B$310)),"")))=0,"",IF(900&lt;=COUNTA(半紙!$B$11:$B$310),INDEX(半紙!$C$11:$C$310,900),IF(900&lt;=COUNTA(半紙!$B$11:$B$310)+COUNTA(条幅!$B$11:$B$310),INDEX(条幅!$C$11:$C$310,900-COUNTA(半紙!$B$11:$B$310)),IF(900&lt;=COUNTA(半紙!$B$11:$B$310)+COUNTA(条幅!$B$11:$B$310)+COUNTA(条幅4分の1!$B$11:$B$310),INDEX(条幅4分の1!$C$11:$C$310,900-COUNTA(半紙!$B$11:$B$310)-COUNTA(条幅!$B$11:$B$310)),""))))</f>
        <v/>
      </c>
      <c r="D905" s="38" t="str">
        <f>IF(IF(900&lt;=COUNTA(半紙!$B$11:$B$310),INDEX(半紙!$D$11:$D$310,900),IF(900&lt;=COUNTA(半紙!$B$11:$B$310)+COUNTA(条幅!$B$11:$B$310),INDEX(条幅!$D$11:$D$310,900-COUNTA(半紙!$B$11:$B$310)),IF(900&lt;=COUNTA(半紙!$B$11:$B$310)+COUNTA(条幅!$B$11:$B$310)+COUNTA(条幅4分の1!$B$11:$B$310),INDEX(条幅4分の1!$D$11:$D$310,900-COUNTA(半紙!$B$11:$B$310)-COUNTA(条幅!$B$11:$B$310)),"")))=0,"",IF(900&lt;=COUNTA(半紙!$B$11:$B$310),INDEX(半紙!$D$11:$D$310,900),IF(900&lt;=COUNTA(半紙!$B$11:$B$310)+COUNTA(条幅!$B$11:$B$310),INDEX(条幅!$D$11:$D$310,900-COUNTA(半紙!$B$11:$B$310)),IF(900&lt;=COUNTA(半紙!$B$11:$B$310)+COUNTA(条幅!$B$11:$B$310)+COUNTA(条幅4分の1!$B$11:$B$310),INDEX(条幅4分の1!$D$11:$D$310,900-COUNTA(半紙!$B$11:$B$310)-COUNTA(条幅!$B$11:$B$310)),""))))</f>
        <v/>
      </c>
      <c r="E905" s="38" t="str">
        <f>IF(IF(900&lt;=COUNTA(半紙!$B$11:$B$310),INDEX(半紙!$E$11:$E$310,900),IF(900&lt;=COUNTA(半紙!$B$11:$B$310)+COUNTA(条幅!$B$11:$B$310),INDEX(条幅!$E$11:$E$310,900-COUNTA(半紙!$B$11:$B$310)),IF(900&lt;=COUNTA(半紙!$B$11:$B$310)+COUNTA(条幅!$B$11:$B$310)+COUNTA(条幅4分の1!$B$11:$B$310),INDEX(条幅4分の1!$E$11:$E$310,900-COUNTA(半紙!$B$11:$B$310)-COUNTA(条幅!$B$11:$B$310)),"")))=0,"",IF(900&lt;=COUNTA(半紙!$B$11:$B$310),INDEX(半紙!$E$11:$E$310,900),IF(900&lt;=COUNTA(半紙!$B$11:$B$310)+COUNTA(条幅!$B$11:$B$310),INDEX(条幅!$E$11:$E$310,900-COUNTA(半紙!$B$11:$B$310)),IF(900&lt;=COUNTA(半紙!$B$11:$B$310)+COUNTA(条幅!$B$11:$B$310)+COUNTA(条幅4分の1!$B$11:$B$310),INDEX(条幅4分の1!$E$11:$E$310,900-COUNTA(半紙!$B$11:$B$310)-COUNTA(条幅!$B$11:$B$310)),""))))</f>
        <v/>
      </c>
      <c r="F905" s="38" t="str">
        <f>IF(IF(900&lt;=COUNTA(半紙!$B$11:$B$310),INDEX(半紙!$F$11:$F$310,900),IF(900&lt;=COUNTA(半紙!$B$11:$B$310)+COUNTA(条幅!$B$11:$B$310),INDEX(条幅!$F$11:$F$310,900-COUNTA(半紙!$B$11:$B$310)),IF(900&lt;=COUNTA(半紙!$B$11:$B$310)+COUNTA(条幅!$B$11:$B$310)+COUNTA(条幅4分の1!$B$11:$B$310),INDEX(条幅4分の1!$F$11:$F$310,900-COUNTA(半紙!$B$11:$B$310)-COUNTA(条幅!$B$11:$B$310)),"")))=0,"",IF(900&lt;=COUNTA(半紙!$B$11:$B$310),INDEX(半紙!$F$11:$F$310,900),IF(900&lt;=COUNTA(半紙!$B$11:$B$310)+COUNTA(条幅!$B$11:$B$310),INDEX(条幅!$F$11:$F$310,900-COUNTA(半紙!$B$11:$B$310)),IF(900&lt;=COUNTA(半紙!$B$11:$B$310)+COUNTA(条幅!$B$11:$B$310)+COUNTA(条幅4分の1!$B$11:$B$310),INDEX(条幅4分の1!$F$11:$F$310,900-COUNTA(半紙!$B$11:$B$310)-COUNTA(条幅!$B$11:$B$310)),""))))</f>
        <v/>
      </c>
      <c r="G905" s="38" t="str">
        <f>IF(IF(900&lt;=COUNTA(半紙!$B$11:$B$310),INDEX(半紙!$G$11:$G$310,900),IF(900&lt;=COUNTA(半紙!$B$11:$B$310)+COUNTA(条幅!$B$11:$B$310),INDEX(条幅!$G$11:$G$310,900-COUNTA(半紙!$B$11:$B$310)),IF(900&lt;=COUNTA(半紙!$B$11:$B$310)+COUNTA(条幅!$B$11:$B$310)+COUNTA(条幅4分の1!$B$11:$B$310),INDEX(条幅4分の1!$G$11:$G$310,900-COUNTA(半紙!$B$11:$B$310)-COUNTA(条幅!$B$11:$B$310)),"")))=0,"",IF(900&lt;=COUNTA(半紙!$B$11:$B$310),INDEX(半紙!$G$11:$G$310,900),IF(900&lt;=COUNTA(半紙!$B$11:$B$310)+COUNTA(条幅!$B$11:$B$310),INDEX(条幅!$G$11:$G$310,900-COUNTA(半紙!$B$11:$B$310)),IF(900&lt;=COUNTA(半紙!$B$11:$B$310)+COUNTA(条幅!$B$11:$B$310)+COUNTA(条幅4分の1!$B$11:$B$310),INDEX(条幅4分の1!$G$11:$G$310,900-COUNTA(半紙!$B$11:$B$310)-COUNTA(条幅!$B$11:$B$310)),""))))</f>
        <v/>
      </c>
      <c r="H905" s="38" t="str">
        <f>IF(IF(900&lt;=COUNTA(半紙!$B$11:$B$310),INDEX(半紙!$H$11:$H$310,900),IF(900&lt;=COUNTA(半紙!$B$11:$B$310)+COUNTA(条幅!$B$11:$B$310),INDEX(条幅!$H$11:$H$310,900-COUNTA(半紙!$B$11:$B$310)),IF(900&lt;=COUNTA(半紙!$B$11:$B$310)+COUNTA(条幅!$B$11:$B$310)+COUNTA(条幅4分の1!$B$11:$B$310),INDEX(条幅4分の1!$H$11:$H$310,900-COUNTA(半紙!$B$11:$B$310)-COUNTA(条幅!$B$11:$B$310)),"")))=0,"",IF(900&lt;=COUNTA(半紙!$B$11:$B$310),INDEX(半紙!$H$11:$H$310,900),IF(900&lt;=COUNTA(半紙!$B$11:$B$310)+COUNTA(条幅!$B$11:$B$310),INDEX(条幅!$H$11:$H$310,900-COUNTA(半紙!$B$11:$B$310)),IF(900&lt;=COUNTA(半紙!$B$11:$B$310)+COUNTA(条幅!$B$11:$B$310)+COUNTA(条幅4分の1!$B$11:$B$310),INDEX(条幅4分の1!$H$11:$H$310,900-COUNTA(半紙!$B$11:$B$310)-COUNTA(条幅!$B$11:$B$310)),""))))</f>
        <v/>
      </c>
      <c r="I905" s="38" t="str">
        <f>IF(IF(900&lt;=COUNTA(半紙!$B$11:$B$310),INDEX(半紙!$I$11:$I$310,900),IF(900&lt;=COUNTA(半紙!$B$11:$B$310)+COUNTA(条幅!$B$11:$B$310),INDEX(条幅!$I$11:$I$310,900-COUNTA(半紙!$B$11:$B$310)),IF(900&lt;=COUNTA(半紙!$B$11:$B$310)+COUNTA(条幅!$B$11:$B$310)+COUNTA(条幅4分の1!$B$11:$B$310),INDEX(条幅4分の1!$I$11:$I$310,900-COUNTA(半紙!$B$11:$B$310)-COUNTA(条幅!$B$11:$B$310)),"")))=0,"",IF(900&lt;=COUNTA(半紙!$B$11:$B$310),INDEX(半紙!$I$11:$I$310,900),IF(900&lt;=COUNTA(半紙!$B$11:$B$310)+COUNTA(条幅!$B$11:$B$310),INDEX(条幅!$I$11:$I$310,900-COUNTA(半紙!$B$11:$B$310)),IF(900&lt;=COUNTA(半紙!$B$11:$B$310)+COUNTA(条幅!$B$11:$B$310)+COUNTA(条幅4分の1!$B$11:$B$310),INDEX(条幅4分の1!$I$11:$I$310,900-COUNTA(半紙!$B$11:$B$310)-COUNTA(条幅!$B$11:$B$310)),""))))</f>
        <v/>
      </c>
      <c r="J905" s="38" t="str">
        <f>IF(IF(900&lt;=COUNTA(半紙!$B$11:$B$310),INDEX(半紙!$J$11:$J$310,900),IF(900&lt;=COUNTA(半紙!$B$11:$B$310)+COUNTA(条幅!$B$11:$B$310),INDEX(条幅!$J$11:$J$310,900-COUNTA(半紙!$B$11:$B$310)),IF(900&lt;=COUNTA(半紙!$B$11:$B$310)+COUNTA(条幅!$B$11:$B$310)+COUNTA(条幅4分の1!$B$11:$B$310),INDEX(条幅4分の1!$J$11:$J$310,900-COUNTA(半紙!$B$11:$B$310)-COUNTA(条幅!$B$11:$B$310)),"")))=0,"",IF(900&lt;=COUNTA(半紙!$B$11:$B$310),INDEX(半紙!$J$11:$J$310,900),IF(900&lt;=COUNTA(半紙!$B$11:$B$310)+COUNTA(条幅!$B$11:$B$310),INDEX(条幅!$J$11:$J$310,900-COUNTA(半紙!$B$11:$B$310)),IF(900&lt;=COUNTA(半紙!$B$11:$B$310)+COUNTA(条幅!$B$11:$B$310)+COUNTA(条幅4分の1!$B$11:$B$310),INDEX(条幅4分の1!$J$11:$J$310,900-COUNTA(半紙!$B$11:$B$310)-COUNTA(条幅!$B$11:$B$310)),""))))</f>
        <v/>
      </c>
      <c r="K905" s="38" t="str">
        <f>IF(IF(900&lt;=COUNTA(半紙!$B$11:$B$310),INDEX(半紙!$K$11:$K$310,900),IF(900&lt;=COUNTA(半紙!$B$11:$B$310)+COUNTA(条幅!$B$11:$B$310),INDEX(条幅!$K$11:$K$310,900-COUNTA(半紙!$B$11:$B$310)),IF(900&lt;=COUNTA(半紙!$B$11:$B$310)+COUNTA(条幅!$B$11:$B$310)+COUNTA(条幅4分の1!$B$11:$B$310),INDEX(条幅4分の1!$K$11:$K$310,900-COUNTA(半紙!$B$11:$B$310)-COUNTA(条幅!$B$11:$B$310)),"")))=0,"",IF(900&lt;=COUNTA(半紙!$B$11:$B$310),INDEX(半紙!$K$11:$K$310,900),IF(900&lt;=COUNTA(半紙!$B$11:$B$310)+COUNTA(条幅!$B$11:$B$310),INDEX(条幅!$K$11:$K$310,900-COUNTA(半紙!$B$11:$B$310)),IF(900&lt;=COUNTA(半紙!$B$11:$B$310)+COUNTA(条幅!$B$11:$B$310)+COUNTA(条幅4分の1!$B$11:$B$310),INDEX(条幅4分の1!$K$11:$K$310,900-COUNTA(半紙!$B$11:$B$310)-COUNTA(条幅!$B$11:$B$310)),""))))</f>
        <v/>
      </c>
      <c r="L905" s="48" t="str">
        <f>IF($B905="","",IF(基本情報・出品料!$C$3="","（団体ID未記入）",LEFT(基本情報・出品料!$C$3,MIN(FIND({"0";"1";"2";"3";"4";"5";"6";"7";"8";"9"},基本情報・出品料!$C$3&amp;"0123456789"))-1)&amp;MID(基本情報・出品料!$C$3,FIND("-",基本情報・出品料!$C$3)+1,3)&amp;"-"&amp;900))</f>
        <v/>
      </c>
    </row>
  </sheetData>
  <mergeCells count="1">
    <mergeCell ref="A1:L1"/>
  </mergeCells>
  <phoneticPr fontId="37"/>
  <pageMargins left="0.75" right="0.75" top="1" bottom="1" header="0.511811023622047" footer="0.511811023622047"/>
  <pageSetup paperSize="9" fitToHeight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26"/>
  <sheetViews>
    <sheetView zoomScaleNormal="100" workbookViewId="0"/>
  </sheetViews>
  <sheetFormatPr defaultColWidth="8.7265625" defaultRowHeight="14.5"/>
  <sheetData>
    <row r="1" spans="1:1" ht="15" customHeight="1">
      <c r="A1" s="39" t="s">
        <v>73</v>
      </c>
    </row>
    <row r="2" spans="1:1" ht="15" customHeight="1">
      <c r="A2" s="39" t="s">
        <v>74</v>
      </c>
    </row>
    <row r="3" spans="1:1" ht="15" customHeight="1">
      <c r="A3" s="39" t="s">
        <v>75</v>
      </c>
    </row>
    <row r="4" spans="1:1" ht="15" customHeight="1">
      <c r="A4" s="39" t="s">
        <v>76</v>
      </c>
    </row>
    <row r="5" spans="1:1" ht="15" customHeight="1">
      <c r="A5" s="39" t="s">
        <v>77</v>
      </c>
    </row>
    <row r="6" spans="1:1" ht="15" customHeight="1">
      <c r="A6" s="39" t="s">
        <v>78</v>
      </c>
    </row>
    <row r="7" spans="1:1" ht="15" customHeight="1">
      <c r="A7" s="39" t="s">
        <v>79</v>
      </c>
    </row>
    <row r="8" spans="1:1" ht="15" customHeight="1">
      <c r="A8" s="39" t="s">
        <v>80</v>
      </c>
    </row>
    <row r="9" spans="1:1" ht="15" customHeight="1">
      <c r="A9" s="39" t="s">
        <v>81</v>
      </c>
    </row>
    <row r="10" spans="1:1" ht="15" customHeight="1">
      <c r="A10" s="39" t="s">
        <v>82</v>
      </c>
    </row>
    <row r="11" spans="1:1" ht="15" customHeight="1">
      <c r="A11" s="39" t="s">
        <v>83</v>
      </c>
    </row>
    <row r="12" spans="1:1" ht="15" customHeight="1">
      <c r="A12" s="39" t="s">
        <v>84</v>
      </c>
    </row>
    <row r="13" spans="1:1" ht="15" customHeight="1">
      <c r="A13" s="39" t="s">
        <v>85</v>
      </c>
    </row>
    <row r="14" spans="1:1" ht="15" customHeight="1">
      <c r="A14" s="39" t="s">
        <v>86</v>
      </c>
    </row>
    <row r="15" spans="1:1" ht="15" customHeight="1">
      <c r="A15" s="39" t="s">
        <v>87</v>
      </c>
    </row>
    <row r="16" spans="1:1" ht="15" customHeight="1">
      <c r="A16" s="39" t="s">
        <v>88</v>
      </c>
    </row>
    <row r="17" spans="1:1" ht="15" customHeight="1">
      <c r="A17" s="39" t="s">
        <v>89</v>
      </c>
    </row>
    <row r="18" spans="1:1" ht="15" customHeight="1">
      <c r="A18" s="39" t="s">
        <v>90</v>
      </c>
    </row>
    <row r="19" spans="1:1" ht="15" customHeight="1">
      <c r="A19" s="39" t="s">
        <v>91</v>
      </c>
    </row>
    <row r="20" spans="1:1" ht="15" customHeight="1">
      <c r="A20" s="39" t="s">
        <v>92</v>
      </c>
    </row>
    <row r="21" spans="1:1" ht="15" customHeight="1">
      <c r="A21" s="39" t="s">
        <v>93</v>
      </c>
    </row>
    <row r="22" spans="1:1" ht="15" customHeight="1">
      <c r="A22" s="39" t="s">
        <v>94</v>
      </c>
    </row>
    <row r="23" spans="1:1" ht="15" customHeight="1">
      <c r="A23" s="39" t="s">
        <v>95</v>
      </c>
    </row>
    <row r="24" spans="1:1" ht="15" customHeight="1">
      <c r="A24" s="39" t="s">
        <v>96</v>
      </c>
    </row>
    <row r="25" spans="1:1" ht="15" customHeight="1">
      <c r="A25" s="39" t="s">
        <v>97</v>
      </c>
    </row>
    <row r="26" spans="1:1" ht="15" customHeight="1">
      <c r="A26" s="39" t="s">
        <v>98</v>
      </c>
    </row>
  </sheetData>
  <phoneticPr fontId="37"/>
  <pageMargins left="0.75" right="0.75" top="1" bottom="1" header="0.511811023622047" footer="0.511811023622047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基本情報・出品料</vt:lpstr>
      <vt:lpstr>半紙</vt:lpstr>
      <vt:lpstr>条幅</vt:lpstr>
      <vt:lpstr>条幅4分の1</vt:lpstr>
      <vt:lpstr>全部門まとめ</vt:lpstr>
      <vt:lpstr>賞一覧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直行 江口</cp:lastModifiedBy>
  <cp:revision>0</cp:revision>
  <dcterms:created xsi:type="dcterms:W3CDTF">2026-05-25T04:58:29Z</dcterms:created>
  <dcterms:modified xsi:type="dcterms:W3CDTF">2026-06-30T03:07:19Z</dcterms:modified>
  <cp:category/>
  <cp:contentStatus/>
</cp:coreProperties>
</file>